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730"/>
  <workbookPr codeName="ThisWorkbook" defaultThemeVersion="124226"/>
  <mc:AlternateContent xmlns:mc="http://schemas.openxmlformats.org/markup-compatibility/2006">
    <mc:Choice Requires="x15">
      <x15ac:absPath xmlns:x15ac="http://schemas.microsoft.com/office/spreadsheetml/2010/11/ac" url="C:\Users\usuario\Desktop\"/>
    </mc:Choice>
  </mc:AlternateContent>
  <bookViews>
    <workbookView xWindow="0" yWindow="0" windowWidth="16170" windowHeight="5940" tabRatio="1000" firstSheet="5" activeTab="13" xr2:uid="{00000000-000D-0000-FFFF-FFFF00000000}"/>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ABRIL!$A$2:$N$130,ABRIL!$S$2:$AJ$259</definedName>
    <definedName name="_xlnm.Print_Area" localSheetId="8">AGOSTO!$A$2:$N$130,AGOSTO!$S$2:$AJ$259</definedName>
    <definedName name="_xlnm.Print_Area" localSheetId="13">'Datos para el 2193'!$B$1:$R$57</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JUNIO!$A$1:$Q$130</definedName>
    <definedName name="_xlnm.Print_Area" localSheetId="3">MARZO!$A$2:$N$130,MARZO!$S$2:$AJ$259</definedName>
    <definedName name="_xlnm.Print_Area" localSheetId="5">MAYO!$A$2:$N$130,MAYO!$S$2:$AJ$259</definedName>
    <definedName name="_xlnm.Print_Area" localSheetId="11">NOVIEMBRE!$A$2:$N$130,NOVIEMBRE!$S$2:$AJ$259</definedName>
    <definedName name="_xlnm.Print_Area" localSheetId="10">OCTUBRE!$A$2:$N$130,OCTUBRE!$S$2:$AJ$259</definedName>
    <definedName name="_xlnm.Print_Area" localSheetId="14">'SEGUIMIENTO EQUILIBRIOS'!$A$1:$J$18</definedName>
    <definedName name="_xlnm.Print_Area" localSheetId="9">SEPTIEMBRE!$A$2:$N$130,SEPTIEMBRE!$S$2:$AJ$259</definedName>
    <definedName name="_xlnm.Print_Area" localSheetId="15">'VERIFICACION MANTENIMIENTO'!$A$1:$V$14</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71027"/>
  <fileRecoveryPr autoRecover="0"/>
</workbook>
</file>

<file path=xl/calcChain.xml><?xml version="1.0" encoding="utf-8"?>
<calcChain xmlns="http://schemas.openxmlformats.org/spreadsheetml/2006/main">
  <c r="K39" i="16" l="1"/>
  <c r="H39" i="16"/>
  <c r="K110" i="16" l="1"/>
  <c r="K105" i="16"/>
  <c r="K39" i="15" l="1"/>
  <c r="H39" i="15"/>
  <c r="K123" i="15"/>
  <c r="H123" i="15"/>
  <c r="AM71" i="14" l="1"/>
  <c r="AM22" i="14"/>
  <c r="Q102" i="14"/>
  <c r="AF207" i="13" l="1"/>
  <c r="K26" i="13" l="1"/>
  <c r="AL134" i="9" l="1"/>
  <c r="H76" i="8" l="1"/>
  <c r="H82" i="8"/>
  <c r="H82" i="6" l="1"/>
  <c r="AL186" i="7" l="1"/>
  <c r="AL188" i="7"/>
  <c r="AL124" i="7"/>
  <c r="AL130" i="7"/>
  <c r="AL86" i="7"/>
  <c r="AL36" i="7"/>
  <c r="AL84" i="7"/>
  <c r="AL153" i="7"/>
  <c r="AL151" i="7"/>
  <c r="AL207" i="7"/>
  <c r="AL88" i="7"/>
  <c r="AL41" i="7"/>
  <c r="AL139" i="7"/>
  <c r="AL168" i="7"/>
  <c r="H76" i="7" l="1"/>
  <c r="AL207" i="6" l="1"/>
  <c r="AL153" i="6"/>
  <c r="AL88" i="6"/>
  <c r="AL84" i="6"/>
  <c r="AL41" i="6"/>
  <c r="AL36" i="6"/>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E9" i="20" l="1"/>
  <c r="Q22" i="20"/>
  <c r="P22" i="20"/>
  <c r="O22" i="20"/>
  <c r="N22" i="20"/>
  <c r="M22" i="20"/>
  <c r="L22" i="20"/>
  <c r="K22" i="20"/>
  <c r="J22" i="20"/>
  <c r="I22" i="20"/>
  <c r="H22" i="20"/>
  <c r="G22" i="20"/>
  <c r="F22" i="20"/>
  <c r="Q20" i="20"/>
  <c r="P20" i="20"/>
  <c r="O20" i="20"/>
  <c r="N20" i="20"/>
  <c r="M20" i="20"/>
  <c r="L20" i="20"/>
  <c r="K20" i="20"/>
  <c r="J20" i="20"/>
  <c r="I20" i="20"/>
  <c r="H20" i="20"/>
  <c r="G20" i="20"/>
  <c r="F20" i="20"/>
  <c r="Q19" i="20"/>
  <c r="P19" i="20"/>
  <c r="O19" i="20"/>
  <c r="N19" i="20"/>
  <c r="M19" i="20"/>
  <c r="L19" i="20"/>
  <c r="K19" i="20"/>
  <c r="J19" i="20"/>
  <c r="I19" i="20"/>
  <c r="H19" i="20"/>
  <c r="G19" i="20"/>
  <c r="F19" i="20"/>
  <c r="BE19" i="15"/>
  <c r="BE18" i="15"/>
  <c r="BE17" i="15"/>
  <c r="BE19" i="14"/>
  <c r="BE18" i="14"/>
  <c r="BE17" i="14"/>
  <c r="BE19" i="13"/>
  <c r="BE18" i="13"/>
  <c r="BE17" i="13"/>
  <c r="BE19" i="12"/>
  <c r="BE18" i="12"/>
  <c r="BE17" i="12"/>
  <c r="BE19" i="11"/>
  <c r="BE18" i="11"/>
  <c r="BE17" i="11"/>
  <c r="BE19" i="10"/>
  <c r="BE18" i="10"/>
  <c r="BE17" i="10"/>
  <c r="BE19" i="9"/>
  <c r="BE18" i="9"/>
  <c r="BE17" i="9"/>
  <c r="BE19" i="8"/>
  <c r="BE18" i="8"/>
  <c r="BE17" i="8"/>
  <c r="BE19" i="7"/>
  <c r="BE18" i="7"/>
  <c r="BE17" i="7"/>
  <c r="BE19" i="6"/>
  <c r="BE18" i="6"/>
  <c r="BE17" i="6"/>
  <c r="BE19" i="5"/>
  <c r="BE18" i="5"/>
  <c r="BE17" i="5"/>
  <c r="BE18" i="16"/>
  <c r="BE19" i="16"/>
  <c r="BE17" i="16"/>
  <c r="R22" i="20" l="1"/>
  <c r="Q21" i="20"/>
  <c r="P21" i="20"/>
  <c r="O21" i="20"/>
  <c r="N21" i="20"/>
  <c r="M21" i="20"/>
  <c r="L21" i="20"/>
  <c r="K21" i="20"/>
  <c r="J21" i="20"/>
  <c r="I21" i="20"/>
  <c r="H21" i="20"/>
  <c r="G21" i="20"/>
  <c r="F21" i="20"/>
  <c r="Q18" i="20"/>
  <c r="P18" i="20"/>
  <c r="O18" i="20"/>
  <c r="N18" i="20"/>
  <c r="M18" i="20"/>
  <c r="L18" i="20"/>
  <c r="K18" i="20"/>
  <c r="J18" i="20"/>
  <c r="I18" i="20"/>
  <c r="H18" i="20"/>
  <c r="G18" i="20"/>
  <c r="F18" i="20"/>
  <c r="R21" i="20" l="1"/>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9"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6"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6"/>
  <c r="B100" i="7" s="1"/>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D89" i="8" l="1"/>
  <c r="D120" i="7"/>
  <c r="F120" i="6"/>
  <c r="F119" i="5"/>
  <c r="D119" i="6"/>
  <c r="F116" i="5"/>
  <c r="D116" i="6"/>
  <c r="L95" i="6"/>
  <c r="J94" i="6"/>
  <c r="D100" i="7"/>
  <c r="F100" i="6"/>
  <c r="F96" i="5"/>
  <c r="N96" i="5" s="1"/>
  <c r="D96" i="6"/>
  <c r="D104" i="5"/>
  <c r="D105" i="6"/>
  <c r="D106" i="7"/>
  <c r="F106" i="6"/>
  <c r="F121" i="5"/>
  <c r="D121" i="6"/>
  <c r="D118" i="7"/>
  <c r="F118" i="6"/>
  <c r="F117" i="5"/>
  <c r="D117" i="6"/>
  <c r="F115" i="5"/>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D91" i="6"/>
  <c r="D91" i="7" s="1"/>
  <c r="F92" i="5"/>
  <c r="N92" i="5" s="1"/>
  <c r="D92" i="6"/>
  <c r="L115" i="6"/>
  <c r="J113" i="6"/>
  <c r="F95" i="5"/>
  <c r="M95" i="5" s="1"/>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D111" i="6"/>
  <c r="N122" i="6"/>
  <c r="M122" i="6"/>
  <c r="L85" i="5"/>
  <c r="J86" i="6"/>
  <c r="F86" i="5"/>
  <c r="N86" i="5" s="1"/>
  <c r="D86" i="6"/>
  <c r="F87" i="5"/>
  <c r="D87" i="6"/>
  <c r="D87" i="7" s="1"/>
  <c r="F88" i="5"/>
  <c r="M88" i="5" s="1"/>
  <c r="D88" i="6"/>
  <c r="F89" i="5"/>
  <c r="M89" i="5" s="1"/>
  <c r="F90" i="5"/>
  <c r="N90" i="5" s="1"/>
  <c r="E90" i="6"/>
  <c r="E90" i="7" s="1"/>
  <c r="E90" i="8" s="1"/>
  <c r="E90" i="9" s="1"/>
  <c r="E90" i="10" s="1"/>
  <c r="E90" i="11" s="1"/>
  <c r="E90" i="12" s="1"/>
  <c r="E90" i="13" s="1"/>
  <c r="E90" i="14" s="1"/>
  <c r="E90" i="15" s="1"/>
  <c r="E90" i="16" s="1"/>
  <c r="F91" i="6"/>
  <c r="E91" i="7"/>
  <c r="E91" i="8" s="1"/>
  <c r="E91" i="9" s="1"/>
  <c r="E91" i="10" s="1"/>
  <c r="E91" i="11" s="1"/>
  <c r="E91" i="12" s="1"/>
  <c r="E91" i="13" s="1"/>
  <c r="E91" i="14" s="1"/>
  <c r="E91" i="15" s="1"/>
  <c r="E91" i="16" s="1"/>
  <c r="F123" i="5"/>
  <c r="N123" i="5" s="1"/>
  <c r="BD20" i="5"/>
  <c r="G115" i="6"/>
  <c r="E95" i="7"/>
  <c r="E94" i="6"/>
  <c r="F102" i="5"/>
  <c r="M102" i="5" s="1"/>
  <c r="D102" i="6"/>
  <c r="F98" i="5"/>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BD19" i="5"/>
  <c r="G105" i="6"/>
  <c r="F106" i="5"/>
  <c r="F109" i="5"/>
  <c r="M109" i="5" s="1"/>
  <c r="E109" i="6"/>
  <c r="E109" i="7" s="1"/>
  <c r="E109" i="8" s="1"/>
  <c r="E109" i="9" s="1"/>
  <c r="E109" i="10" s="1"/>
  <c r="E109" i="11" s="1"/>
  <c r="E109" i="12" s="1"/>
  <c r="E109" i="13" s="1"/>
  <c r="E109" i="14" s="1"/>
  <c r="E109" i="15" s="1"/>
  <c r="E109" i="16" s="1"/>
  <c r="D122" i="8"/>
  <c r="F122" i="7"/>
  <c r="D124" i="7"/>
  <c r="F124" i="6"/>
  <c r="E115" i="7"/>
  <c r="E113" i="6"/>
  <c r="BD18" i="5"/>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N119" i="5"/>
  <c r="F123" i="6"/>
  <c r="D123" i="7"/>
  <c r="M106" i="5"/>
  <c r="I85" i="5"/>
  <c r="I88" i="6"/>
  <c r="G85" i="6"/>
  <c r="M115" i="5"/>
  <c r="F120" i="5"/>
  <c r="N120" i="5" s="1"/>
  <c r="F118" i="5"/>
  <c r="N118" i="5" s="1"/>
  <c r="D85" i="5"/>
  <c r="F124" i="5"/>
  <c r="N124" i="5" s="1"/>
  <c r="E113" i="5"/>
  <c r="L113" i="5"/>
  <c r="AS15" i="5" s="1"/>
  <c r="AX15" i="5" s="1"/>
  <c r="D113" i="5"/>
  <c r="F100" i="5"/>
  <c r="M100" i="5" s="1"/>
  <c r="E94" i="5"/>
  <c r="N106" i="5"/>
  <c r="I113" i="5"/>
  <c r="AR15" i="5" s="1"/>
  <c r="AW15" i="5" s="1"/>
  <c r="N115" i="5"/>
  <c r="N107" i="5"/>
  <c r="M107" i="5"/>
  <c r="M108" i="5"/>
  <c r="N111" i="5"/>
  <c r="M111" i="5"/>
  <c r="F105" i="5"/>
  <c r="F101" i="5"/>
  <c r="M101" i="5" s="1"/>
  <c r="F97" i="5"/>
  <c r="N97" i="5" s="1"/>
  <c r="N102" i="5"/>
  <c r="M98" i="5"/>
  <c r="N98" i="5"/>
  <c r="N99" i="5"/>
  <c r="D94" i="5"/>
  <c r="L94" i="5"/>
  <c r="I94" i="5"/>
  <c r="M117" i="5"/>
  <c r="N117" i="5"/>
  <c r="M116" i="5"/>
  <c r="N116" i="5"/>
  <c r="N121" i="5"/>
  <c r="M121" i="5"/>
  <c r="M123" i="5"/>
  <c r="M119" i="5"/>
  <c r="N87" i="5"/>
  <c r="M87" i="5"/>
  <c r="M91" i="5"/>
  <c r="N91" i="5"/>
  <c r="M92" i="5"/>
  <c r="N89" i="5"/>
  <c r="M86" i="5"/>
  <c r="M90" i="5"/>
  <c r="D113" i="6" l="1"/>
  <c r="M96" i="5"/>
  <c r="N88" i="5"/>
  <c r="M124" i="5"/>
  <c r="N95" i="5"/>
  <c r="M97" i="5"/>
  <c r="N110" i="5"/>
  <c r="F85" i="5"/>
  <c r="N109" i="5"/>
  <c r="M118" i="5"/>
  <c r="F113" i="5"/>
  <c r="N100" i="5"/>
  <c r="F104" i="5"/>
  <c r="D21" i="20"/>
  <c r="F122" i="8"/>
  <c r="D122" i="9"/>
  <c r="BC18" i="5"/>
  <c r="M120" i="5"/>
  <c r="N97" i="6"/>
  <c r="M97" i="6"/>
  <c r="D124" i="8"/>
  <c r="F124" i="7"/>
  <c r="M122" i="7"/>
  <c r="N122" i="7"/>
  <c r="D22" i="20"/>
  <c r="F101" i="7"/>
  <c r="J115" i="7"/>
  <c r="L113" i="6"/>
  <c r="AS15" i="6" s="1"/>
  <c r="AX15" i="6" s="1"/>
  <c r="N89" i="6"/>
  <c r="M89" i="6"/>
  <c r="F87" i="6"/>
  <c r="D118" i="8"/>
  <c r="F118" i="7"/>
  <c r="D105" i="7"/>
  <c r="F105" i="6"/>
  <c r="D104" i="6"/>
  <c r="N100" i="6"/>
  <c r="M100" i="6"/>
  <c r="D116" i="7"/>
  <c r="F116" i="6"/>
  <c r="N120" i="6"/>
  <c r="M120" i="6"/>
  <c r="BC20" i="5"/>
  <c r="D101" i="9"/>
  <c r="F101" i="8"/>
  <c r="N122" i="8"/>
  <c r="M122"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G104" i="6"/>
  <c r="D19" i="20"/>
  <c r="F97" i="7"/>
  <c r="F95" i="7"/>
  <c r="E95" i="8"/>
  <c r="E94" i="7"/>
  <c r="D109" i="8"/>
  <c r="F109" i="7"/>
  <c r="D20" i="20"/>
  <c r="D90" i="8"/>
  <c r="F90" i="7"/>
  <c r="M106" i="6"/>
  <c r="N106" i="6"/>
  <c r="D96" i="7"/>
  <c r="F96" i="6"/>
  <c r="D119" i="7"/>
  <c r="F119" i="6"/>
  <c r="F89" i="7"/>
  <c r="L105" i="6"/>
  <c r="J104" i="6"/>
  <c r="D97" i="9"/>
  <c r="F97" i="8"/>
  <c r="I95" i="6"/>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BC19" i="5"/>
  <c r="F123" i="7"/>
  <c r="D123" i="8"/>
  <c r="D123" i="9" s="1"/>
  <c r="M123" i="6"/>
  <c r="N123" i="6"/>
  <c r="G88" i="7"/>
  <c r="I85" i="6"/>
  <c r="M85" i="5"/>
  <c r="N113" i="5"/>
  <c r="N85" i="5"/>
  <c r="AQ15" i="5"/>
  <c r="N105" i="5"/>
  <c r="M105" i="5"/>
  <c r="M104" i="5" s="1"/>
  <c r="M94" i="5"/>
  <c r="F94" i="5"/>
  <c r="M113" i="5" l="1"/>
  <c r="N104" i="5"/>
  <c r="M88" i="6"/>
  <c r="BC19" i="6"/>
  <c r="N94" i="5"/>
  <c r="F113" i="6"/>
  <c r="AQ15" i="6" s="1"/>
  <c r="F120" i="8"/>
  <c r="N120" i="8" s="1"/>
  <c r="D120" i="9"/>
  <c r="F123" i="9"/>
  <c r="D123" i="10"/>
  <c r="F118" i="8"/>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BD19" i="6"/>
  <c r="G105" i="7"/>
  <c r="I104" i="6"/>
  <c r="M120" i="8"/>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N118" i="8"/>
  <c r="M118" i="8"/>
  <c r="D113" i="7"/>
  <c r="M89" i="8"/>
  <c r="N89" i="8"/>
  <c r="N106" i="7"/>
  <c r="M106" i="7"/>
  <c r="N115" i="6"/>
  <c r="M115" i="6"/>
  <c r="N99" i="6"/>
  <c r="M99" i="6"/>
  <c r="N108" i="6"/>
  <c r="M108" i="6"/>
  <c r="N86" i="6"/>
  <c r="M86" i="6"/>
  <c r="F85" i="6"/>
  <c r="M102" i="6"/>
  <c r="N102" i="6"/>
  <c r="BD18" i="6"/>
  <c r="G95" i="7"/>
  <c r="I94" i="6"/>
  <c r="J105" i="7"/>
  <c r="L104" i="6"/>
  <c r="BC20" i="6"/>
  <c r="N119" i="6"/>
  <c r="M119" i="6"/>
  <c r="D90" i="9"/>
  <c r="F90" i="8"/>
  <c r="D100" i="9"/>
  <c r="F100" i="8"/>
  <c r="N117" i="6"/>
  <c r="M117" i="6"/>
  <c r="N92" i="6"/>
  <c r="M92" i="6"/>
  <c r="BC18"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M124" i="8" l="1"/>
  <c r="BC19" i="7"/>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M105" i="7" s="1"/>
  <c r="G104" i="7"/>
  <c r="E105" i="9"/>
  <c r="E104" i="8"/>
  <c r="D87" i="10"/>
  <c r="F87" i="9"/>
  <c r="N121" i="7"/>
  <c r="M121" i="7"/>
  <c r="E95" i="10"/>
  <c r="E94" i="9"/>
  <c r="D86" i="9"/>
  <c r="F86" i="8"/>
  <c r="D85" i="8"/>
  <c r="N110" i="7"/>
  <c r="M110" i="7"/>
  <c r="D106" i="10"/>
  <c r="F106" i="9"/>
  <c r="N100" i="8"/>
  <c r="M100" i="8"/>
  <c r="N90" i="8"/>
  <c r="M90" i="8"/>
  <c r="I95" i="7"/>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BC18" i="7"/>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N113" i="7" l="1"/>
  <c r="M121" i="8"/>
  <c r="N85" i="7"/>
  <c r="BC20" i="8"/>
  <c r="N117" i="8"/>
  <c r="F113" i="8"/>
  <c r="AQ15" i="8" s="1"/>
  <c r="M85" i="7"/>
  <c r="M116" i="8"/>
  <c r="N104" i="7"/>
  <c r="M104" i="7"/>
  <c r="N94" i="7"/>
  <c r="BC19" i="8"/>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BD18" i="7"/>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BD19" i="7"/>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BC18" i="8"/>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D117" i="11" l="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BC18" i="9"/>
  <c r="F94" i="9"/>
  <c r="N87" i="10"/>
  <c r="M87" i="10"/>
  <c r="F101" i="12"/>
  <c r="D101" i="13"/>
  <c r="L113" i="8"/>
  <c r="AS15" i="8" s="1"/>
  <c r="AX15" i="8" s="1"/>
  <c r="N115" i="8"/>
  <c r="N113" i="8" s="1"/>
  <c r="F109" i="11"/>
  <c r="D109" i="12"/>
  <c r="I105" i="8"/>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BC19"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5" i="20"/>
  <c r="G45" i="20"/>
  <c r="H45" i="20"/>
  <c r="I45" i="20"/>
  <c r="J45" i="20"/>
  <c r="K45" i="20"/>
  <c r="L45" i="20"/>
  <c r="M45" i="20"/>
  <c r="N45" i="20"/>
  <c r="O45" i="20"/>
  <c r="P45" i="20"/>
  <c r="Q45" i="20"/>
  <c r="E45" i="20"/>
  <c r="D45" i="20"/>
  <c r="C45" i="20"/>
  <c r="N39" i="6" l="1"/>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BC18" i="10"/>
  <c r="M96" i="10"/>
  <c r="N96" i="10"/>
  <c r="F105" i="11"/>
  <c r="D105" i="12"/>
  <c r="D104" i="11"/>
  <c r="N91" i="11"/>
  <c r="M91" i="11"/>
  <c r="N102" i="10"/>
  <c r="M102" i="10"/>
  <c r="D89" i="14"/>
  <c r="F89" i="13"/>
  <c r="J105" i="9"/>
  <c r="L104" i="8"/>
  <c r="N105" i="8"/>
  <c r="N104" i="8" s="1"/>
  <c r="M97" i="12"/>
  <c r="N97" i="12"/>
  <c r="BD18" i="8"/>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BD19" i="8"/>
  <c r="G105" i="9"/>
  <c r="I104" i="8"/>
  <c r="M105" i="8"/>
  <c r="M104" i="8" s="1"/>
  <c r="BC19" i="10"/>
  <c r="F104" i="10"/>
  <c r="D86" i="12"/>
  <c r="F86" i="11"/>
  <c r="D85" i="11"/>
  <c r="D110" i="12"/>
  <c r="F110" i="11"/>
  <c r="E95" i="13"/>
  <c r="E94" i="12"/>
  <c r="I88" i="9"/>
  <c r="G85" i="9"/>
  <c r="R45"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27" i="7" s="1"/>
  <c r="D27" i="8" s="1"/>
  <c r="D27" i="9" s="1"/>
  <c r="D27" i="10" s="1"/>
  <c r="D27" i="11" s="1"/>
  <c r="D27" i="12" s="1"/>
  <c r="D27" i="13" s="1"/>
  <c r="D27" i="14" s="1"/>
  <c r="D27" i="15" s="1"/>
  <c r="D27" i="16" s="1"/>
  <c r="D30" i="5"/>
  <c r="D31" i="5"/>
  <c r="D31" i="6" s="1"/>
  <c r="D31" i="7" s="1"/>
  <c r="D33" i="5"/>
  <c r="D33" i="6" s="1"/>
  <c r="D33" i="7" s="1"/>
  <c r="D33" i="8" s="1"/>
  <c r="D33" i="9" s="1"/>
  <c r="D33" i="10" s="1"/>
  <c r="D33" i="11" s="1"/>
  <c r="D33" i="12" s="1"/>
  <c r="D34" i="5"/>
  <c r="D34" i="6" s="1"/>
  <c r="D34" i="7" s="1"/>
  <c r="D34" i="8" s="1"/>
  <c r="D34" i="9" s="1"/>
  <c r="D34" i="10" s="1"/>
  <c r="D36" i="5"/>
  <c r="D37" i="5"/>
  <c r="D37" i="6" s="1"/>
  <c r="D37" i="7" s="1"/>
  <c r="D41" i="5"/>
  <c r="D41" i="6" s="1"/>
  <c r="D43" i="5"/>
  <c r="D43" i="6" s="1"/>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1" i="6" s="1"/>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3" i="6" s="1"/>
  <c r="D74" i="5"/>
  <c r="D74" i="6" s="1"/>
  <c r="D74" i="7" s="1"/>
  <c r="D74" i="8" s="1"/>
  <c r="D74" i="9" s="1"/>
  <c r="D74" i="10" s="1"/>
  <c r="D76" i="5"/>
  <c r="D77" i="5"/>
  <c r="D77" i="6"/>
  <c r="D77" i="7" s="1"/>
  <c r="D77" i="8" s="1"/>
  <c r="D77" i="9" s="1"/>
  <c r="D77" i="10" s="1"/>
  <c r="D77" i="11" s="1"/>
  <c r="D77" i="12" s="1"/>
  <c r="D77" i="13" s="1"/>
  <c r="D77" i="14" s="1"/>
  <c r="D77" i="15" s="1"/>
  <c r="D77" i="16" s="1"/>
  <c r="D79" i="5"/>
  <c r="D79" i="6" s="1"/>
  <c r="D80" i="5"/>
  <c r="D80" i="6" s="1"/>
  <c r="D82" i="5"/>
  <c r="D82" i="6" s="1"/>
  <c r="D82" i="7" s="1"/>
  <c r="D82" i="8" s="1"/>
  <c r="D82" i="9" s="1"/>
  <c r="D82" i="10" s="1"/>
  <c r="D82" i="11" s="1"/>
  <c r="D82" i="12" s="1"/>
  <c r="D82" i="13" s="1"/>
  <c r="D82" i="14" s="1"/>
  <c r="D82" i="15" s="1"/>
  <c r="D82" i="16"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59" i="11" s="1"/>
  <c r="V59" i="12" s="1"/>
  <c r="V59" i="13" s="1"/>
  <c r="V59" i="14" s="1"/>
  <c r="V59" i="15" s="1"/>
  <c r="V59" i="16"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3" i="8" s="1"/>
  <c r="V223" i="9" s="1"/>
  <c r="V223" i="10" s="1"/>
  <c r="V223" i="11" s="1"/>
  <c r="V223" i="12" s="1"/>
  <c r="V223" i="13" s="1"/>
  <c r="V223" i="14" s="1"/>
  <c r="V223" i="15" s="1"/>
  <c r="V223" i="16"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49" i="7" s="1"/>
  <c r="E49" i="8" s="1"/>
  <c r="E49" i="9" s="1"/>
  <c r="E49" i="10" s="1"/>
  <c r="E49" i="11" s="1"/>
  <c r="E49" i="12" s="1"/>
  <c r="E49" i="13" s="1"/>
  <c r="E49" i="14" s="1"/>
  <c r="E49" i="15" s="1"/>
  <c r="E49" i="16"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5" i="7" s="1"/>
  <c r="E55" i="8" s="1"/>
  <c r="E55" i="9" s="1"/>
  <c r="E55" i="10" s="1"/>
  <c r="E55" i="11" s="1"/>
  <c r="E55" i="12" s="1"/>
  <c r="E55" i="13" s="1"/>
  <c r="E55" i="14" s="1"/>
  <c r="E55" i="15" s="1"/>
  <c r="E55" i="16"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1" i="7" s="1"/>
  <c r="E61" i="8" s="1"/>
  <c r="E61" i="9" s="1"/>
  <c r="E61" i="10" s="1"/>
  <c r="E61" i="11" s="1"/>
  <c r="E61" i="12" s="1"/>
  <c r="E61" i="13" s="1"/>
  <c r="E61" i="14" s="1"/>
  <c r="E61" i="15" s="1"/>
  <c r="E61" i="16"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3" i="7" s="1"/>
  <c r="E73" i="8" s="1"/>
  <c r="E73" i="9" s="1"/>
  <c r="E73" i="10" s="1"/>
  <c r="E73" i="11" s="1"/>
  <c r="E73" i="12" s="1"/>
  <c r="E73" i="13" s="1"/>
  <c r="E73" i="14" s="1"/>
  <c r="E73" i="15" s="1"/>
  <c r="E73" i="16"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79" i="7" s="1"/>
  <c r="E79" i="8" s="1"/>
  <c r="E79" i="9" s="1"/>
  <c r="E79" i="10" s="1"/>
  <c r="E79" i="11" s="1"/>
  <c r="E79" i="12" s="1"/>
  <c r="E79" i="13" s="1"/>
  <c r="E79" i="14" s="1"/>
  <c r="E79" i="15" s="1"/>
  <c r="E79" i="16" s="1"/>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6" i="7" s="1"/>
  <c r="W86" i="8" s="1"/>
  <c r="W86" i="9" s="1"/>
  <c r="W86" i="10" s="1"/>
  <c r="W86" i="11"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3" i="8" s="1"/>
  <c r="W93" i="9" s="1"/>
  <c r="W93" i="10" s="1"/>
  <c r="W93" i="11" s="1"/>
  <c r="W93" i="12"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8" i="11"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5" i="8" s="1"/>
  <c r="W115" i="9" s="1"/>
  <c r="W115" i="10" s="1"/>
  <c r="W115" i="11" s="1"/>
  <c r="W115" i="12"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1" i="16"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3" i="7" s="1"/>
  <c r="W143" i="8" s="1"/>
  <c r="W143" i="9" s="1"/>
  <c r="W143" i="10" s="1"/>
  <c r="W143" i="11"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2" i="9" s="1"/>
  <c r="W152" i="10" s="1"/>
  <c r="W152" i="11"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7" i="8" s="1"/>
  <c r="W177" i="9" s="1"/>
  <c r="W177" i="10" s="1"/>
  <c r="W177" i="11"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8" i="11" s="1"/>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8" i="5"/>
  <c r="W198" i="6" s="1"/>
  <c r="W198" i="7" s="1"/>
  <c r="W198" i="8" s="1"/>
  <c r="W198" i="9" s="1"/>
  <c r="W198" i="10" s="1"/>
  <c r="W198" i="11"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5" i="8" s="1"/>
  <c r="W215" i="9" s="1"/>
  <c r="W215" i="10" s="1"/>
  <c r="W215" i="11"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3" i="8" s="1"/>
  <c r="W223" i="9" s="1"/>
  <c r="W223" i="10" s="1"/>
  <c r="W223" i="11"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29" i="6" s="1"/>
  <c r="W229" i="7" s="1"/>
  <c r="W229" i="8" s="1"/>
  <c r="W229" i="9" s="1"/>
  <c r="W229" i="10" s="1"/>
  <c r="W229" i="11"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8" i="7" s="1"/>
  <c r="W238" i="8" s="1"/>
  <c r="W238" i="9" s="1"/>
  <c r="W238" i="10" s="1"/>
  <c r="W238" i="11" s="1"/>
  <c r="W238" i="12" s="1"/>
  <c r="W238" i="13" s="1"/>
  <c r="W238" i="14"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7" i="5"/>
  <c r="I30" i="5"/>
  <c r="G30" i="6" s="1"/>
  <c r="I31" i="5"/>
  <c r="G31" i="6" s="1"/>
  <c r="I33" i="5"/>
  <c r="G33" i="6" s="1"/>
  <c r="I33" i="6" s="1"/>
  <c r="G33" i="7" s="1"/>
  <c r="I33" i="7" s="1"/>
  <c r="G33" i="8" s="1"/>
  <c r="I33" i="8" s="1"/>
  <c r="G33" i="9" s="1"/>
  <c r="I33" i="9" s="1"/>
  <c r="G33" i="10" s="1"/>
  <c r="I33" i="10" s="1"/>
  <c r="G33" i="11" s="1"/>
  <c r="I33" i="11" s="1"/>
  <c r="I34" i="5"/>
  <c r="G34" i="6" s="1"/>
  <c r="I34" i="6" s="1"/>
  <c r="G34" i="7" s="1"/>
  <c r="I34" i="7" s="1"/>
  <c r="G34" i="8" s="1"/>
  <c r="I34" i="8" s="1"/>
  <c r="G34" i="9" s="1"/>
  <c r="I34" i="9" s="1"/>
  <c r="G34" i="10" s="1"/>
  <c r="I34" i="10" s="1"/>
  <c r="G34" i="11" s="1"/>
  <c r="I34" i="11" s="1"/>
  <c r="G34" i="12" s="1"/>
  <c r="I34" i="12" s="1"/>
  <c r="G34" i="13" s="1"/>
  <c r="I34" i="13"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I44" i="5"/>
  <c r="G44" i="6" s="1"/>
  <c r="I44" i="6" s="1"/>
  <c r="G44" i="7" s="1"/>
  <c r="I44" i="7" s="1"/>
  <c r="G44" i="8" s="1"/>
  <c r="I44" i="8" s="1"/>
  <c r="G44" i="9" s="1"/>
  <c r="I44" i="9" s="1"/>
  <c r="G44" i="10" s="1"/>
  <c r="I44" i="10" s="1"/>
  <c r="G44" i="11"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G50" i="7" s="1"/>
  <c r="I50" i="7" s="1"/>
  <c r="G50" i="8" s="1"/>
  <c r="I50" i="8" s="1"/>
  <c r="G50" i="9" s="1"/>
  <c r="I50" i="9" s="1"/>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68" i="6" s="1"/>
  <c r="G68" i="7" s="1"/>
  <c r="I68" i="7"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Y36" i="10" s="1"/>
  <c r="AA36" i="10" s="1"/>
  <c r="Y36" i="11" s="1"/>
  <c r="AA36" i="11" s="1"/>
  <c r="Y36" i="12" s="1"/>
  <c r="AA36" i="12" s="1"/>
  <c r="Y36" i="13" s="1"/>
  <c r="AA36" i="13" s="1"/>
  <c r="Y36" i="14" s="1"/>
  <c r="AA36" i="14" s="1"/>
  <c r="Y36" i="15" s="1"/>
  <c r="AA36" i="15" s="1"/>
  <c r="Y36" i="16" s="1"/>
  <c r="AA36" i="16"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7" i="5"/>
  <c r="Y47" i="6" s="1"/>
  <c r="AA47" i="6" s="1"/>
  <c r="Y47" i="7" s="1"/>
  <c r="AA47" i="7" s="1"/>
  <c r="Y47" i="8" s="1"/>
  <c r="AA47" i="8" s="1"/>
  <c r="Y47" i="9" s="1"/>
  <c r="AA47" i="9" s="1"/>
  <c r="Y47" i="10" s="1"/>
  <c r="AA47" i="10" s="1"/>
  <c r="Y47" i="11" s="1"/>
  <c r="AA47" i="11" s="1"/>
  <c r="Y47" i="12" s="1"/>
  <c r="AA47" i="12" s="1"/>
  <c r="Y47" i="13" s="1"/>
  <c r="AA47" i="13" s="1"/>
  <c r="Y47" i="14" s="1"/>
  <c r="AA47" i="14" s="1"/>
  <c r="Y47" i="15" s="1"/>
  <c r="AA47" i="15" s="1"/>
  <c r="Y47" i="16" s="1"/>
  <c r="AA47" i="16"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Y52" i="6" s="1"/>
  <c r="AA52" i="6" s="1"/>
  <c r="Y52" i="7" s="1"/>
  <c r="AA52" i="7" s="1"/>
  <c r="Y52" i="8" s="1"/>
  <c r="AA52" i="8" s="1"/>
  <c r="Y52" i="9" s="1"/>
  <c r="AA52" i="9" s="1"/>
  <c r="Y52" i="10" s="1"/>
  <c r="AA52" i="10" s="1"/>
  <c r="Y52" i="11" s="1"/>
  <c r="AA52" i="11" s="1"/>
  <c r="Y52" i="12" s="1"/>
  <c r="AA52" i="12" s="1"/>
  <c r="Y52" i="13" s="1"/>
  <c r="AA52" i="13" s="1"/>
  <c r="Y52" i="14" s="1"/>
  <c r="AA52" i="14" s="1"/>
  <c r="Y52" i="15" s="1"/>
  <c r="AA52" i="15" s="1"/>
  <c r="Y52" i="16"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Y59" i="10" s="1"/>
  <c r="AA59" i="10" s="1"/>
  <c r="Y59" i="11" s="1"/>
  <c r="AA59" i="11" s="1"/>
  <c r="Y59" i="12" s="1"/>
  <c r="AA59" i="12" s="1"/>
  <c r="Y59" i="13" s="1"/>
  <c r="AA59" i="13" s="1"/>
  <c r="Y59" i="14" s="1"/>
  <c r="AA59" i="14" s="1"/>
  <c r="Y59" i="15" s="1"/>
  <c r="AA59" i="15" s="1"/>
  <c r="Y59" i="16" s="1"/>
  <c r="AA59" i="16"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3" i="5"/>
  <c r="Y93" i="6" s="1"/>
  <c r="AA93" i="6" s="1"/>
  <c r="Y93" i="7" s="1"/>
  <c r="AA93" i="7" s="1"/>
  <c r="Y93" i="8" s="1"/>
  <c r="AA93" i="8" s="1"/>
  <c r="Y93" i="9" s="1"/>
  <c r="AA93" i="9" s="1"/>
  <c r="Y93" i="10" s="1"/>
  <c r="AA93" i="10" s="1"/>
  <c r="Y93" i="11" s="1"/>
  <c r="AA93" i="11" s="1"/>
  <c r="Y93" i="12" s="1"/>
  <c r="AA93" i="12" s="1"/>
  <c r="Y93" i="13" s="1"/>
  <c r="AA93" i="13"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Y98" i="10" s="1"/>
  <c r="AA98" i="10" s="1"/>
  <c r="Y98" i="11" s="1"/>
  <c r="AA98" i="11" s="1"/>
  <c r="Y98" i="12" s="1"/>
  <c r="AA98" i="12" s="1"/>
  <c r="Y98" i="13" s="1"/>
  <c r="AA98" i="13" s="1"/>
  <c r="Y98" i="14" s="1"/>
  <c r="AA98" i="14" s="1"/>
  <c r="Y98" i="15" s="1"/>
  <c r="AA98" i="15" s="1"/>
  <c r="Y98" i="16" s="1"/>
  <c r="AA98" i="16"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Y115" i="10" s="1"/>
  <c r="AA115" i="10" s="1"/>
  <c r="Y115" i="11" s="1"/>
  <c r="AA115" i="11" s="1"/>
  <c r="Y115" i="12" s="1"/>
  <c r="AA115" i="12" s="1"/>
  <c r="Y115" i="13" s="1"/>
  <c r="AA115" i="13" s="1"/>
  <c r="Y115" i="14" s="1"/>
  <c r="AA115" i="14" s="1"/>
  <c r="Y115" i="15" s="1"/>
  <c r="AA115" i="15" s="1"/>
  <c r="Y115" i="16" s="1"/>
  <c r="AA115" i="16"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BO19"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3" i="5"/>
  <c r="Y143" i="6" s="1"/>
  <c r="AA143" i="6" s="1"/>
  <c r="Y143" i="7" s="1"/>
  <c r="AA143" i="7" s="1"/>
  <c r="Y143" i="8" s="1"/>
  <c r="AA143" i="8" s="1"/>
  <c r="Y143" i="9" s="1"/>
  <c r="AA143" i="9" s="1"/>
  <c r="Y143" i="10" s="1"/>
  <c r="AA143" i="10" s="1"/>
  <c r="Y143" i="11" s="1"/>
  <c r="AA143" i="11" s="1"/>
  <c r="Y143" i="12" s="1"/>
  <c r="AA143" i="12" s="1"/>
  <c r="Y143" i="13" s="1"/>
  <c r="AA143" i="13" s="1"/>
  <c r="Y143" i="14" s="1"/>
  <c r="AA143" i="14" s="1"/>
  <c r="Y143" i="15" s="1"/>
  <c r="AA143" i="15" s="1"/>
  <c r="Y143" i="16" s="1"/>
  <c r="AA143" i="1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0" i="7" s="1"/>
  <c r="Y150" i="8" s="1"/>
  <c r="AA150" i="8" s="1"/>
  <c r="Y150" i="9" s="1"/>
  <c r="AA150" i="9" s="1"/>
  <c r="Y150" i="10"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Y152" i="6" s="1"/>
  <c r="AA152" i="6" s="1"/>
  <c r="Y152" i="7" s="1"/>
  <c r="AA152" i="7" s="1"/>
  <c r="Y152" i="8" s="1"/>
  <c r="AA152" i="8" s="1"/>
  <c r="Y152" i="9" s="1"/>
  <c r="AA152" i="9" s="1"/>
  <c r="Y152" i="10" s="1"/>
  <c r="AA152" i="10" s="1"/>
  <c r="Y152" i="11" s="1"/>
  <c r="AA152" i="11" s="1"/>
  <c r="Y152" i="12" s="1"/>
  <c r="AA152" i="12" s="1"/>
  <c r="Y152" i="13" s="1"/>
  <c r="AA152" i="13" s="1"/>
  <c r="Y152" i="14" s="1"/>
  <c r="AA152" i="14" s="1"/>
  <c r="Y152" i="15" s="1"/>
  <c r="AA152" i="15" s="1"/>
  <c r="Y152" i="16" s="1"/>
  <c r="AA152" i="16"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7" i="6" s="1"/>
  <c r="Y177" i="7" s="1"/>
  <c r="AA177" i="7" s="1"/>
  <c r="Y177" i="8" s="1"/>
  <c r="AA177" i="8" s="1"/>
  <c r="Y177" i="9" s="1"/>
  <c r="AA177" i="9" s="1"/>
  <c r="Y177" i="10" s="1"/>
  <c r="AA177" i="10" s="1"/>
  <c r="Y177" i="11" s="1"/>
  <c r="AA177" i="11" s="1"/>
  <c r="Y177" i="12" s="1"/>
  <c r="AA177" i="12" s="1"/>
  <c r="Y177" i="13" s="1"/>
  <c r="AA177" i="13" s="1"/>
  <c r="Y177" i="14" s="1"/>
  <c r="AA177" i="14" s="1"/>
  <c r="Y177" i="15" s="1"/>
  <c r="AA177" i="15" s="1"/>
  <c r="Y177" i="16" s="1"/>
  <c r="AA177" i="16"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8" i="7" s="1"/>
  <c r="Y188" i="8" s="1"/>
  <c r="AA188" i="8" s="1"/>
  <c r="Y188" i="9" s="1"/>
  <c r="AA188" i="9" s="1"/>
  <c r="Y188" i="10" s="1"/>
  <c r="AA188" i="10" s="1"/>
  <c r="Y188" i="11" s="1"/>
  <c r="AA188" i="11" s="1"/>
  <c r="Y188" i="12" s="1"/>
  <c r="AA188" i="12" s="1"/>
  <c r="Y188" i="13" s="1"/>
  <c r="AA188" i="13" s="1"/>
  <c r="Y188" i="14" s="1"/>
  <c r="AA188" i="14" s="1"/>
  <c r="Y188" i="15" s="1"/>
  <c r="AA188" i="15" s="1"/>
  <c r="Y188" i="16" s="1"/>
  <c r="AA188" i="16"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Y198" i="16" s="1"/>
  <c r="AA198" i="16"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6" i="7" s="1"/>
  <c r="Y206" i="8" s="1"/>
  <c r="AA206" i="8" s="1"/>
  <c r="Y206" i="9" s="1"/>
  <c r="AA206" i="9" s="1"/>
  <c r="Y206" i="10" s="1"/>
  <c r="AA206" i="10" s="1"/>
  <c r="Y206" i="11" s="1"/>
  <c r="AA206" i="11" s="1"/>
  <c r="Y206" i="12" s="1"/>
  <c r="AA206" i="12" s="1"/>
  <c r="Y206" i="13" s="1"/>
  <c r="AA206" i="13" s="1"/>
  <c r="Y206" i="14" s="1"/>
  <c r="AA206" i="14" s="1"/>
  <c r="Y206" i="15" s="1"/>
  <c r="AA206" i="15" s="1"/>
  <c r="Y206" i="1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Y215" i="9" s="1"/>
  <c r="AA215" i="9" s="1"/>
  <c r="Y215" i="10" s="1"/>
  <c r="AA215" i="10" s="1"/>
  <c r="Y215" i="11" s="1"/>
  <c r="AA215" i="11" s="1"/>
  <c r="Y215" i="12" s="1"/>
  <c r="AA215" i="12" s="1"/>
  <c r="Y215" i="13" s="1"/>
  <c r="AA215" i="13" s="1"/>
  <c r="Y215" i="14" s="1"/>
  <c r="AA215" i="14" s="1"/>
  <c r="Y215" i="15" s="1"/>
  <c r="AA215" i="15" s="1"/>
  <c r="Y215" i="16" s="1"/>
  <c r="AA215" i="16"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3" i="7" s="1"/>
  <c r="Y223" i="8" s="1"/>
  <c r="AA223" i="8" s="1"/>
  <c r="Y223" i="9" s="1"/>
  <c r="AA223" i="9" s="1"/>
  <c r="Y223" i="10" s="1"/>
  <c r="AA223" i="10" s="1"/>
  <c r="Y223" i="11" s="1"/>
  <c r="AA223" i="11" s="1"/>
  <c r="Y223" i="12" s="1"/>
  <c r="AA223" i="12" s="1"/>
  <c r="Y223" i="13" s="1"/>
  <c r="AA223" i="13" s="1"/>
  <c r="Y223" i="14" s="1"/>
  <c r="AA223" i="14" s="1"/>
  <c r="Y223" i="15" s="1"/>
  <c r="AA223" i="15" s="1"/>
  <c r="Y223" i="16"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Y229" i="6" s="1"/>
  <c r="AA229" i="6" s="1"/>
  <c r="Y229" i="7" s="1"/>
  <c r="AA229" i="7" s="1"/>
  <c r="Y229" i="8" s="1"/>
  <c r="AA229" i="8" s="1"/>
  <c r="Y229" i="9" s="1"/>
  <c r="AA229" i="9" s="1"/>
  <c r="Y229" i="10" s="1"/>
  <c r="AA229" i="10" s="1"/>
  <c r="Y229" i="11" s="1"/>
  <c r="AA229" i="11" s="1"/>
  <c r="Y229" i="12" s="1"/>
  <c r="AA229" i="12" s="1"/>
  <c r="Y229" i="13" s="1"/>
  <c r="AA229" i="13" s="1"/>
  <c r="Y229" i="14" s="1"/>
  <c r="AA229" i="14" s="1"/>
  <c r="Y229" i="15" s="1"/>
  <c r="AA229" i="15" s="1"/>
  <c r="Y229" i="16" s="1"/>
  <c r="AA229" i="16"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AA18" i="16"/>
  <c r="AA52"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6" i="6" s="1"/>
  <c r="J26" i="7" s="1"/>
  <c r="L26" i="7" s="1"/>
  <c r="L27" i="5"/>
  <c r="J27" i="6" s="1"/>
  <c r="L30" i="5"/>
  <c r="J30" i="6" s="1"/>
  <c r="L30" i="6" s="1"/>
  <c r="J30" i="7" s="1"/>
  <c r="L30" i="7" s="1"/>
  <c r="J30" i="8" s="1"/>
  <c r="L31" i="5"/>
  <c r="J31" i="6" s="1"/>
  <c r="L31" i="6" s="1"/>
  <c r="J31" i="7" s="1"/>
  <c r="L31" i="7" s="1"/>
  <c r="J31" i="8" s="1"/>
  <c r="L31" i="8" s="1"/>
  <c r="J31" i="9" s="1"/>
  <c r="L31" i="9" s="1"/>
  <c r="J31" i="10" s="1"/>
  <c r="L33" i="5"/>
  <c r="J33" i="6" s="1"/>
  <c r="L33" i="6" s="1"/>
  <c r="J33" i="7" s="1"/>
  <c r="L33" i="7" s="1"/>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J36" i="7" s="1"/>
  <c r="L36" i="7" s="1"/>
  <c r="J36" i="8" s="1"/>
  <c r="L37" i="5"/>
  <c r="J37" i="6" s="1"/>
  <c r="L37" i="6" s="1"/>
  <c r="J37" i="7" s="1"/>
  <c r="L37" i="7" s="1"/>
  <c r="J37" i="8" s="1"/>
  <c r="L37" i="8" s="1"/>
  <c r="J37" i="9" s="1"/>
  <c r="L37" i="9" s="1"/>
  <c r="L41" i="5"/>
  <c r="L43" i="5"/>
  <c r="J43" i="6" s="1"/>
  <c r="L43" i="6" s="1"/>
  <c r="J43" i="7" s="1"/>
  <c r="L43" i="7" s="1"/>
  <c r="J43" i="8" s="1"/>
  <c r="L43" i="8" s="1"/>
  <c r="J43" i="9" s="1"/>
  <c r="L43" i="9" s="1"/>
  <c r="J43" i="10" s="1"/>
  <c r="L43" i="10" s="1"/>
  <c r="J43" i="11" s="1"/>
  <c r="L43" i="11" s="1"/>
  <c r="J43" i="12" s="1"/>
  <c r="L43" i="12" s="1"/>
  <c r="J43" i="13" s="1"/>
  <c r="L43" i="13" s="1"/>
  <c r="J43" i="14" s="1"/>
  <c r="L43" i="14" s="1"/>
  <c r="J43" i="15" s="1"/>
  <c r="L43" i="15" s="1"/>
  <c r="J43" i="16"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J49" i="6" s="1"/>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J59" i="7" s="1"/>
  <c r="L59" i="7" s="1"/>
  <c r="L61" i="5"/>
  <c r="J61" i="6" s="1"/>
  <c r="L61" i="6" s="1"/>
  <c r="J61" i="7" s="1"/>
  <c r="L61" i="7" s="1"/>
  <c r="J61" i="8" s="1"/>
  <c r="L61" i="8" s="1"/>
  <c r="J61" i="9" s="1"/>
  <c r="L61" i="9" s="1"/>
  <c r="J61" i="10" s="1"/>
  <c r="L61" i="10" s="1"/>
  <c r="J61" i="11" s="1"/>
  <c r="L61" i="11" s="1"/>
  <c r="J61" i="12" s="1"/>
  <c r="L61" i="12" s="1"/>
  <c r="J61" i="13" s="1"/>
  <c r="L61" i="13" s="1"/>
  <c r="J61" i="14" s="1"/>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5" i="5"/>
  <c r="J65" i="6" s="1"/>
  <c r="L65" i="6" s="1"/>
  <c r="J65" i="7" s="1"/>
  <c r="L65" i="7" s="1"/>
  <c r="L67" i="5"/>
  <c r="J67" i="6" s="1"/>
  <c r="L67" i="6" s="1"/>
  <c r="J67" i="7" s="1"/>
  <c r="L67" i="7" s="1"/>
  <c r="J67" i="8" s="1"/>
  <c r="L67" i="8" s="1"/>
  <c r="J67" i="9" s="1"/>
  <c r="L67" i="9" s="1"/>
  <c r="J67" i="10" s="1"/>
  <c r="L67" i="10" s="1"/>
  <c r="J67" i="11" s="1"/>
  <c r="L67" i="11" s="1"/>
  <c r="J67" i="12" s="1"/>
  <c r="L67" i="12" s="1"/>
  <c r="J67" i="13" s="1"/>
  <c r="L67" i="13" s="1"/>
  <c r="J67" i="14" s="1"/>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8" i="5"/>
  <c r="AB98" i="6" s="1"/>
  <c r="AD98" i="6" s="1"/>
  <c r="AB98" i="7" s="1"/>
  <c r="AD98" i="7" s="1"/>
  <c r="AB98" i="8" s="1"/>
  <c r="AD98" i="8" s="1"/>
  <c r="AB98" i="9" s="1"/>
  <c r="AD98" i="9" s="1"/>
  <c r="AB98" i="10" s="1"/>
  <c r="AD98" i="10" s="1"/>
  <c r="AB98" i="11" s="1"/>
  <c r="AD98" i="11" s="1"/>
  <c r="AB98" i="12" s="1"/>
  <c r="AD98" i="12"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B142" i="10" s="1"/>
  <c r="AD142" i="10" s="1"/>
  <c r="AB142" i="11" s="1"/>
  <c r="AD142" i="11" s="1"/>
  <c r="AB142" i="12" s="1"/>
  <c r="AD143" i="5"/>
  <c r="AB143" i="6" s="1"/>
  <c r="AD143" i="6" s="1"/>
  <c r="AB143" i="7" s="1"/>
  <c r="AD143" i="7" s="1"/>
  <c r="AB143" i="8" s="1"/>
  <c r="AD143" i="8" s="1"/>
  <c r="AB143" i="9" s="1"/>
  <c r="AD143" i="9" s="1"/>
  <c r="AB143" i="10" s="1"/>
  <c r="AD143" i="10" s="1"/>
  <c r="AB143" i="11" s="1"/>
  <c r="AD143" i="11" s="1"/>
  <c r="AB143" i="12" s="1"/>
  <c r="AD143" i="12" s="1"/>
  <c r="AB143" i="13" s="1"/>
  <c r="AD143" i="13" s="1"/>
  <c r="AB143" i="14" s="1"/>
  <c r="AD143" i="14" s="1"/>
  <c r="AB143" i="15" s="1"/>
  <c r="AD143" i="15" s="1"/>
  <c r="AB143" i="16" s="1"/>
  <c r="AD143" i="16"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N10" i="18" s="1"/>
  <c r="AD150" i="5"/>
  <c r="AB150" i="6" s="1"/>
  <c r="AD150" i="6" s="1"/>
  <c r="AB150" i="7" s="1"/>
  <c r="AD150" i="7" s="1"/>
  <c r="AB150" i="8" s="1"/>
  <c r="AD151" i="5"/>
  <c r="AB151" i="6" s="1"/>
  <c r="AD151" i="6" s="1"/>
  <c r="AB151" i="7" s="1"/>
  <c r="AD151" i="7" s="1"/>
  <c r="AB151" i="8" s="1"/>
  <c r="AD151" i="8" s="1"/>
  <c r="AB151" i="9" s="1"/>
  <c r="AD151" i="9" s="1"/>
  <c r="AB151" i="10" s="1"/>
  <c r="AD151" i="10" s="1"/>
  <c r="AB151" i="11" s="1"/>
  <c r="AD151" i="11" s="1"/>
  <c r="AB151" i="12" s="1"/>
  <c r="AD151" i="12" s="1"/>
  <c r="AB151" i="13" s="1"/>
  <c r="AD151" i="13" s="1"/>
  <c r="AD152" i="5"/>
  <c r="AB152" i="6"/>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AD158" i="5"/>
  <c r="AB158" i="6" s="1"/>
  <c r="AD158" i="6" s="1"/>
  <c r="AB158" i="7" s="1"/>
  <c r="AD158" i="7" s="1"/>
  <c r="AB158" i="8" s="1"/>
  <c r="AD158" i="8" s="1"/>
  <c r="AB158" i="9" s="1"/>
  <c r="AD158" i="9" s="1"/>
  <c r="AB158" i="10" s="1"/>
  <c r="AD158" i="10" s="1"/>
  <c r="AB158" i="11" s="1"/>
  <c r="AD158" i="11" s="1"/>
  <c r="AB158" i="12" s="1"/>
  <c r="AD158" i="12" s="1"/>
  <c r="AB158" i="13" s="1"/>
  <c r="AD158" i="13"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3" i="10" s="1"/>
  <c r="AB173" i="11" s="1"/>
  <c r="AD173" i="11" s="1"/>
  <c r="AB173" i="12" s="1"/>
  <c r="AD173" i="12" s="1"/>
  <c r="AB173" i="13" s="1"/>
  <c r="AD173" i="13" s="1"/>
  <c r="AB173" i="14" s="1"/>
  <c r="AD173" i="14" s="1"/>
  <c r="AB173" i="15"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6" i="7" s="1"/>
  <c r="AB206" i="8" s="1"/>
  <c r="AD206" i="8" s="1"/>
  <c r="AB206" i="9" s="1"/>
  <c r="AD206" i="9" s="1"/>
  <c r="AB206" i="10" s="1"/>
  <c r="AD206" i="10" s="1"/>
  <c r="AB206" i="11" s="1"/>
  <c r="AD206" i="11" s="1"/>
  <c r="AB206" i="12" s="1"/>
  <c r="AD206" i="12"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D18" i="16"/>
  <c r="AD19" i="16"/>
  <c r="AD27" i="16"/>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G72" i="5"/>
  <c r="AE72" i="6" s="1"/>
  <c r="AG72" i="6" s="1"/>
  <c r="AE72" i="7" s="1"/>
  <c r="AG72" i="7" s="1"/>
  <c r="AE72" i="8" s="1"/>
  <c r="AG72" i="8" s="1"/>
  <c r="AE72" i="9" s="1"/>
  <c r="AG72" i="9" s="1"/>
  <c r="AE72" i="10" s="1"/>
  <c r="AG72" i="10" s="1"/>
  <c r="AE72" i="11" s="1"/>
  <c r="AG72" i="11" s="1"/>
  <c r="AE72" i="12" s="1"/>
  <c r="AG72" i="12" s="1"/>
  <c r="AE72" i="13" s="1"/>
  <c r="AG72" i="13" s="1"/>
  <c r="AE72" i="14" s="1"/>
  <c r="AG72" i="14" s="1"/>
  <c r="AE72" i="15" s="1"/>
  <c r="AG72" i="15"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E76" i="14" s="1"/>
  <c r="AG76" i="14" s="1"/>
  <c r="AG77" i="5"/>
  <c r="AE77" i="6" s="1"/>
  <c r="AG77" i="6" s="1"/>
  <c r="AE77" i="7" s="1"/>
  <c r="AG77" i="7" s="1"/>
  <c r="AE77" i="8" s="1"/>
  <c r="AG77" i="8" s="1"/>
  <c r="AE77" i="9" s="1"/>
  <c r="AG77" i="9" s="1"/>
  <c r="AE77" i="10" s="1"/>
  <c r="AG77" i="10" s="1"/>
  <c r="AE77" i="11" s="1"/>
  <c r="AG77" i="11" s="1"/>
  <c r="AE77" i="12" s="1"/>
  <c r="AG77" i="12" s="1"/>
  <c r="AE77" i="13" s="1"/>
  <c r="AG77" i="13"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G92" i="5"/>
  <c r="AE92" i="6" s="1"/>
  <c r="AG92" i="6" s="1"/>
  <c r="AE92" i="7" s="1"/>
  <c r="AG92" i="7" s="1"/>
  <c r="AE92" i="8" s="1"/>
  <c r="AG92" i="8" s="1"/>
  <c r="AE92" i="9" s="1"/>
  <c r="AG92" i="9" s="1"/>
  <c r="AE92" i="10" s="1"/>
  <c r="AG92" i="10" s="1"/>
  <c r="AE92" i="11" s="1"/>
  <c r="AG92" i="11" s="1"/>
  <c r="AE92" i="12" s="1"/>
  <c r="AG92" i="12"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G101" i="5"/>
  <c r="AE101" i="6" s="1"/>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E142" i="7" s="1"/>
  <c r="AG142" i="7" s="1"/>
  <c r="AE142" i="8" s="1"/>
  <c r="AG142" i="8" s="1"/>
  <c r="AE142" i="9" s="1"/>
  <c r="AG142" i="9" s="1"/>
  <c r="AE142" i="10" s="1"/>
  <c r="AG142" i="10" s="1"/>
  <c r="AE142" i="11" s="1"/>
  <c r="AG142" i="11" s="1"/>
  <c r="AE142" i="12" s="1"/>
  <c r="AG142" i="12" s="1"/>
  <c r="AE142" i="13" s="1"/>
  <c r="AG143" i="5"/>
  <c r="AE143" i="6" s="1"/>
  <c r="AG143" i="6" s="1"/>
  <c r="AE143" i="7" s="1"/>
  <c r="AG143" i="7" s="1"/>
  <c r="AE143" i="8" s="1"/>
  <c r="AG143" i="8"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73" i="5"/>
  <c r="AE173" i="6" s="1"/>
  <c r="AG173" i="6" s="1"/>
  <c r="AE173" i="7" s="1"/>
  <c r="AG173" i="7" s="1"/>
  <c r="AE173" i="8" s="1"/>
  <c r="AG173" i="8" s="1"/>
  <c r="AE173" i="9" s="1"/>
  <c r="AG173" i="9" s="1"/>
  <c r="AE173" i="10" s="1"/>
  <c r="AG173" i="10" s="1"/>
  <c r="AE173" i="11" s="1"/>
  <c r="AG173" i="11" s="1"/>
  <c r="AE173" i="12" s="1"/>
  <c r="AG173" i="12" s="1"/>
  <c r="AE173" i="13" s="1"/>
  <c r="AG173" i="13" s="1"/>
  <c r="AE173" i="14" s="1"/>
  <c r="AG173" i="14"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5" i="16"/>
  <c r="C29" i="16"/>
  <c r="C32" i="16"/>
  <c r="C35" i="16"/>
  <c r="C42" i="16"/>
  <c r="C45" i="16"/>
  <c r="C48" i="16"/>
  <c r="C51" i="16"/>
  <c r="C54" i="16"/>
  <c r="C57" i="16"/>
  <c r="C60" i="16"/>
  <c r="C63" i="16"/>
  <c r="C66" i="16"/>
  <c r="C69" i="16"/>
  <c r="C72" i="16"/>
  <c r="C75" i="16"/>
  <c r="C81" i="16"/>
  <c r="U20" i="16"/>
  <c r="U16" i="16" s="1"/>
  <c r="U49" i="16"/>
  <c r="U58" i="16"/>
  <c r="U57" i="16" s="1"/>
  <c r="U69" i="16"/>
  <c r="U65" i="16" s="1"/>
  <c r="U91" i="16"/>
  <c r="U96" i="16"/>
  <c r="U105" i="16"/>
  <c r="U104" i="16" s="1"/>
  <c r="U123" i="16"/>
  <c r="U141" i="16"/>
  <c r="U149" i="16"/>
  <c r="U147" i="16" s="1"/>
  <c r="U172" i="16"/>
  <c r="U176" i="16"/>
  <c r="U187" i="16"/>
  <c r="U185" i="16" s="1"/>
  <c r="U205" i="16"/>
  <c r="U211" i="16"/>
  <c r="U210" i="16" s="1"/>
  <c r="U209" i="16" s="1"/>
  <c r="U222" i="16"/>
  <c r="U235" i="16"/>
  <c r="U234" i="16" s="1"/>
  <c r="U243" i="16"/>
  <c r="U17" i="15"/>
  <c r="U18" i="15"/>
  <c r="U19" i="15"/>
  <c r="X19" i="15" s="1"/>
  <c r="U21" i="15"/>
  <c r="U22" i="15"/>
  <c r="U23" i="15"/>
  <c r="U24" i="15"/>
  <c r="X24" i="15" s="1"/>
  <c r="U25" i="15"/>
  <c r="U26" i="15"/>
  <c r="X26" i="15" s="1"/>
  <c r="U27" i="15"/>
  <c r="U28" i="15"/>
  <c r="X28" i="15" s="1"/>
  <c r="U29" i="15"/>
  <c r="X29" i="15" s="1"/>
  <c r="U30" i="15"/>
  <c r="X30" i="15" s="1"/>
  <c r="AH30" i="15" s="1"/>
  <c r="U31" i="15"/>
  <c r="U32" i="15"/>
  <c r="X32" i="15" s="1"/>
  <c r="AI32" i="15" s="1"/>
  <c r="U33" i="15"/>
  <c r="X33" i="15" s="1"/>
  <c r="U36" i="15"/>
  <c r="U37" i="15"/>
  <c r="U38" i="15"/>
  <c r="X38" i="15" s="1"/>
  <c r="U39" i="15"/>
  <c r="U40" i="15"/>
  <c r="X40" i="15" s="1"/>
  <c r="U41" i="15"/>
  <c r="U45" i="15"/>
  <c r="X45" i="15" s="1"/>
  <c r="U46" i="15"/>
  <c r="U47" i="15"/>
  <c r="X47" i="15" s="1"/>
  <c r="AH47" i="15" s="1"/>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U79" i="15"/>
  <c r="U80" i="15"/>
  <c r="U81" i="15"/>
  <c r="U84" i="15"/>
  <c r="X84" i="15" s="1"/>
  <c r="U85" i="15"/>
  <c r="U86" i="15"/>
  <c r="U87" i="15"/>
  <c r="U88" i="15"/>
  <c r="U92" i="15"/>
  <c r="U93" i="15"/>
  <c r="U94" i="15"/>
  <c r="U95" i="15"/>
  <c r="X95" i="15" s="1"/>
  <c r="U97" i="15"/>
  <c r="U98" i="15"/>
  <c r="U99" i="15"/>
  <c r="U100" i="15"/>
  <c r="X100" i="15" s="1"/>
  <c r="U101" i="15"/>
  <c r="U102" i="15"/>
  <c r="U106" i="15"/>
  <c r="U107" i="15"/>
  <c r="X107" i="15" s="1"/>
  <c r="U108" i="15"/>
  <c r="U115" i="15"/>
  <c r="U116" i="15"/>
  <c r="U117" i="15"/>
  <c r="X117" i="15" s="1"/>
  <c r="U118" i="15"/>
  <c r="U119" i="15"/>
  <c r="U120" i="15"/>
  <c r="U121" i="15"/>
  <c r="X121" i="15" s="1"/>
  <c r="U124" i="15"/>
  <c r="U125" i="15"/>
  <c r="U126" i="15"/>
  <c r="U127" i="15"/>
  <c r="X127" i="15" s="1"/>
  <c r="U128" i="15"/>
  <c r="U129" i="15"/>
  <c r="U130" i="15"/>
  <c r="U131" i="15"/>
  <c r="U132" i="15"/>
  <c r="U133" i="15"/>
  <c r="U134" i="15"/>
  <c r="U135" i="15"/>
  <c r="U136" i="15"/>
  <c r="U137" i="15"/>
  <c r="U138" i="15"/>
  <c r="U139" i="15"/>
  <c r="U142" i="15"/>
  <c r="U143" i="15"/>
  <c r="U148" i="15"/>
  <c r="U150" i="15"/>
  <c r="U151" i="15"/>
  <c r="U152" i="15"/>
  <c r="U153" i="15"/>
  <c r="U156" i="15"/>
  <c r="X156" i="15" s="1"/>
  <c r="U158" i="15"/>
  <c r="U159" i="15"/>
  <c r="U160" i="15"/>
  <c r="U161" i="15"/>
  <c r="X161" i="15" s="1"/>
  <c r="U162" i="15"/>
  <c r="U163" i="15"/>
  <c r="U164" i="15"/>
  <c r="U165" i="15"/>
  <c r="X165" i="15" s="1"/>
  <c r="U166" i="15"/>
  <c r="U167" i="15"/>
  <c r="U168" i="15"/>
  <c r="U173" i="15"/>
  <c r="X173" i="15" s="1"/>
  <c r="U174" i="15"/>
  <c r="U177" i="15"/>
  <c r="U178" i="15"/>
  <c r="U179" i="15"/>
  <c r="U180" i="15"/>
  <c r="U181" i="15"/>
  <c r="U182" i="15"/>
  <c r="U183" i="15"/>
  <c r="U186" i="15"/>
  <c r="U188" i="15"/>
  <c r="U189" i="15"/>
  <c r="U190" i="15"/>
  <c r="U191" i="15"/>
  <c r="U198" i="15"/>
  <c r="U199" i="15"/>
  <c r="U200" i="15"/>
  <c r="U201" i="15"/>
  <c r="U202" i="15"/>
  <c r="U203" i="15"/>
  <c r="U204" i="15"/>
  <c r="X204" i="15" s="1"/>
  <c r="U206" i="15"/>
  <c r="U207" i="15"/>
  <c r="U212" i="15"/>
  <c r="U213" i="15"/>
  <c r="U214" i="15"/>
  <c r="U215" i="15"/>
  <c r="U216" i="15"/>
  <c r="U217" i="15"/>
  <c r="X217" i="15" s="1"/>
  <c r="U218" i="15"/>
  <c r="U223" i="15"/>
  <c r="U224" i="15"/>
  <c r="U225" i="15"/>
  <c r="U228" i="15"/>
  <c r="U229" i="15"/>
  <c r="U230" i="15"/>
  <c r="U236" i="15"/>
  <c r="X236" i="15" s="1"/>
  <c r="U237" i="15"/>
  <c r="U238" i="15"/>
  <c r="U239" i="15"/>
  <c r="U240" i="15"/>
  <c r="X240" i="15" s="1"/>
  <c r="U241" i="15"/>
  <c r="U244" i="15"/>
  <c r="U245" i="15"/>
  <c r="U246" i="15"/>
  <c r="X246" i="15" s="1"/>
  <c r="U247" i="15"/>
  <c r="U248" i="15"/>
  <c r="U249" i="15"/>
  <c r="U250" i="15"/>
  <c r="X250" i="15" s="1"/>
  <c r="U251" i="15"/>
  <c r="U252" i="15"/>
  <c r="U253" i="15"/>
  <c r="U254" i="15"/>
  <c r="X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Y141" i="15"/>
  <c r="H78" i="15"/>
  <c r="AA58" i="15"/>
  <c r="AA141" i="15"/>
  <c r="C81" i="5"/>
  <c r="C81" i="15"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X17" i="14" s="1"/>
  <c r="U18" i="14"/>
  <c r="U19" i="14"/>
  <c r="X19" i="14" s="1"/>
  <c r="U21" i="14"/>
  <c r="U22" i="14"/>
  <c r="X22" i="14" s="1"/>
  <c r="U23" i="14"/>
  <c r="U24" i="14"/>
  <c r="X24" i="14" s="1"/>
  <c r="U25" i="14"/>
  <c r="U26" i="14"/>
  <c r="X26" i="14" s="1"/>
  <c r="U27" i="14"/>
  <c r="U28" i="14"/>
  <c r="X28" i="14" s="1"/>
  <c r="U29" i="14"/>
  <c r="U30" i="14"/>
  <c r="X30" i="14" s="1"/>
  <c r="U31" i="14"/>
  <c r="U32" i="14"/>
  <c r="X32" i="14" s="1"/>
  <c r="U33" i="14"/>
  <c r="U36" i="14"/>
  <c r="U37" i="14"/>
  <c r="U38" i="14"/>
  <c r="X38" i="14" s="1"/>
  <c r="U39" i="14"/>
  <c r="U40" i="14"/>
  <c r="X40" i="14" s="1"/>
  <c r="U41" i="14"/>
  <c r="U45" i="14"/>
  <c r="X45" i="14" s="1"/>
  <c r="U46" i="14"/>
  <c r="U47" i="14"/>
  <c r="X47" i="14" s="1"/>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U92" i="14"/>
  <c r="U93" i="14"/>
  <c r="U94" i="14"/>
  <c r="U95" i="14"/>
  <c r="X95" i="14" s="1"/>
  <c r="U97" i="14"/>
  <c r="U98" i="14"/>
  <c r="U99" i="14"/>
  <c r="U100" i="14"/>
  <c r="X100" i="14" s="1"/>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U132" i="14"/>
  <c r="U133" i="14"/>
  <c r="U134" i="14"/>
  <c r="U135" i="14"/>
  <c r="U136" i="14"/>
  <c r="U137" i="14"/>
  <c r="U138" i="14"/>
  <c r="U139" i="14"/>
  <c r="U142" i="14"/>
  <c r="U143" i="14"/>
  <c r="U148" i="14"/>
  <c r="U150" i="14"/>
  <c r="U151" i="14"/>
  <c r="U152" i="14"/>
  <c r="U153" i="14"/>
  <c r="U156" i="14"/>
  <c r="X156" i="14" s="1"/>
  <c r="U158" i="14"/>
  <c r="U159" i="14"/>
  <c r="U160" i="14"/>
  <c r="U161" i="14"/>
  <c r="X161" i="14" s="1"/>
  <c r="U162" i="14"/>
  <c r="U163" i="14"/>
  <c r="U164" i="14"/>
  <c r="U165" i="14"/>
  <c r="X165" i="14" s="1"/>
  <c r="U166" i="14"/>
  <c r="U167" i="14"/>
  <c r="U168" i="14"/>
  <c r="U173" i="14"/>
  <c r="X173" i="14" s="1"/>
  <c r="U174" i="14"/>
  <c r="U177" i="14"/>
  <c r="U178" i="14"/>
  <c r="U179" i="14"/>
  <c r="U180" i="14"/>
  <c r="U181" i="14"/>
  <c r="U182" i="14"/>
  <c r="U183" i="14"/>
  <c r="U186" i="14"/>
  <c r="U188" i="14"/>
  <c r="U189" i="14"/>
  <c r="U190" i="14"/>
  <c r="U191" i="14"/>
  <c r="U198" i="14"/>
  <c r="U199" i="14"/>
  <c r="U200" i="14"/>
  <c r="U201" i="14"/>
  <c r="U202" i="14"/>
  <c r="U203" i="14"/>
  <c r="U204" i="14"/>
  <c r="X204" i="14" s="1"/>
  <c r="U206" i="14"/>
  <c r="U207"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AA58" i="14"/>
  <c r="C12" i="13"/>
  <c r="C13" i="13"/>
  <c r="C14" i="13"/>
  <c r="C15" i="13"/>
  <c r="F15" i="13" s="1"/>
  <c r="C23" i="13"/>
  <c r="C24" i="13"/>
  <c r="C26" i="13"/>
  <c r="C27" i="13"/>
  <c r="F27" i="13" s="1"/>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X24" i="13" s="1"/>
  <c r="U25" i="13"/>
  <c r="U26" i="13"/>
  <c r="U27" i="13"/>
  <c r="U28" i="13"/>
  <c r="X28" i="13" s="1"/>
  <c r="U29" i="13"/>
  <c r="U30" i="13"/>
  <c r="U31" i="13"/>
  <c r="U32" i="13"/>
  <c r="X32" i="13" s="1"/>
  <c r="U33" i="13"/>
  <c r="U36" i="13"/>
  <c r="U37" i="13"/>
  <c r="U38" i="13"/>
  <c r="X38" i="13" s="1"/>
  <c r="U39" i="13"/>
  <c r="U40" i="13"/>
  <c r="U41" i="13"/>
  <c r="U45" i="13"/>
  <c r="X45" i="13" s="1"/>
  <c r="U46" i="13"/>
  <c r="U47" i="13"/>
  <c r="U48" i="13"/>
  <c r="U50" i="13"/>
  <c r="U51" i="13"/>
  <c r="U52" i="13"/>
  <c r="U53" i="13"/>
  <c r="U54" i="13"/>
  <c r="X54" i="13" s="1"/>
  <c r="U55" i="13"/>
  <c r="U59" i="13"/>
  <c r="U60" i="13"/>
  <c r="U61" i="13"/>
  <c r="X61" i="13" s="1"/>
  <c r="U66" i="13"/>
  <c r="U67" i="13"/>
  <c r="U68" i="13"/>
  <c r="U70" i="13"/>
  <c r="X70" i="13" s="1"/>
  <c r="U71" i="13"/>
  <c r="U72" i="13"/>
  <c r="U73" i="13"/>
  <c r="U74" i="13"/>
  <c r="U75" i="13"/>
  <c r="U76" i="13"/>
  <c r="U77" i="13"/>
  <c r="U78" i="13"/>
  <c r="X78" i="13" s="1"/>
  <c r="U79" i="13"/>
  <c r="U80" i="13"/>
  <c r="U81" i="13"/>
  <c r="U84" i="13"/>
  <c r="X84" i="13" s="1"/>
  <c r="U85" i="13"/>
  <c r="U86" i="13"/>
  <c r="U87" i="13"/>
  <c r="U88" i="13"/>
  <c r="X88" i="13" s="1"/>
  <c r="U92" i="13"/>
  <c r="U93" i="13"/>
  <c r="U94" i="13"/>
  <c r="U95" i="13"/>
  <c r="X95" i="13" s="1"/>
  <c r="U97" i="13"/>
  <c r="U98" i="13"/>
  <c r="U99" i="13"/>
  <c r="U100" i="13"/>
  <c r="X100" i="13" s="1"/>
  <c r="U101" i="13"/>
  <c r="U102" i="13"/>
  <c r="U106" i="13"/>
  <c r="U107" i="13"/>
  <c r="X107" i="13" s="1"/>
  <c r="U108" i="13"/>
  <c r="U115" i="13"/>
  <c r="U116" i="13"/>
  <c r="U117" i="13"/>
  <c r="X117" i="13" s="1"/>
  <c r="U118" i="13"/>
  <c r="U119" i="13"/>
  <c r="U120" i="13"/>
  <c r="U121" i="13"/>
  <c r="X121" i="13" s="1"/>
  <c r="U124" i="13"/>
  <c r="U125" i="13"/>
  <c r="U126" i="13"/>
  <c r="U127" i="13"/>
  <c r="X127" i="13" s="1"/>
  <c r="U128" i="13"/>
  <c r="U129" i="13"/>
  <c r="U130" i="13"/>
  <c r="U131" i="13"/>
  <c r="U132" i="13"/>
  <c r="U133" i="13"/>
  <c r="U134" i="13"/>
  <c r="U135" i="13"/>
  <c r="U136" i="13"/>
  <c r="U137" i="13"/>
  <c r="U138" i="13"/>
  <c r="U139" i="13"/>
  <c r="X139" i="13" s="1"/>
  <c r="U142" i="13"/>
  <c r="U143" i="13"/>
  <c r="U148" i="13"/>
  <c r="U150" i="13"/>
  <c r="U151" i="13"/>
  <c r="U152" i="13"/>
  <c r="U153" i="13"/>
  <c r="U156" i="13"/>
  <c r="X156" i="13" s="1"/>
  <c r="U158" i="13"/>
  <c r="U159" i="13"/>
  <c r="U160" i="13"/>
  <c r="U161" i="13"/>
  <c r="X161" i="13" s="1"/>
  <c r="U162" i="13"/>
  <c r="U163" i="13"/>
  <c r="U164" i="13"/>
  <c r="U165" i="13"/>
  <c r="X165" i="13" s="1"/>
  <c r="U166" i="13"/>
  <c r="U167" i="13"/>
  <c r="U168" i="13"/>
  <c r="U173" i="13"/>
  <c r="X173" i="13" s="1"/>
  <c r="U174" i="13"/>
  <c r="U177" i="13"/>
  <c r="U178" i="13"/>
  <c r="U179" i="13"/>
  <c r="U180" i="13"/>
  <c r="U181" i="13"/>
  <c r="U182" i="13"/>
  <c r="U183" i="13"/>
  <c r="X183" i="13" s="1"/>
  <c r="U186" i="13"/>
  <c r="U188" i="13"/>
  <c r="U189" i="13"/>
  <c r="U190" i="13"/>
  <c r="U191" i="13"/>
  <c r="U198" i="13"/>
  <c r="U199" i="13"/>
  <c r="U200" i="13"/>
  <c r="U201" i="13"/>
  <c r="U202" i="13"/>
  <c r="U203" i="13"/>
  <c r="U204" i="13"/>
  <c r="X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Y58" i="13"/>
  <c r="Y205" i="13"/>
  <c r="H78" i="13"/>
  <c r="AA205" i="13"/>
  <c r="C12" i="12"/>
  <c r="C13" i="12"/>
  <c r="C14" i="12"/>
  <c r="C15" i="12"/>
  <c r="C23" i="12"/>
  <c r="C24" i="12"/>
  <c r="C26" i="12"/>
  <c r="C27" i="12"/>
  <c r="C30" i="12"/>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X17" i="12" s="1"/>
  <c r="U18" i="12"/>
  <c r="U19" i="12"/>
  <c r="X19" i="12" s="1"/>
  <c r="U21" i="12"/>
  <c r="U22" i="12"/>
  <c r="X22" i="12" s="1"/>
  <c r="AH22" i="12" s="1"/>
  <c r="U23" i="12"/>
  <c r="U24" i="12"/>
  <c r="X24" i="12" s="1"/>
  <c r="U25" i="12"/>
  <c r="U26" i="12"/>
  <c r="X26" i="12" s="1"/>
  <c r="U27" i="12"/>
  <c r="U28" i="12"/>
  <c r="X28" i="12" s="1"/>
  <c r="U29" i="12"/>
  <c r="U30" i="12"/>
  <c r="X30" i="12" s="1"/>
  <c r="AI30" i="12" s="1"/>
  <c r="U31" i="12"/>
  <c r="U32" i="12"/>
  <c r="X32" i="12" s="1"/>
  <c r="U33" i="12"/>
  <c r="U36" i="12"/>
  <c r="U37" i="12"/>
  <c r="U38" i="12"/>
  <c r="X38" i="12" s="1"/>
  <c r="U39" i="12"/>
  <c r="U40" i="12"/>
  <c r="X40" i="12" s="1"/>
  <c r="AI40" i="12" s="1"/>
  <c r="U41" i="12"/>
  <c r="U45" i="12"/>
  <c r="X45" i="12" s="1"/>
  <c r="U46" i="12"/>
  <c r="U47" i="12"/>
  <c r="X47" i="12" s="1"/>
  <c r="U48" i="12"/>
  <c r="U50" i="12"/>
  <c r="U51" i="12"/>
  <c r="U52" i="12"/>
  <c r="U53" i="12"/>
  <c r="U54" i="12"/>
  <c r="X54" i="12" s="1"/>
  <c r="U55" i="12"/>
  <c r="U59" i="12"/>
  <c r="U60" i="12"/>
  <c r="U61" i="12"/>
  <c r="X61" i="12" s="1"/>
  <c r="U66" i="12"/>
  <c r="U67" i="12"/>
  <c r="X67" i="12" s="1"/>
  <c r="U68" i="12"/>
  <c r="U70" i="12"/>
  <c r="U71" i="12"/>
  <c r="U72" i="12"/>
  <c r="U73" i="12"/>
  <c r="U74" i="12"/>
  <c r="U75" i="12"/>
  <c r="U76" i="12"/>
  <c r="U77" i="12"/>
  <c r="U78" i="12"/>
  <c r="X78" i="12" s="1"/>
  <c r="U79" i="12"/>
  <c r="U80" i="12"/>
  <c r="U81" i="12"/>
  <c r="U84" i="12"/>
  <c r="X84" i="12" s="1"/>
  <c r="AJ84" i="12" s="1"/>
  <c r="U85" i="12"/>
  <c r="U86" i="12"/>
  <c r="U87" i="12"/>
  <c r="U88" i="12"/>
  <c r="X88" i="12" s="1"/>
  <c r="AH88" i="12" s="1"/>
  <c r="U92" i="12"/>
  <c r="U93" i="12"/>
  <c r="U94" i="12"/>
  <c r="U95" i="12"/>
  <c r="X95" i="12" s="1"/>
  <c r="U97" i="12"/>
  <c r="U98" i="12"/>
  <c r="U99" i="12"/>
  <c r="U100" i="12"/>
  <c r="X100" i="12" s="1"/>
  <c r="U101" i="12"/>
  <c r="U102" i="12"/>
  <c r="U106" i="12"/>
  <c r="U107" i="12"/>
  <c r="X107" i="12" s="1"/>
  <c r="U108" i="12"/>
  <c r="U115" i="12"/>
  <c r="U116" i="12"/>
  <c r="U117" i="12"/>
  <c r="X117" i="12" s="1"/>
  <c r="U118" i="12"/>
  <c r="U119" i="12"/>
  <c r="U120" i="12"/>
  <c r="U121" i="12"/>
  <c r="X121" i="12" s="1"/>
  <c r="U124" i="12"/>
  <c r="U125" i="12"/>
  <c r="U126" i="12"/>
  <c r="U127" i="12"/>
  <c r="X127" i="12" s="1"/>
  <c r="U128" i="12"/>
  <c r="U129" i="12"/>
  <c r="U130" i="12"/>
  <c r="U131" i="12"/>
  <c r="U132" i="12"/>
  <c r="U133" i="12"/>
  <c r="U134" i="12"/>
  <c r="U135" i="12"/>
  <c r="U136" i="12"/>
  <c r="U137" i="12"/>
  <c r="U138" i="12"/>
  <c r="U139" i="12"/>
  <c r="X139" i="12" s="1"/>
  <c r="U142" i="12"/>
  <c r="U143" i="12"/>
  <c r="U148" i="12"/>
  <c r="U150" i="12"/>
  <c r="U151" i="12"/>
  <c r="U152" i="12"/>
  <c r="U153" i="12"/>
  <c r="U156" i="12"/>
  <c r="X156" i="12" s="1"/>
  <c r="U158" i="12"/>
  <c r="U159" i="12"/>
  <c r="U160" i="12"/>
  <c r="U161" i="12"/>
  <c r="X161" i="12" s="1"/>
  <c r="U162" i="12"/>
  <c r="U163" i="12"/>
  <c r="U164" i="12"/>
  <c r="U165" i="12"/>
  <c r="X165" i="12" s="1"/>
  <c r="U166" i="12"/>
  <c r="U167" i="12"/>
  <c r="U168" i="12"/>
  <c r="U173" i="12"/>
  <c r="X173" i="12" s="1"/>
  <c r="U174" i="12"/>
  <c r="U177" i="12"/>
  <c r="U178" i="12"/>
  <c r="U179" i="12"/>
  <c r="U180" i="12"/>
  <c r="U181" i="12"/>
  <c r="U182" i="12"/>
  <c r="U183" i="12"/>
  <c r="X183" i="12" s="1"/>
  <c r="U186" i="12"/>
  <c r="U188" i="12"/>
  <c r="U189" i="12"/>
  <c r="U190" i="12"/>
  <c r="X190" i="12" s="1"/>
  <c r="U191" i="12"/>
  <c r="U198" i="12"/>
  <c r="U199" i="12"/>
  <c r="U200" i="12"/>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X254" i="12" s="1"/>
  <c r="U255" i="12"/>
  <c r="U256" i="12"/>
  <c r="Y58" i="12"/>
  <c r="Y141" i="12"/>
  <c r="H78" i="12"/>
  <c r="AA141" i="12"/>
  <c r="BO20" i="12" s="1"/>
  <c r="AB205" i="12"/>
  <c r="E78" i="11"/>
  <c r="W105" i="11"/>
  <c r="W104" i="11" s="1"/>
  <c r="W114" i="11"/>
  <c r="W172" i="11"/>
  <c r="W205" i="11"/>
  <c r="W235" i="11"/>
  <c r="W234" i="11" s="1"/>
  <c r="C12" i="11"/>
  <c r="C13" i="11"/>
  <c r="C14" i="11"/>
  <c r="C15" i="11"/>
  <c r="F15" i="11" s="1"/>
  <c r="C23" i="11"/>
  <c r="C24" i="11"/>
  <c r="C26" i="11"/>
  <c r="C27" i="11"/>
  <c r="F27" i="11" s="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X17" i="11" s="1"/>
  <c r="U18" i="11"/>
  <c r="U19" i="11"/>
  <c r="X19" i="11" s="1"/>
  <c r="U21" i="11"/>
  <c r="U22" i="11"/>
  <c r="X22" i="11" s="1"/>
  <c r="U23" i="11"/>
  <c r="U24" i="11"/>
  <c r="X24" i="11" s="1"/>
  <c r="AI24" i="11" s="1"/>
  <c r="U25" i="11"/>
  <c r="U26" i="11"/>
  <c r="X26" i="11" s="1"/>
  <c r="U27" i="11"/>
  <c r="U28" i="11"/>
  <c r="X28" i="11" s="1"/>
  <c r="U29" i="11"/>
  <c r="U30" i="11"/>
  <c r="X30" i="11" s="1"/>
  <c r="U31" i="11"/>
  <c r="X31" i="11" s="1"/>
  <c r="U32" i="11"/>
  <c r="X32" i="11" s="1"/>
  <c r="U33" i="11"/>
  <c r="U36" i="11"/>
  <c r="U37" i="11"/>
  <c r="X37" i="11" s="1"/>
  <c r="AI37" i="11" s="1"/>
  <c r="U38" i="11"/>
  <c r="X38" i="11" s="1"/>
  <c r="U39" i="11"/>
  <c r="U40" i="11"/>
  <c r="X40" i="11" s="1"/>
  <c r="U41" i="11"/>
  <c r="U45" i="11"/>
  <c r="X45" i="11" s="1"/>
  <c r="AI45" i="11" s="1"/>
  <c r="U46" i="11"/>
  <c r="U47" i="11"/>
  <c r="X47" i="11" s="1"/>
  <c r="U48" i="11"/>
  <c r="X48" i="11" s="1"/>
  <c r="U50" i="11"/>
  <c r="U51" i="11"/>
  <c r="U52" i="11"/>
  <c r="X52" i="11" s="1"/>
  <c r="U53" i="11"/>
  <c r="X53" i="11" s="1"/>
  <c r="U54" i="11"/>
  <c r="X54" i="11" s="1"/>
  <c r="U55" i="11"/>
  <c r="U59" i="11"/>
  <c r="X59" i="11" s="1"/>
  <c r="U60" i="11"/>
  <c r="X60" i="11" s="1"/>
  <c r="U61" i="11"/>
  <c r="X61" i="11" s="1"/>
  <c r="U66" i="11"/>
  <c r="U67" i="11"/>
  <c r="X67" i="11" s="1"/>
  <c r="AH67" i="11" s="1"/>
  <c r="U68" i="11"/>
  <c r="X68" i="11" s="1"/>
  <c r="U70" i="11"/>
  <c r="X70" i="11" s="1"/>
  <c r="U71" i="11"/>
  <c r="U72" i="11"/>
  <c r="U73" i="11"/>
  <c r="U74" i="11"/>
  <c r="U75" i="11"/>
  <c r="U76" i="11"/>
  <c r="U77" i="11"/>
  <c r="U78" i="11"/>
  <c r="X78" i="11" s="1"/>
  <c r="U79" i="11"/>
  <c r="U80" i="11"/>
  <c r="U81" i="11"/>
  <c r="U84" i="11"/>
  <c r="X84" i="11" s="1"/>
  <c r="U85" i="11"/>
  <c r="U86" i="11"/>
  <c r="U87" i="11"/>
  <c r="U88" i="11"/>
  <c r="X88" i="11" s="1"/>
  <c r="U92" i="11"/>
  <c r="U93" i="11"/>
  <c r="X93" i="11" s="1"/>
  <c r="U94" i="11"/>
  <c r="U95" i="11"/>
  <c r="X95" i="11" s="1"/>
  <c r="U97" i="11"/>
  <c r="U98" i="11"/>
  <c r="X98" i="11" s="1"/>
  <c r="U99" i="11"/>
  <c r="U100" i="11"/>
  <c r="X100" i="11" s="1"/>
  <c r="U101" i="11"/>
  <c r="U102" i="11"/>
  <c r="X102" i="11" s="1"/>
  <c r="U106" i="11"/>
  <c r="U107" i="11"/>
  <c r="X107" i="11" s="1"/>
  <c r="U108" i="11"/>
  <c r="U115" i="11"/>
  <c r="X115" i="11" s="1"/>
  <c r="U116" i="11"/>
  <c r="U117" i="11"/>
  <c r="X117" i="11" s="1"/>
  <c r="U118" i="11"/>
  <c r="U119" i="11"/>
  <c r="X119" i="11" s="1"/>
  <c r="U120" i="11"/>
  <c r="U121" i="11"/>
  <c r="X121" i="11" s="1"/>
  <c r="U124" i="11"/>
  <c r="U125" i="11"/>
  <c r="X125" i="11" s="1"/>
  <c r="U126" i="11"/>
  <c r="U127" i="11"/>
  <c r="X127" i="11" s="1"/>
  <c r="U128" i="11"/>
  <c r="U129" i="11"/>
  <c r="X129" i="11" s="1"/>
  <c r="AH129" i="11" s="1"/>
  <c r="U130" i="11"/>
  <c r="U131" i="11"/>
  <c r="X131" i="11" s="1"/>
  <c r="AH131" i="11" s="1"/>
  <c r="U132" i="11"/>
  <c r="U133" i="11"/>
  <c r="U134" i="11"/>
  <c r="U135" i="11"/>
  <c r="U136" i="11"/>
  <c r="U137" i="11"/>
  <c r="X137" i="11" s="1"/>
  <c r="AH137" i="11" s="1"/>
  <c r="U138" i="11"/>
  <c r="U139" i="11"/>
  <c r="X139" i="11" s="1"/>
  <c r="U142" i="11"/>
  <c r="U143" i="11"/>
  <c r="X143" i="11" s="1"/>
  <c r="U148" i="11"/>
  <c r="U150" i="11"/>
  <c r="U151" i="11"/>
  <c r="U152" i="11"/>
  <c r="X152" i="11" s="1"/>
  <c r="U153" i="11"/>
  <c r="U156" i="11"/>
  <c r="X156" i="11" s="1"/>
  <c r="U158" i="11"/>
  <c r="U159" i="11"/>
  <c r="X159" i="11" s="1"/>
  <c r="U160" i="11"/>
  <c r="U161" i="11"/>
  <c r="X161" i="11" s="1"/>
  <c r="U162" i="11"/>
  <c r="U163" i="11"/>
  <c r="X163" i="11" s="1"/>
  <c r="U164" i="11"/>
  <c r="U165" i="11"/>
  <c r="X165" i="11" s="1"/>
  <c r="U166" i="11"/>
  <c r="U167" i="11"/>
  <c r="X167" i="11" s="1"/>
  <c r="U168" i="11"/>
  <c r="U173" i="11"/>
  <c r="X173" i="11" s="1"/>
  <c r="U174" i="11"/>
  <c r="U177" i="11"/>
  <c r="U178" i="11"/>
  <c r="U179" i="11"/>
  <c r="U180" i="11"/>
  <c r="U181" i="11"/>
  <c r="X181" i="11" s="1"/>
  <c r="U182" i="11"/>
  <c r="U183" i="11"/>
  <c r="X183" i="11" s="1"/>
  <c r="U186" i="11"/>
  <c r="U188" i="11"/>
  <c r="U189" i="11"/>
  <c r="U190" i="11"/>
  <c r="X190" i="11" s="1"/>
  <c r="U191" i="11"/>
  <c r="U198" i="11"/>
  <c r="X198" i="11" s="1"/>
  <c r="U199" i="11"/>
  <c r="U200" i="11"/>
  <c r="X200" i="11" s="1"/>
  <c r="U201" i="11"/>
  <c r="U202" i="11"/>
  <c r="X202" i="11" s="1"/>
  <c r="U203" i="11"/>
  <c r="U204" i="11"/>
  <c r="X204" i="11" s="1"/>
  <c r="U206" i="11"/>
  <c r="U207" i="11"/>
  <c r="U212" i="11"/>
  <c r="U213" i="11"/>
  <c r="U214" i="11"/>
  <c r="U215" i="11"/>
  <c r="X215" i="11" s="1"/>
  <c r="U216" i="11"/>
  <c r="U217" i="11"/>
  <c r="X217" i="11" s="1"/>
  <c r="U218" i="11"/>
  <c r="U223" i="11"/>
  <c r="X223" i="11" s="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32" i="11"/>
  <c r="G81" i="11"/>
  <c r="Y141" i="11"/>
  <c r="Y227" i="11"/>
  <c r="H78" i="11"/>
  <c r="I63" i="11"/>
  <c r="AA141" i="11"/>
  <c r="BO20" i="11" s="1"/>
  <c r="AA227" i="11"/>
  <c r="AB141" i="11"/>
  <c r="AB205" i="11"/>
  <c r="AD205" i="11"/>
  <c r="D25" i="10"/>
  <c r="V58" i="10"/>
  <c r="V57" i="10" s="1"/>
  <c r="V105" i="10"/>
  <c r="E29" i="10"/>
  <c r="E42" i="10"/>
  <c r="E48" i="10"/>
  <c r="E54" i="10"/>
  <c r="E60" i="10"/>
  <c r="E66" i="10"/>
  <c r="E78" i="10"/>
  <c r="W58" i="10"/>
  <c r="W57" i="10" s="1"/>
  <c r="W69" i="10"/>
  <c r="W65" i="10" s="1"/>
  <c r="W83" i="10"/>
  <c r="W96" i="10"/>
  <c r="W105" i="10"/>
  <c r="W104" i="10" s="1"/>
  <c r="W114" i="10"/>
  <c r="W141" i="10"/>
  <c r="W149" i="10"/>
  <c r="W147" i="10" s="1"/>
  <c r="W157" i="10"/>
  <c r="W172" i="10"/>
  <c r="W187" i="10"/>
  <c r="W185" i="10" s="1"/>
  <c r="W197" i="10"/>
  <c r="W205" i="10"/>
  <c r="W222" i="10"/>
  <c r="W227" i="10"/>
  <c r="W235" i="10"/>
  <c r="W234" i="10" s="1"/>
  <c r="C12" i="10"/>
  <c r="C13" i="10"/>
  <c r="C14" i="10"/>
  <c r="C15" i="10"/>
  <c r="F15" i="10" s="1"/>
  <c r="C23" i="10"/>
  <c r="C24" i="10"/>
  <c r="C26" i="10"/>
  <c r="C27" i="10"/>
  <c r="F27" i="10" s="1"/>
  <c r="C30" i="10"/>
  <c r="C31" i="10"/>
  <c r="C33" i="10"/>
  <c r="C34" i="10"/>
  <c r="F34" i="10" s="1"/>
  <c r="C36" i="10"/>
  <c r="C37" i="10"/>
  <c r="C43" i="10"/>
  <c r="C44" i="10"/>
  <c r="C46" i="10"/>
  <c r="C47" i="10"/>
  <c r="C49" i="10"/>
  <c r="C50" i="10"/>
  <c r="C52" i="10"/>
  <c r="C53" i="10"/>
  <c r="C55" i="10"/>
  <c r="C56" i="10"/>
  <c r="C54" i="10" s="1"/>
  <c r="C58" i="10"/>
  <c r="C59" i="10"/>
  <c r="C61" i="10"/>
  <c r="C62" i="10"/>
  <c r="F62" i="10" s="1"/>
  <c r="C64" i="10"/>
  <c r="C65" i="10"/>
  <c r="C67" i="10"/>
  <c r="C68" i="10"/>
  <c r="C70" i="10"/>
  <c r="C71" i="10"/>
  <c r="C73" i="10"/>
  <c r="C74" i="10"/>
  <c r="C76" i="10"/>
  <c r="C77" i="10"/>
  <c r="C79" i="10"/>
  <c r="C80" i="10"/>
  <c r="C82" i="10"/>
  <c r="C83" i="10"/>
  <c r="U17" i="10"/>
  <c r="X17" i="10" s="1"/>
  <c r="U18" i="10"/>
  <c r="X18" i="10" s="1"/>
  <c r="U19" i="10"/>
  <c r="U21" i="10"/>
  <c r="U22" i="10"/>
  <c r="X22" i="10" s="1"/>
  <c r="U23" i="10"/>
  <c r="X23" i="10" s="1"/>
  <c r="U24" i="10"/>
  <c r="U25" i="10"/>
  <c r="U26" i="10"/>
  <c r="X26" i="10" s="1"/>
  <c r="U27" i="10"/>
  <c r="X27" i="10" s="1"/>
  <c r="U28" i="10"/>
  <c r="U29" i="10"/>
  <c r="U30" i="10"/>
  <c r="X30" i="10" s="1"/>
  <c r="U31" i="10"/>
  <c r="X31" i="10" s="1"/>
  <c r="U32" i="10"/>
  <c r="U33" i="10"/>
  <c r="U36" i="10"/>
  <c r="U37" i="10"/>
  <c r="X37" i="10" s="1"/>
  <c r="U38" i="10"/>
  <c r="U39" i="10"/>
  <c r="U40" i="10"/>
  <c r="X40" i="10" s="1"/>
  <c r="AH40" i="10" s="1"/>
  <c r="U41" i="10"/>
  <c r="U45" i="10"/>
  <c r="U46" i="10"/>
  <c r="U47" i="10"/>
  <c r="X47" i="10" s="1"/>
  <c r="U48" i="10"/>
  <c r="X48" i="10" s="1"/>
  <c r="U50" i="10"/>
  <c r="U51" i="10"/>
  <c r="U52" i="10"/>
  <c r="X52" i="10" s="1"/>
  <c r="U53" i="10"/>
  <c r="X53" i="10" s="1"/>
  <c r="U54" i="10"/>
  <c r="U55" i="10"/>
  <c r="U59" i="10"/>
  <c r="X59" i="10" s="1"/>
  <c r="U60" i="10"/>
  <c r="X60" i="10" s="1"/>
  <c r="U61" i="10"/>
  <c r="U66" i="10"/>
  <c r="U67" i="10"/>
  <c r="X67" i="10" s="1"/>
  <c r="U68" i="10"/>
  <c r="X68" i="10" s="1"/>
  <c r="U70" i="10"/>
  <c r="U71" i="10"/>
  <c r="U72" i="10"/>
  <c r="X72" i="10" s="1"/>
  <c r="U73" i="10"/>
  <c r="U74" i="10"/>
  <c r="U75" i="10"/>
  <c r="U76" i="10"/>
  <c r="X76" i="10" s="1"/>
  <c r="U77" i="10"/>
  <c r="X77" i="10" s="1"/>
  <c r="U78" i="10"/>
  <c r="U79" i="10"/>
  <c r="U80" i="10"/>
  <c r="X80" i="10" s="1"/>
  <c r="U81" i="10"/>
  <c r="X81" i="10" s="1"/>
  <c r="U84" i="10"/>
  <c r="U85" i="10"/>
  <c r="U86" i="10"/>
  <c r="U87" i="10"/>
  <c r="X87" i="10" s="1"/>
  <c r="U88" i="10"/>
  <c r="U92" i="10"/>
  <c r="U93" i="10"/>
  <c r="X93" i="10" s="1"/>
  <c r="U94" i="10"/>
  <c r="X94" i="10" s="1"/>
  <c r="U95" i="10"/>
  <c r="U97" i="10"/>
  <c r="U98" i="10"/>
  <c r="X98" i="10" s="1"/>
  <c r="U99" i="10"/>
  <c r="X99" i="10" s="1"/>
  <c r="U100" i="10"/>
  <c r="U101" i="10"/>
  <c r="U102" i="10"/>
  <c r="X102" i="10" s="1"/>
  <c r="U106" i="10"/>
  <c r="X106" i="10" s="1"/>
  <c r="U107" i="10"/>
  <c r="U108" i="10"/>
  <c r="U115" i="10"/>
  <c r="X115" i="10" s="1"/>
  <c r="U116" i="10"/>
  <c r="X116" i="10" s="1"/>
  <c r="AI116" i="10" s="1"/>
  <c r="U117" i="10"/>
  <c r="U118" i="10"/>
  <c r="U119" i="10"/>
  <c r="X119" i="10" s="1"/>
  <c r="U120" i="10"/>
  <c r="X120" i="10" s="1"/>
  <c r="U121" i="10"/>
  <c r="U124" i="10"/>
  <c r="U125" i="10"/>
  <c r="X125" i="10" s="1"/>
  <c r="U126" i="10"/>
  <c r="X126" i="10" s="1"/>
  <c r="U127" i="10"/>
  <c r="U128" i="10"/>
  <c r="U129" i="10"/>
  <c r="X129" i="10" s="1"/>
  <c r="U130" i="10"/>
  <c r="U131" i="10"/>
  <c r="U132" i="10"/>
  <c r="U133" i="10"/>
  <c r="U134" i="10"/>
  <c r="U135" i="10"/>
  <c r="U136" i="10"/>
  <c r="U137" i="10"/>
  <c r="X137" i="10" s="1"/>
  <c r="U138" i="10"/>
  <c r="X138" i="10" s="1"/>
  <c r="AI138" i="10" s="1"/>
  <c r="U139" i="10"/>
  <c r="U142" i="10"/>
  <c r="U143" i="10"/>
  <c r="X143" i="10" s="1"/>
  <c r="U148" i="10"/>
  <c r="U150" i="10"/>
  <c r="U151" i="10"/>
  <c r="U152" i="10"/>
  <c r="X152" i="10" s="1"/>
  <c r="U153" i="10"/>
  <c r="U156" i="10"/>
  <c r="U158" i="10"/>
  <c r="U159" i="10"/>
  <c r="X159" i="10" s="1"/>
  <c r="U160" i="10"/>
  <c r="X160" i="10" s="1"/>
  <c r="U161" i="10"/>
  <c r="U162" i="10"/>
  <c r="U163" i="10"/>
  <c r="X163" i="10" s="1"/>
  <c r="U164" i="10"/>
  <c r="X164" i="10" s="1"/>
  <c r="U165" i="10"/>
  <c r="U166" i="10"/>
  <c r="U167" i="10"/>
  <c r="X167" i="10" s="1"/>
  <c r="U168" i="10"/>
  <c r="U173" i="10"/>
  <c r="U174" i="10"/>
  <c r="U177" i="10"/>
  <c r="U178" i="10"/>
  <c r="U179" i="10"/>
  <c r="U180" i="10"/>
  <c r="U181" i="10"/>
  <c r="X181" i="10" s="1"/>
  <c r="AH181" i="10" s="1"/>
  <c r="U182" i="10"/>
  <c r="X182" i="10" s="1"/>
  <c r="U183" i="10"/>
  <c r="U186" i="10"/>
  <c r="U188" i="10"/>
  <c r="U189" i="10"/>
  <c r="U190" i="10"/>
  <c r="U191" i="10"/>
  <c r="U198" i="10"/>
  <c r="X198" i="10" s="1"/>
  <c r="AH198" i="10" s="1"/>
  <c r="U199" i="10"/>
  <c r="X199" i="10" s="1"/>
  <c r="U200" i="10"/>
  <c r="U201" i="10"/>
  <c r="U202" i="10"/>
  <c r="X202" i="10" s="1"/>
  <c r="U203" i="10"/>
  <c r="X203" i="10" s="1"/>
  <c r="U204" i="10"/>
  <c r="U206" i="10"/>
  <c r="U207" i="10"/>
  <c r="U212" i="10"/>
  <c r="X212" i="10" s="1"/>
  <c r="U213" i="10"/>
  <c r="U214" i="10"/>
  <c r="U215" i="10"/>
  <c r="X215" i="10" s="1"/>
  <c r="U216" i="10"/>
  <c r="X216" i="10" s="1"/>
  <c r="U217" i="10"/>
  <c r="U218" i="10"/>
  <c r="U223" i="10"/>
  <c r="X223" i="10" s="1"/>
  <c r="U224" i="10"/>
  <c r="X224" i="10" s="1"/>
  <c r="U225" i="10"/>
  <c r="U228" i="10"/>
  <c r="U229" i="10"/>
  <c r="U230" i="10"/>
  <c r="X230" i="10" s="1"/>
  <c r="U236" i="10"/>
  <c r="U237" i="10"/>
  <c r="U238" i="10"/>
  <c r="U239" i="10"/>
  <c r="X239" i="10" s="1"/>
  <c r="U240" i="10"/>
  <c r="U241" i="10"/>
  <c r="U244" i="10"/>
  <c r="U245" i="10"/>
  <c r="U246" i="10"/>
  <c r="U247" i="10"/>
  <c r="U248" i="10"/>
  <c r="X248" i="10" s="1"/>
  <c r="U249" i="10"/>
  <c r="X249" i="10" s="1"/>
  <c r="AH249" i="10" s="1"/>
  <c r="U250" i="10"/>
  <c r="U251" i="10"/>
  <c r="U252" i="10"/>
  <c r="X252" i="10" s="1"/>
  <c r="U253" i="10"/>
  <c r="X253" i="10" s="1"/>
  <c r="U254" i="10"/>
  <c r="U255" i="10"/>
  <c r="U256" i="10"/>
  <c r="X256" i="10" s="1"/>
  <c r="G32" i="10"/>
  <c r="G42" i="10"/>
  <c r="G69" i="10"/>
  <c r="Y44" i="10"/>
  <c r="Y49" i="10"/>
  <c r="Y114" i="10"/>
  <c r="Y141" i="10"/>
  <c r="Y176" i="10"/>
  <c r="Y205" i="10"/>
  <c r="Y227" i="10"/>
  <c r="H78" i="10"/>
  <c r="I32" i="10"/>
  <c r="I42" i="10"/>
  <c r="AR10" i="10" s="1"/>
  <c r="I63" i="10"/>
  <c r="AA44" i="10"/>
  <c r="AA49" i="10"/>
  <c r="AA141" i="10"/>
  <c r="BO20" i="10" s="1"/>
  <c r="AA205" i="10"/>
  <c r="AB141" i="10"/>
  <c r="AB172" i="10"/>
  <c r="AB205" i="10"/>
  <c r="AD172" i="10"/>
  <c r="AD205" i="10"/>
  <c r="D25" i="7"/>
  <c r="D32" i="7"/>
  <c r="V58" i="7"/>
  <c r="V57" i="7" s="1"/>
  <c r="V105" i="7"/>
  <c r="V222" i="7"/>
  <c r="E29" i="7"/>
  <c r="E35" i="7"/>
  <c r="E42" i="7"/>
  <c r="E48" i="7"/>
  <c r="E54" i="7"/>
  <c r="E60" i="7"/>
  <c r="E66" i="7"/>
  <c r="E72" i="7"/>
  <c r="E78" i="7"/>
  <c r="W58" i="7"/>
  <c r="W57" i="7" s="1"/>
  <c r="W69" i="7"/>
  <c r="W65" i="7" s="1"/>
  <c r="W91" i="7"/>
  <c r="W96" i="7"/>
  <c r="W105" i="7"/>
  <c r="W104" i="7" s="1"/>
  <c r="W114" i="7"/>
  <c r="W141" i="7"/>
  <c r="W149" i="7"/>
  <c r="W147" i="7" s="1"/>
  <c r="W157" i="7"/>
  <c r="W155" i="7" s="1"/>
  <c r="W172" i="7"/>
  <c r="W176" i="7"/>
  <c r="W187" i="7"/>
  <c r="W185" i="7" s="1"/>
  <c r="W197" i="7"/>
  <c r="W205" i="7"/>
  <c r="W211" i="7"/>
  <c r="W210" i="7" s="1"/>
  <c r="W209" i="7" s="1"/>
  <c r="W222" i="7"/>
  <c r="W227" i="7"/>
  <c r="W235" i="7"/>
  <c r="W234" i="7" s="1"/>
  <c r="C12" i="7"/>
  <c r="C13" i="7"/>
  <c r="C14" i="7"/>
  <c r="C15" i="7"/>
  <c r="F15" i="7" s="1"/>
  <c r="C23" i="7"/>
  <c r="C24" i="7"/>
  <c r="C26" i="7"/>
  <c r="C27" i="7"/>
  <c r="F27" i="7" s="1"/>
  <c r="C30" i="7"/>
  <c r="C31" i="7"/>
  <c r="C33" i="7"/>
  <c r="C34" i="7"/>
  <c r="F34" i="7" s="1"/>
  <c r="C36" i="7"/>
  <c r="C37" i="7"/>
  <c r="C41" i="7"/>
  <c r="C43" i="7"/>
  <c r="C44" i="7"/>
  <c r="C46" i="7"/>
  <c r="C47" i="7"/>
  <c r="C49" i="7"/>
  <c r="C50" i="7"/>
  <c r="C52" i="7"/>
  <c r="C53" i="7"/>
  <c r="C55" i="7"/>
  <c r="C56" i="7"/>
  <c r="C58" i="7"/>
  <c r="F58" i="7" s="1"/>
  <c r="C59" i="7"/>
  <c r="C61" i="7"/>
  <c r="C62" i="7"/>
  <c r="F62" i="7" s="1"/>
  <c r="C64" i="7"/>
  <c r="C65" i="7"/>
  <c r="C67" i="7"/>
  <c r="C68" i="7"/>
  <c r="C70" i="7"/>
  <c r="F70" i="7" s="1"/>
  <c r="C71" i="7"/>
  <c r="C73" i="7"/>
  <c r="C74" i="7"/>
  <c r="F74" i="7" s="1"/>
  <c r="C76" i="7"/>
  <c r="C77" i="7"/>
  <c r="C79" i="7"/>
  <c r="C80" i="7"/>
  <c r="C82" i="7"/>
  <c r="F82" i="7" s="1"/>
  <c r="C83" i="7"/>
  <c r="U17" i="7"/>
  <c r="X17" i="7" s="1"/>
  <c r="U18" i="7"/>
  <c r="X18" i="7" s="1"/>
  <c r="U19" i="7"/>
  <c r="X19" i="7" s="1"/>
  <c r="U21" i="7"/>
  <c r="U22" i="7"/>
  <c r="X22" i="7" s="1"/>
  <c r="U23" i="7"/>
  <c r="X23" i="7" s="1"/>
  <c r="U24" i="7"/>
  <c r="U25" i="7"/>
  <c r="U26" i="7"/>
  <c r="X26" i="7" s="1"/>
  <c r="U27" i="7"/>
  <c r="X27" i="7" s="1"/>
  <c r="U28" i="7"/>
  <c r="X28" i="7" s="1"/>
  <c r="U29" i="7"/>
  <c r="U30" i="7"/>
  <c r="X30" i="7" s="1"/>
  <c r="U31" i="7"/>
  <c r="X31" i="7" s="1"/>
  <c r="U32" i="7"/>
  <c r="X32" i="7" s="1"/>
  <c r="U33" i="7"/>
  <c r="U36" i="7"/>
  <c r="U37" i="7"/>
  <c r="X37" i="7" s="1"/>
  <c r="U38" i="7"/>
  <c r="X38" i="7" s="1"/>
  <c r="U39" i="7"/>
  <c r="U40" i="7"/>
  <c r="X40" i="7" s="1"/>
  <c r="U41" i="7"/>
  <c r="X41" i="7" s="1"/>
  <c r="U45" i="7"/>
  <c r="U46" i="7"/>
  <c r="U47" i="7"/>
  <c r="X47" i="7" s="1"/>
  <c r="U48" i="7"/>
  <c r="X48" i="7" s="1"/>
  <c r="U50" i="7"/>
  <c r="U51" i="7"/>
  <c r="U52" i="7"/>
  <c r="X52" i="7" s="1"/>
  <c r="U53" i="7"/>
  <c r="X53" i="7" s="1"/>
  <c r="U54" i="7"/>
  <c r="X54" i="7" s="1"/>
  <c r="U55" i="7"/>
  <c r="U59" i="7"/>
  <c r="X59" i="7" s="1"/>
  <c r="U60" i="7"/>
  <c r="X60" i="7" s="1"/>
  <c r="U61" i="7"/>
  <c r="X61" i="7" s="1"/>
  <c r="U66" i="7"/>
  <c r="U67" i="7"/>
  <c r="X67" i="7" s="1"/>
  <c r="U68" i="7"/>
  <c r="X68" i="7" s="1"/>
  <c r="U70" i="7"/>
  <c r="U71" i="7"/>
  <c r="U72" i="7"/>
  <c r="X72" i="7" s="1"/>
  <c r="U73" i="7"/>
  <c r="U74" i="7"/>
  <c r="U75" i="7"/>
  <c r="U76" i="7"/>
  <c r="X76" i="7" s="1"/>
  <c r="U77" i="7"/>
  <c r="X77" i="7" s="1"/>
  <c r="U78" i="7"/>
  <c r="X78" i="7" s="1"/>
  <c r="U79" i="7"/>
  <c r="U80" i="7"/>
  <c r="X80" i="7" s="1"/>
  <c r="U81" i="7"/>
  <c r="X81" i="7" s="1"/>
  <c r="U84" i="7"/>
  <c r="X84" i="7" s="1"/>
  <c r="AJ84" i="7" s="1"/>
  <c r="U85" i="7"/>
  <c r="U86" i="7"/>
  <c r="U87" i="7"/>
  <c r="X87" i="7" s="1"/>
  <c r="U88" i="7"/>
  <c r="X88" i="7" s="1"/>
  <c r="U92" i="7"/>
  <c r="U93" i="7"/>
  <c r="X93" i="7" s="1"/>
  <c r="U94" i="7"/>
  <c r="X94" i="7" s="1"/>
  <c r="U95" i="7"/>
  <c r="X95" i="7" s="1"/>
  <c r="U97" i="7"/>
  <c r="U98" i="7"/>
  <c r="X98" i="7" s="1"/>
  <c r="U99" i="7"/>
  <c r="X99" i="7" s="1"/>
  <c r="U100" i="7"/>
  <c r="X100" i="7" s="1"/>
  <c r="U101" i="7"/>
  <c r="U102" i="7"/>
  <c r="X102" i="7" s="1"/>
  <c r="U106" i="7"/>
  <c r="X106" i="7" s="1"/>
  <c r="U107" i="7"/>
  <c r="X107" i="7" s="1"/>
  <c r="U108" i="7"/>
  <c r="U115" i="7"/>
  <c r="X115" i="7" s="1"/>
  <c r="U116" i="7"/>
  <c r="X116" i="7" s="1"/>
  <c r="U117" i="7"/>
  <c r="X117" i="7" s="1"/>
  <c r="U118" i="7"/>
  <c r="U119" i="7"/>
  <c r="X119" i="7" s="1"/>
  <c r="U120" i="7"/>
  <c r="X120" i="7" s="1"/>
  <c r="U121" i="7"/>
  <c r="X121" i="7" s="1"/>
  <c r="U124" i="7"/>
  <c r="U125" i="7"/>
  <c r="X125" i="7" s="1"/>
  <c r="U126" i="7"/>
  <c r="X126" i="7" s="1"/>
  <c r="U127" i="7"/>
  <c r="X127" i="7" s="1"/>
  <c r="U128" i="7"/>
  <c r="U129" i="7"/>
  <c r="U130" i="7"/>
  <c r="U131" i="7"/>
  <c r="U132" i="7"/>
  <c r="U133" i="7"/>
  <c r="U134" i="7"/>
  <c r="X134" i="7" s="1"/>
  <c r="U135" i="7"/>
  <c r="U136" i="7"/>
  <c r="U137" i="7"/>
  <c r="X137" i="7" s="1"/>
  <c r="U138" i="7"/>
  <c r="X138" i="7" s="1"/>
  <c r="U139" i="7"/>
  <c r="X139" i="7" s="1"/>
  <c r="U142" i="7"/>
  <c r="U143" i="7"/>
  <c r="X143" i="7" s="1"/>
  <c r="U148" i="7"/>
  <c r="X148" i="7" s="1"/>
  <c r="U150" i="7"/>
  <c r="X150" i="7" s="1"/>
  <c r="U151" i="7"/>
  <c r="U152" i="7"/>
  <c r="X152" i="7" s="1"/>
  <c r="U153" i="7"/>
  <c r="U156" i="7"/>
  <c r="X156" i="7" s="1"/>
  <c r="U158" i="7"/>
  <c r="U159" i="7"/>
  <c r="X159" i="7" s="1"/>
  <c r="U160" i="7"/>
  <c r="X160" i="7" s="1"/>
  <c r="U161" i="7"/>
  <c r="X161" i="7" s="1"/>
  <c r="U162" i="7"/>
  <c r="U163" i="7"/>
  <c r="X163" i="7" s="1"/>
  <c r="U164" i="7"/>
  <c r="X164" i="7" s="1"/>
  <c r="U165" i="7"/>
  <c r="X165" i="7" s="1"/>
  <c r="U166" i="7"/>
  <c r="U167" i="7"/>
  <c r="U168" i="7"/>
  <c r="X168" i="7" s="1"/>
  <c r="U173" i="7"/>
  <c r="X173" i="7" s="1"/>
  <c r="U174" i="7"/>
  <c r="U177" i="7"/>
  <c r="U178" i="7"/>
  <c r="U179" i="7"/>
  <c r="U180" i="7"/>
  <c r="U181" i="7"/>
  <c r="X181" i="7" s="1"/>
  <c r="U182" i="7"/>
  <c r="X182" i="7" s="1"/>
  <c r="U183" i="7"/>
  <c r="X183" i="7" s="1"/>
  <c r="U186" i="7"/>
  <c r="U188" i="7"/>
  <c r="U189" i="7"/>
  <c r="U190" i="7"/>
  <c r="X190" i="7" s="1"/>
  <c r="U191" i="7"/>
  <c r="U198" i="7"/>
  <c r="U199" i="7"/>
  <c r="X199" i="7" s="1"/>
  <c r="U200" i="7"/>
  <c r="X200" i="7" s="1"/>
  <c r="U201" i="7"/>
  <c r="U202" i="7"/>
  <c r="X202" i="7" s="1"/>
  <c r="U203" i="7"/>
  <c r="X203" i="7" s="1"/>
  <c r="U204" i="7"/>
  <c r="X204" i="7" s="1"/>
  <c r="U206" i="7"/>
  <c r="U207" i="7"/>
  <c r="U212" i="7"/>
  <c r="X212" i="7" s="1"/>
  <c r="U213" i="7"/>
  <c r="U214" i="7"/>
  <c r="U215" i="7"/>
  <c r="X215" i="7" s="1"/>
  <c r="U216" i="7"/>
  <c r="X216" i="7" s="1"/>
  <c r="AH216" i="7" s="1"/>
  <c r="U217" i="7"/>
  <c r="X217" i="7" s="1"/>
  <c r="U218" i="7"/>
  <c r="U223" i="7"/>
  <c r="X223" i="7" s="1"/>
  <c r="U224" i="7"/>
  <c r="X224" i="7" s="1"/>
  <c r="U225" i="7"/>
  <c r="X225" i="7" s="1"/>
  <c r="U228" i="7"/>
  <c r="U229" i="7"/>
  <c r="U230" i="7"/>
  <c r="X230" i="7" s="1"/>
  <c r="U236" i="7"/>
  <c r="U237" i="7"/>
  <c r="U238" i="7"/>
  <c r="U239" i="7"/>
  <c r="X239" i="7" s="1"/>
  <c r="U240" i="7"/>
  <c r="X240" i="7" s="1"/>
  <c r="U241" i="7"/>
  <c r="U244" i="7"/>
  <c r="U245" i="7"/>
  <c r="U246" i="7"/>
  <c r="X246" i="7" s="1"/>
  <c r="U247" i="7"/>
  <c r="U248" i="7"/>
  <c r="X248" i="7" s="1"/>
  <c r="U249" i="7"/>
  <c r="X249" i="7" s="1"/>
  <c r="U250" i="7"/>
  <c r="X250" i="7" s="1"/>
  <c r="U251" i="7"/>
  <c r="U252" i="7"/>
  <c r="X252" i="7" s="1"/>
  <c r="U253" i="7"/>
  <c r="X253" i="7" s="1"/>
  <c r="U254" i="7"/>
  <c r="X254" i="7" s="1"/>
  <c r="U255" i="7"/>
  <c r="U256" i="7"/>
  <c r="X256" i="7" s="1"/>
  <c r="G32" i="7"/>
  <c r="G35" i="7"/>
  <c r="G42" i="7"/>
  <c r="G48" i="7"/>
  <c r="G51" i="7"/>
  <c r="G66" i="7"/>
  <c r="G69" i="7"/>
  <c r="G72" i="7"/>
  <c r="Y44" i="7"/>
  <c r="Y49" i="7"/>
  <c r="Y58" i="7"/>
  <c r="Y91" i="7"/>
  <c r="Y96" i="7"/>
  <c r="Y105" i="7"/>
  <c r="Y104" i="7" s="1"/>
  <c r="Y114" i="7"/>
  <c r="Y141" i="7"/>
  <c r="Y149" i="7"/>
  <c r="Y147" i="7" s="1"/>
  <c r="Y172" i="7"/>
  <c r="Y176" i="7"/>
  <c r="Y187" i="7"/>
  <c r="Y185" i="7" s="1"/>
  <c r="Y197" i="7"/>
  <c r="Y205" i="7"/>
  <c r="Y211" i="7"/>
  <c r="Y210" i="7" s="1"/>
  <c r="Y209" i="7" s="1"/>
  <c r="Y222" i="7"/>
  <c r="Y227"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I32" i="7"/>
  <c r="I42" i="7"/>
  <c r="I48" i="7"/>
  <c r="I81" i="7"/>
  <c r="AA44" i="7"/>
  <c r="AA49" i="7"/>
  <c r="AA58" i="7"/>
  <c r="AA91" i="7"/>
  <c r="AA96" i="7"/>
  <c r="AA114" i="7"/>
  <c r="AA141" i="7"/>
  <c r="AA149" i="7"/>
  <c r="AA147" i="7" s="1"/>
  <c r="AA172" i="7"/>
  <c r="AA176" i="7"/>
  <c r="AA187" i="7"/>
  <c r="AA185" i="7" s="1"/>
  <c r="AA197" i="7"/>
  <c r="AA205" i="7"/>
  <c r="AA211" i="7"/>
  <c r="AA210" i="7" s="1"/>
  <c r="AA209" i="7" s="1"/>
  <c r="AA222" i="7"/>
  <c r="AA227" i="7"/>
  <c r="J29" i="7"/>
  <c r="J32" i="7"/>
  <c r="J35" i="7"/>
  <c r="J42" i="7"/>
  <c r="J45" i="7"/>
  <c r="J48" i="7"/>
  <c r="J51" i="7"/>
  <c r="J54" i="7"/>
  <c r="J57" i="7"/>
  <c r="J60" i="7"/>
  <c r="J66" i="7"/>
  <c r="J69" i="7"/>
  <c r="J72" i="7"/>
  <c r="J81" i="7"/>
  <c r="AB20" i="7"/>
  <c r="AB16" i="7" s="1"/>
  <c r="AB96" i="7"/>
  <c r="AB149" i="7"/>
  <c r="AB147" i="7" s="1"/>
  <c r="AB172" i="7"/>
  <c r="AB205" i="7"/>
  <c r="K22" i="7"/>
  <c r="K25" i="7"/>
  <c r="K29" i="7"/>
  <c r="K32" i="7"/>
  <c r="K35" i="7"/>
  <c r="K42" i="7"/>
  <c r="K45" i="7"/>
  <c r="K48" i="7"/>
  <c r="K51" i="7"/>
  <c r="K54" i="7"/>
  <c r="K57" i="7"/>
  <c r="K60" i="7"/>
  <c r="K63" i="7"/>
  <c r="K66" i="7"/>
  <c r="K69" i="7"/>
  <c r="K72" i="7"/>
  <c r="K75" i="7"/>
  <c r="K78" i="7"/>
  <c r="K81" i="7"/>
  <c r="H23"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L29" i="7"/>
  <c r="L35" i="7"/>
  <c r="L42" i="7"/>
  <c r="L48" i="7"/>
  <c r="L54" i="7"/>
  <c r="L60" i="7"/>
  <c r="L66" i="7"/>
  <c r="L72" i="7"/>
  <c r="AD58" i="7"/>
  <c r="AD57" i="7" s="1"/>
  <c r="AD123" i="7"/>
  <c r="AD172" i="7"/>
  <c r="AD187" i="7"/>
  <c r="AD185" i="7" s="1"/>
  <c r="AD205" i="7"/>
  <c r="AD227" i="7"/>
  <c r="AE141" i="7"/>
  <c r="AE172" i="7"/>
  <c r="AF20" i="7"/>
  <c r="AF16" i="7" s="1"/>
  <c r="AF35" i="7"/>
  <c r="AF44" i="7"/>
  <c r="AF49" i="7"/>
  <c r="AF58" i="7"/>
  <c r="AF57" i="7" s="1"/>
  <c r="AF69" i="7"/>
  <c r="AF65" i="7" s="1"/>
  <c r="AF83" i="7"/>
  <c r="AF91" i="7"/>
  <c r="AF96" i="7"/>
  <c r="AF105" i="7"/>
  <c r="AF104" i="7" s="1"/>
  <c r="AF114" i="7"/>
  <c r="AF123" i="7"/>
  <c r="AF141" i="7"/>
  <c r="AF149" i="7"/>
  <c r="AF147" i="7" s="1"/>
  <c r="AF157" i="7"/>
  <c r="AF155" i="7" s="1"/>
  <c r="AF172" i="7"/>
  <c r="AF176" i="7"/>
  <c r="AF187" i="7"/>
  <c r="AF185" i="7" s="1"/>
  <c r="AF197" i="7"/>
  <c r="AF205" i="7"/>
  <c r="AF211" i="7"/>
  <c r="AF210" i="7" s="1"/>
  <c r="AF209" i="7" s="1"/>
  <c r="BQ27" i="7" s="1"/>
  <c r="H51" i="20" s="1"/>
  <c r="AF222" i="7"/>
  <c r="AF227" i="7"/>
  <c r="AF235" i="7"/>
  <c r="AF234" i="7" s="1"/>
  <c r="AF243" i="7"/>
  <c r="AG58" i="7"/>
  <c r="AG141"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81" i="7"/>
  <c r="D25" i="9"/>
  <c r="D32" i="9"/>
  <c r="V58" i="9"/>
  <c r="V57" i="9" s="1"/>
  <c r="V105" i="9"/>
  <c r="V222" i="9"/>
  <c r="E29" i="9"/>
  <c r="E42" i="9"/>
  <c r="E48" i="9"/>
  <c r="E54" i="9"/>
  <c r="E60" i="9"/>
  <c r="E66" i="9"/>
  <c r="E72" i="9"/>
  <c r="E78" i="9"/>
  <c r="W58" i="9"/>
  <c r="W57" i="9" s="1"/>
  <c r="W69" i="9"/>
  <c r="W65" i="9" s="1"/>
  <c r="W91" i="9"/>
  <c r="W96" i="9"/>
  <c r="W105" i="9"/>
  <c r="W104" i="9" s="1"/>
  <c r="W114" i="9"/>
  <c r="W141" i="9"/>
  <c r="W149" i="9"/>
  <c r="W147" i="9" s="1"/>
  <c r="W157" i="9"/>
  <c r="W172" i="9"/>
  <c r="W176" i="9"/>
  <c r="W187" i="9"/>
  <c r="W185" i="9" s="1"/>
  <c r="W197" i="9"/>
  <c r="W205" i="9"/>
  <c r="W211" i="9"/>
  <c r="W210" i="9" s="1"/>
  <c r="W209" i="9" s="1"/>
  <c r="W222" i="9"/>
  <c r="W227" i="9"/>
  <c r="W235" i="9"/>
  <c r="W234" i="9" s="1"/>
  <c r="C12" i="9"/>
  <c r="C13" i="9"/>
  <c r="C14" i="9"/>
  <c r="C15" i="9"/>
  <c r="F15" i="9" s="1"/>
  <c r="C23" i="9"/>
  <c r="C24" i="9"/>
  <c r="C26" i="9"/>
  <c r="C27" i="9"/>
  <c r="F27" i="9" s="1"/>
  <c r="C30" i="9"/>
  <c r="C31" i="9"/>
  <c r="C33" i="9"/>
  <c r="C34" i="9"/>
  <c r="C36" i="9"/>
  <c r="C37" i="9"/>
  <c r="C43" i="9"/>
  <c r="C44" i="9"/>
  <c r="C46" i="9"/>
  <c r="C47" i="9"/>
  <c r="C49" i="9"/>
  <c r="C50" i="9"/>
  <c r="C52" i="9"/>
  <c r="C53" i="9"/>
  <c r="C55" i="9"/>
  <c r="C56" i="9"/>
  <c r="C58" i="9"/>
  <c r="C59" i="9"/>
  <c r="C61" i="9"/>
  <c r="C62" i="9"/>
  <c r="F62" i="9" s="1"/>
  <c r="C64" i="9"/>
  <c r="C65" i="9"/>
  <c r="C67" i="9"/>
  <c r="C68" i="9"/>
  <c r="C70" i="9"/>
  <c r="C71" i="9"/>
  <c r="C73" i="9"/>
  <c r="C74" i="9"/>
  <c r="F74" i="9" s="1"/>
  <c r="C76" i="9"/>
  <c r="C77" i="9"/>
  <c r="C79" i="9"/>
  <c r="C80" i="9"/>
  <c r="C82" i="9"/>
  <c r="C83" i="9"/>
  <c r="U17" i="9"/>
  <c r="X17" i="9" s="1"/>
  <c r="U18" i="9"/>
  <c r="X18" i="9" s="1"/>
  <c r="U19" i="9"/>
  <c r="X19" i="9" s="1"/>
  <c r="U21" i="9"/>
  <c r="U22" i="9"/>
  <c r="X22" i="9" s="1"/>
  <c r="AH22" i="9" s="1"/>
  <c r="U23" i="9"/>
  <c r="X23" i="9" s="1"/>
  <c r="U24" i="9"/>
  <c r="U25" i="9"/>
  <c r="U26" i="9"/>
  <c r="X26" i="9" s="1"/>
  <c r="AI26" i="9" s="1"/>
  <c r="U27" i="9"/>
  <c r="X27" i="9" s="1"/>
  <c r="U28" i="9"/>
  <c r="X28" i="9" s="1"/>
  <c r="U29" i="9"/>
  <c r="U30" i="9"/>
  <c r="X30" i="9" s="1"/>
  <c r="U31" i="9"/>
  <c r="X31" i="9" s="1"/>
  <c r="U32" i="9"/>
  <c r="X32" i="9" s="1"/>
  <c r="U33" i="9"/>
  <c r="U36" i="9"/>
  <c r="X36" i="9" s="1"/>
  <c r="AI36" i="9" s="1"/>
  <c r="U37" i="9"/>
  <c r="X37" i="9" s="1"/>
  <c r="U38" i="9"/>
  <c r="U39" i="9"/>
  <c r="U40" i="9"/>
  <c r="X40" i="9" s="1"/>
  <c r="U41" i="9"/>
  <c r="U45" i="9"/>
  <c r="X45" i="9" s="1"/>
  <c r="AH45" i="9" s="1"/>
  <c r="U46" i="9"/>
  <c r="U47" i="9"/>
  <c r="X47" i="9" s="1"/>
  <c r="U48" i="9"/>
  <c r="X48" i="9" s="1"/>
  <c r="AI48" i="9" s="1"/>
  <c r="U50" i="9"/>
  <c r="U51" i="9"/>
  <c r="U52" i="9"/>
  <c r="X52" i="9" s="1"/>
  <c r="U53" i="9"/>
  <c r="X53" i="9" s="1"/>
  <c r="U54" i="9"/>
  <c r="X54" i="9" s="1"/>
  <c r="U55" i="9"/>
  <c r="U59" i="9"/>
  <c r="X59" i="9" s="1"/>
  <c r="AH59" i="9" s="1"/>
  <c r="U60" i="9"/>
  <c r="X60" i="9" s="1"/>
  <c r="U61" i="9"/>
  <c r="X61" i="9" s="1"/>
  <c r="U66" i="9"/>
  <c r="U67" i="9"/>
  <c r="X67" i="9" s="1"/>
  <c r="U68" i="9"/>
  <c r="X68" i="9" s="1"/>
  <c r="U70" i="9"/>
  <c r="U71" i="9"/>
  <c r="U72" i="9"/>
  <c r="X72" i="9" s="1"/>
  <c r="U73" i="9"/>
  <c r="U74" i="9"/>
  <c r="U75" i="9"/>
  <c r="U76" i="9"/>
  <c r="X76" i="9" s="1"/>
  <c r="U77" i="9"/>
  <c r="X77" i="9" s="1"/>
  <c r="U78" i="9"/>
  <c r="X78" i="9" s="1"/>
  <c r="AJ78" i="9" s="1"/>
  <c r="U79" i="9"/>
  <c r="U80" i="9"/>
  <c r="X80" i="9" s="1"/>
  <c r="U81" i="9"/>
  <c r="X81" i="9" s="1"/>
  <c r="U84" i="9"/>
  <c r="U85" i="9"/>
  <c r="U86" i="9"/>
  <c r="U87" i="9"/>
  <c r="U88" i="9"/>
  <c r="X88" i="9" s="1"/>
  <c r="U92" i="9"/>
  <c r="U93" i="9"/>
  <c r="X93" i="9" s="1"/>
  <c r="AI93" i="9" s="1"/>
  <c r="U94" i="9"/>
  <c r="X94" i="9" s="1"/>
  <c r="AH94" i="9" s="1"/>
  <c r="U95" i="9"/>
  <c r="U97" i="9"/>
  <c r="U98" i="9"/>
  <c r="X98" i="9" s="1"/>
  <c r="U99" i="9"/>
  <c r="X99" i="9" s="1"/>
  <c r="U100" i="9"/>
  <c r="X100" i="9" s="1"/>
  <c r="U101" i="9"/>
  <c r="U102" i="9"/>
  <c r="X102" i="9" s="1"/>
  <c r="U106" i="9"/>
  <c r="X106" i="9" s="1"/>
  <c r="U107" i="9"/>
  <c r="U108" i="9"/>
  <c r="U115" i="9"/>
  <c r="X115" i="9" s="1"/>
  <c r="U116" i="9"/>
  <c r="X116" i="9" s="1"/>
  <c r="U117" i="9"/>
  <c r="U118" i="9"/>
  <c r="U119" i="9"/>
  <c r="X119" i="9" s="1"/>
  <c r="AH119" i="9" s="1"/>
  <c r="U120" i="9"/>
  <c r="X120" i="9" s="1"/>
  <c r="U121" i="9"/>
  <c r="X121" i="9" s="1"/>
  <c r="AH121" i="9" s="1"/>
  <c r="U124" i="9"/>
  <c r="U125" i="9"/>
  <c r="X125" i="9" s="1"/>
  <c r="AH125" i="9" s="1"/>
  <c r="U126" i="9"/>
  <c r="X126" i="9" s="1"/>
  <c r="U127" i="9"/>
  <c r="U128" i="9"/>
  <c r="U129" i="9"/>
  <c r="U130" i="9"/>
  <c r="U131" i="9"/>
  <c r="U132" i="9"/>
  <c r="U133" i="9"/>
  <c r="U134" i="9"/>
  <c r="U135" i="9"/>
  <c r="U136" i="9"/>
  <c r="U137" i="9"/>
  <c r="X137" i="9" s="1"/>
  <c r="U138" i="9"/>
  <c r="X138" i="9" s="1"/>
  <c r="U139" i="9"/>
  <c r="X139" i="9" s="1"/>
  <c r="U142" i="9"/>
  <c r="U143" i="9"/>
  <c r="X143" i="9" s="1"/>
  <c r="U148" i="9"/>
  <c r="X148" i="9" s="1"/>
  <c r="U150" i="9"/>
  <c r="U151" i="9"/>
  <c r="U152" i="9"/>
  <c r="X152" i="9" s="1"/>
  <c r="U153" i="9"/>
  <c r="U156" i="9"/>
  <c r="X156" i="9" s="1"/>
  <c r="U158" i="9"/>
  <c r="U159" i="9"/>
  <c r="X159" i="9" s="1"/>
  <c r="AI159" i="9" s="1"/>
  <c r="U160" i="9"/>
  <c r="U161" i="9"/>
  <c r="X161" i="9" s="1"/>
  <c r="U162" i="9"/>
  <c r="U163" i="9"/>
  <c r="X163" i="9" s="1"/>
  <c r="U164" i="9"/>
  <c r="X164" i="9" s="1"/>
  <c r="U165" i="9"/>
  <c r="X165" i="9" s="1"/>
  <c r="U166" i="9"/>
  <c r="U167" i="9"/>
  <c r="X167" i="9" s="1"/>
  <c r="U168" i="9"/>
  <c r="U173" i="9"/>
  <c r="X173" i="9" s="1"/>
  <c r="U174" i="9"/>
  <c r="U177" i="9"/>
  <c r="U178" i="9"/>
  <c r="U179" i="9"/>
  <c r="U180" i="9"/>
  <c r="U181" i="9"/>
  <c r="X181" i="9" s="1"/>
  <c r="U182" i="9"/>
  <c r="X182" i="9" s="1"/>
  <c r="U183" i="9"/>
  <c r="X183" i="9" s="1"/>
  <c r="AH183" i="9" s="1"/>
  <c r="U186" i="9"/>
  <c r="U188" i="9"/>
  <c r="U189" i="9"/>
  <c r="U190" i="9"/>
  <c r="X190" i="9" s="1"/>
  <c r="U191" i="9"/>
  <c r="U198" i="9"/>
  <c r="U199" i="9"/>
  <c r="X199" i="9" s="1"/>
  <c r="U200" i="9"/>
  <c r="X200" i="9" s="1"/>
  <c r="U201" i="9"/>
  <c r="U202" i="9"/>
  <c r="X202" i="9" s="1"/>
  <c r="U203" i="9"/>
  <c r="X203" i="9" s="1"/>
  <c r="U204" i="9"/>
  <c r="X204" i="9" s="1"/>
  <c r="U206" i="9"/>
  <c r="U207" i="9"/>
  <c r="U212" i="9"/>
  <c r="U213" i="9"/>
  <c r="X213" i="9" s="1"/>
  <c r="AH213" i="9" s="1"/>
  <c r="U214" i="9"/>
  <c r="U215" i="9"/>
  <c r="X215" i="9" s="1"/>
  <c r="U216" i="9"/>
  <c r="X216" i="9" s="1"/>
  <c r="AH216" i="9" s="1"/>
  <c r="U217" i="9"/>
  <c r="X217" i="9" s="1"/>
  <c r="U218" i="9"/>
  <c r="U223" i="9"/>
  <c r="X223" i="9" s="1"/>
  <c r="U224" i="9"/>
  <c r="X224" i="9" s="1"/>
  <c r="U225" i="9"/>
  <c r="X225" i="9" s="1"/>
  <c r="U228" i="9"/>
  <c r="U229" i="9"/>
  <c r="U230" i="9"/>
  <c r="X230" i="9" s="1"/>
  <c r="U236" i="9"/>
  <c r="X236" i="9" s="1"/>
  <c r="AH236" i="9" s="1"/>
  <c r="U237" i="9"/>
  <c r="U238" i="9"/>
  <c r="U239" i="9"/>
  <c r="X239" i="9" s="1"/>
  <c r="U240" i="9"/>
  <c r="X240" i="9" s="1"/>
  <c r="AH240" i="9" s="1"/>
  <c r="U241" i="9"/>
  <c r="U244" i="9"/>
  <c r="U245" i="9"/>
  <c r="U246" i="9"/>
  <c r="X246" i="9" s="1"/>
  <c r="U247" i="9"/>
  <c r="U248" i="9"/>
  <c r="X248" i="9" s="1"/>
  <c r="U249" i="9"/>
  <c r="X249" i="9" s="1"/>
  <c r="U250" i="9"/>
  <c r="X250" i="9" s="1"/>
  <c r="U251" i="9"/>
  <c r="U252" i="9"/>
  <c r="X252" i="9" s="1"/>
  <c r="U253" i="9"/>
  <c r="X253" i="9" s="1"/>
  <c r="U254" i="9"/>
  <c r="X254" i="9" s="1"/>
  <c r="U255" i="9"/>
  <c r="U256" i="9"/>
  <c r="X256" i="9" s="1"/>
  <c r="AH256" i="9" s="1"/>
  <c r="G32" i="9"/>
  <c r="G42" i="9"/>
  <c r="G48" i="9"/>
  <c r="G63" i="9"/>
  <c r="Y44" i="9"/>
  <c r="Y49" i="9"/>
  <c r="Y58" i="9"/>
  <c r="Y91" i="9"/>
  <c r="Y96" i="9"/>
  <c r="Y114" i="9"/>
  <c r="Y141" i="9"/>
  <c r="Y149" i="9"/>
  <c r="Y147" i="9" s="1"/>
  <c r="Y172" i="9"/>
  <c r="Y176" i="9"/>
  <c r="Y187" i="9"/>
  <c r="Y185" i="9" s="1"/>
  <c r="Y197" i="9"/>
  <c r="Y205" i="9"/>
  <c r="Y211" i="9"/>
  <c r="Y210" i="9" s="1"/>
  <c r="Y209" i="9" s="1"/>
  <c r="Y222" i="9"/>
  <c r="Y227" i="9"/>
  <c r="H78" i="9"/>
  <c r="I32" i="9"/>
  <c r="I42" i="9"/>
  <c r="I57" i="9"/>
  <c r="I81" i="9"/>
  <c r="AA44" i="9"/>
  <c r="AA49" i="9"/>
  <c r="AA58" i="9"/>
  <c r="AA91" i="9"/>
  <c r="AA96" i="9"/>
  <c r="AA114" i="9"/>
  <c r="AA141" i="9"/>
  <c r="AA149" i="9"/>
  <c r="AA172" i="9"/>
  <c r="AA176" i="9"/>
  <c r="AA187" i="9"/>
  <c r="AA185" i="9" s="1"/>
  <c r="AA197" i="9"/>
  <c r="AA205" i="9"/>
  <c r="AA211" i="9"/>
  <c r="AA210" i="9" s="1"/>
  <c r="AA209" i="9" s="1"/>
  <c r="AA222" i="9"/>
  <c r="AA227" i="9"/>
  <c r="AB141" i="9"/>
  <c r="AB172" i="9"/>
  <c r="AB205" i="9"/>
  <c r="AD141" i="9"/>
  <c r="BP20" i="9" s="1"/>
  <c r="AD172" i="9"/>
  <c r="AD205" i="9"/>
  <c r="AG172" i="9"/>
  <c r="AI106" i="9"/>
  <c r="C81" i="9"/>
  <c r="D25" i="8"/>
  <c r="D32" i="8"/>
  <c r="V58" i="8"/>
  <c r="V57" i="8" s="1"/>
  <c r="V105" i="8"/>
  <c r="V222" i="8"/>
  <c r="E29" i="8"/>
  <c r="E35" i="8"/>
  <c r="E42" i="8"/>
  <c r="E48" i="8"/>
  <c r="E54" i="8"/>
  <c r="E60" i="8"/>
  <c r="E66" i="8"/>
  <c r="E72" i="8"/>
  <c r="E78" i="8"/>
  <c r="W58" i="8"/>
  <c r="W57" i="8" s="1"/>
  <c r="W69" i="8"/>
  <c r="W65" i="8" s="1"/>
  <c r="W91" i="8"/>
  <c r="W96" i="8"/>
  <c r="W105" i="8"/>
  <c r="W104" i="8" s="1"/>
  <c r="W114" i="8"/>
  <c r="W141" i="8"/>
  <c r="W149" i="8"/>
  <c r="W147" i="8" s="1"/>
  <c r="W157" i="8"/>
  <c r="W172" i="8"/>
  <c r="W176" i="8"/>
  <c r="W187" i="8"/>
  <c r="W185" i="8" s="1"/>
  <c r="W197" i="8"/>
  <c r="W205" i="8"/>
  <c r="W211" i="8"/>
  <c r="W210" i="8" s="1"/>
  <c r="W209" i="8" s="1"/>
  <c r="W222" i="8"/>
  <c r="W227" i="8"/>
  <c r="W235" i="8"/>
  <c r="W234" i="8" s="1"/>
  <c r="C12" i="8"/>
  <c r="C13" i="8"/>
  <c r="C14" i="8"/>
  <c r="C15" i="8"/>
  <c r="F15" i="8" s="1"/>
  <c r="C23" i="8"/>
  <c r="C24" i="8"/>
  <c r="C26" i="8"/>
  <c r="C27" i="8"/>
  <c r="F27" i="8" s="1"/>
  <c r="C30" i="8"/>
  <c r="C31" i="8"/>
  <c r="C33" i="8"/>
  <c r="C34" i="8"/>
  <c r="C36" i="8"/>
  <c r="C37" i="8"/>
  <c r="C41" i="8"/>
  <c r="C43" i="8"/>
  <c r="C44" i="8"/>
  <c r="C46" i="8"/>
  <c r="C47" i="8"/>
  <c r="C49" i="8"/>
  <c r="C50" i="8"/>
  <c r="C52" i="8"/>
  <c r="C53" i="8"/>
  <c r="C55" i="8"/>
  <c r="C56" i="8"/>
  <c r="C58" i="8"/>
  <c r="F58" i="8" s="1"/>
  <c r="C59" i="8"/>
  <c r="C61" i="8"/>
  <c r="C62" i="8"/>
  <c r="F62" i="8" s="1"/>
  <c r="C64" i="8"/>
  <c r="C65" i="8"/>
  <c r="C67" i="8"/>
  <c r="C68" i="8"/>
  <c r="C70" i="8"/>
  <c r="F70" i="8" s="1"/>
  <c r="C71" i="8"/>
  <c r="C73" i="8"/>
  <c r="C74" i="8"/>
  <c r="F74" i="8" s="1"/>
  <c r="C76" i="8"/>
  <c r="C77" i="8"/>
  <c r="C79" i="8"/>
  <c r="C80" i="8"/>
  <c r="C82" i="8"/>
  <c r="F82" i="8" s="1"/>
  <c r="C83" i="8"/>
  <c r="U17" i="8"/>
  <c r="X17" i="8" s="1"/>
  <c r="U18" i="8"/>
  <c r="X18" i="8" s="1"/>
  <c r="U19" i="8"/>
  <c r="X19" i="8" s="1"/>
  <c r="AH19" i="8" s="1"/>
  <c r="U21" i="8"/>
  <c r="U22" i="8"/>
  <c r="U23" i="8"/>
  <c r="X23" i="8" s="1"/>
  <c r="U24" i="8"/>
  <c r="X24" i="8" s="1"/>
  <c r="AI24" i="8" s="1"/>
  <c r="U25" i="8"/>
  <c r="U26" i="8"/>
  <c r="X26" i="8" s="1"/>
  <c r="AI26" i="8" s="1"/>
  <c r="U27" i="8"/>
  <c r="X27" i="8" s="1"/>
  <c r="U28" i="8"/>
  <c r="X28" i="8" s="1"/>
  <c r="AJ28" i="8" s="1"/>
  <c r="U29" i="8"/>
  <c r="U30" i="8"/>
  <c r="X30" i="8" s="1"/>
  <c r="AI30" i="8" s="1"/>
  <c r="U31" i="8"/>
  <c r="X31" i="8" s="1"/>
  <c r="U32" i="8"/>
  <c r="X32" i="8" s="1"/>
  <c r="AH32" i="8" s="1"/>
  <c r="U33" i="8"/>
  <c r="U36" i="8"/>
  <c r="X36" i="8" s="1"/>
  <c r="AH36" i="8" s="1"/>
  <c r="U37" i="8"/>
  <c r="X37" i="8" s="1"/>
  <c r="U38" i="8"/>
  <c r="X38" i="8" s="1"/>
  <c r="U39" i="8"/>
  <c r="U40" i="8"/>
  <c r="X40" i="8" s="1"/>
  <c r="U41" i="8"/>
  <c r="U45" i="8"/>
  <c r="X45" i="8" s="1"/>
  <c r="U46" i="8"/>
  <c r="U47" i="8"/>
  <c r="X47" i="8" s="1"/>
  <c r="U48" i="8"/>
  <c r="X48" i="8" s="1"/>
  <c r="AJ48" i="8" s="1"/>
  <c r="U50" i="8"/>
  <c r="X50" i="8" s="1"/>
  <c r="U51" i="8"/>
  <c r="U52" i="8"/>
  <c r="X52" i="8" s="1"/>
  <c r="U53" i="8"/>
  <c r="X53" i="8" s="1"/>
  <c r="U54" i="8"/>
  <c r="X54" i="8" s="1"/>
  <c r="U55" i="8"/>
  <c r="U59" i="8"/>
  <c r="X59" i="8" s="1"/>
  <c r="U60" i="8"/>
  <c r="X60" i="8" s="1"/>
  <c r="U61" i="8"/>
  <c r="X61" i="8" s="1"/>
  <c r="AI61" i="8" s="1"/>
  <c r="U66" i="8"/>
  <c r="U67" i="8"/>
  <c r="X67" i="8" s="1"/>
  <c r="AI67" i="8" s="1"/>
  <c r="U68" i="8"/>
  <c r="X68" i="8" s="1"/>
  <c r="U70" i="8"/>
  <c r="X70" i="8" s="1"/>
  <c r="AI70" i="8" s="1"/>
  <c r="U71" i="8"/>
  <c r="U72" i="8"/>
  <c r="X72" i="8" s="1"/>
  <c r="U73" i="8"/>
  <c r="U74" i="8"/>
  <c r="U75" i="8"/>
  <c r="U76" i="8"/>
  <c r="X76" i="8" s="1"/>
  <c r="AJ76" i="8" s="1"/>
  <c r="U77" i="8"/>
  <c r="X77" i="8" s="1"/>
  <c r="U78" i="8"/>
  <c r="X78" i="8" s="1"/>
  <c r="U79" i="8"/>
  <c r="U80" i="8"/>
  <c r="X80" i="8" s="1"/>
  <c r="AI80" i="8" s="1"/>
  <c r="U81" i="8"/>
  <c r="X81" i="8" s="1"/>
  <c r="U84" i="8"/>
  <c r="X84" i="8" s="1"/>
  <c r="U85" i="8"/>
  <c r="U86" i="8"/>
  <c r="U87" i="8"/>
  <c r="X87" i="8" s="1"/>
  <c r="U88" i="8"/>
  <c r="X88" i="8" s="1"/>
  <c r="U92" i="8"/>
  <c r="U93" i="8"/>
  <c r="X93" i="8" s="1"/>
  <c r="U94" i="8"/>
  <c r="X94" i="8" s="1"/>
  <c r="U95" i="8"/>
  <c r="X95" i="8" s="1"/>
  <c r="U97" i="8"/>
  <c r="U98" i="8"/>
  <c r="X98" i="8" s="1"/>
  <c r="U99" i="8"/>
  <c r="X99" i="8" s="1"/>
  <c r="U100" i="8"/>
  <c r="X100" i="8" s="1"/>
  <c r="AH100" i="8" s="1"/>
  <c r="U101" i="8"/>
  <c r="U102" i="8"/>
  <c r="X102" i="8" s="1"/>
  <c r="AH102" i="8" s="1"/>
  <c r="U106" i="8"/>
  <c r="X106" i="8" s="1"/>
  <c r="U107" i="8"/>
  <c r="X107" i="8" s="1"/>
  <c r="U108" i="8"/>
  <c r="U115" i="8"/>
  <c r="X115" i="8" s="1"/>
  <c r="U116" i="8"/>
  <c r="X116" i="8" s="1"/>
  <c r="U117" i="8"/>
  <c r="X117" i="8" s="1"/>
  <c r="U118" i="8"/>
  <c r="U119" i="8"/>
  <c r="X119" i="8" s="1"/>
  <c r="U120" i="8"/>
  <c r="X120" i="8" s="1"/>
  <c r="U121" i="8"/>
  <c r="X121" i="8" s="1"/>
  <c r="U124" i="8"/>
  <c r="U125" i="8"/>
  <c r="X125" i="8" s="1"/>
  <c r="U126" i="8"/>
  <c r="X126" i="8" s="1"/>
  <c r="AI126" i="8" s="1"/>
  <c r="U127" i="8"/>
  <c r="X127" i="8" s="1"/>
  <c r="U128" i="8"/>
  <c r="U129" i="8"/>
  <c r="U130" i="8"/>
  <c r="X130" i="8" s="1"/>
  <c r="U131" i="8"/>
  <c r="X131" i="8" s="1"/>
  <c r="U132" i="8"/>
  <c r="U133" i="8"/>
  <c r="U134" i="8"/>
  <c r="X134" i="8" s="1"/>
  <c r="U135" i="8"/>
  <c r="U136" i="8"/>
  <c r="U137" i="8"/>
  <c r="X137" i="8" s="1"/>
  <c r="U138" i="8"/>
  <c r="X138" i="8" s="1"/>
  <c r="U139" i="8"/>
  <c r="X139" i="8" s="1"/>
  <c r="U142" i="8"/>
  <c r="U143" i="8"/>
  <c r="X143" i="8" s="1"/>
  <c r="U148" i="8"/>
  <c r="X148" i="8" s="1"/>
  <c r="U150" i="8"/>
  <c r="X150" i="8" s="1"/>
  <c r="U151" i="8"/>
  <c r="U152" i="8"/>
  <c r="X152" i="8" s="1"/>
  <c r="AH152" i="8" s="1"/>
  <c r="U153" i="8"/>
  <c r="X153" i="8" s="1"/>
  <c r="AJ153" i="8" s="1"/>
  <c r="U156" i="8"/>
  <c r="X156" i="8" s="1"/>
  <c r="U158" i="8"/>
  <c r="U159" i="8"/>
  <c r="X159" i="8" s="1"/>
  <c r="U160" i="8"/>
  <c r="X160" i="8" s="1"/>
  <c r="U161" i="8"/>
  <c r="X161" i="8" s="1"/>
  <c r="U162" i="8"/>
  <c r="U163" i="8"/>
  <c r="X163" i="8" s="1"/>
  <c r="U164" i="8"/>
  <c r="X164" i="8" s="1"/>
  <c r="U165" i="8"/>
  <c r="X165" i="8" s="1"/>
  <c r="U166" i="8"/>
  <c r="U167" i="8"/>
  <c r="X167" i="8" s="1"/>
  <c r="U168" i="8"/>
  <c r="U173" i="8"/>
  <c r="X173" i="8" s="1"/>
  <c r="U174" i="8"/>
  <c r="U177" i="8"/>
  <c r="U178" i="8"/>
  <c r="U179" i="8"/>
  <c r="U180" i="8"/>
  <c r="U181" i="8"/>
  <c r="X181" i="8" s="1"/>
  <c r="U182" i="8"/>
  <c r="X182" i="8" s="1"/>
  <c r="U183" i="8"/>
  <c r="X183" i="8" s="1"/>
  <c r="AH183" i="8" s="1"/>
  <c r="U186" i="8"/>
  <c r="U188" i="8"/>
  <c r="U189" i="8"/>
  <c r="X189" i="8" s="1"/>
  <c r="U190" i="8"/>
  <c r="X190" i="8" s="1"/>
  <c r="U191" i="8"/>
  <c r="U198" i="8"/>
  <c r="X198" i="8" s="1"/>
  <c r="U199" i="8"/>
  <c r="X199" i="8" s="1"/>
  <c r="U200" i="8"/>
  <c r="X200" i="8" s="1"/>
  <c r="AH200" i="8" s="1"/>
  <c r="U201" i="8"/>
  <c r="U202" i="8"/>
  <c r="X202" i="8" s="1"/>
  <c r="U203" i="8"/>
  <c r="X203" i="8" s="1"/>
  <c r="U204" i="8"/>
  <c r="X204" i="8" s="1"/>
  <c r="U206" i="8"/>
  <c r="U207" i="8"/>
  <c r="U212" i="8"/>
  <c r="X212" i="8" s="1"/>
  <c r="U213" i="8"/>
  <c r="X213" i="8" s="1"/>
  <c r="AH213" i="8" s="1"/>
  <c r="U214" i="8"/>
  <c r="U215" i="8"/>
  <c r="X215" i="8" s="1"/>
  <c r="AH215" i="8" s="1"/>
  <c r="U216" i="8"/>
  <c r="X216" i="8" s="1"/>
  <c r="AH216" i="8" s="1"/>
  <c r="U217" i="8"/>
  <c r="X217" i="8" s="1"/>
  <c r="AH217" i="8" s="1"/>
  <c r="U218" i="8"/>
  <c r="U223" i="8"/>
  <c r="X223" i="8" s="1"/>
  <c r="U224" i="8"/>
  <c r="X224" i="8" s="1"/>
  <c r="U225" i="8"/>
  <c r="X225" i="8" s="1"/>
  <c r="U228" i="8"/>
  <c r="U229" i="8"/>
  <c r="U230" i="8"/>
  <c r="X230" i="8" s="1"/>
  <c r="U236" i="8"/>
  <c r="X236" i="8" s="1"/>
  <c r="AI236" i="8" s="1"/>
  <c r="U237" i="8"/>
  <c r="U238" i="8"/>
  <c r="U239" i="8"/>
  <c r="X239" i="8" s="1"/>
  <c r="U240" i="8"/>
  <c r="X240" i="8" s="1"/>
  <c r="AH240" i="8" s="1"/>
  <c r="U241" i="8"/>
  <c r="U244" i="8"/>
  <c r="U245" i="8"/>
  <c r="U246" i="8"/>
  <c r="X246" i="8" s="1"/>
  <c r="AH246" i="8" s="1"/>
  <c r="U247" i="8"/>
  <c r="U248" i="8"/>
  <c r="X248" i="8" s="1"/>
  <c r="U249" i="8"/>
  <c r="X249" i="8" s="1"/>
  <c r="U250" i="8"/>
  <c r="X250" i="8" s="1"/>
  <c r="U251" i="8"/>
  <c r="U252" i="8"/>
  <c r="X252" i="8" s="1"/>
  <c r="U253" i="8"/>
  <c r="X253" i="8" s="1"/>
  <c r="U254" i="8"/>
  <c r="X254" i="8" s="1"/>
  <c r="U255" i="8"/>
  <c r="U256" i="8"/>
  <c r="X256" i="8" s="1"/>
  <c r="G32" i="8"/>
  <c r="G42" i="8"/>
  <c r="G48" i="8"/>
  <c r="G57" i="8"/>
  <c r="G69" i="8"/>
  <c r="G81" i="8"/>
  <c r="Y44" i="8"/>
  <c r="Y49" i="8"/>
  <c r="Y58" i="8"/>
  <c r="Y91" i="8"/>
  <c r="Y96" i="8"/>
  <c r="Y114" i="8"/>
  <c r="Y141" i="8"/>
  <c r="Y149" i="8"/>
  <c r="Y147" i="8" s="1"/>
  <c r="Y172" i="8"/>
  <c r="Y176" i="8"/>
  <c r="Y187" i="8"/>
  <c r="Y185" i="8" s="1"/>
  <c r="Y197" i="8"/>
  <c r="Y205" i="8"/>
  <c r="Y211" i="8"/>
  <c r="Y210" i="8" s="1"/>
  <c r="Y209" i="8" s="1"/>
  <c r="Y222" i="8"/>
  <c r="Y227" i="8"/>
  <c r="H78" i="8"/>
  <c r="I32" i="8"/>
  <c r="I42" i="8"/>
  <c r="I48" i="8"/>
  <c r="I69" i="8"/>
  <c r="AA44" i="8"/>
  <c r="AA49" i="8"/>
  <c r="AA58" i="8"/>
  <c r="AA91" i="8"/>
  <c r="AA96" i="8"/>
  <c r="AA114" i="8"/>
  <c r="AA141" i="8"/>
  <c r="AA149" i="8"/>
  <c r="AA147" i="8" s="1"/>
  <c r="AA172" i="8"/>
  <c r="AA176" i="8"/>
  <c r="AA187" i="8"/>
  <c r="AA185" i="8" s="1"/>
  <c r="AA197" i="8"/>
  <c r="AA205" i="8"/>
  <c r="AA211" i="8"/>
  <c r="AA210" i="8" s="1"/>
  <c r="AA209" i="8" s="1"/>
  <c r="AA222" i="8"/>
  <c r="AA227" i="8"/>
  <c r="J48" i="8"/>
  <c r="J72" i="8"/>
  <c r="AB58" i="8"/>
  <c r="AB57" i="8" s="1"/>
  <c r="AB123" i="8"/>
  <c r="AB172" i="8"/>
  <c r="AB205" i="8"/>
  <c r="AD58" i="8"/>
  <c r="AD57" i="8" s="1"/>
  <c r="AD172" i="8"/>
  <c r="AD205" i="8"/>
  <c r="AE141" i="8"/>
  <c r="AE172" i="8"/>
  <c r="AG172" i="8"/>
  <c r="AI137" i="8"/>
  <c r="U205" i="8"/>
  <c r="D25" i="6"/>
  <c r="D32" i="6"/>
  <c r="V58" i="6"/>
  <c r="V57" i="6" s="1"/>
  <c r="V105" i="6"/>
  <c r="V172" i="6"/>
  <c r="V187" i="6"/>
  <c r="V222" i="6"/>
  <c r="E22" i="6"/>
  <c r="E29" i="6"/>
  <c r="E35" i="6"/>
  <c r="E42" i="6"/>
  <c r="E48" i="6"/>
  <c r="E54" i="6"/>
  <c r="E60" i="6"/>
  <c r="E66" i="6"/>
  <c r="E72" i="6"/>
  <c r="E78" i="6"/>
  <c r="W58" i="6"/>
  <c r="W57" i="6" s="1"/>
  <c r="W69" i="6"/>
  <c r="W65" i="6" s="1"/>
  <c r="W91" i="6"/>
  <c r="W96" i="6"/>
  <c r="W105" i="6"/>
  <c r="W104" i="6" s="1"/>
  <c r="W114" i="6"/>
  <c r="W141" i="6"/>
  <c r="W149" i="6"/>
  <c r="W147" i="6" s="1"/>
  <c r="W157" i="6"/>
  <c r="W155" i="6" s="1"/>
  <c r="W172" i="6"/>
  <c r="W176" i="6"/>
  <c r="W187" i="6"/>
  <c r="W185" i="6" s="1"/>
  <c r="W197" i="6"/>
  <c r="W205" i="6"/>
  <c r="W211" i="6"/>
  <c r="W210" i="6" s="1"/>
  <c r="W209" i="6" s="1"/>
  <c r="W222" i="6"/>
  <c r="W227" i="6"/>
  <c r="W235" i="6"/>
  <c r="W234" i="6" s="1"/>
  <c r="C12" i="6"/>
  <c r="C13" i="6"/>
  <c r="F13" i="6" s="1"/>
  <c r="C14" i="6"/>
  <c r="C15" i="6"/>
  <c r="F15" i="6" s="1"/>
  <c r="C23" i="6"/>
  <c r="C24" i="6"/>
  <c r="F24" i="6" s="1"/>
  <c r="C26" i="6"/>
  <c r="C27" i="6"/>
  <c r="C30" i="6"/>
  <c r="C31" i="6"/>
  <c r="F31" i="6" s="1"/>
  <c r="C33" i="6"/>
  <c r="C34" i="6"/>
  <c r="F34" i="6" s="1"/>
  <c r="C36" i="6"/>
  <c r="C37" i="6"/>
  <c r="F37" i="6" s="1"/>
  <c r="C41" i="6"/>
  <c r="C43" i="6"/>
  <c r="C44" i="6"/>
  <c r="C46" i="6"/>
  <c r="C47" i="6"/>
  <c r="C49" i="6"/>
  <c r="C50" i="6"/>
  <c r="C52" i="6"/>
  <c r="C53" i="6"/>
  <c r="C55" i="6"/>
  <c r="C56" i="6"/>
  <c r="F56" i="6" s="1"/>
  <c r="C58" i="6"/>
  <c r="F58" i="6" s="1"/>
  <c r="C59" i="6"/>
  <c r="C61" i="6"/>
  <c r="C62" i="6"/>
  <c r="F62" i="6" s="1"/>
  <c r="C64" i="6"/>
  <c r="C65" i="6"/>
  <c r="C67" i="6"/>
  <c r="C68" i="6"/>
  <c r="F68" i="6" s="1"/>
  <c r="C70" i="6"/>
  <c r="F70" i="6" s="1"/>
  <c r="C71" i="6"/>
  <c r="C73" i="6"/>
  <c r="C74" i="6"/>
  <c r="F74" i="6" s="1"/>
  <c r="C76" i="6"/>
  <c r="C77" i="6"/>
  <c r="C79" i="6"/>
  <c r="C80" i="6"/>
  <c r="C82" i="6"/>
  <c r="F82" i="6" s="1"/>
  <c r="C83" i="6"/>
  <c r="U17" i="6"/>
  <c r="X17" i="6" s="1"/>
  <c r="U18" i="6"/>
  <c r="X18" i="6" s="1"/>
  <c r="U19" i="6"/>
  <c r="X19" i="6" s="1"/>
  <c r="AI19" i="6" s="1"/>
  <c r="U21" i="6"/>
  <c r="U22" i="6"/>
  <c r="X22" i="6" s="1"/>
  <c r="U23" i="6"/>
  <c r="X23" i="6" s="1"/>
  <c r="U24" i="6"/>
  <c r="X24" i="6" s="1"/>
  <c r="U25" i="6"/>
  <c r="U26" i="6"/>
  <c r="X26" i="6" s="1"/>
  <c r="U27" i="6"/>
  <c r="X27" i="6" s="1"/>
  <c r="U28" i="6"/>
  <c r="X28" i="6" s="1"/>
  <c r="U29" i="6"/>
  <c r="U30" i="6"/>
  <c r="X30" i="6" s="1"/>
  <c r="U31" i="6"/>
  <c r="X31" i="6" s="1"/>
  <c r="U32" i="6"/>
  <c r="X32" i="6" s="1"/>
  <c r="U33" i="6"/>
  <c r="U36" i="6"/>
  <c r="U37" i="6"/>
  <c r="X37" i="6" s="1"/>
  <c r="U38" i="6"/>
  <c r="X38" i="6" s="1"/>
  <c r="U39" i="6"/>
  <c r="U40" i="6"/>
  <c r="X40" i="6" s="1"/>
  <c r="U41" i="6"/>
  <c r="U45" i="6"/>
  <c r="X45" i="6" s="1"/>
  <c r="AH45" i="6" s="1"/>
  <c r="U46" i="6"/>
  <c r="U47" i="6"/>
  <c r="X47" i="6" s="1"/>
  <c r="U48" i="6"/>
  <c r="X48" i="6" s="1"/>
  <c r="U50" i="6"/>
  <c r="X50" i="6" s="1"/>
  <c r="U51" i="6"/>
  <c r="U52" i="6"/>
  <c r="X52" i="6" s="1"/>
  <c r="U53" i="6"/>
  <c r="X53" i="6" s="1"/>
  <c r="U54" i="6"/>
  <c r="X54" i="6" s="1"/>
  <c r="U55" i="6"/>
  <c r="U59" i="6"/>
  <c r="X59" i="6" s="1"/>
  <c r="U60" i="6"/>
  <c r="X60" i="6" s="1"/>
  <c r="U61" i="6"/>
  <c r="X61" i="6" s="1"/>
  <c r="U66" i="6"/>
  <c r="U67" i="6"/>
  <c r="X67" i="6" s="1"/>
  <c r="U68" i="6"/>
  <c r="X68" i="6" s="1"/>
  <c r="U70" i="6"/>
  <c r="X70" i="6" s="1"/>
  <c r="U71" i="6"/>
  <c r="U72" i="6"/>
  <c r="X72" i="6" s="1"/>
  <c r="U73" i="6"/>
  <c r="X73" i="6" s="1"/>
  <c r="U74" i="6"/>
  <c r="X74" i="6" s="1"/>
  <c r="U75" i="6"/>
  <c r="U76" i="6"/>
  <c r="X76" i="6" s="1"/>
  <c r="U77" i="6"/>
  <c r="X77" i="6" s="1"/>
  <c r="U78" i="6"/>
  <c r="X78" i="6" s="1"/>
  <c r="U79" i="6"/>
  <c r="U80" i="6"/>
  <c r="X80" i="6" s="1"/>
  <c r="U81" i="6"/>
  <c r="X81" i="6" s="1"/>
  <c r="AI81" i="6" s="1"/>
  <c r="U84" i="6"/>
  <c r="X84" i="6" s="1"/>
  <c r="U85" i="6"/>
  <c r="U86" i="6"/>
  <c r="U87" i="6"/>
  <c r="U88" i="6"/>
  <c r="X88" i="6" s="1"/>
  <c r="U92" i="6"/>
  <c r="U93" i="6"/>
  <c r="X93" i="6" s="1"/>
  <c r="AI93" i="6" s="1"/>
  <c r="U94" i="6"/>
  <c r="X94" i="6" s="1"/>
  <c r="U95" i="6"/>
  <c r="X95" i="6" s="1"/>
  <c r="U97" i="6"/>
  <c r="U98" i="6"/>
  <c r="X98" i="6" s="1"/>
  <c r="U99" i="6"/>
  <c r="X99" i="6" s="1"/>
  <c r="U100" i="6"/>
  <c r="X100" i="6" s="1"/>
  <c r="U101" i="6"/>
  <c r="U102" i="6"/>
  <c r="X102" i="6" s="1"/>
  <c r="U106" i="6"/>
  <c r="X106" i="6" s="1"/>
  <c r="U107" i="6"/>
  <c r="X107" i="6" s="1"/>
  <c r="U108" i="6"/>
  <c r="U115" i="6"/>
  <c r="U116" i="6"/>
  <c r="X116" i="6" s="1"/>
  <c r="U117" i="6"/>
  <c r="X117" i="6" s="1"/>
  <c r="U118" i="6"/>
  <c r="U119" i="6"/>
  <c r="X119" i="6" s="1"/>
  <c r="U120" i="6"/>
  <c r="X120" i="6" s="1"/>
  <c r="AI120" i="6" s="1"/>
  <c r="U121" i="6"/>
  <c r="X121" i="6" s="1"/>
  <c r="U124" i="6"/>
  <c r="U125" i="6"/>
  <c r="X125" i="6" s="1"/>
  <c r="U126" i="6"/>
  <c r="X126" i="6" s="1"/>
  <c r="U127" i="6"/>
  <c r="X127" i="6" s="1"/>
  <c r="U128" i="6"/>
  <c r="U129" i="6"/>
  <c r="U130" i="6"/>
  <c r="X130" i="6" s="1"/>
  <c r="U131" i="6"/>
  <c r="U132" i="6"/>
  <c r="U133" i="6"/>
  <c r="U134" i="6"/>
  <c r="X134" i="6" s="1"/>
  <c r="U135" i="6"/>
  <c r="X135" i="6" s="1"/>
  <c r="U136" i="6"/>
  <c r="U137" i="6"/>
  <c r="X137" i="6" s="1"/>
  <c r="U138" i="6"/>
  <c r="X138" i="6" s="1"/>
  <c r="U139" i="6"/>
  <c r="X139" i="6" s="1"/>
  <c r="U142" i="6"/>
  <c r="U143" i="6"/>
  <c r="X143" i="6" s="1"/>
  <c r="U148" i="6"/>
  <c r="X148" i="6" s="1"/>
  <c r="U150" i="6"/>
  <c r="X150" i="6" s="1"/>
  <c r="U151" i="6"/>
  <c r="U152" i="6"/>
  <c r="X152" i="6" s="1"/>
  <c r="U153" i="6"/>
  <c r="X153" i="6" s="1"/>
  <c r="U156" i="6"/>
  <c r="X156" i="6" s="1"/>
  <c r="U158" i="6"/>
  <c r="U159" i="6"/>
  <c r="X159" i="6" s="1"/>
  <c r="U160" i="6"/>
  <c r="X160" i="6" s="1"/>
  <c r="U161" i="6"/>
  <c r="X161" i="6" s="1"/>
  <c r="U162" i="6"/>
  <c r="U163" i="6"/>
  <c r="X163" i="6" s="1"/>
  <c r="U164" i="6"/>
  <c r="X164" i="6" s="1"/>
  <c r="AI164" i="6" s="1"/>
  <c r="U165" i="6"/>
  <c r="X165" i="6" s="1"/>
  <c r="U166" i="6"/>
  <c r="U167" i="6"/>
  <c r="X167" i="6" s="1"/>
  <c r="U168" i="6"/>
  <c r="X168" i="6" s="1"/>
  <c r="AH168" i="6" s="1"/>
  <c r="U173" i="6"/>
  <c r="X173" i="6" s="1"/>
  <c r="U174" i="6"/>
  <c r="U177" i="6"/>
  <c r="X177" i="6" s="1"/>
  <c r="U178" i="6"/>
  <c r="X178" i="6" s="1"/>
  <c r="U179" i="6"/>
  <c r="X179" i="6" s="1"/>
  <c r="U180" i="6"/>
  <c r="U181" i="6"/>
  <c r="X181" i="6" s="1"/>
  <c r="U182" i="6"/>
  <c r="X182" i="6" s="1"/>
  <c r="U183" i="6"/>
  <c r="X183" i="6" s="1"/>
  <c r="U186" i="6"/>
  <c r="U188" i="6"/>
  <c r="X188" i="6" s="1"/>
  <c r="U189" i="6"/>
  <c r="X189" i="6" s="1"/>
  <c r="U190" i="6"/>
  <c r="X190" i="6" s="1"/>
  <c r="U191" i="6"/>
  <c r="U198" i="6"/>
  <c r="U199" i="6"/>
  <c r="X199" i="6" s="1"/>
  <c r="U200" i="6"/>
  <c r="X200" i="6" s="1"/>
  <c r="U201" i="6"/>
  <c r="U202" i="6"/>
  <c r="X202" i="6" s="1"/>
  <c r="U203" i="6"/>
  <c r="X203" i="6" s="1"/>
  <c r="U204" i="6"/>
  <c r="X204" i="6" s="1"/>
  <c r="U206" i="6"/>
  <c r="U207" i="6"/>
  <c r="U212" i="6"/>
  <c r="X212" i="6" s="1"/>
  <c r="U213" i="6"/>
  <c r="X213" i="6" s="1"/>
  <c r="U214" i="6"/>
  <c r="U215" i="6"/>
  <c r="X215" i="6" s="1"/>
  <c r="U216" i="6"/>
  <c r="X216" i="6" s="1"/>
  <c r="U217" i="6"/>
  <c r="X217" i="6" s="1"/>
  <c r="U218" i="6"/>
  <c r="U223" i="6"/>
  <c r="X223" i="6" s="1"/>
  <c r="U224" i="6"/>
  <c r="X224" i="6" s="1"/>
  <c r="U225" i="6"/>
  <c r="X225" i="6" s="1"/>
  <c r="U228" i="6"/>
  <c r="U229" i="6"/>
  <c r="X229" i="6" s="1"/>
  <c r="U230" i="6"/>
  <c r="X230" i="6" s="1"/>
  <c r="U236" i="6"/>
  <c r="X236" i="6" s="1"/>
  <c r="U237" i="6"/>
  <c r="U238" i="6"/>
  <c r="X238" i="6" s="1"/>
  <c r="U239" i="6"/>
  <c r="X239" i="6" s="1"/>
  <c r="U240" i="6"/>
  <c r="X240" i="6" s="1"/>
  <c r="U241" i="6"/>
  <c r="U244" i="6"/>
  <c r="U245" i="6"/>
  <c r="X245" i="6" s="1"/>
  <c r="U246" i="6"/>
  <c r="X246" i="6" s="1"/>
  <c r="U247" i="6"/>
  <c r="U248" i="6"/>
  <c r="X248" i="6" s="1"/>
  <c r="U249" i="6"/>
  <c r="X249" i="6" s="1"/>
  <c r="U250" i="6"/>
  <c r="X250" i="6" s="1"/>
  <c r="U251" i="6"/>
  <c r="U252" i="6"/>
  <c r="X252" i="6" s="1"/>
  <c r="U253" i="6"/>
  <c r="X253" i="6" s="1"/>
  <c r="U254" i="6"/>
  <c r="X254" i="6" s="1"/>
  <c r="U255" i="6"/>
  <c r="U256" i="6"/>
  <c r="X256" i="6" s="1"/>
  <c r="G29" i="6"/>
  <c r="G32" i="6"/>
  <c r="G35" i="6"/>
  <c r="G42" i="6"/>
  <c r="G45" i="6"/>
  <c r="G48" i="6"/>
  <c r="G51" i="6"/>
  <c r="G66" i="6"/>
  <c r="G72" i="6"/>
  <c r="G75" i="6"/>
  <c r="G78" i="6"/>
  <c r="G81" i="6"/>
  <c r="Y44" i="6"/>
  <c r="Y49" i="6"/>
  <c r="Y58" i="6"/>
  <c r="Y91" i="6"/>
  <c r="Y96" i="6"/>
  <c r="Y105" i="6"/>
  <c r="Y104" i="6" s="1"/>
  <c r="Y114" i="6"/>
  <c r="Y123" i="6"/>
  <c r="Y141" i="6"/>
  <c r="Y149" i="6"/>
  <c r="Y147" i="6" s="1"/>
  <c r="Y157" i="6"/>
  <c r="Y155" i="6" s="1"/>
  <c r="Y172" i="6"/>
  <c r="Y176" i="6"/>
  <c r="Y187" i="6"/>
  <c r="Y185" i="6" s="1"/>
  <c r="Y197" i="6"/>
  <c r="Y205" i="6"/>
  <c r="Y211" i="6"/>
  <c r="Y210" i="6" s="1"/>
  <c r="Y209" i="6" s="1"/>
  <c r="Y222" i="6"/>
  <c r="Y227" i="6"/>
  <c r="Y235" i="6"/>
  <c r="Y234" i="6" s="1"/>
  <c r="H10" i="6"/>
  <c r="H22" i="6"/>
  <c r="H25"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32" i="6"/>
  <c r="I35" i="6"/>
  <c r="I42" i="6"/>
  <c r="I48" i="6"/>
  <c r="I51" i="6"/>
  <c r="I66" i="6"/>
  <c r="I69" i="6"/>
  <c r="I72" i="6"/>
  <c r="AA44" i="6"/>
  <c r="AA49" i="6"/>
  <c r="AA58" i="6"/>
  <c r="AA91" i="6"/>
  <c r="AA96" i="6"/>
  <c r="AA105" i="6"/>
  <c r="AA104" i="6" s="1"/>
  <c r="AA114" i="6"/>
  <c r="AA141" i="6"/>
  <c r="AA149" i="6"/>
  <c r="AA147" i="6" s="1"/>
  <c r="AA157" i="6"/>
  <c r="AA155" i="6" s="1"/>
  <c r="AA172" i="6"/>
  <c r="AA176" i="6"/>
  <c r="AA187" i="6"/>
  <c r="AA185" i="6" s="1"/>
  <c r="AA197" i="6"/>
  <c r="AA205" i="6"/>
  <c r="AA211" i="6"/>
  <c r="AA210" i="6" s="1"/>
  <c r="AA209" i="6" s="1"/>
  <c r="AA222" i="6"/>
  <c r="AA227" i="6"/>
  <c r="J10" i="6"/>
  <c r="J22" i="6"/>
  <c r="J29" i="6"/>
  <c r="J32" i="6"/>
  <c r="J35" i="6"/>
  <c r="J42" i="6"/>
  <c r="J45" i="6"/>
  <c r="J48" i="6"/>
  <c r="J51" i="6"/>
  <c r="J54" i="6"/>
  <c r="J57" i="6"/>
  <c r="J60" i="6"/>
  <c r="J63" i="6"/>
  <c r="J66" i="6"/>
  <c r="J69" i="6"/>
  <c r="J72" i="6"/>
  <c r="J75" i="6"/>
  <c r="J78" i="6"/>
  <c r="J81" i="6"/>
  <c r="AB20" i="6"/>
  <c r="AB16" i="6" s="1"/>
  <c r="AB44" i="6"/>
  <c r="AB49" i="6"/>
  <c r="AB58" i="6"/>
  <c r="AB57" i="6" s="1"/>
  <c r="AB69" i="6"/>
  <c r="AB65" i="6" s="1"/>
  <c r="AB83" i="6"/>
  <c r="AB91" i="6"/>
  <c r="AB96" i="6"/>
  <c r="AB105" i="6"/>
  <c r="AB104" i="6" s="1"/>
  <c r="AB114" i="6"/>
  <c r="AB123" i="6"/>
  <c r="AB141" i="6"/>
  <c r="AB149" i="6"/>
  <c r="AB147" i="6" s="1"/>
  <c r="AB172" i="6"/>
  <c r="AB205" i="6"/>
  <c r="AB235" i="6"/>
  <c r="AB234" i="6" s="1"/>
  <c r="K10"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2" i="6"/>
  <c r="L29" i="6"/>
  <c r="L32" i="6"/>
  <c r="L35" i="6"/>
  <c r="L42" i="6"/>
  <c r="L45" i="6"/>
  <c r="L48" i="6"/>
  <c r="L51" i="6"/>
  <c r="L54" i="6"/>
  <c r="L57" i="6"/>
  <c r="L60" i="6"/>
  <c r="L63" i="6"/>
  <c r="L66" i="6"/>
  <c r="L69" i="6"/>
  <c r="L72" i="6"/>
  <c r="L75" i="6"/>
  <c r="L81" i="6"/>
  <c r="AD20" i="6"/>
  <c r="AD16" i="6" s="1"/>
  <c r="AD44" i="6"/>
  <c r="AD49" i="6"/>
  <c r="AD58" i="6"/>
  <c r="AD57" i="6" s="1"/>
  <c r="AD69" i="6"/>
  <c r="AD65" i="6" s="1"/>
  <c r="AD91" i="6"/>
  <c r="AD96" i="6"/>
  <c r="AD105" i="6"/>
  <c r="AD104" i="6" s="1"/>
  <c r="AD114" i="6"/>
  <c r="AD123" i="6"/>
  <c r="AD141" i="6"/>
  <c r="AD149" i="6"/>
  <c r="AD147" i="6" s="1"/>
  <c r="AD172" i="6"/>
  <c r="AD187" i="6"/>
  <c r="AD185" i="6" s="1"/>
  <c r="AD205" i="6"/>
  <c r="AD222" i="6"/>
  <c r="AE44" i="6"/>
  <c r="AE141" i="6"/>
  <c r="AE149" i="6"/>
  <c r="AE172" i="6"/>
  <c r="AE205" i="6"/>
  <c r="AF20" i="6"/>
  <c r="AF16" i="6" s="1"/>
  <c r="AF35" i="6"/>
  <c r="AF44" i="6"/>
  <c r="AF49" i="6"/>
  <c r="AF58" i="6"/>
  <c r="AF57" i="6" s="1"/>
  <c r="AF69" i="6"/>
  <c r="AF65" i="6" s="1"/>
  <c r="AF83" i="6"/>
  <c r="AF91" i="6"/>
  <c r="AF96" i="6"/>
  <c r="AF105" i="6"/>
  <c r="AF104" i="6" s="1"/>
  <c r="AF114" i="6"/>
  <c r="AF123" i="6"/>
  <c r="AF141" i="6"/>
  <c r="AF149" i="6"/>
  <c r="AF147" i="6" s="1"/>
  <c r="AF157" i="6"/>
  <c r="AF155" i="6" s="1"/>
  <c r="AF172" i="6"/>
  <c r="AF176" i="6"/>
  <c r="AF187" i="6"/>
  <c r="AF185" i="6" s="1"/>
  <c r="AF197" i="6"/>
  <c r="AF205" i="6"/>
  <c r="AF211" i="6"/>
  <c r="AF210" i="6" s="1"/>
  <c r="AF209" i="6" s="1"/>
  <c r="AF222" i="6"/>
  <c r="AF227" i="6"/>
  <c r="AF235" i="6"/>
  <c r="AF234" i="6" s="1"/>
  <c r="AF243" i="6"/>
  <c r="AG44" i="6"/>
  <c r="AG141" i="6"/>
  <c r="AG149" i="6"/>
  <c r="AG172" i="6"/>
  <c r="AG205" i="6"/>
  <c r="AH93" i="6"/>
  <c r="AH164"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C25" i="6"/>
  <c r="C81" i="6"/>
  <c r="U172" i="6"/>
  <c r="F24" i="5"/>
  <c r="F27" i="5"/>
  <c r="M27" i="5" s="1"/>
  <c r="F31" i="5"/>
  <c r="N31" i="5" s="1"/>
  <c r="F34" i="5"/>
  <c r="N34" i="5" s="1"/>
  <c r="F37" i="5"/>
  <c r="F41" i="5"/>
  <c r="F43" i="5"/>
  <c r="M43" i="5" s="1"/>
  <c r="F44" i="5"/>
  <c r="N44" i="5" s="1"/>
  <c r="F46" i="5"/>
  <c r="F47" i="5"/>
  <c r="F49" i="5"/>
  <c r="N49" i="5" s="1"/>
  <c r="F50" i="5"/>
  <c r="N50" i="5" s="1"/>
  <c r="F52" i="5"/>
  <c r="F53" i="5"/>
  <c r="F55" i="5"/>
  <c r="N55" i="5" s="1"/>
  <c r="F56" i="5"/>
  <c r="N56" i="5" s="1"/>
  <c r="F58" i="5"/>
  <c r="F59" i="5"/>
  <c r="F61" i="5"/>
  <c r="N61" i="5" s="1"/>
  <c r="F62" i="5"/>
  <c r="N62" i="5" s="1"/>
  <c r="F65" i="5"/>
  <c r="F67" i="5"/>
  <c r="N67" i="5" s="1"/>
  <c r="F68" i="5"/>
  <c r="N68" i="5" s="1"/>
  <c r="F70" i="5"/>
  <c r="N70" i="5" s="1"/>
  <c r="F71" i="5"/>
  <c r="F73" i="5"/>
  <c r="N73" i="5" s="1"/>
  <c r="F74" i="5"/>
  <c r="N74" i="5" s="1"/>
  <c r="C78" i="5"/>
  <c r="D78" i="5"/>
  <c r="E78" i="5"/>
  <c r="F82" i="5"/>
  <c r="M82" i="5" s="1"/>
  <c r="F83" i="5"/>
  <c r="M83" i="5" s="1"/>
  <c r="F13" i="5"/>
  <c r="F15" i="5"/>
  <c r="M15" i="5" s="1"/>
  <c r="X17" i="5"/>
  <c r="AJ17" i="5" s="1"/>
  <c r="X18" i="5"/>
  <c r="X19" i="5"/>
  <c r="AH19" i="5" s="1"/>
  <c r="X22" i="5"/>
  <c r="X23" i="5"/>
  <c r="AH23" i="5" s="1"/>
  <c r="X24" i="5"/>
  <c r="X26" i="5"/>
  <c r="X27" i="5"/>
  <c r="X28" i="5"/>
  <c r="X30" i="5"/>
  <c r="X31" i="5"/>
  <c r="X32" i="5"/>
  <c r="X36" i="5"/>
  <c r="AJ36" i="5" s="1"/>
  <c r="X37" i="5"/>
  <c r="X38" i="5"/>
  <c r="X40" i="5"/>
  <c r="X41" i="5"/>
  <c r="AH41" i="5" s="1"/>
  <c r="X45" i="5"/>
  <c r="X47" i="5"/>
  <c r="X48" i="5"/>
  <c r="X50" i="5"/>
  <c r="X52" i="5"/>
  <c r="X53" i="5"/>
  <c r="X54" i="5"/>
  <c r="X55" i="5"/>
  <c r="AJ55" i="5" s="1"/>
  <c r="X59" i="5"/>
  <c r="AH59" i="5" s="1"/>
  <c r="X60" i="5"/>
  <c r="X61" i="5"/>
  <c r="X67" i="5"/>
  <c r="AH67" i="5" s="1"/>
  <c r="X68" i="5"/>
  <c r="X70" i="5"/>
  <c r="X72" i="5"/>
  <c r="AH72" i="5" s="1"/>
  <c r="X73" i="5"/>
  <c r="AH73" i="5" s="1"/>
  <c r="X74" i="5"/>
  <c r="X76" i="5"/>
  <c r="X77" i="5"/>
  <c r="X78" i="5"/>
  <c r="X80" i="5"/>
  <c r="AH80" i="5" s="1"/>
  <c r="X81" i="5"/>
  <c r="X84" i="5"/>
  <c r="X86" i="5"/>
  <c r="AH86" i="5" s="1"/>
  <c r="X87" i="5"/>
  <c r="AH87" i="5" s="1"/>
  <c r="X88" i="5"/>
  <c r="X93" i="5"/>
  <c r="X94" i="5"/>
  <c r="AH94" i="5" s="1"/>
  <c r="X95" i="5"/>
  <c r="X98" i="5"/>
  <c r="X99" i="5"/>
  <c r="AH99" i="5" s="1"/>
  <c r="X100" i="5"/>
  <c r="X102" i="5"/>
  <c r="X106" i="5"/>
  <c r="X107" i="5"/>
  <c r="X115" i="5"/>
  <c r="AJ115" i="5" s="1"/>
  <c r="X116" i="5"/>
  <c r="AH116" i="5" s="1"/>
  <c r="X117" i="5"/>
  <c r="X119" i="5"/>
  <c r="X120" i="5"/>
  <c r="AH120" i="5" s="1"/>
  <c r="X121" i="5"/>
  <c r="X125" i="5"/>
  <c r="X126" i="5"/>
  <c r="AH126" i="5" s="1"/>
  <c r="X127" i="5"/>
  <c r="X129" i="5"/>
  <c r="AH129" i="5" s="1"/>
  <c r="X131" i="5"/>
  <c r="X133" i="5"/>
  <c r="AH133" i="5" s="1"/>
  <c r="X134" i="5"/>
  <c r="AI134" i="5" s="1"/>
  <c r="X135" i="5"/>
  <c r="X137" i="5"/>
  <c r="X138" i="5"/>
  <c r="AH138" i="5" s="1"/>
  <c r="X139" i="5"/>
  <c r="X143" i="5"/>
  <c r="X148" i="5"/>
  <c r="AH148" i="5" s="1"/>
  <c r="X150" i="5"/>
  <c r="X152" i="5"/>
  <c r="X156" i="5"/>
  <c r="X159" i="5"/>
  <c r="AJ159" i="5" s="1"/>
  <c r="X160" i="5"/>
  <c r="AH160" i="5" s="1"/>
  <c r="X161" i="5"/>
  <c r="X163" i="5"/>
  <c r="X164" i="5"/>
  <c r="AH164" i="5" s="1"/>
  <c r="X165" i="5"/>
  <c r="X167" i="5"/>
  <c r="X168" i="5"/>
  <c r="AH168" i="5" s="1"/>
  <c r="X173" i="5"/>
  <c r="X177" i="5"/>
  <c r="AH177" i="5" s="1"/>
  <c r="X178" i="5"/>
  <c r="X179" i="5"/>
  <c r="X181" i="5"/>
  <c r="AH181" i="5" s="1"/>
  <c r="X182" i="5"/>
  <c r="X183" i="5"/>
  <c r="X188" i="5"/>
  <c r="X189" i="5"/>
  <c r="AH189" i="5" s="1"/>
  <c r="X190" i="5"/>
  <c r="X198" i="5"/>
  <c r="X199" i="5"/>
  <c r="X200" i="5"/>
  <c r="X202" i="5"/>
  <c r="AJ202" i="5" s="1"/>
  <c r="X203" i="5"/>
  <c r="X204" i="5"/>
  <c r="X207" i="5"/>
  <c r="X212" i="5"/>
  <c r="AH212" i="5" s="1"/>
  <c r="X213" i="5"/>
  <c r="X215" i="5"/>
  <c r="AH215" i="5" s="1"/>
  <c r="X216" i="5"/>
  <c r="AH216" i="5" s="1"/>
  <c r="X217" i="5"/>
  <c r="X223" i="5"/>
  <c r="X224" i="5"/>
  <c r="X225" i="5"/>
  <c r="X229" i="5"/>
  <c r="AH229" i="5" s="1"/>
  <c r="X230" i="5"/>
  <c r="X236" i="5"/>
  <c r="X238" i="5"/>
  <c r="AH238" i="5" s="1"/>
  <c r="X239" i="5"/>
  <c r="X240" i="5"/>
  <c r="X244" i="5"/>
  <c r="X245" i="5"/>
  <c r="AH245" i="5" s="1"/>
  <c r="X246" i="5"/>
  <c r="X248" i="5"/>
  <c r="X249" i="5"/>
  <c r="X250" i="5"/>
  <c r="X252" i="5"/>
  <c r="X253" i="5"/>
  <c r="X254" i="5"/>
  <c r="X256" i="5"/>
  <c r="AJ256"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10" i="5"/>
  <c r="I22" i="5"/>
  <c r="AR7" i="5" s="1"/>
  <c r="I25" i="5"/>
  <c r="I29" i="5"/>
  <c r="I32" i="5"/>
  <c r="I35" i="5"/>
  <c r="I42" i="5"/>
  <c r="I48" i="5"/>
  <c r="I51" i="5"/>
  <c r="I54" i="5"/>
  <c r="I60" i="5"/>
  <c r="I66" i="5"/>
  <c r="I72" i="5"/>
  <c r="I81" i="5"/>
  <c r="AA35" i="5"/>
  <c r="AA44" i="5"/>
  <c r="AA49" i="5"/>
  <c r="AA58" i="5"/>
  <c r="AA57" i="5" s="1"/>
  <c r="AA69" i="5"/>
  <c r="AA65" i="5" s="1"/>
  <c r="AA83" i="5"/>
  <c r="AA91" i="5"/>
  <c r="AA96" i="5"/>
  <c r="AA105" i="5"/>
  <c r="AA104" i="5" s="1"/>
  <c r="AA114" i="5"/>
  <c r="AA123" i="5"/>
  <c r="AA141" i="5"/>
  <c r="AA149" i="5"/>
  <c r="AA147" i="5" s="1"/>
  <c r="AA157" i="5"/>
  <c r="AA155" i="5" s="1"/>
  <c r="AA172" i="5"/>
  <c r="AA176" i="5"/>
  <c r="AA187" i="5"/>
  <c r="AA185" i="5" s="1"/>
  <c r="AA197" i="5"/>
  <c r="AA205" i="5"/>
  <c r="AA211" i="5"/>
  <c r="AA210" i="5" s="1"/>
  <c r="AA209" i="5" s="1"/>
  <c r="AA222" i="5"/>
  <c r="AA227" i="5"/>
  <c r="AA235" i="5"/>
  <c r="AA234" i="5" s="1"/>
  <c r="K10"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10" i="5"/>
  <c r="L22" i="5"/>
  <c r="L25" i="5"/>
  <c r="AS8" i="5" s="1"/>
  <c r="L29" i="5"/>
  <c r="L32" i="5"/>
  <c r="L35" i="5"/>
  <c r="L42" i="5"/>
  <c r="L45" i="5"/>
  <c r="L48" i="5"/>
  <c r="L51" i="5"/>
  <c r="L54" i="5"/>
  <c r="L57" i="5"/>
  <c r="L60" i="5"/>
  <c r="L63" i="5"/>
  <c r="L66" i="5"/>
  <c r="L69" i="5"/>
  <c r="L72" i="5"/>
  <c r="L75" i="5"/>
  <c r="L81" i="5"/>
  <c r="AD20" i="5"/>
  <c r="AD16" i="5" s="1"/>
  <c r="AD44" i="5"/>
  <c r="AD49" i="5"/>
  <c r="AD58" i="5"/>
  <c r="AD57" i="5" s="1"/>
  <c r="AD69" i="5"/>
  <c r="AD65" i="5" s="1"/>
  <c r="AD83" i="5"/>
  <c r="AD91" i="5"/>
  <c r="AD96" i="5"/>
  <c r="AD105" i="5"/>
  <c r="AD104" i="5" s="1"/>
  <c r="AD114" i="5"/>
  <c r="AD123" i="5"/>
  <c r="AD141" i="5"/>
  <c r="AD149" i="5"/>
  <c r="AD147" i="5" s="1"/>
  <c r="AD157" i="5"/>
  <c r="AD155" i="5" s="1"/>
  <c r="AD172" i="5"/>
  <c r="AD176" i="5"/>
  <c r="AD187" i="5"/>
  <c r="AD185" i="5" s="1"/>
  <c r="AD197" i="5"/>
  <c r="AD205" i="5"/>
  <c r="AD211" i="5"/>
  <c r="AD210" i="5" s="1"/>
  <c r="AD209" i="5" s="1"/>
  <c r="AR29" i="5" s="1"/>
  <c r="AD222" i="5"/>
  <c r="AD227" i="5"/>
  <c r="M24" i="5"/>
  <c r="M31" i="5"/>
  <c r="M34" i="5"/>
  <c r="M37" i="5"/>
  <c r="M44" i="5"/>
  <c r="M46" i="5"/>
  <c r="M50" i="5"/>
  <c r="M52" i="5"/>
  <c r="M56" i="5"/>
  <c r="M67" i="5"/>
  <c r="M13" i="5"/>
  <c r="N24" i="5"/>
  <c r="N37" i="5"/>
  <c r="N46" i="5"/>
  <c r="N52" i="5"/>
  <c r="N58" i="5"/>
  <c r="N13" i="5"/>
  <c r="N15"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c r="AF197" i="5"/>
  <c r="AF205" i="5"/>
  <c r="AF211" i="5"/>
  <c r="AF210" i="5" s="1"/>
  <c r="AF209" i="5" s="1"/>
  <c r="AF222" i="5"/>
  <c r="AF227" i="5"/>
  <c r="AF235" i="5"/>
  <c r="AF234" i="5" s="1"/>
  <c r="AF232" i="5" s="1"/>
  <c r="AG35" i="5"/>
  <c r="AG105" i="5"/>
  <c r="AG104" i="5" s="1"/>
  <c r="AG141" i="5"/>
  <c r="AG149" i="5"/>
  <c r="AG157" i="5"/>
  <c r="AG155" i="5" s="1"/>
  <c r="AG172" i="5"/>
  <c r="AG205" i="5"/>
  <c r="P10" i="5"/>
  <c r="P22" i="5"/>
  <c r="P25" i="5"/>
  <c r="P29" i="5"/>
  <c r="P32" i="5"/>
  <c r="P35" i="5"/>
  <c r="P42" i="5"/>
  <c r="P45" i="5"/>
  <c r="P48" i="5"/>
  <c r="P51" i="5"/>
  <c r="P54" i="5"/>
  <c r="P57" i="5"/>
  <c r="P60" i="5"/>
  <c r="P63" i="5"/>
  <c r="P66" i="5"/>
  <c r="P69" i="5"/>
  <c r="P72" i="5"/>
  <c r="P75" i="5"/>
  <c r="P78" i="5"/>
  <c r="P81" i="5"/>
  <c r="AH18" i="5"/>
  <c r="AH22" i="5"/>
  <c r="AH27" i="5"/>
  <c r="AH30" i="5"/>
  <c r="AH31" i="5"/>
  <c r="AH37" i="5"/>
  <c r="AH40" i="5"/>
  <c r="AH47" i="5"/>
  <c r="AH48" i="5"/>
  <c r="AH52" i="5"/>
  <c r="AH53" i="5"/>
  <c r="AH60" i="5"/>
  <c r="AH68" i="5"/>
  <c r="AH76" i="5"/>
  <c r="AH77" i="5"/>
  <c r="AH81" i="5"/>
  <c r="AH93" i="5"/>
  <c r="AH98" i="5"/>
  <c r="AH102" i="5"/>
  <c r="AH106" i="5"/>
  <c r="AH119" i="5"/>
  <c r="AH125" i="5"/>
  <c r="AH137" i="5"/>
  <c r="AH143" i="5"/>
  <c r="AH152" i="5"/>
  <c r="AH163" i="5"/>
  <c r="AH167" i="5"/>
  <c r="AH178" i="5"/>
  <c r="AH182" i="5"/>
  <c r="AH188" i="5"/>
  <c r="AH198" i="5"/>
  <c r="AH199" i="5"/>
  <c r="AH202" i="5"/>
  <c r="AH203" i="5"/>
  <c r="AH223" i="5"/>
  <c r="AH224" i="5"/>
  <c r="AH230" i="5"/>
  <c r="AH239" i="5"/>
  <c r="AH244" i="5"/>
  <c r="AH248" i="5"/>
  <c r="AH249" i="5"/>
  <c r="AH252" i="5"/>
  <c r="AH253" i="5"/>
  <c r="Q10" i="5"/>
  <c r="Q22" i="5"/>
  <c r="Q25" i="5"/>
  <c r="Q29" i="5"/>
  <c r="Q32" i="5"/>
  <c r="Q35" i="5"/>
  <c r="Q42" i="5"/>
  <c r="Q45" i="5"/>
  <c r="Q48" i="5"/>
  <c r="Q51" i="5"/>
  <c r="Q54" i="5"/>
  <c r="Q57" i="5"/>
  <c r="Q60" i="5"/>
  <c r="Q63" i="5"/>
  <c r="Q66" i="5"/>
  <c r="Q69" i="5"/>
  <c r="Q72" i="5"/>
  <c r="Q75" i="5"/>
  <c r="Q78" i="5"/>
  <c r="Q81" i="5"/>
  <c r="AI18" i="5"/>
  <c r="AI19" i="5"/>
  <c r="AI22" i="5"/>
  <c r="AI26" i="5"/>
  <c r="AI27" i="5"/>
  <c r="AI30" i="5"/>
  <c r="AI31" i="5"/>
  <c r="AI37" i="5"/>
  <c r="AI40" i="5"/>
  <c r="AI47" i="5"/>
  <c r="AI48" i="5"/>
  <c r="AI52" i="5"/>
  <c r="AI53" i="5"/>
  <c r="AI60" i="5"/>
  <c r="AI68" i="5"/>
  <c r="AI76" i="5"/>
  <c r="AI77" i="5"/>
  <c r="AI80" i="5"/>
  <c r="AI81" i="5"/>
  <c r="AI87" i="5"/>
  <c r="AI93" i="5"/>
  <c r="AI98" i="5"/>
  <c r="AI102" i="5"/>
  <c r="AI106" i="5"/>
  <c r="AI119" i="5"/>
  <c r="AI125" i="5"/>
  <c r="AI126" i="5"/>
  <c r="AI137" i="5"/>
  <c r="AI143" i="5"/>
  <c r="AI152" i="5"/>
  <c r="AI160" i="5"/>
  <c r="AI163" i="5"/>
  <c r="AI167" i="5"/>
  <c r="AI168" i="5"/>
  <c r="AI178" i="5"/>
  <c r="AI182" i="5"/>
  <c r="AI188" i="5"/>
  <c r="AI198" i="5"/>
  <c r="AI199" i="5"/>
  <c r="AI202" i="5"/>
  <c r="AI203" i="5"/>
  <c r="AI207" i="5"/>
  <c r="AI212" i="5"/>
  <c r="AI215" i="5"/>
  <c r="AI223" i="5"/>
  <c r="AI224" i="5"/>
  <c r="AI229" i="5"/>
  <c r="AI230" i="5"/>
  <c r="AI239" i="5"/>
  <c r="AI244" i="5"/>
  <c r="AI248" i="5"/>
  <c r="AI249" i="5"/>
  <c r="AI252" i="5"/>
  <c r="AI253" i="5"/>
  <c r="AJ19" i="5"/>
  <c r="AJ22" i="5"/>
  <c r="AJ26" i="5"/>
  <c r="AJ30" i="5"/>
  <c r="AJ40" i="5"/>
  <c r="AJ47" i="5"/>
  <c r="AJ52" i="5"/>
  <c r="AJ60" i="5"/>
  <c r="AJ72" i="5"/>
  <c r="AJ73" i="5"/>
  <c r="AJ76" i="5"/>
  <c r="AJ80" i="5"/>
  <c r="AJ93" i="5"/>
  <c r="AJ98" i="5"/>
  <c r="AJ99" i="5"/>
  <c r="AJ102" i="5"/>
  <c r="AJ119" i="5"/>
  <c r="AJ125" i="5"/>
  <c r="AJ137" i="5"/>
  <c r="AJ143" i="5"/>
  <c r="AJ148" i="5"/>
  <c r="AJ152" i="5"/>
  <c r="AJ163" i="5"/>
  <c r="AJ167" i="5"/>
  <c r="AJ188" i="5"/>
  <c r="AJ199" i="5"/>
  <c r="AJ215" i="5"/>
  <c r="AJ223" i="5"/>
  <c r="AJ229" i="5"/>
  <c r="AJ244" i="5"/>
  <c r="AJ248" i="5"/>
  <c r="AJ249" i="5"/>
  <c r="AJ253" i="5"/>
  <c r="D10" i="5"/>
  <c r="D25" i="5"/>
  <c r="D29" i="5"/>
  <c r="D32" i="5"/>
  <c r="D42" i="5"/>
  <c r="D45" i="5"/>
  <c r="D48" i="5"/>
  <c r="D51" i="5"/>
  <c r="D54" i="5"/>
  <c r="D57" i="5"/>
  <c r="D60" i="5"/>
  <c r="D66" i="5"/>
  <c r="D69" i="5"/>
  <c r="D72" i="5"/>
  <c r="D81" i="5"/>
  <c r="V20" i="5"/>
  <c r="V16" i="5" s="1"/>
  <c r="V35" i="5"/>
  <c r="V49" i="5"/>
  <c r="V58" i="5"/>
  <c r="V57" i="5" s="1"/>
  <c r="V69" i="5"/>
  <c r="V65" i="5" s="1"/>
  <c r="V91" i="5"/>
  <c r="V96" i="5"/>
  <c r="V105" i="5"/>
  <c r="V104" i="5" s="1"/>
  <c r="V157" i="5"/>
  <c r="V155" i="5" s="1"/>
  <c r="V172" i="5"/>
  <c r="V187" i="5"/>
  <c r="V197" i="5"/>
  <c r="V205" i="5"/>
  <c r="V222" i="5"/>
  <c r="V227" i="5"/>
  <c r="V235" i="5"/>
  <c r="V234" i="5" s="1"/>
  <c r="E22" i="5"/>
  <c r="E25" i="5"/>
  <c r="E29" i="5"/>
  <c r="E35" i="5"/>
  <c r="E42" i="5"/>
  <c r="E45" i="5"/>
  <c r="E48" i="5"/>
  <c r="E54" i="5"/>
  <c r="E57" i="5"/>
  <c r="E60" i="5"/>
  <c r="E66" i="5"/>
  <c r="E69" i="5"/>
  <c r="E72" i="5"/>
  <c r="E81" i="5"/>
  <c r="W20" i="5"/>
  <c r="W16" i="5" s="1"/>
  <c r="W49" i="5"/>
  <c r="W58" i="5"/>
  <c r="W57" i="5" s="1"/>
  <c r="W69" i="5"/>
  <c r="W65" i="5" s="1"/>
  <c r="W83" i="5"/>
  <c r="W91" i="5"/>
  <c r="W96" i="5"/>
  <c r="W105" i="5"/>
  <c r="W104" i="5" s="1"/>
  <c r="W114" i="5"/>
  <c r="W123" i="5"/>
  <c r="W141" i="5"/>
  <c r="W149" i="5"/>
  <c r="W147" i="5" s="1"/>
  <c r="W157" i="5"/>
  <c r="W155" i="5" s="1"/>
  <c r="W172" i="5"/>
  <c r="W176" i="5"/>
  <c r="W187" i="5"/>
  <c r="W185" i="5" s="1"/>
  <c r="W197" i="5"/>
  <c r="W205" i="5"/>
  <c r="W211" i="5"/>
  <c r="W210" i="5" s="1"/>
  <c r="W209" i="5" s="1"/>
  <c r="W222" i="5"/>
  <c r="W227" i="5"/>
  <c r="W235" i="5"/>
  <c r="W234" i="5" s="1"/>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3" i="20" s="1"/>
  <c r="BQ18" i="16"/>
  <c r="Q42" i="20" s="1"/>
  <c r="BP18" i="16"/>
  <c r="BO20" i="15"/>
  <c r="BQ19" i="15"/>
  <c r="P43" i="20" s="1"/>
  <c r="BQ18" i="15"/>
  <c r="P42" i="20" s="1"/>
  <c r="BP18" i="15"/>
  <c r="BQ19" i="14"/>
  <c r="O43" i="20" s="1"/>
  <c r="BQ18" i="14"/>
  <c r="O42" i="20" s="1"/>
  <c r="BP18" i="14"/>
  <c r="BQ19" i="13"/>
  <c r="N43" i="20" s="1"/>
  <c r="BQ18" i="13"/>
  <c r="N42" i="20" s="1"/>
  <c r="BQ19" i="12"/>
  <c r="M43" i="20" s="1"/>
  <c r="BQ18" i="12"/>
  <c r="M42" i="20" s="1"/>
  <c r="BQ19" i="11"/>
  <c r="L43" i="20" s="1"/>
  <c r="BQ18" i="11"/>
  <c r="L42" i="20" s="1"/>
  <c r="BP18" i="11"/>
  <c r="BQ19" i="10"/>
  <c r="K43" i="20" s="1"/>
  <c r="BQ18" i="10"/>
  <c r="K42" i="20" s="1"/>
  <c r="BP18" i="10"/>
  <c r="BO20" i="9"/>
  <c r="BQ19" i="9"/>
  <c r="J43" i="20" s="1"/>
  <c r="BQ18" i="9"/>
  <c r="J42" i="20" s="1"/>
  <c r="BP18" i="9"/>
  <c r="BO20" i="8"/>
  <c r="BQ19" i="8"/>
  <c r="I43" i="20" s="1"/>
  <c r="BN19" i="8"/>
  <c r="BQ18" i="8"/>
  <c r="I42" i="20" s="1"/>
  <c r="BP18" i="8"/>
  <c r="BO18" i="8"/>
  <c r="BQ20" i="7"/>
  <c r="H44" i="20" s="1"/>
  <c r="BO20" i="7"/>
  <c r="BQ19" i="7"/>
  <c r="H43" i="20" s="1"/>
  <c r="BQ18" i="7"/>
  <c r="H42" i="20" s="1"/>
  <c r="BP18" i="7"/>
  <c r="BO18" i="7"/>
  <c r="BN18" i="7"/>
  <c r="BQ16" i="7"/>
  <c r="H40" i="20" s="1"/>
  <c r="BQ20" i="6"/>
  <c r="G44" i="20" s="1"/>
  <c r="BP20" i="6"/>
  <c r="BO20" i="6"/>
  <c r="BQ19" i="6"/>
  <c r="G43" i="20" s="1"/>
  <c r="BQ18" i="6"/>
  <c r="G42" i="20" s="1"/>
  <c r="BP18" i="6"/>
  <c r="BO18" i="6"/>
  <c r="BQ19" i="5"/>
  <c r="F43" i="20" s="1"/>
  <c r="BP19" i="5"/>
  <c r="BO19" i="5"/>
  <c r="B15" i="5"/>
  <c r="Z123" i="16"/>
  <c r="Z157" i="16"/>
  <c r="Z155" i="16" s="1"/>
  <c r="AM157" i="16"/>
  <c r="AL157" i="16"/>
  <c r="AF157" i="16"/>
  <c r="AC157" i="16"/>
  <c r="AM157" i="15"/>
  <c r="AL157" i="15"/>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C157" i="14"/>
  <c r="AM157" i="13"/>
  <c r="AL157" i="13"/>
  <c r="AF157" i="13"/>
  <c r="AC157" i="13"/>
  <c r="Z157" i="13"/>
  <c r="Z155" i="13" s="1"/>
  <c r="AM157" i="12"/>
  <c r="AL157" i="12"/>
  <c r="AF157" i="12"/>
  <c r="AC157" i="12"/>
  <c r="Z157" i="12"/>
  <c r="Z123" i="13"/>
  <c r="AX12" i="13"/>
  <c r="AQ12" i="13"/>
  <c r="Z155" i="12"/>
  <c r="Z123" i="12"/>
  <c r="AX12" i="12"/>
  <c r="AQ12" i="12"/>
  <c r="Z123" i="11"/>
  <c r="Z157" i="11"/>
  <c r="Z155" i="11" s="1"/>
  <c r="AM157" i="11"/>
  <c r="AL157" i="11"/>
  <c r="AF157" i="11"/>
  <c r="AC157" i="11"/>
  <c r="AM157" i="9"/>
  <c r="AL157" i="9"/>
  <c r="AF157" i="9"/>
  <c r="AC157" i="9"/>
  <c r="Z157" i="9"/>
  <c r="Z155" i="9" s="1"/>
  <c r="AM157" i="10"/>
  <c r="AL157" i="10"/>
  <c r="AF157" i="10"/>
  <c r="AC157" i="10"/>
  <c r="Z157" i="10"/>
  <c r="Z155" i="10" s="1"/>
  <c r="Z123" i="10"/>
  <c r="Z123" i="9"/>
  <c r="Z123" i="8"/>
  <c r="Z157" i="8"/>
  <c r="Z155" i="8" s="1"/>
  <c r="AX12" i="8"/>
  <c r="AQ12" i="8"/>
  <c r="AM157" i="8"/>
  <c r="AL157" i="8"/>
  <c r="AF157" i="8"/>
  <c r="AC157" i="8"/>
  <c r="AL157" i="7"/>
  <c r="AM157" i="7"/>
  <c r="AX12" i="6"/>
  <c r="AQ12" i="6"/>
  <c r="AX13" i="6"/>
  <c r="AL157" i="6"/>
  <c r="AM157" i="6"/>
  <c r="BN19" i="5"/>
  <c r="AM157" i="5"/>
  <c r="AL157" i="5"/>
  <c r="AL155" i="5" s="1"/>
  <c r="Y157" i="5"/>
  <c r="Y155" i="5" s="1"/>
  <c r="AB157" i="5"/>
  <c r="AE157" i="5"/>
  <c r="BO10" i="7"/>
  <c r="BO11" i="7"/>
  <c r="BO10" i="10"/>
  <c r="BO11" i="10"/>
  <c r="BO11" i="13"/>
  <c r="BO11" i="16"/>
  <c r="BO23" i="7"/>
  <c r="BO23" i="10"/>
  <c r="BO23" i="13"/>
  <c r="BO23" i="16"/>
  <c r="BO26" i="7"/>
  <c r="BO27" i="7"/>
  <c r="BO26" i="10"/>
  <c r="BO26" i="13"/>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Q35" i="20" s="1"/>
  <c r="BQ10" i="5"/>
  <c r="F34" i="20" s="1"/>
  <c r="BQ10" i="6"/>
  <c r="G34" i="20" s="1"/>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N34" i="20" s="1"/>
  <c r="AF69" i="13"/>
  <c r="AF65" i="13" s="1"/>
  <c r="AF20" i="14"/>
  <c r="AF16" i="14" s="1"/>
  <c r="BQ10" i="14"/>
  <c r="O34" i="20" s="1"/>
  <c r="AF69" i="14"/>
  <c r="AF65" i="14" s="1"/>
  <c r="AF20" i="15"/>
  <c r="AF16" i="15" s="1"/>
  <c r="BQ10" i="15"/>
  <c r="P34" i="20" s="1"/>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3"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H10" i="16"/>
  <c r="Q10" i="15"/>
  <c r="P10" i="15"/>
  <c r="K10" i="15"/>
  <c r="H10" i="15"/>
  <c r="Q10" i="14"/>
  <c r="P10" i="14"/>
  <c r="K10" i="14"/>
  <c r="H10" i="14"/>
  <c r="Q10" i="13"/>
  <c r="P10" i="13"/>
  <c r="K10" i="13"/>
  <c r="H10" i="13"/>
  <c r="Q10" i="12"/>
  <c r="P10" i="12"/>
  <c r="K10" i="12"/>
  <c r="H10" i="12"/>
  <c r="Q10" i="11"/>
  <c r="P10" i="11"/>
  <c r="K10" i="11"/>
  <c r="H10" i="11"/>
  <c r="Q10" i="10"/>
  <c r="P10" i="10"/>
  <c r="K10" i="10"/>
  <c r="H10" i="10"/>
  <c r="Q10" i="9"/>
  <c r="P10" i="9"/>
  <c r="K10" i="9"/>
  <c r="H10" i="9"/>
  <c r="Q10" i="8"/>
  <c r="P10" i="8"/>
  <c r="K10" i="8"/>
  <c r="H10" i="8"/>
  <c r="A8" i="6"/>
  <c r="B8" i="6"/>
  <c r="B8" i="7" s="1"/>
  <c r="B8" i="8" s="1"/>
  <c r="B8" i="9" s="1"/>
  <c r="B8" i="10" s="1"/>
  <c r="B8" i="11" s="1"/>
  <c r="B8" i="12" s="1"/>
  <c r="B8" i="13" s="1"/>
  <c r="B8" i="14" s="1"/>
  <c r="B8" i="15" s="1"/>
  <c r="B8" i="16" s="1"/>
  <c r="A17" i="6"/>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J81" i="5"/>
  <c r="G81" i="5"/>
  <c r="AM243" i="7"/>
  <c r="AM243" i="9"/>
  <c r="AM243" i="11"/>
  <c r="AM243" i="13"/>
  <c r="AM243" i="15"/>
  <c r="AM235" i="6"/>
  <c r="AM234" i="6" s="1"/>
  <c r="AM235" i="7"/>
  <c r="AM234" i="7" s="1"/>
  <c r="AM235" i="8"/>
  <c r="AM234" i="8" s="1"/>
  <c r="AM235" i="9"/>
  <c r="AM234" i="9" s="1"/>
  <c r="AM232"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7" i="7"/>
  <c r="AM187" i="9"/>
  <c r="AM187" i="10"/>
  <c r="AM187" i="11"/>
  <c r="AM187" i="12"/>
  <c r="AM187" i="13"/>
  <c r="AM187" i="14"/>
  <c r="AM187" i="15"/>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9" i="8"/>
  <c r="AM149" i="9"/>
  <c r="AM149" i="10"/>
  <c r="AM149" i="11"/>
  <c r="AM149" i="12"/>
  <c r="AM149" i="13"/>
  <c r="AM149" i="14"/>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0"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4" i="10"/>
  <c r="AM44" i="11"/>
  <c r="AM44" i="12"/>
  <c r="AM44" i="13"/>
  <c r="AM44" i="14"/>
  <c r="AM44" i="15"/>
  <c r="AM35" i="6"/>
  <c r="AM35" i="7"/>
  <c r="AM35" i="8"/>
  <c r="AM35" i="10"/>
  <c r="AM35" i="11"/>
  <c r="AM35" i="12"/>
  <c r="AM35" i="13"/>
  <c r="AM35" i="14"/>
  <c r="AM35" i="15"/>
  <c r="AM20" i="7"/>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Q31" i="8"/>
  <c r="I55" i="20" s="1"/>
  <c r="BQ31" i="9"/>
  <c r="AL187" i="6"/>
  <c r="AL187" i="7"/>
  <c r="AL187" i="9"/>
  <c r="AL187" i="10"/>
  <c r="AL187" i="11"/>
  <c r="AL187" i="12"/>
  <c r="AL187" i="13"/>
  <c r="AL187" i="14"/>
  <c r="AL187" i="15"/>
  <c r="AL187" i="16"/>
  <c r="AL187" i="5"/>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L197" i="8"/>
  <c r="AM197" i="8"/>
  <c r="AL197" i="9"/>
  <c r="AM197" i="9"/>
  <c r="AM196" i="9" s="1"/>
  <c r="AM195" i="9" s="1"/>
  <c r="AL197" i="10"/>
  <c r="AM197" i="10"/>
  <c r="AL197" i="11"/>
  <c r="AM197" i="11"/>
  <c r="AL197" i="12"/>
  <c r="AM197" i="12"/>
  <c r="AM196" i="12" s="1"/>
  <c r="AM195" i="12" s="1"/>
  <c r="AL197" i="13"/>
  <c r="AM197" i="13"/>
  <c r="AM196" i="13" s="1"/>
  <c r="AM195" i="13" s="1"/>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5" i="6"/>
  <c r="B12" i="6"/>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7" i="7"/>
  <c r="A17" i="8" s="1"/>
  <c r="A17" i="9" s="1"/>
  <c r="A17" i="10" s="1"/>
  <c r="A17" i="11" s="1"/>
  <c r="A17" i="12" s="1"/>
  <c r="A17" i="13" s="1"/>
  <c r="A17" i="14" s="1"/>
  <c r="A17" i="15" s="1"/>
  <c r="A17"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S6" i="6" s="1"/>
  <c r="AR6" i="8"/>
  <c r="AR6" i="9"/>
  <c r="AS6" i="9" s="1"/>
  <c r="AR6" i="10"/>
  <c r="AR6" i="11"/>
  <c r="AS21" i="11" s="1"/>
  <c r="AR6" i="12"/>
  <c r="AR6" i="13"/>
  <c r="AR6" i="14"/>
  <c r="AR6" i="15"/>
  <c r="AR6" i="16"/>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BH5" i="10" s="1"/>
  <c r="F2" i="10"/>
  <c r="D2" i="10" s="1"/>
  <c r="F3" i="11"/>
  <c r="D3" i="11" s="1"/>
  <c r="N3" i="11"/>
  <c r="AJ3" i="11" s="1"/>
  <c r="F2" i="11"/>
  <c r="D2" i="11" s="1"/>
  <c r="F3" i="12"/>
  <c r="D3" i="12" s="1"/>
  <c r="N3" i="12"/>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AW4" i="16" s="1"/>
  <c r="F2" i="16"/>
  <c r="D2" i="16" s="1"/>
  <c r="F3" i="5"/>
  <c r="D3" i="5" s="1"/>
  <c r="F2" i="5"/>
  <c r="D2" i="5" s="1"/>
  <c r="N3" i="5"/>
  <c r="BC5" i="5" s="1"/>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L78" i="5" s="1"/>
  <c r="Y20" i="5"/>
  <c r="Y16" i="5" s="1"/>
  <c r="Y35" i="5"/>
  <c r="Y44" i="5"/>
  <c r="Y49" i="5"/>
  <c r="Y58" i="5"/>
  <c r="Y57" i="5" s="1"/>
  <c r="Y69" i="5"/>
  <c r="Y65" i="5" s="1"/>
  <c r="Y83" i="5"/>
  <c r="Y91" i="5"/>
  <c r="Y96" i="5"/>
  <c r="Y105" i="5"/>
  <c r="Y104" i="5" s="1"/>
  <c r="Y114" i="5"/>
  <c r="Y123" i="5"/>
  <c r="Y141" i="5"/>
  <c r="Y149" i="5"/>
  <c r="Y147" i="5" s="1"/>
  <c r="Y145" i="5" s="1"/>
  <c r="Y172" i="5"/>
  <c r="Y176" i="5"/>
  <c r="Y187" i="5"/>
  <c r="Y185" i="5" s="1"/>
  <c r="Y205" i="5"/>
  <c r="Y196" i="5" s="1"/>
  <c r="Y195" i="5" s="1"/>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185" i="5"/>
  <c r="AL205" i="5"/>
  <c r="AL211" i="5"/>
  <c r="AL210" i="5" s="1"/>
  <c r="AL209" i="5" s="1"/>
  <c r="AL222" i="5"/>
  <c r="AL227" i="5"/>
  <c r="AL235" i="5"/>
  <c r="AL234" i="5" s="1"/>
  <c r="AL232" i="5" s="1"/>
  <c r="AM20" i="5"/>
  <c r="AM16" i="5" s="1"/>
  <c r="AM114" i="5"/>
  <c r="AM211" i="5"/>
  <c r="AM210" i="5" s="1"/>
  <c r="AM209" i="5" s="1"/>
  <c r="AT11" i="5"/>
  <c r="AT21" i="5"/>
  <c r="AT26" i="5"/>
  <c r="BE7" i="6"/>
  <c r="AL20" i="6"/>
  <c r="AL16" i="6" s="1"/>
  <c r="AL35" i="6"/>
  <c r="AL44" i="6"/>
  <c r="AL49" i="6"/>
  <c r="AL58" i="6"/>
  <c r="AL57" i="6" s="1"/>
  <c r="AL69" i="6"/>
  <c r="AL65" i="6" s="1"/>
  <c r="AL83" i="6"/>
  <c r="AL91" i="6"/>
  <c r="AL96" i="6"/>
  <c r="AL105" i="6"/>
  <c r="AL104" i="6" s="1"/>
  <c r="AL114" i="6"/>
  <c r="AL123" i="6"/>
  <c r="AL141" i="6"/>
  <c r="AL149" i="6"/>
  <c r="AL147" i="6" s="1"/>
  <c r="AL155" i="6"/>
  <c r="AL172" i="6"/>
  <c r="AL176" i="6"/>
  <c r="AL185" i="6"/>
  <c r="AL205" i="6"/>
  <c r="AL196" i="6" s="1"/>
  <c r="AL195" i="6" s="1"/>
  <c r="AL211" i="6"/>
  <c r="AL210" i="6" s="1"/>
  <c r="AL209" i="6" s="1"/>
  <c r="AL222" i="6"/>
  <c r="AL227" i="6"/>
  <c r="AL243" i="6"/>
  <c r="AM20" i="6"/>
  <c r="AM16" i="6" s="1"/>
  <c r="AM44" i="6"/>
  <c r="AM43" i="6" s="1"/>
  <c r="AM83" i="6"/>
  <c r="AM114" i="6"/>
  <c r="AM211" i="6"/>
  <c r="AM210" i="6" s="1"/>
  <c r="AM209" i="6" s="1"/>
  <c r="AM243" i="6"/>
  <c r="AR21" i="6"/>
  <c r="AT26" i="6"/>
  <c r="AL20" i="7"/>
  <c r="AL16" i="7" s="1"/>
  <c r="AL35" i="7"/>
  <c r="AL44" i="7"/>
  <c r="AL49" i="7"/>
  <c r="AL43" i="7" s="1"/>
  <c r="AL58" i="7"/>
  <c r="AL57" i="7" s="1"/>
  <c r="AL69" i="7"/>
  <c r="AL65" i="7" s="1"/>
  <c r="AL83" i="7"/>
  <c r="AL91" i="7"/>
  <c r="AL96" i="7"/>
  <c r="AL105" i="7"/>
  <c r="AL104" i="7" s="1"/>
  <c r="AL114" i="7"/>
  <c r="AL123" i="7"/>
  <c r="AL141" i="7"/>
  <c r="AL149" i="7"/>
  <c r="AL147" i="7" s="1"/>
  <c r="AL155" i="7"/>
  <c r="AL172" i="7"/>
  <c r="AL176" i="7"/>
  <c r="AL185" i="7"/>
  <c r="AL205" i="7"/>
  <c r="AL211" i="7"/>
  <c r="AL210" i="7" s="1"/>
  <c r="AL209" i="7" s="1"/>
  <c r="AL222" i="7"/>
  <c r="AL227" i="7"/>
  <c r="AL243" i="7"/>
  <c r="AM16" i="7"/>
  <c r="AM114" i="7"/>
  <c r="AM211" i="7"/>
  <c r="AM210" i="7" s="1"/>
  <c r="AM209" i="7" s="1"/>
  <c r="AT11" i="7"/>
  <c r="BL17" i="7"/>
  <c r="BL17" i="10" s="1"/>
  <c r="BL17" i="13" s="1"/>
  <c r="BL17" i="16" s="1"/>
  <c r="BE7" i="8"/>
  <c r="Z20" i="8"/>
  <c r="AC20" i="8"/>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185" i="8"/>
  <c r="AL205" i="8"/>
  <c r="AL196" i="8" s="1"/>
  <c r="AL195" i="8" s="1"/>
  <c r="AL211" i="8"/>
  <c r="AL210" i="8" s="1"/>
  <c r="AL209" i="8" s="1"/>
  <c r="AL222" i="8"/>
  <c r="AL227" i="8"/>
  <c r="AL243" i="8"/>
  <c r="AL232" i="8" s="1"/>
  <c r="AM114" i="8"/>
  <c r="AM211" i="8"/>
  <c r="AM210" i="8" s="1"/>
  <c r="AM209" i="8" s="1"/>
  <c r="AT11" i="8"/>
  <c r="AT26" i="8"/>
  <c r="B12" i="7"/>
  <c r="B12" i="8" s="1"/>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185" i="9"/>
  <c r="AL205" i="9"/>
  <c r="AL211" i="9"/>
  <c r="AL210" i="9" s="1"/>
  <c r="AL209" i="9" s="1"/>
  <c r="AL222" i="9"/>
  <c r="AL227" i="9"/>
  <c r="AL243" i="9"/>
  <c r="AM114" i="9"/>
  <c r="AM211" i="9"/>
  <c r="AM210" i="9" s="1"/>
  <c r="AM209" i="9" s="1"/>
  <c r="AT11" i="9"/>
  <c r="AT26" i="9"/>
  <c r="AS21" i="10"/>
  <c r="Z20" i="10"/>
  <c r="Z16" i="10" s="1"/>
  <c r="AC20" i="10"/>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5" i="10"/>
  <c r="AL196" i="10" s="1"/>
  <c r="AL195" i="10" s="1"/>
  <c r="AL211" i="10"/>
  <c r="AL210" i="10" s="1"/>
  <c r="AL209" i="10" s="1"/>
  <c r="AL222" i="10"/>
  <c r="AL227" i="10"/>
  <c r="AL243" i="10"/>
  <c r="AM114" i="10"/>
  <c r="AM211" i="10"/>
  <c r="AM210" i="10" s="1"/>
  <c r="AM209" i="10" s="1"/>
  <c r="AT11" i="10"/>
  <c r="AT26" i="10"/>
  <c r="Z20" i="11"/>
  <c r="AC20" i="1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185" i="11"/>
  <c r="AL205" i="11"/>
  <c r="AL196" i="11"/>
  <c r="AL195" i="11" s="1"/>
  <c r="AL211" i="11"/>
  <c r="AL210" i="11" s="1"/>
  <c r="AL209" i="11" s="1"/>
  <c r="AL222" i="11"/>
  <c r="AL227" i="11"/>
  <c r="AL243" i="11"/>
  <c r="AM20" i="11"/>
  <c r="AM16" i="11" s="1"/>
  <c r="AM114" i="11"/>
  <c r="AM211" i="11"/>
  <c r="AM210" i="11"/>
  <c r="AM209" i="11" s="1"/>
  <c r="AT11" i="11"/>
  <c r="AT26" i="11"/>
  <c r="BE7" i="12"/>
  <c r="Z20" i="12"/>
  <c r="AC20" i="12"/>
  <c r="AC16" i="12" s="1"/>
  <c r="AL20" i="12"/>
  <c r="AL16" i="12" s="1"/>
  <c r="AL35" i="12"/>
  <c r="AL44" i="12"/>
  <c r="AL49" i="12"/>
  <c r="AL58" i="12"/>
  <c r="AL57" i="12" s="1"/>
  <c r="AL69" i="12"/>
  <c r="AL65" i="12" s="1"/>
  <c r="AL83" i="12"/>
  <c r="AL91" i="12"/>
  <c r="AL96" i="12"/>
  <c r="AL105" i="12"/>
  <c r="AL104" i="12" s="1"/>
  <c r="AL114" i="12"/>
  <c r="AL123" i="12"/>
  <c r="AL141" i="12"/>
  <c r="AL155" i="12"/>
  <c r="AL149" i="12"/>
  <c r="AL147" i="12" s="1"/>
  <c r="AL172" i="12"/>
  <c r="AL176" i="12"/>
  <c r="AL185" i="12"/>
  <c r="AL205" i="12"/>
  <c r="AL211" i="12"/>
  <c r="AL210" i="12" s="1"/>
  <c r="AL209" i="12" s="1"/>
  <c r="AL222" i="12"/>
  <c r="AL227" i="12"/>
  <c r="AL243" i="12"/>
  <c r="AM20" i="12"/>
  <c r="AM16" i="12" s="1"/>
  <c r="AM114" i="12"/>
  <c r="AM211" i="12"/>
  <c r="AM210" i="12" s="1"/>
  <c r="AM209" i="12" s="1"/>
  <c r="AT11" i="12"/>
  <c r="AT26" i="12"/>
  <c r="Z20" i="13"/>
  <c r="Z16" i="13" s="1"/>
  <c r="Z243" i="13"/>
  <c r="AC20" i="13"/>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185" i="13"/>
  <c r="AL205" i="13"/>
  <c r="AL196" i="13" s="1"/>
  <c r="AL195" i="13" s="1"/>
  <c r="AL211" i="13"/>
  <c r="AL210" i="13" s="1"/>
  <c r="AL209" i="13" s="1"/>
  <c r="AL222" i="13"/>
  <c r="AL227" i="13"/>
  <c r="AL243" i="13"/>
  <c r="AM20" i="13"/>
  <c r="AM114" i="13"/>
  <c r="AM211" i="13"/>
  <c r="AM210" i="13" s="1"/>
  <c r="AM209" i="13" s="1"/>
  <c r="AT11" i="13"/>
  <c r="AT26" i="13"/>
  <c r="AR21" i="14"/>
  <c r="Z20" i="14"/>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196" i="14" s="1"/>
  <c r="AL195" i="14" s="1"/>
  <c r="AL211" i="14"/>
  <c r="AL210" i="14" s="1"/>
  <c r="AL209" i="14" s="1"/>
  <c r="AL222" i="14"/>
  <c r="AL227" i="14"/>
  <c r="AL243" i="14"/>
  <c r="AM114" i="14"/>
  <c r="AM211" i="14"/>
  <c r="AM210" i="14" s="1"/>
  <c r="AM209" i="14" s="1"/>
  <c r="AT11" i="14"/>
  <c r="AT21" i="14"/>
  <c r="AT26" i="14"/>
  <c r="AS6" i="15"/>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55" i="15"/>
  <c r="AL172" i="15"/>
  <c r="AL176" i="15"/>
  <c r="AL185" i="15"/>
  <c r="AL205" i="15"/>
  <c r="AL196" i="15" s="1"/>
  <c r="AL195" i="15" s="1"/>
  <c r="AL211" i="15"/>
  <c r="AL210" i="15" s="1"/>
  <c r="AL209" i="15" s="1"/>
  <c r="AL222" i="15"/>
  <c r="AL227" i="15"/>
  <c r="AL243" i="15"/>
  <c r="AM16" i="15"/>
  <c r="AM114" i="15"/>
  <c r="AM211" i="15"/>
  <c r="AM210" i="15" s="1"/>
  <c r="AM209" i="15" s="1"/>
  <c r="AT11" i="15"/>
  <c r="AR21" i="15"/>
  <c r="AT21" i="15"/>
  <c r="AT26" i="15"/>
  <c r="BE7" i="16"/>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55" i="16"/>
  <c r="AL172" i="16"/>
  <c r="AL176" i="16"/>
  <c r="AL185" i="16"/>
  <c r="AL205" i="16"/>
  <c r="AL196" i="16" s="1"/>
  <c r="AL195" i="16" s="1"/>
  <c r="AL211" i="16"/>
  <c r="AL210" i="16" s="1"/>
  <c r="AL209" i="16" s="1"/>
  <c r="AL222" i="16"/>
  <c r="AL227" i="16"/>
  <c r="AL243" i="16"/>
  <c r="AM114" i="16"/>
  <c r="AM211" i="16"/>
  <c r="AM210" i="16" s="1"/>
  <c r="AM209" i="16" s="1"/>
  <c r="AT11" i="16"/>
  <c r="AT26" i="16"/>
  <c r="AT6" i="15"/>
  <c r="AR21" i="16"/>
  <c r="AS21" i="15"/>
  <c r="AS6" i="11"/>
  <c r="AR21" i="11"/>
  <c r="AT21" i="11"/>
  <c r="AL196" i="7"/>
  <c r="AL195" i="7" s="1"/>
  <c r="AT6" i="10"/>
  <c r="AL196" i="9"/>
  <c r="AL195" i="9" s="1"/>
  <c r="AS21" i="16"/>
  <c r="AS6" i="14"/>
  <c r="AT6" i="14"/>
  <c r="AS21" i="14"/>
  <c r="AT6" i="11"/>
  <c r="AT6" i="6"/>
  <c r="AR12" i="5"/>
  <c r="AW12" i="5"/>
  <c r="AS21" i="5"/>
  <c r="Y43" i="5"/>
  <c r="AR8" i="5"/>
  <c r="BJ5" i="6"/>
  <c r="AR10" i="5"/>
  <c r="AT21" i="7"/>
  <c r="AS6" i="10"/>
  <c r="AR21" i="10"/>
  <c r="AT21" i="10"/>
  <c r="AW10" i="5"/>
  <c r="BC5" i="16"/>
  <c r="BE3" i="12"/>
  <c r="BK3" i="12" s="1"/>
  <c r="BQ3" i="12" s="1"/>
  <c r="BN5" i="12" s="1"/>
  <c r="BH5" i="12"/>
  <c r="T8" i="8"/>
  <c r="T8" i="9" s="1"/>
  <c r="T8" i="10" s="1"/>
  <c r="BR21" i="16"/>
  <c r="BE7" i="14"/>
  <c r="BO26" i="5"/>
  <c r="BO23" i="5"/>
  <c r="BO18" i="5"/>
  <c r="BO10" i="5"/>
  <c r="BD14" i="5"/>
  <c r="BD16" i="5"/>
  <c r="BO20" i="5"/>
  <c r="AW13" i="5"/>
  <c r="BD12" i="5"/>
  <c r="BD11" i="5"/>
  <c r="AW8" i="5"/>
  <c r="AR13" i="5"/>
  <c r="AW11" i="5"/>
  <c r="AR11" i="5"/>
  <c r="BE7" i="13"/>
  <c r="BE7" i="11"/>
  <c r="BE7" i="10"/>
  <c r="BE7" i="9"/>
  <c r="BO14" i="5"/>
  <c r="BI9" i="5" s="1"/>
  <c r="AL220" i="11"/>
  <c r="C1" i="6"/>
  <c r="V3" i="5"/>
  <c r="AJ3" i="13"/>
  <c r="BE7" i="5"/>
  <c r="AR16" i="5"/>
  <c r="AW16" i="5" s="1"/>
  <c r="BD7" i="5"/>
  <c r="AS16" i="5"/>
  <c r="AX16" i="5" s="1"/>
  <c r="AM243" i="16"/>
  <c r="AM243" i="14"/>
  <c r="AM243" i="12"/>
  <c r="AM243" i="10"/>
  <c r="AM243" i="8"/>
  <c r="AM232" i="8" s="1"/>
  <c r="AM235" i="5"/>
  <c r="AM234" i="5" s="1"/>
  <c r="AM232" i="5" s="1"/>
  <c r="AM227" i="16"/>
  <c r="AM227" i="14"/>
  <c r="AM227" i="12"/>
  <c r="AM227" i="10"/>
  <c r="AM227" i="8"/>
  <c r="AM227" i="6"/>
  <c r="AM227" i="5"/>
  <c r="AL220" i="14"/>
  <c r="AM220" i="15"/>
  <c r="AM220" i="13"/>
  <c r="AM220" i="11"/>
  <c r="AM220" i="9"/>
  <c r="AM220" i="7"/>
  <c r="AM222" i="16"/>
  <c r="AM222" i="14"/>
  <c r="AM222" i="12"/>
  <c r="AM220" i="12" s="1"/>
  <c r="AM222" i="10"/>
  <c r="AM222" i="8"/>
  <c r="AM222" i="6"/>
  <c r="AM222" i="5"/>
  <c r="AM205" i="5"/>
  <c r="AM196" i="5" s="1"/>
  <c r="AM195" i="5" s="1"/>
  <c r="AM196" i="7"/>
  <c r="AM195" i="7" s="1"/>
  <c r="AM196" i="16"/>
  <c r="AM195" i="16" s="1"/>
  <c r="AM196" i="15"/>
  <c r="AM195" i="15" s="1"/>
  <c r="AM193" i="15" s="1"/>
  <c r="AM196" i="14"/>
  <c r="AM195" i="14" s="1"/>
  <c r="AM196" i="11"/>
  <c r="AM195" i="11" s="1"/>
  <c r="AM196" i="10"/>
  <c r="AM195" i="10" s="1"/>
  <c r="AM196" i="8"/>
  <c r="AM195" i="8" s="1"/>
  <c r="AM193" i="8" s="1"/>
  <c r="AM196" i="6"/>
  <c r="AM195" i="6" s="1"/>
  <c r="AM187" i="5"/>
  <c r="AM185" i="5" s="1"/>
  <c r="AM185" i="16"/>
  <c r="AM170" i="16" s="1"/>
  <c r="AM185" i="14"/>
  <c r="AM185" i="12"/>
  <c r="AM185" i="10"/>
  <c r="AM170" i="10" s="1"/>
  <c r="AM185" i="8"/>
  <c r="AM170" i="8" s="1"/>
  <c r="AM185" i="6"/>
  <c r="AM170" i="6" s="1"/>
  <c r="AM185" i="15"/>
  <c r="AM170" i="15" s="1"/>
  <c r="AM185" i="13"/>
  <c r="AM170" i="13" s="1"/>
  <c r="AM185" i="11"/>
  <c r="AM170" i="11" s="1"/>
  <c r="AM185" i="9"/>
  <c r="AM170" i="9" s="1"/>
  <c r="AM185" i="7"/>
  <c r="AM176" i="14"/>
  <c r="AM176" i="12"/>
  <c r="AM176" i="5"/>
  <c r="AM176" i="7"/>
  <c r="AM170" i="7" s="1"/>
  <c r="AM172" i="5"/>
  <c r="AM155" i="16"/>
  <c r="AM155" i="14"/>
  <c r="AM155" i="12"/>
  <c r="AM155" i="10"/>
  <c r="AM155" i="8"/>
  <c r="AM155" i="6"/>
  <c r="AM155" i="15"/>
  <c r="AM155" i="13"/>
  <c r="AM155" i="11"/>
  <c r="AM155" i="9"/>
  <c r="AM155" i="7"/>
  <c r="AM155" i="5"/>
  <c r="AM149" i="5"/>
  <c r="AM147" i="5" s="1"/>
  <c r="AM147" i="16"/>
  <c r="AM147" i="14"/>
  <c r="AM141" i="14"/>
  <c r="AM147" i="12"/>
  <c r="AM147" i="10"/>
  <c r="AM141" i="10"/>
  <c r="AM112" i="10" s="1"/>
  <c r="AM147" i="8"/>
  <c r="AM147" i="6"/>
  <c r="AM147" i="15"/>
  <c r="AM147" i="13"/>
  <c r="AM141" i="13"/>
  <c r="AM147" i="11"/>
  <c r="AM145" i="11" s="1"/>
  <c r="AM147" i="9"/>
  <c r="AM145" i="9" s="1"/>
  <c r="AM141" i="9"/>
  <c r="AM147" i="7"/>
  <c r="AM141" i="5"/>
  <c r="AM141" i="16"/>
  <c r="AM141" i="15"/>
  <c r="AM141" i="12"/>
  <c r="AM141" i="11"/>
  <c r="AM112" i="11" s="1"/>
  <c r="AM141" i="8"/>
  <c r="AM141" i="7"/>
  <c r="AM141" i="6"/>
  <c r="AM123" i="5"/>
  <c r="AM105" i="16"/>
  <c r="AM104" i="16" s="1"/>
  <c r="AM105" i="14"/>
  <c r="AM104" i="14" s="1"/>
  <c r="AM105" i="12"/>
  <c r="AM104" i="12" s="1"/>
  <c r="AM105" i="10"/>
  <c r="AM104" i="10" s="1"/>
  <c r="AM105" i="8"/>
  <c r="AM104" i="8" s="1"/>
  <c r="AM105" i="6"/>
  <c r="AM104" i="6" s="1"/>
  <c r="AM105" i="5"/>
  <c r="AM104" i="5" s="1"/>
  <c r="AM96" i="5"/>
  <c r="AM90" i="15"/>
  <c r="AM90" i="13"/>
  <c r="AM90" i="7"/>
  <c r="AM91" i="16"/>
  <c r="AM90" i="16" s="1"/>
  <c r="AM91" i="14"/>
  <c r="AM90" i="14" s="1"/>
  <c r="AM69" i="14"/>
  <c r="AM65" i="14" s="1"/>
  <c r="AM83" i="14"/>
  <c r="AM91" i="12"/>
  <c r="AM91" i="10"/>
  <c r="AM90" i="10" s="1"/>
  <c r="AM69" i="10"/>
  <c r="AM65" i="10" s="1"/>
  <c r="AM91" i="8"/>
  <c r="AM90" i="8" s="1"/>
  <c r="AM91" i="6"/>
  <c r="AM90" i="6" s="1"/>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4"/>
  <c r="AM43" i="13"/>
  <c r="AM43" i="12"/>
  <c r="AM43" i="11"/>
  <c r="AM43" i="10"/>
  <c r="AM43" i="8"/>
  <c r="AM43" i="7"/>
  <c r="AM44" i="5"/>
  <c r="AM35" i="5"/>
  <c r="AM20" i="14"/>
  <c r="AM16" i="14" s="1"/>
  <c r="AM20" i="10"/>
  <c r="AM16" i="10" s="1"/>
  <c r="AM20" i="8"/>
  <c r="AM16" i="8" s="1"/>
  <c r="AM16" i="13"/>
  <c r="BN26" i="5"/>
  <c r="BN11" i="5"/>
  <c r="BN23" i="5"/>
  <c r="BN23" i="6"/>
  <c r="BN18" i="5"/>
  <c r="BN11" i="7"/>
  <c r="BN11" i="8"/>
  <c r="BN11" i="9"/>
  <c r="BN11" i="10"/>
  <c r="BR19" i="16"/>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0" i="15" s="1"/>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6" i="10" s="1"/>
  <c r="Z195" i="10" s="1"/>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5" i="14" s="1"/>
  <c r="Z149" i="13"/>
  <c r="Z147" i="13" s="1"/>
  <c r="Z145" i="13" s="1"/>
  <c r="Z149" i="12"/>
  <c r="Z147" i="12" s="1"/>
  <c r="Z145" i="12" s="1"/>
  <c r="Z149" i="11"/>
  <c r="Z147" i="11" s="1"/>
  <c r="Z149" i="10"/>
  <c r="Z147" i="10" s="1"/>
  <c r="Z145" i="10" s="1"/>
  <c r="Z149" i="9"/>
  <c r="Z147" i="9" s="1"/>
  <c r="Z149" i="8"/>
  <c r="Z147" i="8" s="1"/>
  <c r="Z145" i="8" s="1"/>
  <c r="BO31" i="5"/>
  <c r="BI15" i="5"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0" i="16" s="1"/>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4" i="8"/>
  <c r="Z44" i="14"/>
  <c r="Z44" i="13"/>
  <c r="Z35" i="13"/>
  <c r="Z35" i="16"/>
  <c r="Z35" i="14"/>
  <c r="Z35" i="12"/>
  <c r="Z35" i="11"/>
  <c r="Z35" i="10"/>
  <c r="Z35" i="9"/>
  <c r="Z35" i="8"/>
  <c r="AC16" i="8"/>
  <c r="Z16" i="14"/>
  <c r="AC16" i="13"/>
  <c r="Z16" i="12"/>
  <c r="AC16" i="11"/>
  <c r="Z16" i="11"/>
  <c r="Z16" i="8"/>
  <c r="AC16" i="10"/>
  <c r="F24" i="20"/>
  <c r="BE14" i="5"/>
  <c r="F14" i="20" s="1"/>
  <c r="BE15" i="5"/>
  <c r="F15" i="20" s="1"/>
  <c r="BE16" i="5"/>
  <c r="F17" i="20"/>
  <c r="M17" i="20"/>
  <c r="I17" i="20"/>
  <c r="F13" i="20"/>
  <c r="BE11" i="5"/>
  <c r="BE12" i="5"/>
  <c r="F12" i="20" s="1"/>
  <c r="BO11" i="6"/>
  <c r="BO11" i="5"/>
  <c r="B14" i="8"/>
  <c r="B14" i="9" s="1"/>
  <c r="B14" i="10" s="1"/>
  <c r="B14" i="11" s="1"/>
  <c r="B14" i="12" s="1"/>
  <c r="B14" i="13" s="1"/>
  <c r="BQ31" i="6"/>
  <c r="G55" i="20" s="1"/>
  <c r="AF243" i="8"/>
  <c r="AC243" i="8"/>
  <c r="AC243" i="9"/>
  <c r="AF243" i="9"/>
  <c r="AF243" i="10"/>
  <c r="AC243" i="10"/>
  <c r="AF243" i="11"/>
  <c r="AC243" i="11"/>
  <c r="AF243" i="12"/>
  <c r="AC243" i="12"/>
  <c r="AF235" i="8"/>
  <c r="AF234" i="8" s="1"/>
  <c r="AC235" i="8"/>
  <c r="AC234" i="8" s="1"/>
  <c r="AF235" i="10"/>
  <c r="AF234" i="10" s="1"/>
  <c r="AF232" i="10" s="1"/>
  <c r="BQ29" i="10" s="1"/>
  <c r="AC235" i="10"/>
  <c r="AC234" i="10" s="1"/>
  <c r="AC232" i="10" s="1"/>
  <c r="AF235" i="12"/>
  <c r="AF234" i="12" s="1"/>
  <c r="AC235" i="12"/>
  <c r="AC234" i="12" s="1"/>
  <c r="AF235" i="14"/>
  <c r="AF234" i="14" s="1"/>
  <c r="AC235" i="14"/>
  <c r="AC234" i="14" s="1"/>
  <c r="AC232" i="14" s="1"/>
  <c r="AF235" i="16"/>
  <c r="AF234" i="16" s="1"/>
  <c r="AC235" i="16"/>
  <c r="AC234" i="16" s="1"/>
  <c r="AC232" i="16" s="1"/>
  <c r="AF235" i="9"/>
  <c r="AF234" i="9" s="1"/>
  <c r="AC235" i="9"/>
  <c r="AC234" i="9" s="1"/>
  <c r="AF235" i="11"/>
  <c r="AC235" i="11"/>
  <c r="AC234" i="11" s="1"/>
  <c r="AC232" i="11" s="1"/>
  <c r="AF235" i="13"/>
  <c r="AF234" i="13" s="1"/>
  <c r="AC235" i="13"/>
  <c r="AC234" i="13" s="1"/>
  <c r="AC232"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C222" i="13"/>
  <c r="AF222" i="14"/>
  <c r="AC222" i="14"/>
  <c r="AC220" i="14" s="1"/>
  <c r="AC222" i="12"/>
  <c r="AF222" i="12"/>
  <c r="AF220" i="12" s="1"/>
  <c r="BQ30" i="12" s="1"/>
  <c r="AC211" i="10"/>
  <c r="AC210" i="10" s="1"/>
  <c r="AC209" i="10" s="1"/>
  <c r="AC211" i="12"/>
  <c r="AC210" i="12" s="1"/>
  <c r="AC209" i="12" s="1"/>
  <c r="AF211" i="12"/>
  <c r="AF210" i="12" s="1"/>
  <c r="AF209" i="12" s="1"/>
  <c r="BQ27" i="12" s="1"/>
  <c r="M51" i="20"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1" i="20" s="1"/>
  <c r="AC211" i="11"/>
  <c r="AC210" i="11" s="1"/>
  <c r="AC209" i="11" s="1"/>
  <c r="AF211" i="14"/>
  <c r="AF210" i="14" s="1"/>
  <c r="AF209" i="14" s="1"/>
  <c r="AC211" i="14"/>
  <c r="AC210" i="14" s="1"/>
  <c r="AC209" i="14" s="1"/>
  <c r="AF211" i="15"/>
  <c r="AF210" i="15" s="1"/>
  <c r="AF209" i="15" s="1"/>
  <c r="BQ27" i="15" s="1"/>
  <c r="P51"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6" i="14" s="1"/>
  <c r="AC195" i="14" s="1"/>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8"/>
  <c r="BQ17" i="8" s="1"/>
  <c r="I41" i="20" s="1"/>
  <c r="AC155" i="8"/>
  <c r="AF155" i="9"/>
  <c r="AC155" i="9"/>
  <c r="AF155" i="10"/>
  <c r="AC155" i="10"/>
  <c r="AF155" i="11"/>
  <c r="AC155" i="11"/>
  <c r="AF155" i="12"/>
  <c r="AC155" i="12"/>
  <c r="AF155" i="13"/>
  <c r="AC155" i="13"/>
  <c r="AF155" i="14"/>
  <c r="AC155" i="14"/>
  <c r="AF155" i="15"/>
  <c r="AC155" i="15"/>
  <c r="AF155" i="16"/>
  <c r="AC155" i="16"/>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C149" i="15"/>
  <c r="AC147" i="15" s="1"/>
  <c r="AF149" i="16"/>
  <c r="AC149" i="16"/>
  <c r="AC147" i="16" s="1"/>
  <c r="AF147" i="15"/>
  <c r="BQ18" i="5"/>
  <c r="F42" i="20" s="1"/>
  <c r="BP18" i="5"/>
  <c r="BQ20" i="5"/>
  <c r="AF141" i="8"/>
  <c r="AC141" i="8"/>
  <c r="AF141" i="9"/>
  <c r="BQ20" i="9" s="1"/>
  <c r="J44" i="20" s="1"/>
  <c r="AC141" i="9"/>
  <c r="AF141" i="10"/>
  <c r="BQ20" i="10" s="1"/>
  <c r="K44" i="20" s="1"/>
  <c r="AC141" i="10"/>
  <c r="AF141" i="11"/>
  <c r="BQ20" i="11" s="1"/>
  <c r="L44" i="20" s="1"/>
  <c r="AC141" i="11"/>
  <c r="AF141" i="15"/>
  <c r="BQ20" i="15" s="1"/>
  <c r="P44" i="20" s="1"/>
  <c r="AC141" i="15"/>
  <c r="AF141" i="16"/>
  <c r="BQ20" i="16" s="1"/>
  <c r="Q44" i="20" s="1"/>
  <c r="AC141" i="16"/>
  <c r="AF141" i="12"/>
  <c r="BQ20" i="12" s="1"/>
  <c r="AC141" i="12"/>
  <c r="AF141" i="13"/>
  <c r="BQ20" i="13" s="1"/>
  <c r="N44" i="20" s="1"/>
  <c r="AC141" i="13"/>
  <c r="AF141" i="14"/>
  <c r="BQ20" i="14" s="1"/>
  <c r="O44" i="20" s="1"/>
  <c r="AC141" i="14"/>
  <c r="BP20" i="5"/>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F112" i="14" s="1"/>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Z90" i="10"/>
  <c r="AC91" i="8"/>
  <c r="AC91" i="9"/>
  <c r="AC91" i="10"/>
  <c r="AC90" i="10" s="1"/>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BQ14" i="5"/>
  <c r="F38" i="20" s="1"/>
  <c r="AF35" i="8"/>
  <c r="AC35" i="8"/>
  <c r="AF35" i="9"/>
  <c r="BQ14" i="9" s="1"/>
  <c r="J38" i="20" s="1"/>
  <c r="AC35" i="9"/>
  <c r="AF35" i="10"/>
  <c r="AC35" i="10"/>
  <c r="AF35" i="11"/>
  <c r="AC35" i="11"/>
  <c r="AF35" i="12"/>
  <c r="BQ14" i="12" s="1"/>
  <c r="M38" i="20" s="1"/>
  <c r="AC35" i="12"/>
  <c r="AF35" i="13"/>
  <c r="AC35" i="13"/>
  <c r="AF35" i="14"/>
  <c r="AC35" i="14"/>
  <c r="AF35" i="15"/>
  <c r="AC35" i="15"/>
  <c r="AF35" i="16"/>
  <c r="AC35" i="16"/>
  <c r="BQ31" i="5"/>
  <c r="F55" i="20" s="1"/>
  <c r="BP11" i="5"/>
  <c r="BP10" i="5"/>
  <c r="AR22" i="5"/>
  <c r="AR23" i="5" s="1"/>
  <c r="BR11" i="16"/>
  <c r="O24" i="20"/>
  <c r="H24" i="20"/>
  <c r="J24" i="20"/>
  <c r="M24" i="20"/>
  <c r="N24" i="20"/>
  <c r="P24" i="20"/>
  <c r="G24" i="20"/>
  <c r="I24" i="20"/>
  <c r="L24" i="20"/>
  <c r="Q24" i="20"/>
  <c r="K24" i="20"/>
  <c r="AS12" i="5"/>
  <c r="AX12" i="5"/>
  <c r="K23" i="20"/>
  <c r="O23" i="20"/>
  <c r="Q23" i="20"/>
  <c r="AX13" i="5"/>
  <c r="AS13" i="5"/>
  <c r="AX11" i="5"/>
  <c r="AS11" i="5"/>
  <c r="J23" i="20"/>
  <c r="L23" i="20"/>
  <c r="P23" i="20"/>
  <c r="G23" i="20"/>
  <c r="I23" i="20"/>
  <c r="BE14" i="7"/>
  <c r="BE14" i="12"/>
  <c r="M14" i="20" s="1"/>
  <c r="BE14" i="13"/>
  <c r="N14" i="20" s="1"/>
  <c r="BE14" i="16"/>
  <c r="Q14" i="20" s="1"/>
  <c r="BE14" i="6"/>
  <c r="G14" i="20" s="1"/>
  <c r="BE14" i="8"/>
  <c r="I14" i="20" s="1"/>
  <c r="BE14" i="9"/>
  <c r="J14" i="20" s="1"/>
  <c r="BE14" i="10"/>
  <c r="K14" i="20" s="1"/>
  <c r="BE14" i="1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S10" i="5"/>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AS7" i="5"/>
  <c r="F80" i="5"/>
  <c r="BD14" i="6"/>
  <c r="BD11" i="6"/>
  <c r="BQ27" i="5"/>
  <c r="F51" i="20" s="1"/>
  <c r="BP27" i="5"/>
  <c r="BQ26" i="16"/>
  <c r="Q50" i="20" s="1"/>
  <c r="AF197" i="16"/>
  <c r="BQ26" i="14"/>
  <c r="O50" i="20" s="1"/>
  <c r="AF197" i="14"/>
  <c r="BQ26" i="12"/>
  <c r="M50" i="20" s="1"/>
  <c r="AF197" i="12"/>
  <c r="AF197" i="15"/>
  <c r="AF196" i="15" s="1"/>
  <c r="BQ26" i="15"/>
  <c r="P50" i="20" s="1"/>
  <c r="AF197" i="13"/>
  <c r="BQ26" i="7"/>
  <c r="H50" i="20" s="1"/>
  <c r="AF197" i="9"/>
  <c r="AF196" i="9" s="1"/>
  <c r="BQ26" i="9"/>
  <c r="AF197" i="11"/>
  <c r="BQ26" i="11"/>
  <c r="L50" i="20" s="1"/>
  <c r="AF197" i="10"/>
  <c r="BQ26" i="8"/>
  <c r="I50" i="20" s="1"/>
  <c r="AF197" i="8"/>
  <c r="AF196" i="8" s="1"/>
  <c r="AF195" i="8" s="1"/>
  <c r="AF193" i="8" s="1"/>
  <c r="BQ26" i="6"/>
  <c r="G50" i="20" s="1"/>
  <c r="AF176" i="8"/>
  <c r="BQ23" i="8"/>
  <c r="I47" i="20" s="1"/>
  <c r="BQ23" i="12"/>
  <c r="AF176" i="12"/>
  <c r="BQ23" i="11"/>
  <c r="L47" i="20" s="1"/>
  <c r="AF176" i="11"/>
  <c r="BQ23" i="9"/>
  <c r="J47" i="20" s="1"/>
  <c r="AF176" i="9"/>
  <c r="BQ23" i="10"/>
  <c r="K47" i="20" s="1"/>
  <c r="AF176" i="10"/>
  <c r="AF176" i="16"/>
  <c r="BQ23" i="16"/>
  <c r="Q47" i="20" s="1"/>
  <c r="BQ23" i="15"/>
  <c r="P47" i="20" s="1"/>
  <c r="AF176" i="15"/>
  <c r="BQ23" i="13"/>
  <c r="N47" i="20" s="1"/>
  <c r="AF176" i="13"/>
  <c r="BQ23" i="7"/>
  <c r="AF176" i="14"/>
  <c r="BQ23" i="14"/>
  <c r="O47" i="20" s="1"/>
  <c r="AF147" i="16"/>
  <c r="BQ16" i="5"/>
  <c r="F40" i="20" s="1"/>
  <c r="AC105" i="10"/>
  <c r="AC104" i="10" s="1"/>
  <c r="AC105" i="16"/>
  <c r="AC104" i="16" s="1"/>
  <c r="AC105" i="12"/>
  <c r="AC104" i="12" s="1"/>
  <c r="AC105" i="8"/>
  <c r="AC104" i="8" s="1"/>
  <c r="BQ14" i="6"/>
  <c r="G38" i="20" s="1"/>
  <c r="BQ14" i="7"/>
  <c r="H38" i="20" s="1"/>
  <c r="BP11" i="6"/>
  <c r="AS22" i="5"/>
  <c r="AX22" i="5" s="1"/>
  <c r="AR22" i="6"/>
  <c r="AW22" i="6" s="1"/>
  <c r="BP10" i="6"/>
  <c r="F79" i="5"/>
  <c r="M79" i="5" s="1"/>
  <c r="AW29" i="5"/>
  <c r="BP26" i="6"/>
  <c r="BQ23" i="6"/>
  <c r="G47" i="20" s="1"/>
  <c r="BP23" i="6"/>
  <c r="AQ13" i="5"/>
  <c r="AX7" i="6"/>
  <c r="BD11" i="7"/>
  <c r="AR22" i="7"/>
  <c r="AW22" i="7" s="1"/>
  <c r="BC15" i="5"/>
  <c r="BC16" i="5"/>
  <c r="AS7" i="6"/>
  <c r="BP26" i="7"/>
  <c r="BP23" i="7"/>
  <c r="AR22" i="8"/>
  <c r="AW22" i="8" s="1"/>
  <c r="AS22" i="6"/>
  <c r="AX22" i="6" s="1"/>
  <c r="BD14" i="8"/>
  <c r="BD11" i="8"/>
  <c r="AR22" i="9"/>
  <c r="AW22" i="9" s="1"/>
  <c r="BP23" i="8"/>
  <c r="AS22" i="7"/>
  <c r="AX22" i="7" s="1"/>
  <c r="BD11" i="9"/>
  <c r="BP23" i="9"/>
  <c r="AS22" i="8"/>
  <c r="AX22" i="8" s="1"/>
  <c r="BP23" i="10"/>
  <c r="AS22" i="9"/>
  <c r="AS22" i="10"/>
  <c r="AX22" i="10" s="1"/>
  <c r="AS22" i="11"/>
  <c r="AX22" i="11" s="1"/>
  <c r="AS22" i="12"/>
  <c r="AX22" i="12" s="1"/>
  <c r="AS22" i="13"/>
  <c r="AX22" i="13" s="1"/>
  <c r="BO16" i="5"/>
  <c r="BO23" i="6"/>
  <c r="AR11" i="6"/>
  <c r="AW11" i="6"/>
  <c r="F23" i="20"/>
  <c r="BF18" i="7"/>
  <c r="AS11" i="6"/>
  <c r="AX11" i="6"/>
  <c r="AS12" i="6"/>
  <c r="AR12" i="6"/>
  <c r="AW12" i="6"/>
  <c r="AY12" i="6" s="1"/>
  <c r="AR10" i="6"/>
  <c r="AW13" i="6"/>
  <c r="AX10" i="6"/>
  <c r="BP23" i="11"/>
  <c r="AF220" i="13"/>
  <c r="BQ30" i="13" s="1"/>
  <c r="BP11" i="7"/>
  <c r="BO11" i="8"/>
  <c r="BP10" i="7"/>
  <c r="BO27" i="5"/>
  <c r="BQ31" i="16"/>
  <c r="BQ31" i="14"/>
  <c r="BQ31" i="13"/>
  <c r="BQ31" i="11"/>
  <c r="L55" i="20" s="1"/>
  <c r="BQ31" i="7"/>
  <c r="BQ31" i="15"/>
  <c r="P55" i="20" s="1"/>
  <c r="BQ31" i="12"/>
  <c r="BQ31" i="10"/>
  <c r="K55" i="20" s="1"/>
  <c r="AF243" i="15"/>
  <c r="AF243" i="16"/>
  <c r="AF243" i="14"/>
  <c r="AF243" i="13"/>
  <c r="BO10" i="6"/>
  <c r="BR10" i="16"/>
  <c r="BD16" i="6"/>
  <c r="AW10" i="6"/>
  <c r="AR11" i="7"/>
  <c r="AW11" i="7"/>
  <c r="AQ11" i="5"/>
  <c r="AU11" i="5" s="1"/>
  <c r="BF19" i="7"/>
  <c r="BF19" i="10" s="1"/>
  <c r="AS10" i="6"/>
  <c r="AX12" i="7"/>
  <c r="AS12" i="7"/>
  <c r="AS11" i="7"/>
  <c r="AX11" i="7"/>
  <c r="AR12" i="7"/>
  <c r="AW12" i="7"/>
  <c r="AQ12" i="5"/>
  <c r="BP11" i="8"/>
  <c r="BO26" i="6"/>
  <c r="BO11" i="9"/>
  <c r="BO23" i="8"/>
  <c r="AR11" i="8"/>
  <c r="AW11" i="8"/>
  <c r="AQ11" i="6"/>
  <c r="AQ13" i="7"/>
  <c r="AW12" i="8"/>
  <c r="AY12" i="8" s="1"/>
  <c r="AR12" i="8"/>
  <c r="AX11" i="8"/>
  <c r="AS11" i="8"/>
  <c r="AS12" i="8"/>
  <c r="AS10" i="7"/>
  <c r="AX10" i="7"/>
  <c r="BO27" i="6"/>
  <c r="BP10" i="8"/>
  <c r="BP11" i="9"/>
  <c r="BO23" i="9"/>
  <c r="AW10" i="7"/>
  <c r="BD16" i="7"/>
  <c r="AR10" i="7"/>
  <c r="AW11" i="9"/>
  <c r="AR11" i="9"/>
  <c r="AW12" i="9"/>
  <c r="AR12" i="9"/>
  <c r="AS12" i="9"/>
  <c r="AX12" i="9"/>
  <c r="AS11" i="9"/>
  <c r="AX11" i="9"/>
  <c r="AQ11" i="7"/>
  <c r="AQ12" i="7"/>
  <c r="BP11" i="10"/>
  <c r="BO11" i="11"/>
  <c r="BO10" i="8"/>
  <c r="AS11" i="10"/>
  <c r="AX11" i="10"/>
  <c r="AX12" i="10"/>
  <c r="AS12" i="10"/>
  <c r="AQ12" i="9"/>
  <c r="AW12" i="10"/>
  <c r="AR12" i="10"/>
  <c r="AR10" i="8"/>
  <c r="BO11" i="12"/>
  <c r="BP10" i="9"/>
  <c r="BP11" i="11"/>
  <c r="BO10" i="9"/>
  <c r="BO23" i="11"/>
  <c r="BD16" i="8"/>
  <c r="AW10" i="8"/>
  <c r="AW12" i="11"/>
  <c r="AR12" i="11"/>
  <c r="AQ13" i="10"/>
  <c r="AX12" i="11"/>
  <c r="AS12" i="11"/>
  <c r="AQ12" i="10"/>
  <c r="AS11" i="11"/>
  <c r="AX11" i="11"/>
  <c r="AR10" i="9"/>
  <c r="BP11" i="12"/>
  <c r="BO26" i="8"/>
  <c r="BO23" i="12"/>
  <c r="AX11" i="12"/>
  <c r="AS11" i="12"/>
  <c r="AS12" i="12"/>
  <c r="AQ12" i="11"/>
  <c r="AW12" i="12"/>
  <c r="AY12" i="12" s="1"/>
  <c r="AR12" i="12"/>
  <c r="BO27" i="8"/>
  <c r="BO11" i="14"/>
  <c r="BP11" i="13"/>
  <c r="BO10" i="11"/>
  <c r="BD16" i="9"/>
  <c r="AW10" i="9"/>
  <c r="AX11" i="13"/>
  <c r="AS11" i="13"/>
  <c r="AR12" i="13"/>
  <c r="AW12" i="13"/>
  <c r="AY12" i="13" s="1"/>
  <c r="AS12" i="13"/>
  <c r="BO11" i="15"/>
  <c r="BP11" i="14"/>
  <c r="BO26" i="9"/>
  <c r="BO10" i="12"/>
  <c r="BO23" i="14"/>
  <c r="AS12" i="14"/>
  <c r="AW12" i="14"/>
  <c r="AR12" i="14"/>
  <c r="AS11" i="14"/>
  <c r="AX11" i="14"/>
  <c r="BP11" i="15"/>
  <c r="BO27" i="9"/>
  <c r="BO23" i="15"/>
  <c r="BD16" i="10"/>
  <c r="AW10" i="10"/>
  <c r="AS11" i="15"/>
  <c r="AX11" i="15"/>
  <c r="AR12" i="15"/>
  <c r="AW12" i="15"/>
  <c r="AS12" i="15"/>
  <c r="AX12" i="15"/>
  <c r="BP11" i="16"/>
  <c r="AW12" i="16"/>
  <c r="AR12" i="16"/>
  <c r="AX11" i="16"/>
  <c r="AS11" i="16"/>
  <c r="AS12" i="16"/>
  <c r="BD16" i="11"/>
  <c r="BO26" i="11"/>
  <c r="BD16" i="12"/>
  <c r="BO26" i="12"/>
  <c r="BD16" i="13"/>
  <c r="BD16" i="14"/>
  <c r="BO26" i="14"/>
  <c r="L79" i="16"/>
  <c r="BD16" i="15"/>
  <c r="BO26" i="15"/>
  <c r="BD16" i="16"/>
  <c r="T59" i="8"/>
  <c r="T59" i="9" s="1"/>
  <c r="T59" i="10" s="1"/>
  <c r="T59" i="11" s="1"/>
  <c r="T59" i="12" s="1"/>
  <c r="T59" i="13" s="1"/>
  <c r="T59" i="14" s="1"/>
  <c r="T59" i="15" s="1"/>
  <c r="T59" i="16" s="1"/>
  <c r="BQ28" i="8"/>
  <c r="I52" i="20" s="1"/>
  <c r="BF20" i="7"/>
  <c r="BF20" i="10" s="1"/>
  <c r="AJ3" i="16"/>
  <c r="AW4" i="5"/>
  <c r="AW19" i="5"/>
  <c r="AW4" i="12"/>
  <c r="AW19" i="10"/>
  <c r="AW19" i="11"/>
  <c r="BQ12" i="5"/>
  <c r="F36" i="20" s="1"/>
  <c r="AH229" i="6"/>
  <c r="AI229" i="6"/>
  <c r="AJ229" i="6"/>
  <c r="AH47" i="6"/>
  <c r="AI47" i="6"/>
  <c r="AJ47" i="6"/>
  <c r="AH143" i="8"/>
  <c r="AJ134" i="8"/>
  <c r="AI134" i="8"/>
  <c r="AH134" i="8"/>
  <c r="AI94" i="8"/>
  <c r="AH94" i="8"/>
  <c r="N82" i="8"/>
  <c r="M58" i="8"/>
  <c r="N58" i="8"/>
  <c r="M15" i="8"/>
  <c r="AJ156" i="9"/>
  <c r="AI156" i="9"/>
  <c r="AH156" i="9"/>
  <c r="AI125" i="9"/>
  <c r="AH59" i="7"/>
  <c r="AI59" i="7"/>
  <c r="AJ59" i="7"/>
  <c r="AI27" i="7"/>
  <c r="AJ27" i="7"/>
  <c r="AH18" i="7"/>
  <c r="AI18" i="7"/>
  <c r="AJ18" i="7"/>
  <c r="AJ168" i="6"/>
  <c r="AJ102" i="6"/>
  <c r="AH102" i="6"/>
  <c r="AI102" i="6"/>
  <c r="AH81" i="6"/>
  <c r="AJ81" i="6"/>
  <c r="N24" i="6"/>
  <c r="AI204" i="8"/>
  <c r="AH204" i="8"/>
  <c r="AJ125" i="8"/>
  <c r="AI125" i="8"/>
  <c r="AH125" i="8"/>
  <c r="AI60" i="8"/>
  <c r="AH60" i="8"/>
  <c r="AJ60" i="8"/>
  <c r="AI98" i="9"/>
  <c r="AH98" i="9"/>
  <c r="AH168" i="7"/>
  <c r="AI168" i="7"/>
  <c r="AJ168" i="7"/>
  <c r="AH143" i="7"/>
  <c r="AI143" i="7"/>
  <c r="AJ143" i="7"/>
  <c r="AJ120" i="7"/>
  <c r="AH120" i="7"/>
  <c r="AI120" i="7"/>
  <c r="AH67" i="7"/>
  <c r="AI67" i="7"/>
  <c r="AJ67" i="7"/>
  <c r="N82" i="6"/>
  <c r="AI106" i="8"/>
  <c r="X105" i="8"/>
  <c r="AH106" i="8"/>
  <c r="AI81" i="8"/>
  <c r="AH81" i="8"/>
  <c r="AJ81" i="8"/>
  <c r="AH59" i="8"/>
  <c r="X58" i="8"/>
  <c r="X57" i="8" s="1"/>
  <c r="AI59" i="8"/>
  <c r="AJ102" i="9"/>
  <c r="AI102" i="9"/>
  <c r="AH102" i="9"/>
  <c r="AI45" i="9"/>
  <c r="AF145" i="7"/>
  <c r="AI84" i="7"/>
  <c r="AH31" i="7"/>
  <c r="AI31" i="7"/>
  <c r="AJ31" i="7"/>
  <c r="AH23" i="7"/>
  <c r="AI23" i="7"/>
  <c r="M82" i="7"/>
  <c r="N82" i="7"/>
  <c r="M34" i="7"/>
  <c r="N34" i="7"/>
  <c r="M15" i="7"/>
  <c r="AH189" i="6"/>
  <c r="AI189" i="6"/>
  <c r="AH67" i="6"/>
  <c r="AI67" i="6"/>
  <c r="AJ67" i="6"/>
  <c r="AH48" i="6"/>
  <c r="AI48" i="6"/>
  <c r="AJ48" i="6"/>
  <c r="AJ45" i="8"/>
  <c r="AI45" i="8"/>
  <c r="AH45" i="8"/>
  <c r="AI126" i="9"/>
  <c r="AJ81" i="9"/>
  <c r="AI81" i="9"/>
  <c r="AH81" i="9"/>
  <c r="Z145" i="7"/>
  <c r="AH116" i="7"/>
  <c r="AI116" i="7"/>
  <c r="AH81" i="7"/>
  <c r="AI81" i="7"/>
  <c r="AJ81" i="7"/>
  <c r="AI143" i="11"/>
  <c r="AH143" i="11"/>
  <c r="AI115" i="11"/>
  <c r="AH115" i="11"/>
  <c r="AJ61" i="13"/>
  <c r="AI61" i="13"/>
  <c r="AH45" i="13"/>
  <c r="AG177" i="10"/>
  <c r="AE177" i="11" s="1"/>
  <c r="AG177" i="11" s="1"/>
  <c r="AE177" i="12" s="1"/>
  <c r="AG177" i="12" s="1"/>
  <c r="AE177" i="13" s="1"/>
  <c r="AG177" i="13" s="1"/>
  <c r="AJ117" i="11"/>
  <c r="AI84" i="12"/>
  <c r="AH84" i="12"/>
  <c r="AJ45" i="12"/>
  <c r="AI45" i="12"/>
  <c r="AH45" i="12"/>
  <c r="AI84" i="13"/>
  <c r="AI17" i="10"/>
  <c r="AH17" i="10"/>
  <c r="AI129" i="11"/>
  <c r="AI250" i="15"/>
  <c r="AI204" i="15"/>
  <c r="AI45" i="15"/>
  <c r="AH45" i="15"/>
  <c r="AE179" i="12"/>
  <c r="AG179" i="12" s="1"/>
  <c r="AE179" i="13" s="1"/>
  <c r="AG179" i="13" s="1"/>
  <c r="AE179" i="14" s="1"/>
  <c r="AG179" i="14" s="1"/>
  <c r="AG174" i="10"/>
  <c r="AG172" i="10" s="1"/>
  <c r="AE172" i="10"/>
  <c r="AH81" i="10"/>
  <c r="X58" i="11"/>
  <c r="AI59" i="11"/>
  <c r="AH59" i="11"/>
  <c r="AJ61" i="12"/>
  <c r="AI61" i="12"/>
  <c r="AI47" i="14"/>
  <c r="AH47" i="14"/>
  <c r="O10" i="18"/>
  <c r="Y205" i="16"/>
  <c r="AA206" i="16"/>
  <c r="AA205" i="16" s="1"/>
  <c r="AA223" i="16"/>
  <c r="AA212" i="16"/>
  <c r="BO26" i="16" s="1"/>
  <c r="AA228" i="16"/>
  <c r="Y58" i="16"/>
  <c r="X255" i="16"/>
  <c r="X236" i="16"/>
  <c r="BQ9" i="5"/>
  <c r="T8" i="11"/>
  <c r="T8" i="12" s="1"/>
  <c r="T8" i="13" s="1"/>
  <c r="T8" i="14" s="1"/>
  <c r="T8" i="15" s="1"/>
  <c r="T8" i="16" s="1"/>
  <c r="AX9" i="6"/>
  <c r="BE3" i="15"/>
  <c r="BK3" i="15" s="1"/>
  <c r="BQ3" i="15" s="1"/>
  <c r="BN5" i="15" s="1"/>
  <c r="BC5" i="9"/>
  <c r="AW4" i="9"/>
  <c r="BH5" i="11"/>
  <c r="B15" i="7"/>
  <c r="B15" i="8" s="1"/>
  <c r="B15" i="9" s="1"/>
  <c r="B15" i="10" s="1"/>
  <c r="B15" i="11" s="1"/>
  <c r="B15" i="12" s="1"/>
  <c r="B15" i="13" s="1"/>
  <c r="B15" i="14" s="1"/>
  <c r="B15" i="15" s="1"/>
  <c r="B15" i="16" s="1"/>
  <c r="BH5" i="13"/>
  <c r="AW4" i="13"/>
  <c r="AW19" i="13"/>
  <c r="BH5" i="7"/>
  <c r="BC5" i="7"/>
  <c r="T48" i="8"/>
  <c r="T48" i="9" s="1"/>
  <c r="T48" i="10" s="1"/>
  <c r="T48" i="11" s="1"/>
  <c r="T48" i="12" s="1"/>
  <c r="T48" i="13" s="1"/>
  <c r="T48" i="14" s="1"/>
  <c r="T48" i="15" s="1"/>
  <c r="T48" i="16" s="1"/>
  <c r="M23" i="20"/>
  <c r="L14" i="20"/>
  <c r="AC145" i="11"/>
  <c r="AJ45" i="11"/>
  <c r="AI165" i="11"/>
  <c r="AI161" i="11"/>
  <c r="AI26" i="12"/>
  <c r="AJ17" i="12"/>
  <c r="AH45" i="11"/>
  <c r="AI156" i="12"/>
  <c r="AI28" i="12"/>
  <c r="AJ28" i="12"/>
  <c r="AH24" i="12"/>
  <c r="AI24" i="12"/>
  <c r="AJ24" i="12"/>
  <c r="AI19" i="12"/>
  <c r="AJ19" i="12"/>
  <c r="AH19" i="12"/>
  <c r="AH84" i="11"/>
  <c r="AJ54" i="12"/>
  <c r="AI54" i="12"/>
  <c r="AH54" i="12"/>
  <c r="AE173" i="15"/>
  <c r="AG173" i="15" s="1"/>
  <c r="AE151" i="14"/>
  <c r="AG151" i="14" s="1"/>
  <c r="AE85" i="14"/>
  <c r="AG85" i="14" s="1"/>
  <c r="AE51" i="14"/>
  <c r="AG51" i="14" s="1"/>
  <c r="AG50" i="13"/>
  <c r="AE50" i="14" s="1"/>
  <c r="AG50" i="14" s="1"/>
  <c r="AE50" i="15" s="1"/>
  <c r="AG50" i="15" s="1"/>
  <c r="AE48" i="14"/>
  <c r="AG48" i="14" s="1"/>
  <c r="AE159" i="14"/>
  <c r="AG159" i="14" s="1"/>
  <c r="AE136" i="14"/>
  <c r="AG136" i="14" s="1"/>
  <c r="AE135" i="14"/>
  <c r="AG135" i="14" s="1"/>
  <c r="AE125" i="14"/>
  <c r="AG125" i="14" s="1"/>
  <c r="AE108" i="14"/>
  <c r="AG108" i="14" s="1"/>
  <c r="AE107" i="14"/>
  <c r="AG107" i="14" s="1"/>
  <c r="AJ107" i="13"/>
  <c r="AG84" i="13"/>
  <c r="AE77" i="14"/>
  <c r="AG77" i="14" s="1"/>
  <c r="AE29" i="14"/>
  <c r="AG29" i="14" s="1"/>
  <c r="AE29" i="15" s="1"/>
  <c r="AG29" i="15" s="1"/>
  <c r="AE25" i="14"/>
  <c r="AG25" i="14" s="1"/>
  <c r="AG142" i="13"/>
  <c r="AE142" i="14" s="1"/>
  <c r="AG142" i="14" s="1"/>
  <c r="AE118" i="14"/>
  <c r="AG118" i="14" s="1"/>
  <c r="AE97" i="14"/>
  <c r="AG97" i="14" s="1"/>
  <c r="AE81" i="14"/>
  <c r="AG81" i="14" s="1"/>
  <c r="AE75" i="14"/>
  <c r="AG75" i="14" s="1"/>
  <c r="AE75" i="15" s="1"/>
  <c r="AG75" i="15" s="1"/>
  <c r="AE75" i="16" s="1"/>
  <c r="AG75" i="16" s="1"/>
  <c r="AG45" i="13"/>
  <c r="AE139" i="14"/>
  <c r="AG139" i="14" s="1"/>
  <c r="AJ139" i="13"/>
  <c r="AE133" i="14"/>
  <c r="AG133" i="14" s="1"/>
  <c r="AE128" i="15"/>
  <c r="AG128" i="15" s="1"/>
  <c r="AE121" i="14"/>
  <c r="AG121" i="14" s="1"/>
  <c r="AJ121" i="13"/>
  <c r="AE95" i="14"/>
  <c r="AG95" i="14" s="1"/>
  <c r="AJ95" i="13"/>
  <c r="AE71" i="14"/>
  <c r="AG71" i="14" s="1"/>
  <c r="AE66" i="15"/>
  <c r="AG66" i="15" s="1"/>
  <c r="AE31" i="14"/>
  <c r="AG31" i="14" s="1"/>
  <c r="L64" i="16"/>
  <c r="L58" i="16"/>
  <c r="L43" i="16"/>
  <c r="L82" i="16"/>
  <c r="X250" i="16"/>
  <c r="BQ16" i="12"/>
  <c r="M40" i="20" s="1"/>
  <c r="X186" i="12"/>
  <c r="X70" i="12"/>
  <c r="AI70" i="12" s="1"/>
  <c r="C42" i="12"/>
  <c r="AJ78" i="13"/>
  <c r="AI78" i="13"/>
  <c r="AI70" i="13"/>
  <c r="AH40" i="15"/>
  <c r="AE156" i="13"/>
  <c r="AG156" i="13" s="1"/>
  <c r="AJ156" i="13" s="1"/>
  <c r="AG131" i="13"/>
  <c r="AE102" i="14"/>
  <c r="AG102" i="14" s="1"/>
  <c r="AE92" i="13"/>
  <c r="AG92" i="13" s="1"/>
  <c r="AE78" i="15"/>
  <c r="AG78" i="15" s="1"/>
  <c r="AE78" i="16" s="1"/>
  <c r="AG78" i="16" s="1"/>
  <c r="AE74" i="15"/>
  <c r="AG74" i="15" s="1"/>
  <c r="AE38" i="15"/>
  <c r="AG38" i="15" s="1"/>
  <c r="AE28" i="14"/>
  <c r="AG28" i="14" s="1"/>
  <c r="AJ28" i="13"/>
  <c r="AE19" i="14"/>
  <c r="AG19" i="14" s="1"/>
  <c r="AE19" i="15" s="1"/>
  <c r="AG19" i="15" s="1"/>
  <c r="AJ19" i="13"/>
  <c r="AB253" i="15"/>
  <c r="AD253" i="15" s="1"/>
  <c r="AD251" i="13"/>
  <c r="AB251" i="14" s="1"/>
  <c r="AD251" i="14" s="1"/>
  <c r="AB217" i="15"/>
  <c r="AD217" i="15" s="1"/>
  <c r="AI217" i="14"/>
  <c r="AB214" i="13"/>
  <c r="AD214" i="13" s="1"/>
  <c r="AB214" i="14" s="1"/>
  <c r="AB166" i="16"/>
  <c r="AD166" i="16" s="1"/>
  <c r="AB125" i="16"/>
  <c r="AD125" i="16" s="1"/>
  <c r="AD118" i="14"/>
  <c r="AB101" i="15"/>
  <c r="AD101" i="15" s="1"/>
  <c r="AB98" i="13"/>
  <c r="AB86" i="14"/>
  <c r="AD86" i="14" s="1"/>
  <c r="AB76" i="13"/>
  <c r="AD76" i="13" s="1"/>
  <c r="AA251" i="14"/>
  <c r="Y251" i="15" s="1"/>
  <c r="AA249" i="15"/>
  <c r="Y249" i="16" s="1"/>
  <c r="AA249" i="16" s="1"/>
  <c r="Y174" i="15"/>
  <c r="AA174" i="15" s="1"/>
  <c r="Y174" i="16" s="1"/>
  <c r="AA151" i="14"/>
  <c r="Y151" i="15" s="1"/>
  <c r="I10" i="18"/>
  <c r="Y93" i="14"/>
  <c r="AA93" i="14" s="1"/>
  <c r="Y93" i="15" s="1"/>
  <c r="AA93" i="15" s="1"/>
  <c r="Y79" i="16"/>
  <c r="AA79" i="16" s="1"/>
  <c r="AA72" i="14"/>
  <c r="Y72" i="15" s="1"/>
  <c r="AA72" i="15" s="1"/>
  <c r="Y53" i="13"/>
  <c r="Y50" i="13"/>
  <c r="AA50" i="13" s="1"/>
  <c r="G53" i="16"/>
  <c r="I53" i="16" s="1"/>
  <c r="W252" i="15"/>
  <c r="W252" i="16" s="1"/>
  <c r="X252" i="16" s="1"/>
  <c r="W225" i="16"/>
  <c r="W224" i="15"/>
  <c r="W224" i="16" s="1"/>
  <c r="W190" i="14"/>
  <c r="X190" i="14" s="1"/>
  <c r="X190" i="13"/>
  <c r="AI190" i="13" s="1"/>
  <c r="W183" i="15"/>
  <c r="X183" i="15" s="1"/>
  <c r="AI183" i="15" s="1"/>
  <c r="X183" i="14"/>
  <c r="AI183" i="14" s="1"/>
  <c r="W174" i="13"/>
  <c r="W174" i="14" s="1"/>
  <c r="W174" i="15" s="1"/>
  <c r="W172" i="12"/>
  <c r="W162" i="13"/>
  <c r="W162" i="14" s="1"/>
  <c r="W138" i="15"/>
  <c r="X138" i="14"/>
  <c r="AH138" i="14" s="1"/>
  <c r="W132" i="14"/>
  <c r="X132" i="14" s="1"/>
  <c r="AJ132" i="14" s="1"/>
  <c r="X132" i="13"/>
  <c r="AI132" i="13" s="1"/>
  <c r="AJ156" i="12"/>
  <c r="AI254" i="12"/>
  <c r="AI246" i="12"/>
  <c r="AH183" i="12"/>
  <c r="AI183" i="12"/>
  <c r="AJ121" i="12"/>
  <c r="U35" i="12"/>
  <c r="AI204" i="13"/>
  <c r="AE166" i="15"/>
  <c r="AG166" i="15" s="1"/>
  <c r="AE120" i="15"/>
  <c r="AG120" i="15" s="1"/>
  <c r="AE79" i="13"/>
  <c r="AG79" i="13" s="1"/>
  <c r="AE79" i="14" s="1"/>
  <c r="AG79" i="14" s="1"/>
  <c r="AE46" i="15"/>
  <c r="AG46" i="15" s="1"/>
  <c r="AE33" i="15"/>
  <c r="AG33" i="15" s="1"/>
  <c r="AJ33" i="15" s="1"/>
  <c r="AB158" i="14"/>
  <c r="AB151" i="14"/>
  <c r="AD151" i="14" s="1"/>
  <c r="AI165" i="12"/>
  <c r="AI190" i="12"/>
  <c r="X153" i="12"/>
  <c r="AJ107" i="12"/>
  <c r="C75" i="12"/>
  <c r="C51" i="12"/>
  <c r="AE163" i="15"/>
  <c r="AG163" i="15" s="1"/>
  <c r="AE117" i="13"/>
  <c r="AG117" i="13" s="1"/>
  <c r="AE100" i="14"/>
  <c r="AG100" i="14" s="1"/>
  <c r="AJ100" i="13"/>
  <c r="AE54" i="14"/>
  <c r="AG54" i="14" s="1"/>
  <c r="AJ54" i="13"/>
  <c r="AE32" i="14"/>
  <c r="AG32" i="14" s="1"/>
  <c r="AJ32" i="13"/>
  <c r="AE24" i="14"/>
  <c r="AG24" i="14" s="1"/>
  <c r="AE24" i="15" s="1"/>
  <c r="AG24" i="15" s="1"/>
  <c r="AB241" i="16"/>
  <c r="AD241" i="16" s="1"/>
  <c r="AD236" i="13"/>
  <c r="AI236" i="13" s="1"/>
  <c r="AB165" i="16"/>
  <c r="AD165" i="16" s="1"/>
  <c r="AI165" i="15"/>
  <c r="AB130" i="14"/>
  <c r="AB126" i="16"/>
  <c r="AD126" i="16" s="1"/>
  <c r="AJ38" i="12"/>
  <c r="AI161" i="12"/>
  <c r="AI78" i="12"/>
  <c r="AI38" i="12"/>
  <c r="AI240" i="12"/>
  <c r="X236" i="12"/>
  <c r="AI236" i="12" s="1"/>
  <c r="X162" i="12"/>
  <c r="AH162" i="12" s="1"/>
  <c r="U157" i="12"/>
  <c r="U155" i="12" s="1"/>
  <c r="AJ117" i="12"/>
  <c r="U105" i="12"/>
  <c r="U104" i="12" s="1"/>
  <c r="AJ95" i="12"/>
  <c r="AH30" i="12"/>
  <c r="AJ38" i="13"/>
  <c r="X224" i="13"/>
  <c r="AH224" i="13" s="1"/>
  <c r="AG168" i="15"/>
  <c r="AE168" i="16" s="1"/>
  <c r="AG168" i="16" s="1"/>
  <c r="AE167" i="14"/>
  <c r="AG167" i="14" s="1"/>
  <c r="AG165" i="12"/>
  <c r="AJ165" i="12" s="1"/>
  <c r="AG150" i="14"/>
  <c r="AE150" i="15" s="1"/>
  <c r="AG150" i="15" s="1"/>
  <c r="AE130" i="14"/>
  <c r="AG130" i="14" s="1"/>
  <c r="AE101" i="13"/>
  <c r="AG101" i="13" s="1"/>
  <c r="AE101" i="14" s="1"/>
  <c r="AG101" i="14" s="1"/>
  <c r="AE101" i="15" s="1"/>
  <c r="AG101" i="15" s="1"/>
  <c r="AE88" i="14"/>
  <c r="AG88" i="14" s="1"/>
  <c r="AJ88" i="13"/>
  <c r="AE61" i="15"/>
  <c r="AG61" i="15" s="1"/>
  <c r="AE61" i="16" s="1"/>
  <c r="AG61" i="16" s="1"/>
  <c r="AE39" i="15"/>
  <c r="AG39" i="15" s="1"/>
  <c r="AE17" i="14"/>
  <c r="AG17" i="14" s="1"/>
  <c r="AI28" i="15"/>
  <c r="AB254" i="16"/>
  <c r="AD254" i="16" s="1"/>
  <c r="AI254" i="15"/>
  <c r="AB249" i="16"/>
  <c r="AD249" i="16" s="1"/>
  <c r="AB247" i="16"/>
  <c r="AD247" i="16" s="1"/>
  <c r="AB246" i="16"/>
  <c r="AD246" i="16" s="1"/>
  <c r="AI246" i="15"/>
  <c r="AD212" i="14"/>
  <c r="AB212" i="15" s="1"/>
  <c r="AD212" i="15" s="1"/>
  <c r="AB212" i="16" s="1"/>
  <c r="AD212" i="16" s="1"/>
  <c r="AB203" i="16"/>
  <c r="AD203" i="16" s="1"/>
  <c r="AB182" i="16"/>
  <c r="AD182" i="16" s="1"/>
  <c r="AD124" i="14"/>
  <c r="AB124" i="15" s="1"/>
  <c r="AD124" i="15" s="1"/>
  <c r="AB99" i="16"/>
  <c r="AD99" i="16" s="1"/>
  <c r="AB87" i="16"/>
  <c r="AD87" i="16" s="1"/>
  <c r="AD84" i="14"/>
  <c r="AD74" i="14"/>
  <c r="AI156" i="15"/>
  <c r="AB230" i="16"/>
  <c r="AD230" i="16" s="1"/>
  <c r="AB200" i="16"/>
  <c r="AD200" i="16" s="1"/>
  <c r="AB179" i="16"/>
  <c r="AD179" i="16" s="1"/>
  <c r="AD173" i="15"/>
  <c r="AI173" i="15" s="1"/>
  <c r="AB137" i="16"/>
  <c r="AD137" i="16" s="1"/>
  <c r="AB129" i="16"/>
  <c r="AD129" i="16" s="1"/>
  <c r="AB102" i="16"/>
  <c r="AD102" i="16" s="1"/>
  <c r="AD97" i="15"/>
  <c r="AB97" i="16" s="1"/>
  <c r="AD97" i="16" s="1"/>
  <c r="AD93" i="14"/>
  <c r="AB31" i="16"/>
  <c r="L67" i="14"/>
  <c r="L61" i="14"/>
  <c r="J46" i="15"/>
  <c r="L34" i="14"/>
  <c r="J34" i="15" s="1"/>
  <c r="AI240" i="15"/>
  <c r="AB240" i="16"/>
  <c r="AD240" i="16" s="1"/>
  <c r="AD228" i="14"/>
  <c r="AB191" i="16"/>
  <c r="AD191" i="16" s="1"/>
  <c r="AD186" i="14"/>
  <c r="AB186" i="15" s="1"/>
  <c r="AD186" i="15" s="1"/>
  <c r="AB186" i="16" s="1"/>
  <c r="AD168" i="14"/>
  <c r="AB161" i="16"/>
  <c r="AD161" i="16" s="1"/>
  <c r="AI161" i="15"/>
  <c r="AB115" i="16"/>
  <c r="AD115" i="16" s="1"/>
  <c r="AD106" i="15"/>
  <c r="AB106" i="16" s="1"/>
  <c r="AD81" i="15"/>
  <c r="AB81" i="16" s="1"/>
  <c r="AD81" i="16" s="1"/>
  <c r="AB78" i="16"/>
  <c r="AD78" i="16" s="1"/>
  <c r="AI78" i="15"/>
  <c r="AD38" i="14"/>
  <c r="AB38" i="15" s="1"/>
  <c r="AA142" i="16"/>
  <c r="AA141" i="16" s="1"/>
  <c r="Y141" i="16"/>
  <c r="AA92" i="16"/>
  <c r="AA58" i="16"/>
  <c r="I82" i="16"/>
  <c r="I58" i="16"/>
  <c r="X251" i="16"/>
  <c r="X248" i="16"/>
  <c r="X200" i="16"/>
  <c r="X137" i="16"/>
  <c r="AH137" i="16" s="1"/>
  <c r="X108" i="16"/>
  <c r="AI108" i="16" s="1"/>
  <c r="AB256" i="16"/>
  <c r="AD256" i="16" s="1"/>
  <c r="AH67" i="12"/>
  <c r="AE108" i="15"/>
  <c r="AG108" i="15" s="1"/>
  <c r="AD158" i="14"/>
  <c r="AB158" i="15" s="1"/>
  <c r="AD158" i="15" s="1"/>
  <c r="AB173" i="16"/>
  <c r="AD173" i="16" s="1"/>
  <c r="W172" i="13"/>
  <c r="AL90" i="16" l="1"/>
  <c r="Z145" i="16"/>
  <c r="AF196" i="13"/>
  <c r="AF112" i="13"/>
  <c r="AF112" i="12"/>
  <c r="AL196" i="12"/>
  <c r="AL195" i="12" s="1"/>
  <c r="X200" i="13"/>
  <c r="AI200" i="13" s="1"/>
  <c r="X200" i="15"/>
  <c r="AI200" i="15" s="1"/>
  <c r="X200" i="12"/>
  <c r="X200" i="14"/>
  <c r="AH40" i="12"/>
  <c r="X153" i="5"/>
  <c r="X153" i="9"/>
  <c r="AI153" i="9" s="1"/>
  <c r="X153" i="7"/>
  <c r="AI153" i="7" s="1"/>
  <c r="AL196" i="5"/>
  <c r="AL195" i="5" s="1"/>
  <c r="AL193" i="5" s="1"/>
  <c r="V123" i="5"/>
  <c r="X130" i="5"/>
  <c r="X130" i="7"/>
  <c r="AH84" i="7"/>
  <c r="AJ84" i="13"/>
  <c r="X148" i="10"/>
  <c r="X153" i="10"/>
  <c r="AH153" i="10" s="1"/>
  <c r="X86" i="10"/>
  <c r="AI86" i="10" s="1"/>
  <c r="AC112" i="10"/>
  <c r="AJ153" i="9"/>
  <c r="AI139" i="12"/>
  <c r="X134" i="9"/>
  <c r="AJ125" i="9"/>
  <c r="X130" i="10"/>
  <c r="X130" i="9"/>
  <c r="BR18" i="16"/>
  <c r="R42" i="20"/>
  <c r="BP18" i="13"/>
  <c r="BP18" i="12"/>
  <c r="AH153" i="12"/>
  <c r="BO18" i="9"/>
  <c r="AA147" i="9"/>
  <c r="BO18" i="10"/>
  <c r="BO18" i="11"/>
  <c r="BO19" i="10"/>
  <c r="AH126" i="9"/>
  <c r="AH80" i="9"/>
  <c r="AA58" i="12"/>
  <c r="AA58" i="13"/>
  <c r="AA58" i="10"/>
  <c r="Y58" i="10"/>
  <c r="AA58" i="11"/>
  <c r="Y58" i="14"/>
  <c r="Y58" i="11"/>
  <c r="Y58" i="15"/>
  <c r="AJ207" i="5"/>
  <c r="Z90" i="9"/>
  <c r="AH36" i="9"/>
  <c r="X36" i="10"/>
  <c r="AH36" i="10" s="1"/>
  <c r="X36" i="11"/>
  <c r="W155" i="8"/>
  <c r="W145" i="8" s="1"/>
  <c r="X168" i="9"/>
  <c r="AJ168" i="9" s="1"/>
  <c r="W155" i="10"/>
  <c r="X168" i="8"/>
  <c r="W155" i="9"/>
  <c r="W145" i="9" s="1"/>
  <c r="X168" i="10"/>
  <c r="AH168" i="10" s="1"/>
  <c r="AJ88" i="12"/>
  <c r="X41" i="11"/>
  <c r="X41" i="8"/>
  <c r="X41" i="10"/>
  <c r="AH41" i="10" s="1"/>
  <c r="F74" i="10"/>
  <c r="E72" i="10"/>
  <c r="G81" i="9"/>
  <c r="I81" i="10"/>
  <c r="M82" i="8"/>
  <c r="I81" i="6"/>
  <c r="I81" i="8"/>
  <c r="G81" i="7"/>
  <c r="G81" i="10"/>
  <c r="I81" i="11"/>
  <c r="M82" i="6"/>
  <c r="Y105" i="9"/>
  <c r="Y104" i="9" s="1"/>
  <c r="AA105" i="7"/>
  <c r="AA104" i="7" s="1"/>
  <c r="AH106" i="10"/>
  <c r="Y105" i="8"/>
  <c r="Y104" i="8" s="1"/>
  <c r="Y105" i="10"/>
  <c r="Y104" i="10" s="1"/>
  <c r="AA105" i="8"/>
  <c r="AA104" i="8" s="1"/>
  <c r="AA105" i="9"/>
  <c r="AA104" i="9" s="1"/>
  <c r="AH106" i="9"/>
  <c r="BO19" i="7"/>
  <c r="BO19" i="8"/>
  <c r="BK9" i="7"/>
  <c r="X88" i="14"/>
  <c r="X88" i="15"/>
  <c r="X41" i="6"/>
  <c r="X41" i="9"/>
  <c r="X87" i="6"/>
  <c r="X87" i="9"/>
  <c r="BO19" i="11"/>
  <c r="BO19" i="12"/>
  <c r="BO19" i="13"/>
  <c r="BO19" i="14"/>
  <c r="BO19" i="15"/>
  <c r="BO19" i="6"/>
  <c r="BO19" i="9"/>
  <c r="AA123" i="6"/>
  <c r="D73" i="7"/>
  <c r="D72" i="6"/>
  <c r="AJ216" i="5"/>
  <c r="AJ181" i="5"/>
  <c r="AJ133" i="5"/>
  <c r="AJ86" i="5"/>
  <c r="AI238" i="5"/>
  <c r="AI159" i="5"/>
  <c r="AI86" i="5"/>
  <c r="AH36" i="5"/>
  <c r="AH120" i="6"/>
  <c r="F73" i="6"/>
  <c r="AI32" i="8"/>
  <c r="C45" i="7"/>
  <c r="C51" i="13"/>
  <c r="AJ238" i="5"/>
  <c r="AI256" i="5"/>
  <c r="AI133" i="5"/>
  <c r="AH55" i="5"/>
  <c r="AJ32" i="8"/>
  <c r="AI19" i="8"/>
  <c r="AJ164" i="5"/>
  <c r="AJ120" i="5"/>
  <c r="AI181" i="5"/>
  <c r="AI115" i="5"/>
  <c r="AI67" i="5"/>
  <c r="AI23" i="5"/>
  <c r="AI17" i="5"/>
  <c r="AH17" i="5"/>
  <c r="AI246" i="8"/>
  <c r="AH24" i="8"/>
  <c r="C69" i="8"/>
  <c r="C45" i="8"/>
  <c r="C51" i="9"/>
  <c r="F73" i="7"/>
  <c r="X36" i="14"/>
  <c r="AH36" i="14" s="1"/>
  <c r="X36" i="15"/>
  <c r="AH36" i="15" s="1"/>
  <c r="X36" i="6"/>
  <c r="X36" i="7"/>
  <c r="X36" i="12"/>
  <c r="X86" i="8"/>
  <c r="AI86" i="8" s="1"/>
  <c r="W83" i="8"/>
  <c r="W83" i="9"/>
  <c r="X86" i="9"/>
  <c r="AH86" i="9" s="1"/>
  <c r="X86" i="7"/>
  <c r="W83" i="7"/>
  <c r="X86" i="6"/>
  <c r="AH86" i="6" s="1"/>
  <c r="W83" i="6"/>
  <c r="X129" i="8"/>
  <c r="AH129" i="8" s="1"/>
  <c r="X129" i="9"/>
  <c r="X129" i="7"/>
  <c r="X129" i="6"/>
  <c r="X139" i="14"/>
  <c r="AJ139" i="14" s="1"/>
  <c r="X139" i="15"/>
  <c r="AI139" i="15" s="1"/>
  <c r="AH153" i="8"/>
  <c r="AI153" i="8"/>
  <c r="AH153" i="9"/>
  <c r="AH26" i="5"/>
  <c r="AA20" i="5"/>
  <c r="AA16" i="5" s="1"/>
  <c r="BQ12" i="6"/>
  <c r="G36" i="20" s="1"/>
  <c r="G33" i="20" s="1"/>
  <c r="D80" i="7"/>
  <c r="F80" i="6"/>
  <c r="N80" i="6" s="1"/>
  <c r="X131" i="16"/>
  <c r="J25" i="6"/>
  <c r="AM220" i="6"/>
  <c r="AM220" i="14"/>
  <c r="AL220" i="6"/>
  <c r="AF43" i="15"/>
  <c r="AF43" i="11"/>
  <c r="AF14" i="11" s="1"/>
  <c r="U170" i="5"/>
  <c r="AH126" i="8"/>
  <c r="U141" i="13"/>
  <c r="C45" i="6"/>
  <c r="AJ198" i="5"/>
  <c r="BO16" i="8"/>
  <c r="AD35" i="5"/>
  <c r="BP31" i="5"/>
  <c r="BJ15" i="5" s="1"/>
  <c r="AI41" i="5"/>
  <c r="AI41" i="8"/>
  <c r="X207" i="6"/>
  <c r="X131" i="15"/>
  <c r="X131" i="9"/>
  <c r="X131" i="14"/>
  <c r="X131" i="6"/>
  <c r="X131" i="7"/>
  <c r="X131" i="12"/>
  <c r="AJ131" i="12" s="1"/>
  <c r="X131" i="13"/>
  <c r="AJ131" i="13" s="1"/>
  <c r="D61" i="7"/>
  <c r="F61" i="7" s="1"/>
  <c r="D60" i="6"/>
  <c r="BQ14" i="15"/>
  <c r="P38" i="20" s="1"/>
  <c r="AC43" i="14"/>
  <c r="AM193" i="16"/>
  <c r="BQ17" i="15"/>
  <c r="P41" i="20" s="1"/>
  <c r="BQ17" i="11"/>
  <c r="L41" i="20" s="1"/>
  <c r="Z90" i="14"/>
  <c r="Z145" i="9"/>
  <c r="BP17" i="5"/>
  <c r="F50" i="6"/>
  <c r="F44" i="6"/>
  <c r="C35" i="8"/>
  <c r="C22" i="8"/>
  <c r="F50" i="9"/>
  <c r="F44" i="9"/>
  <c r="C45" i="10"/>
  <c r="BQ14" i="14"/>
  <c r="O38" i="20" s="1"/>
  <c r="BQ14" i="10"/>
  <c r="K38" i="20" s="1"/>
  <c r="BQ16" i="10"/>
  <c r="K40" i="20" s="1"/>
  <c r="Z43" i="8"/>
  <c r="Z232" i="10"/>
  <c r="AL43" i="14"/>
  <c r="AL170" i="11"/>
  <c r="AL112" i="11"/>
  <c r="AL220" i="10"/>
  <c r="AL170" i="8"/>
  <c r="AL220" i="7"/>
  <c r="AF43" i="14"/>
  <c r="N83" i="5"/>
  <c r="Z232" i="6"/>
  <c r="C66" i="6"/>
  <c r="F61" i="6"/>
  <c r="C54" i="6"/>
  <c r="C48" i="6"/>
  <c r="C42" i="6"/>
  <c r="F50" i="8"/>
  <c r="F44" i="8"/>
  <c r="F50" i="10"/>
  <c r="F44" i="10"/>
  <c r="F79" i="6"/>
  <c r="AH134" i="5"/>
  <c r="F50" i="7"/>
  <c r="F44" i="7"/>
  <c r="M80" i="6"/>
  <c r="G78" i="7"/>
  <c r="I78" i="7" s="1"/>
  <c r="AW7" i="5"/>
  <c r="J78" i="7"/>
  <c r="L78" i="7" s="1"/>
  <c r="AW9" i="5"/>
  <c r="G75" i="9"/>
  <c r="I75" i="5"/>
  <c r="I75" i="9"/>
  <c r="I75" i="6"/>
  <c r="I75" i="8"/>
  <c r="G75" i="8"/>
  <c r="I75" i="7"/>
  <c r="G75" i="7"/>
  <c r="G69" i="6"/>
  <c r="I69" i="10"/>
  <c r="M70" i="5"/>
  <c r="I69" i="5"/>
  <c r="I69" i="7"/>
  <c r="I69" i="9"/>
  <c r="G69" i="9"/>
  <c r="I63" i="6"/>
  <c r="BD14" i="7"/>
  <c r="I63" i="5"/>
  <c r="I63" i="8"/>
  <c r="G63" i="11"/>
  <c r="BD14" i="11"/>
  <c r="BD14" i="10"/>
  <c r="BD14" i="9"/>
  <c r="G63" i="6"/>
  <c r="G63" i="8"/>
  <c r="I63" i="9"/>
  <c r="I63" i="7"/>
  <c r="G63" i="7"/>
  <c r="G63" i="10"/>
  <c r="M62" i="5"/>
  <c r="G60" i="6"/>
  <c r="I60" i="6"/>
  <c r="G60" i="7"/>
  <c r="G57" i="9"/>
  <c r="I57" i="7"/>
  <c r="I57" i="10"/>
  <c r="G57" i="10"/>
  <c r="I57" i="5"/>
  <c r="I57" i="6"/>
  <c r="G57" i="6"/>
  <c r="I57" i="8"/>
  <c r="G57" i="11"/>
  <c r="M58" i="5"/>
  <c r="G57" i="7"/>
  <c r="I57" i="11"/>
  <c r="BD15" i="6"/>
  <c r="BD15" i="5"/>
  <c r="G45" i="7"/>
  <c r="I45" i="5"/>
  <c r="I45" i="6"/>
  <c r="AX8" i="5"/>
  <c r="AC43" i="6"/>
  <c r="AI183" i="9"/>
  <c r="BQ14" i="11"/>
  <c r="AC43" i="11"/>
  <c r="BQ14" i="13"/>
  <c r="N38" i="20" s="1"/>
  <c r="AL220" i="16"/>
  <c r="AL112" i="15"/>
  <c r="AL193" i="13"/>
  <c r="AL43" i="13"/>
  <c r="AF43" i="9"/>
  <c r="AI102" i="8"/>
  <c r="C42" i="9"/>
  <c r="U58" i="11"/>
  <c r="C22" i="11"/>
  <c r="X252" i="15"/>
  <c r="AI252" i="15" s="1"/>
  <c r="BK15" i="5"/>
  <c r="AC43" i="16"/>
  <c r="AC43" i="10"/>
  <c r="Z196" i="12"/>
  <c r="Z195" i="12" s="1"/>
  <c r="Z220" i="8"/>
  <c r="Z232" i="11"/>
  <c r="AM112" i="15"/>
  <c r="AM112" i="9"/>
  <c r="AT21" i="6"/>
  <c r="AC90" i="16"/>
  <c r="AC90" i="11"/>
  <c r="AF145" i="13"/>
  <c r="AF145" i="11"/>
  <c r="AF145" i="9"/>
  <c r="AC196" i="15"/>
  <c r="AC195" i="15" s="1"/>
  <c r="AC193" i="15" s="1"/>
  <c r="AF220" i="11"/>
  <c r="BQ30" i="11" s="1"/>
  <c r="AF232" i="9"/>
  <c r="BQ29" i="9" s="1"/>
  <c r="Z196" i="11"/>
  <c r="Z195" i="11" s="1"/>
  <c r="Z193" i="11" s="1"/>
  <c r="AL220" i="13"/>
  <c r="AL170" i="7"/>
  <c r="AS21" i="6"/>
  <c r="AL193" i="6"/>
  <c r="AL112" i="6"/>
  <c r="AB193" i="5"/>
  <c r="AB112" i="5"/>
  <c r="AB43" i="5"/>
  <c r="Y220" i="5"/>
  <c r="AJ177" i="5"/>
  <c r="AI177" i="5"/>
  <c r="AI148" i="5"/>
  <c r="AJ129" i="5"/>
  <c r="AI129" i="5"/>
  <c r="AJ126" i="5"/>
  <c r="AI116" i="5"/>
  <c r="AI99" i="5"/>
  <c r="AH80" i="8"/>
  <c r="AI72" i="5"/>
  <c r="AJ59" i="5"/>
  <c r="AI59" i="5"/>
  <c r="M73" i="5"/>
  <c r="M61" i="5"/>
  <c r="C60" i="6"/>
  <c r="U187" i="8"/>
  <c r="AE33" i="16"/>
  <c r="AG33" i="16" s="1"/>
  <c r="AE165" i="13"/>
  <c r="AG165" i="13" s="1"/>
  <c r="AE165" i="14" s="1"/>
  <c r="W183" i="16"/>
  <c r="X183" i="16" s="1"/>
  <c r="AW19" i="16"/>
  <c r="BH5" i="16"/>
  <c r="BE3" i="16"/>
  <c r="BK3" i="16" s="1"/>
  <c r="BQ3" i="16" s="1"/>
  <c r="BE3" i="5"/>
  <c r="BK3" i="5" s="1"/>
  <c r="BQ3" i="5" s="1"/>
  <c r="BN5" i="5" s="1"/>
  <c r="U105" i="6"/>
  <c r="U104" i="6" s="1"/>
  <c r="C69" i="6"/>
  <c r="C57" i="6"/>
  <c r="C29" i="6"/>
  <c r="AJ19" i="6"/>
  <c r="AH19" i="6"/>
  <c r="U83" i="8"/>
  <c r="C57" i="8"/>
  <c r="AJ102" i="8"/>
  <c r="AJ19" i="8"/>
  <c r="AI183" i="8"/>
  <c r="AI36" i="8"/>
  <c r="AI28" i="8"/>
  <c r="AH236" i="8"/>
  <c r="U243" i="8"/>
  <c r="U211" i="8"/>
  <c r="U210" i="8" s="1"/>
  <c r="U209" i="8" s="1"/>
  <c r="U197" i="8"/>
  <c r="U149" i="8"/>
  <c r="U147" i="8" s="1"/>
  <c r="U114" i="8"/>
  <c r="AI240" i="9"/>
  <c r="U172" i="9"/>
  <c r="BO16" i="7"/>
  <c r="Y90" i="7"/>
  <c r="U187" i="7"/>
  <c r="U185" i="7" s="1"/>
  <c r="C48" i="7"/>
  <c r="C35" i="7"/>
  <c r="C29" i="7"/>
  <c r="C22" i="7"/>
  <c r="C32" i="12"/>
  <c r="C29" i="12"/>
  <c r="AJ3" i="7"/>
  <c r="BC5" i="11"/>
  <c r="AW4" i="15"/>
  <c r="AW19" i="7"/>
  <c r="BC5" i="15"/>
  <c r="AW4" i="7"/>
  <c r="AW4" i="11"/>
  <c r="AW19" i="15"/>
  <c r="BH5" i="15"/>
  <c r="BE3" i="11"/>
  <c r="BK3" i="11" s="1"/>
  <c r="BQ3" i="11" s="1"/>
  <c r="BN5" i="11" s="1"/>
  <c r="BQ17" i="12"/>
  <c r="M41" i="20" s="1"/>
  <c r="Z170" i="12"/>
  <c r="AJ3" i="10"/>
  <c r="BC5" i="10"/>
  <c r="BE3" i="10"/>
  <c r="BK3" i="10" s="1"/>
  <c r="BQ3" i="10" s="1"/>
  <c r="BN5" i="10" s="1"/>
  <c r="AT21" i="16"/>
  <c r="AS6" i="16"/>
  <c r="AE131" i="14"/>
  <c r="AG131" i="14" s="1"/>
  <c r="AJ19" i="14"/>
  <c r="BR23" i="16"/>
  <c r="BC5" i="13"/>
  <c r="AW19" i="9"/>
  <c r="BE3" i="9"/>
  <c r="BK3" i="9" s="1"/>
  <c r="BQ3" i="9" s="1"/>
  <c r="BN5" i="9" s="1"/>
  <c r="AW4" i="14"/>
  <c r="BH5" i="6"/>
  <c r="AF196" i="10"/>
  <c r="AC90" i="12"/>
  <c r="AC63" i="12" s="1"/>
  <c r="AC145" i="16"/>
  <c r="AC145" i="14"/>
  <c r="AF170" i="14"/>
  <c r="BQ24" i="14" s="1"/>
  <c r="AC220" i="15"/>
  <c r="AC232" i="15"/>
  <c r="AC232" i="12"/>
  <c r="AM14" i="14"/>
  <c r="AM112" i="8"/>
  <c r="AM145" i="15"/>
  <c r="AM110" i="15" s="1"/>
  <c r="AM145" i="10"/>
  <c r="AM193" i="7"/>
  <c r="BC5" i="6"/>
  <c r="AL193" i="9"/>
  <c r="AL193" i="8"/>
  <c r="AL112" i="8"/>
  <c r="AL43" i="8"/>
  <c r="AJ3" i="9"/>
  <c r="AW4" i="10"/>
  <c r="AW19" i="14"/>
  <c r="AZ11" i="7"/>
  <c r="AF145" i="16"/>
  <c r="AF196" i="14"/>
  <c r="AC112" i="8"/>
  <c r="BQ17" i="9"/>
  <c r="J41" i="20" s="1"/>
  <c r="AC193" i="10"/>
  <c r="Z43" i="10"/>
  <c r="Z112" i="10"/>
  <c r="Z112" i="9"/>
  <c r="AM145" i="12"/>
  <c r="AM193" i="6"/>
  <c r="BE3" i="6"/>
  <c r="BK3" i="6" s="1"/>
  <c r="BQ3" i="6" s="1"/>
  <c r="BN5" i="6" s="1"/>
  <c r="AL112" i="7"/>
  <c r="AC112" i="13"/>
  <c r="Z193" i="12"/>
  <c r="Z232" i="9"/>
  <c r="AM14" i="15"/>
  <c r="AM112" i="6"/>
  <c r="AM145" i="7"/>
  <c r="AT6" i="16"/>
  <c r="AR21" i="7"/>
  <c r="AT6" i="7"/>
  <c r="AS6" i="7"/>
  <c r="AS6" i="13"/>
  <c r="AT21" i="13"/>
  <c r="AT6" i="13"/>
  <c r="AS21" i="13"/>
  <c r="AF90" i="14"/>
  <c r="AJ67" i="5"/>
  <c r="AJ53" i="5"/>
  <c r="AJ41" i="5"/>
  <c r="AJ31" i="5"/>
  <c r="AJ23" i="5"/>
  <c r="AI55" i="5"/>
  <c r="AI36" i="5"/>
  <c r="AG114" i="5"/>
  <c r="AG44" i="5"/>
  <c r="M55" i="5"/>
  <c r="M54" i="5" s="1"/>
  <c r="U222" i="6"/>
  <c r="U58" i="6"/>
  <c r="U57" i="6" s="1"/>
  <c r="AG58" i="6"/>
  <c r="AG57" i="6" s="1"/>
  <c r="AF232" i="6"/>
  <c r="AE58" i="6"/>
  <c r="AE57" i="6" s="1"/>
  <c r="AD227" i="6"/>
  <c r="AD197" i="6"/>
  <c r="AB211" i="6"/>
  <c r="AB210" i="6" s="1"/>
  <c r="AB209" i="6" s="1"/>
  <c r="AJ18" i="8"/>
  <c r="AH67" i="8"/>
  <c r="AB227" i="8"/>
  <c r="AB141" i="8"/>
  <c r="U185" i="8"/>
  <c r="AI76" i="8"/>
  <c r="AJ41" i="8"/>
  <c r="U58" i="9"/>
  <c r="U57" i="9" s="1"/>
  <c r="AI59" i="9"/>
  <c r="C66" i="9"/>
  <c r="U35" i="7"/>
  <c r="AF232" i="7"/>
  <c r="AD235" i="7"/>
  <c r="AD234" i="7" s="1"/>
  <c r="AD197" i="7"/>
  <c r="AD141" i="7"/>
  <c r="BP20" i="7" s="1"/>
  <c r="AD91" i="7"/>
  <c r="AB222" i="7"/>
  <c r="AB114" i="7"/>
  <c r="AB44" i="7"/>
  <c r="J75" i="7"/>
  <c r="J63" i="7"/>
  <c r="AJ68" i="7"/>
  <c r="C66" i="7"/>
  <c r="C81" i="10"/>
  <c r="AI67" i="11"/>
  <c r="AA205" i="11"/>
  <c r="Y205" i="11"/>
  <c r="C51" i="11"/>
  <c r="C81" i="13"/>
  <c r="AA141" i="14"/>
  <c r="BO20" i="14" s="1"/>
  <c r="Y141" i="14"/>
  <c r="AI40" i="15"/>
  <c r="AI26" i="15"/>
  <c r="AL170" i="6"/>
  <c r="AL112" i="5"/>
  <c r="Y112" i="5"/>
  <c r="AJ48" i="5"/>
  <c r="AJ37" i="5"/>
  <c r="AJ27" i="5"/>
  <c r="AI245" i="5"/>
  <c r="AI216" i="5"/>
  <c r="AI189" i="5"/>
  <c r="AI164" i="5"/>
  <c r="AI138" i="5"/>
  <c r="AI120" i="5"/>
  <c r="AI94" i="5"/>
  <c r="AI73" i="5"/>
  <c r="AH256" i="5"/>
  <c r="AH207" i="5"/>
  <c r="AH159" i="5"/>
  <c r="AH115" i="5"/>
  <c r="AG222" i="5"/>
  <c r="AG58" i="5"/>
  <c r="AG57" i="5" s="1"/>
  <c r="AG20" i="5"/>
  <c r="AG16" i="5" s="1"/>
  <c r="N43" i="5"/>
  <c r="M68" i="5"/>
  <c r="C72" i="6"/>
  <c r="C10" i="6"/>
  <c r="AG35" i="6"/>
  <c r="AE35" i="6"/>
  <c r="AD211" i="6"/>
  <c r="AD210" i="6" s="1"/>
  <c r="AD209" i="6" s="1"/>
  <c r="AB227" i="6"/>
  <c r="AB197" i="6"/>
  <c r="Z145" i="6"/>
  <c r="C81" i="8"/>
  <c r="C10" i="8"/>
  <c r="AH30" i="8"/>
  <c r="AD141" i="8"/>
  <c r="BP20" i="8" s="1"/>
  <c r="AB187" i="8"/>
  <c r="AB185" i="8" s="1"/>
  <c r="AD58" i="9"/>
  <c r="AD57" i="9" s="1"/>
  <c r="AB58" i="9"/>
  <c r="AB57" i="9" s="1"/>
  <c r="AG35" i="7"/>
  <c r="AE58" i="7"/>
  <c r="AE57" i="7" s="1"/>
  <c r="AD222" i="7"/>
  <c r="AD114" i="7"/>
  <c r="AD44" i="7"/>
  <c r="AB235" i="7"/>
  <c r="AB234" i="7" s="1"/>
  <c r="AB197" i="7"/>
  <c r="AB141" i="7"/>
  <c r="AB91" i="7"/>
  <c r="AD141" i="10"/>
  <c r="BP20" i="10" s="1"/>
  <c r="AA227" i="10"/>
  <c r="C81" i="11"/>
  <c r="AD141" i="11"/>
  <c r="BP20" i="11" s="1"/>
  <c r="AB58" i="11"/>
  <c r="AB57" i="11" s="1"/>
  <c r="AA205" i="12"/>
  <c r="Y205" i="12"/>
  <c r="AA141" i="13"/>
  <c r="BO20" i="13" s="1"/>
  <c r="Y141" i="13"/>
  <c r="AA205" i="15"/>
  <c r="Y205" i="15"/>
  <c r="U227" i="16"/>
  <c r="AL193" i="16"/>
  <c r="AL193" i="15"/>
  <c r="AL145" i="11"/>
  <c r="AL193" i="10"/>
  <c r="AL43" i="10"/>
  <c r="AL220" i="9"/>
  <c r="AL112" i="9"/>
  <c r="AJ245" i="5"/>
  <c r="AJ224" i="5"/>
  <c r="AJ189" i="5"/>
  <c r="AJ168" i="5"/>
  <c r="AJ138" i="5"/>
  <c r="AJ94" i="5"/>
  <c r="AJ77" i="5"/>
  <c r="AJ68" i="5"/>
  <c r="AJ18" i="5"/>
  <c r="AG49" i="5"/>
  <c r="N82" i="5"/>
  <c r="M74" i="5"/>
  <c r="M49" i="5"/>
  <c r="AD235" i="5"/>
  <c r="AD234" i="5" s="1"/>
  <c r="U69" i="6"/>
  <c r="U65" i="6" s="1"/>
  <c r="C32" i="6"/>
  <c r="AJ93" i="6"/>
  <c r="AG227" i="6"/>
  <c r="AD235" i="6"/>
  <c r="AD234" i="6" s="1"/>
  <c r="AB222" i="6"/>
  <c r="AB187" i="6"/>
  <c r="AB185" i="6" s="1"/>
  <c r="AE35" i="8"/>
  <c r="AI161" i="9"/>
  <c r="U141" i="7"/>
  <c r="AE44" i="7"/>
  <c r="AD149" i="7"/>
  <c r="AD147" i="7" s="1"/>
  <c r="AD96" i="7"/>
  <c r="AD20" i="7"/>
  <c r="AD16" i="7" s="1"/>
  <c r="AB227" i="7"/>
  <c r="AB187" i="7"/>
  <c r="AB185" i="7" s="1"/>
  <c r="AB123" i="7"/>
  <c r="AB58" i="7"/>
  <c r="AB57" i="7" s="1"/>
  <c r="AI161" i="7"/>
  <c r="C10" i="7"/>
  <c r="AI239" i="11"/>
  <c r="AD58" i="11"/>
  <c r="AD57" i="11" s="1"/>
  <c r="AA205" i="14"/>
  <c r="Y205" i="14"/>
  <c r="N79" i="6"/>
  <c r="M79" i="6"/>
  <c r="BK9" i="13"/>
  <c r="AF170" i="16"/>
  <c r="BQ24" i="16" s="1"/>
  <c r="AC196" i="16"/>
  <c r="AC195" i="16" s="1"/>
  <c r="AC193" i="16" s="1"/>
  <c r="AU11" i="6"/>
  <c r="AV11" i="6"/>
  <c r="BP12" i="6"/>
  <c r="BP9" i="6" s="1"/>
  <c r="AF112" i="16"/>
  <c r="BQ16" i="16"/>
  <c r="BQ16" i="11"/>
  <c r="AF112" i="11"/>
  <c r="AF110" i="11" s="1"/>
  <c r="AF145" i="14"/>
  <c r="AF145" i="12"/>
  <c r="AF110" i="12" s="1"/>
  <c r="N27" i="5"/>
  <c r="N59" i="5"/>
  <c r="N57" i="5" s="1"/>
  <c r="M59" i="5"/>
  <c r="F51" i="5"/>
  <c r="M53" i="5"/>
  <c r="N47" i="5"/>
  <c r="N45" i="5" s="1"/>
  <c r="M47" i="5"/>
  <c r="N41" i="5"/>
  <c r="M41" i="5"/>
  <c r="U235" i="6"/>
  <c r="U234" i="6" s="1"/>
  <c r="U123" i="6"/>
  <c r="AL193" i="11"/>
  <c r="AL145" i="10"/>
  <c r="AE193" i="5"/>
  <c r="N71" i="5"/>
  <c r="M71" i="5"/>
  <c r="N65" i="5"/>
  <c r="M65" i="5"/>
  <c r="X198" i="6"/>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J164" i="6"/>
  <c r="AG160" i="6"/>
  <c r="AE157" i="6"/>
  <c r="AE155" i="6" s="1"/>
  <c r="AE126" i="6"/>
  <c r="AG123" i="5"/>
  <c r="AG116" i="6"/>
  <c r="AE114" i="6"/>
  <c r="AG106" i="6"/>
  <c r="AE105" i="6"/>
  <c r="AE104" i="6" s="1"/>
  <c r="AE99" i="6"/>
  <c r="AG96" i="5"/>
  <c r="AE94" i="6"/>
  <c r="AG91" i="5"/>
  <c r="AG87" i="6"/>
  <c r="AE83" i="6"/>
  <c r="W51" i="7"/>
  <c r="W49" i="6"/>
  <c r="W46" i="7"/>
  <c r="W44" i="6"/>
  <c r="W39" i="7"/>
  <c r="W35" i="6"/>
  <c r="W21" i="7"/>
  <c r="W20" i="6"/>
  <c r="W16" i="6" s="1"/>
  <c r="E83" i="7"/>
  <c r="E81" i="6"/>
  <c r="E77" i="7"/>
  <c r="E75" i="6"/>
  <c r="E71" i="7"/>
  <c r="E69" i="6"/>
  <c r="E65" i="7"/>
  <c r="E63" i="6"/>
  <c r="E59" i="7"/>
  <c r="E57" i="6"/>
  <c r="E53" i="7"/>
  <c r="E51" i="6"/>
  <c r="E47" i="7"/>
  <c r="E45" i="6"/>
  <c r="E33" i="7"/>
  <c r="E33" i="8" s="1"/>
  <c r="E32" i="6"/>
  <c r="E26" i="7"/>
  <c r="E25" i="6"/>
  <c r="E14" i="7"/>
  <c r="E10" i="6"/>
  <c r="V237" i="7"/>
  <c r="V235" i="6"/>
  <c r="V234" i="6" s="1"/>
  <c r="V228" i="7"/>
  <c r="V227" i="6"/>
  <c r="V214" i="7"/>
  <c r="V211" i="6"/>
  <c r="V210" i="6" s="1"/>
  <c r="V209" i="6" s="1"/>
  <c r="V206" i="7"/>
  <c r="V205" i="6"/>
  <c r="V201" i="7"/>
  <c r="V197" i="6"/>
  <c r="V196" i="6" s="1"/>
  <c r="V195" i="6" s="1"/>
  <c r="V193" i="6" s="1"/>
  <c r="V180" i="7"/>
  <c r="V180" i="8" s="1"/>
  <c r="V180" i="9" s="1"/>
  <c r="V180" i="10" s="1"/>
  <c r="V180" i="11" s="1"/>
  <c r="V180" i="12" s="1"/>
  <c r="V180" i="13" s="1"/>
  <c r="V180" i="14" s="1"/>
  <c r="V180" i="15" s="1"/>
  <c r="V180" i="16" s="1"/>
  <c r="V176" i="6"/>
  <c r="V158" i="7"/>
  <c r="V157" i="6"/>
  <c r="V155" i="6" s="1"/>
  <c r="V151" i="7"/>
  <c r="X151" i="7" s="1"/>
  <c r="V149" i="6"/>
  <c r="V147" i="6" s="1"/>
  <c r="V142" i="7"/>
  <c r="V141" i="6"/>
  <c r="V124" i="7"/>
  <c r="V124" i="8" s="1"/>
  <c r="V124" i="9" s="1"/>
  <c r="V124" i="10" s="1"/>
  <c r="V124" i="11" s="1"/>
  <c r="V124" i="12" s="1"/>
  <c r="V124" i="13" s="1"/>
  <c r="V124" i="14" s="1"/>
  <c r="V124" i="15" s="1"/>
  <c r="V124" i="16" s="1"/>
  <c r="V123" i="6"/>
  <c r="V118" i="6"/>
  <c r="V114" i="5"/>
  <c r="V97" i="7"/>
  <c r="V96" i="6"/>
  <c r="V92" i="7"/>
  <c r="V91" i="6"/>
  <c r="V85" i="6"/>
  <c r="X85" i="6" s="1"/>
  <c r="V83" i="5"/>
  <c r="V71" i="7"/>
  <c r="V71" i="8" s="1"/>
  <c r="V71" i="9" s="1"/>
  <c r="V71" i="10" s="1"/>
  <c r="V71" i="11" s="1"/>
  <c r="V71" i="12" s="1"/>
  <c r="V71" i="13" s="1"/>
  <c r="V71" i="14" s="1"/>
  <c r="V71" i="15" s="1"/>
  <c r="V71" i="16" s="1"/>
  <c r="V69" i="6"/>
  <c r="V65" i="6" s="1"/>
  <c r="V51" i="7"/>
  <c r="V49" i="6"/>
  <c r="V46" i="6"/>
  <c r="V44" i="5"/>
  <c r="V43" i="5" s="1"/>
  <c r="V39" i="7"/>
  <c r="V35" i="6"/>
  <c r="V25" i="9"/>
  <c r="V25" i="10" s="1"/>
  <c r="V25" i="11" s="1"/>
  <c r="V25" i="12" s="1"/>
  <c r="V25" i="13" s="1"/>
  <c r="V25" i="14" s="1"/>
  <c r="V25" i="15" s="1"/>
  <c r="V25" i="16" s="1"/>
  <c r="X25" i="8"/>
  <c r="V21" i="7"/>
  <c r="V20" i="6"/>
  <c r="V16" i="6" s="1"/>
  <c r="D83" i="8"/>
  <c r="D81" i="7"/>
  <c r="D79" i="7"/>
  <c r="D78" i="6"/>
  <c r="D76" i="6"/>
  <c r="F76" i="5"/>
  <c r="D75" i="5"/>
  <c r="D71" i="7"/>
  <c r="D69" i="6"/>
  <c r="D67" i="7"/>
  <c r="D67" i="8" s="1"/>
  <c r="D67" i="9" s="1"/>
  <c r="D67" i="10" s="1"/>
  <c r="D67" i="11" s="1"/>
  <c r="D67" i="12" s="1"/>
  <c r="D67" i="13" s="1"/>
  <c r="D67" i="14" s="1"/>
  <c r="D67" i="15" s="1"/>
  <c r="D67" i="16" s="1"/>
  <c r="D66" i="6"/>
  <c r="D64" i="6"/>
  <c r="F64" i="5"/>
  <c r="D63" i="5"/>
  <c r="D59" i="7"/>
  <c r="D57" i="6"/>
  <c r="D55" i="7"/>
  <c r="D55" i="8" s="1"/>
  <c r="D55" i="9" s="1"/>
  <c r="D55" i="10" s="1"/>
  <c r="D55" i="11" s="1"/>
  <c r="D55" i="12" s="1"/>
  <c r="D55" i="13" s="1"/>
  <c r="D55" i="14" s="1"/>
  <c r="D55" i="15" s="1"/>
  <c r="D55" i="16" s="1"/>
  <c r="D54" i="6"/>
  <c r="D52" i="7"/>
  <c r="D51" i="6"/>
  <c r="D49" i="8"/>
  <c r="D48" i="7"/>
  <c r="D46" i="7"/>
  <c r="D45" i="6"/>
  <c r="D43" i="7"/>
  <c r="D42" i="6"/>
  <c r="D36" i="6"/>
  <c r="F36" i="5"/>
  <c r="D35" i="5"/>
  <c r="D30" i="6"/>
  <c r="F30" i="5"/>
  <c r="D23" i="6"/>
  <c r="F23" i="5"/>
  <c r="D22" i="5"/>
  <c r="D12" i="6"/>
  <c r="F12" i="5"/>
  <c r="BQ17" i="16"/>
  <c r="BQ17" i="14"/>
  <c r="O41" i="20" s="1"/>
  <c r="AC145" i="15"/>
  <c r="AC145" i="13"/>
  <c r="AF220" i="15"/>
  <c r="BQ30" i="15"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E75" i="5"/>
  <c r="E63" i="5"/>
  <c r="E51" i="5"/>
  <c r="V185" i="5"/>
  <c r="V149" i="5"/>
  <c r="V147" i="5" s="1"/>
  <c r="AJ230" i="5"/>
  <c r="AJ203" i="5"/>
  <c r="AJ178" i="5"/>
  <c r="AJ153" i="5"/>
  <c r="AJ130" i="5"/>
  <c r="AJ106" i="5"/>
  <c r="AJ81" i="5"/>
  <c r="AG197" i="5"/>
  <c r="AG147" i="5"/>
  <c r="AG83" i="5"/>
  <c r="AS24" i="5" s="1"/>
  <c r="AX24" i="5" s="1"/>
  <c r="X255" i="5"/>
  <c r="X251" i="5"/>
  <c r="X247" i="5"/>
  <c r="X241" i="5"/>
  <c r="X235" i="5" s="1"/>
  <c r="X234" i="5" s="1"/>
  <c r="X237" i="5"/>
  <c r="X228" i="5"/>
  <c r="X218" i="5"/>
  <c r="X214" i="5"/>
  <c r="X211" i="5" s="1"/>
  <c r="X206" i="5"/>
  <c r="X201" i="5"/>
  <c r="X191" i="5"/>
  <c r="X186" i="5"/>
  <c r="X180" i="5"/>
  <c r="X174" i="5"/>
  <c r="X166" i="5"/>
  <c r="X162" i="5"/>
  <c r="X158" i="5"/>
  <c r="X151" i="5"/>
  <c r="X142" i="5"/>
  <c r="X136" i="5"/>
  <c r="X132" i="5"/>
  <c r="X128" i="5"/>
  <c r="X124" i="5"/>
  <c r="X118" i="5"/>
  <c r="X114" i="5" s="1"/>
  <c r="X108" i="5"/>
  <c r="X101" i="5"/>
  <c r="X97" i="5"/>
  <c r="X92" i="5"/>
  <c r="X91" i="5" s="1"/>
  <c r="X85" i="5"/>
  <c r="X79" i="5"/>
  <c r="X75" i="5"/>
  <c r="X71" i="5"/>
  <c r="X66" i="5"/>
  <c r="X51" i="5"/>
  <c r="X46" i="5"/>
  <c r="X39" i="5"/>
  <c r="X33" i="5"/>
  <c r="X29" i="5"/>
  <c r="X25" i="5"/>
  <c r="X21" i="5"/>
  <c r="AH21" i="5" s="1"/>
  <c r="F77" i="5"/>
  <c r="F26" i="5"/>
  <c r="U187" i="6"/>
  <c r="U185" i="6" s="1"/>
  <c r="AJ120" i="6"/>
  <c r="AG147" i="6"/>
  <c r="AE227" i="6"/>
  <c r="X255" i="6"/>
  <c r="X251" i="6"/>
  <c r="AI251" i="6" s="1"/>
  <c r="X247" i="6"/>
  <c r="X241" i="6"/>
  <c r="X237" i="6"/>
  <c r="X228" i="6"/>
  <c r="X218" i="6"/>
  <c r="X214" i="6"/>
  <c r="X206" i="6"/>
  <c r="U205" i="6"/>
  <c r="U196" i="6" s="1"/>
  <c r="U195" i="6" s="1"/>
  <c r="X201" i="6"/>
  <c r="X191" i="6"/>
  <c r="X186" i="6"/>
  <c r="X180" i="6"/>
  <c r="AJ180" i="6" s="1"/>
  <c r="X174" i="6"/>
  <c r="X166" i="6"/>
  <c r="X162" i="6"/>
  <c r="X158" i="6"/>
  <c r="AJ158" i="6" s="1"/>
  <c r="U157" i="6"/>
  <c r="U155" i="6" s="1"/>
  <c r="X151" i="6"/>
  <c r="U149" i="6"/>
  <c r="U147" i="6" s="1"/>
  <c r="X142" i="6"/>
  <c r="X136" i="6"/>
  <c r="X132" i="6"/>
  <c r="X128" i="6"/>
  <c r="X124" i="6"/>
  <c r="AH124" i="6" s="1"/>
  <c r="X118" i="6"/>
  <c r="X108" i="6"/>
  <c r="X101" i="6"/>
  <c r="X97" i="6"/>
  <c r="AH97" i="6" s="1"/>
  <c r="U96" i="6"/>
  <c r="X92" i="6"/>
  <c r="U83" i="6"/>
  <c r="X79" i="6"/>
  <c r="X75" i="6"/>
  <c r="X71" i="6"/>
  <c r="X66" i="6"/>
  <c r="AH66" i="6" s="1"/>
  <c r="X55" i="6"/>
  <c r="X51" i="6"/>
  <c r="X46" i="6"/>
  <c r="X39" i="6"/>
  <c r="U35" i="6"/>
  <c r="X33" i="6"/>
  <c r="X29" i="6"/>
  <c r="X25" i="6"/>
  <c r="AJ25" i="6" s="1"/>
  <c r="X21" i="6"/>
  <c r="U20" i="6"/>
  <c r="U16" i="6" s="1"/>
  <c r="F83" i="6"/>
  <c r="D48" i="6"/>
  <c r="V104" i="8"/>
  <c r="AF196" i="12"/>
  <c r="AF196" i="16"/>
  <c r="AC43" i="12"/>
  <c r="AC14" i="12" s="1"/>
  <c r="AC12" i="12" s="1"/>
  <c r="AC112" i="16"/>
  <c r="AC145" i="9"/>
  <c r="AC170" i="15"/>
  <c r="AC220" i="11"/>
  <c r="Z43" i="9"/>
  <c r="Z196" i="15"/>
  <c r="Z195" i="15" s="1"/>
  <c r="Z232" i="16"/>
  <c r="Z232" i="15"/>
  <c r="AM193" i="14"/>
  <c r="AM193" i="5"/>
  <c r="AJ3" i="6"/>
  <c r="AT21" i="9"/>
  <c r="AS21" i="9"/>
  <c r="AL43" i="9"/>
  <c r="AL14" i="9" s="1"/>
  <c r="AL145" i="7"/>
  <c r="AL145" i="5"/>
  <c r="AM43" i="16"/>
  <c r="AM232" i="13"/>
  <c r="Q28" i="10"/>
  <c r="K28" i="11"/>
  <c r="Q28" i="15"/>
  <c r="W35" i="5"/>
  <c r="E32" i="5"/>
  <c r="E28" i="5" s="1"/>
  <c r="E21" i="5" s="1"/>
  <c r="E19" i="5" s="1"/>
  <c r="E17" i="5" s="1"/>
  <c r="E8" i="5" s="1"/>
  <c r="E10" i="5"/>
  <c r="V211" i="5"/>
  <c r="V210" i="5" s="1"/>
  <c r="V209" i="5" s="1"/>
  <c r="V176" i="5"/>
  <c r="V170" i="5" s="1"/>
  <c r="V141" i="5"/>
  <c r="AJ252" i="5"/>
  <c r="AJ239" i="5"/>
  <c r="AJ212" i="5"/>
  <c r="AJ182" i="5"/>
  <c r="AJ160" i="5"/>
  <c r="AJ134" i="5"/>
  <c r="AJ116" i="5"/>
  <c r="AJ87" i="5"/>
  <c r="AG227" i="5"/>
  <c r="AG187" i="5"/>
  <c r="AG185" i="5" s="1"/>
  <c r="AG69" i="5"/>
  <c r="AG65" i="5" s="1"/>
  <c r="AS23" i="5" s="1"/>
  <c r="AX23" i="5" s="1"/>
  <c r="BQ17" i="5"/>
  <c r="F41" i="20" s="1"/>
  <c r="AH254" i="5"/>
  <c r="AI254" i="5"/>
  <c r="AJ254" i="5"/>
  <c r="AH250" i="5"/>
  <c r="AI250" i="5"/>
  <c r="AJ250" i="5"/>
  <c r="AH246" i="5"/>
  <c r="AI246" i="5"/>
  <c r="AJ246" i="5"/>
  <c r="AH240" i="5"/>
  <c r="AI240" i="5"/>
  <c r="AJ240" i="5"/>
  <c r="AH236" i="5"/>
  <c r="AI236" i="5"/>
  <c r="AJ236" i="5"/>
  <c r="AH225" i="5"/>
  <c r="AH222" i="5" s="1"/>
  <c r="AI225" i="5"/>
  <c r="AJ225" i="5"/>
  <c r="AH217" i="5"/>
  <c r="AI217" i="5"/>
  <c r="AJ217" i="5"/>
  <c r="AH213" i="5"/>
  <c r="AI213" i="5"/>
  <c r="AJ213" i="5"/>
  <c r="AH204" i="5"/>
  <c r="AI204" i="5"/>
  <c r="AJ204" i="5"/>
  <c r="AH200" i="5"/>
  <c r="AI200" i="5"/>
  <c r="AJ200" i="5"/>
  <c r="AH190" i="5"/>
  <c r="AH187" i="5" s="1"/>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I107" i="5"/>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AE222" i="6"/>
  <c r="D81" i="6"/>
  <c r="L78" i="6"/>
  <c r="Y170" i="6"/>
  <c r="Y43" i="6"/>
  <c r="V104" i="6"/>
  <c r="AA112" i="5"/>
  <c r="Z220" i="5"/>
  <c r="Z43" i="5"/>
  <c r="AE147" i="6"/>
  <c r="F36" i="6"/>
  <c r="F30" i="6"/>
  <c r="F12" i="6"/>
  <c r="U243" i="9"/>
  <c r="X212" i="9"/>
  <c r="U211" i="9"/>
  <c r="U210" i="9" s="1"/>
  <c r="U209" i="9" s="1"/>
  <c r="AI203" i="9"/>
  <c r="AH203" i="9"/>
  <c r="AH182" i="9"/>
  <c r="AI182" i="9"/>
  <c r="AJ164" i="9"/>
  <c r="AI87" i="9"/>
  <c r="AH87" i="9"/>
  <c r="AJ37" i="9"/>
  <c r="AI37" i="9"/>
  <c r="F34" i="9"/>
  <c r="C32" i="9"/>
  <c r="F76" i="6"/>
  <c r="F52" i="6"/>
  <c r="F46" i="6"/>
  <c r="X66" i="8"/>
  <c r="X55" i="8"/>
  <c r="X33" i="8"/>
  <c r="X29" i="8"/>
  <c r="C78" i="8"/>
  <c r="V104" i="10"/>
  <c r="X255" i="12"/>
  <c r="X251" i="12"/>
  <c r="X247" i="12"/>
  <c r="X241" i="12"/>
  <c r="X218" i="12"/>
  <c r="X191" i="12"/>
  <c r="X180" i="12"/>
  <c r="AH180" i="12" s="1"/>
  <c r="X166" i="12"/>
  <c r="X136" i="12"/>
  <c r="X132" i="12"/>
  <c r="X128" i="12"/>
  <c r="X124" i="12"/>
  <c r="X108" i="12"/>
  <c r="X101" i="12"/>
  <c r="X79" i="12"/>
  <c r="X71" i="12"/>
  <c r="AJ71" i="12" s="1"/>
  <c r="X66" i="12"/>
  <c r="AJ66" i="12" s="1"/>
  <c r="X55" i="12"/>
  <c r="AJ55" i="12" s="1"/>
  <c r="X33" i="12"/>
  <c r="X29" i="12"/>
  <c r="X25" i="12"/>
  <c r="AJ25" i="12" s="1"/>
  <c r="U176" i="8"/>
  <c r="AJ137" i="8"/>
  <c r="AH137" i="8"/>
  <c r="AI98" i="8"/>
  <c r="AH98" i="8"/>
  <c r="AH53" i="8"/>
  <c r="AI53" i="8"/>
  <c r="AI48" i="8"/>
  <c r="AH48" i="8"/>
  <c r="AI27" i="8"/>
  <c r="AJ27" i="8"/>
  <c r="U176" i="9"/>
  <c r="C60" i="9"/>
  <c r="C54" i="9"/>
  <c r="C48" i="9"/>
  <c r="X70" i="7"/>
  <c r="U69" i="7"/>
  <c r="F46" i="7"/>
  <c r="X255" i="11"/>
  <c r="X251" i="11"/>
  <c r="X247" i="11"/>
  <c r="X241" i="11"/>
  <c r="AI241" i="11" s="1"/>
  <c r="X218" i="11"/>
  <c r="X191" i="11"/>
  <c r="X180" i="11"/>
  <c r="X166" i="11"/>
  <c r="AI166" i="11" s="1"/>
  <c r="X162" i="11"/>
  <c r="X136" i="11"/>
  <c r="X132" i="11"/>
  <c r="AH132" i="11" s="1"/>
  <c r="X128" i="11"/>
  <c r="AH128" i="11" s="1"/>
  <c r="X124" i="11"/>
  <c r="X108" i="11"/>
  <c r="X101" i="11"/>
  <c r="X79" i="11"/>
  <c r="X71" i="11"/>
  <c r="AJ71" i="11" s="1"/>
  <c r="X66" i="11"/>
  <c r="BN10" i="11" s="1"/>
  <c r="X55" i="11"/>
  <c r="X33" i="11"/>
  <c r="X29" i="11"/>
  <c r="AI29" i="11" s="1"/>
  <c r="X25" i="11"/>
  <c r="AI25" i="11" s="1"/>
  <c r="F77" i="6"/>
  <c r="F71" i="6"/>
  <c r="F65" i="6"/>
  <c r="F59" i="6"/>
  <c r="F53" i="6"/>
  <c r="F47" i="6"/>
  <c r="F33" i="6"/>
  <c r="F26" i="6"/>
  <c r="F14" i="6"/>
  <c r="V185" i="6"/>
  <c r="X255" i="8"/>
  <c r="X251" i="8"/>
  <c r="AI251" i="8" s="1"/>
  <c r="X247" i="8"/>
  <c r="X241" i="8"/>
  <c r="U227" i="8"/>
  <c r="X218" i="8"/>
  <c r="X191" i="8"/>
  <c r="X186" i="8"/>
  <c r="X180" i="8"/>
  <c r="X166" i="8"/>
  <c r="X162" i="8"/>
  <c r="X136" i="8"/>
  <c r="X132" i="8"/>
  <c r="X128" i="8"/>
  <c r="X124" i="8"/>
  <c r="X108" i="8"/>
  <c r="X104" i="8" s="1"/>
  <c r="X101" i="8"/>
  <c r="X79" i="8"/>
  <c r="AI79" i="8" s="1"/>
  <c r="X71" i="8"/>
  <c r="AH18" i="8"/>
  <c r="AI18" i="8"/>
  <c r="C29" i="8"/>
  <c r="X255" i="9"/>
  <c r="X251" i="9"/>
  <c r="X247" i="9"/>
  <c r="X241" i="9"/>
  <c r="X218" i="9"/>
  <c r="X191" i="9"/>
  <c r="X180" i="9"/>
  <c r="X166" i="9"/>
  <c r="X162" i="9"/>
  <c r="U141" i="12"/>
  <c r="X136" i="9"/>
  <c r="X132" i="9"/>
  <c r="X128" i="9"/>
  <c r="X124" i="9"/>
  <c r="X108" i="9"/>
  <c r="X101" i="9"/>
  <c r="X79" i="9"/>
  <c r="X71" i="9"/>
  <c r="AJ71" i="9" s="1"/>
  <c r="X66" i="9"/>
  <c r="X55" i="9"/>
  <c r="AI55" i="9" s="1"/>
  <c r="X33" i="9"/>
  <c r="X29" i="9"/>
  <c r="X25" i="9"/>
  <c r="U227" i="7"/>
  <c r="F55" i="7"/>
  <c r="F49" i="7"/>
  <c r="F43" i="7"/>
  <c r="V104" i="7"/>
  <c r="F67" i="10"/>
  <c r="N67" i="10" s="1"/>
  <c r="F55" i="10"/>
  <c r="C75" i="11"/>
  <c r="C57" i="11"/>
  <c r="C29" i="11"/>
  <c r="X33" i="13"/>
  <c r="AJ33" i="13" s="1"/>
  <c r="X29" i="13"/>
  <c r="X25" i="13"/>
  <c r="AJ25" i="13" s="1"/>
  <c r="U232" i="16"/>
  <c r="G33" i="12"/>
  <c r="I33" i="12" s="1"/>
  <c r="G33" i="13" s="1"/>
  <c r="I33" i="13" s="1"/>
  <c r="G33" i="14" s="1"/>
  <c r="I33" i="14" s="1"/>
  <c r="G33" i="15" s="1"/>
  <c r="I33" i="15" s="1"/>
  <c r="G33" i="16" s="1"/>
  <c r="I33" i="16" s="1"/>
  <c r="I32" i="11"/>
  <c r="U157" i="16"/>
  <c r="U155" i="16" s="1"/>
  <c r="X33" i="16"/>
  <c r="AJ33" i="16" s="1"/>
  <c r="X29" i="16"/>
  <c r="W50" i="11"/>
  <c r="V213" i="11"/>
  <c r="X213" i="11" s="1"/>
  <c r="V150" i="11"/>
  <c r="V50" i="11"/>
  <c r="D74" i="11"/>
  <c r="D34" i="11"/>
  <c r="F34" i="11" s="1"/>
  <c r="D32" i="10"/>
  <c r="F67" i="6"/>
  <c r="F55" i="6"/>
  <c r="F49" i="6"/>
  <c r="F43" i="6"/>
  <c r="BC16" i="6" s="1"/>
  <c r="F33" i="8"/>
  <c r="C63" i="9"/>
  <c r="C10" i="9"/>
  <c r="V104" i="9"/>
  <c r="C54" i="7"/>
  <c r="BQ12" i="7"/>
  <c r="BQ9" i="7" s="1"/>
  <c r="AC232" i="7"/>
  <c r="AC196" i="7"/>
  <c r="AC195" i="7" s="1"/>
  <c r="AC193" i="7" s="1"/>
  <c r="X255" i="7"/>
  <c r="AI255" i="7" s="1"/>
  <c r="X251" i="7"/>
  <c r="X247" i="7"/>
  <c r="X241" i="7"/>
  <c r="X218" i="7"/>
  <c r="X214" i="7"/>
  <c r="X201" i="7"/>
  <c r="X191" i="7"/>
  <c r="X166" i="7"/>
  <c r="X162" i="7"/>
  <c r="X158" i="7"/>
  <c r="X142" i="7"/>
  <c r="X136" i="7"/>
  <c r="AH136" i="7" s="1"/>
  <c r="X132" i="7"/>
  <c r="X128" i="7"/>
  <c r="X108" i="7"/>
  <c r="X101" i="7"/>
  <c r="X79" i="7"/>
  <c r="X71" i="7"/>
  <c r="X66" i="7"/>
  <c r="X55" i="7"/>
  <c r="X51" i="7"/>
  <c r="X39" i="7"/>
  <c r="X33" i="7"/>
  <c r="AJ33" i="7" s="1"/>
  <c r="X29" i="7"/>
  <c r="X25" i="7"/>
  <c r="X21" i="7"/>
  <c r="X255" i="10"/>
  <c r="AI255" i="10" s="1"/>
  <c r="X251" i="10"/>
  <c r="X247" i="10"/>
  <c r="X241" i="10"/>
  <c r="X218" i="10"/>
  <c r="AI218" i="10" s="1"/>
  <c r="X191" i="10"/>
  <c r="X180" i="10"/>
  <c r="X166" i="10"/>
  <c r="X162" i="10"/>
  <c r="AH162" i="10" s="1"/>
  <c r="X136" i="10"/>
  <c r="X132" i="10"/>
  <c r="X128" i="10"/>
  <c r="AJ128" i="10" s="1"/>
  <c r="X124" i="10"/>
  <c r="AI124" i="10" s="1"/>
  <c r="X108" i="10"/>
  <c r="AJ108" i="10" s="1"/>
  <c r="X101" i="10"/>
  <c r="X79" i="10"/>
  <c r="AH79" i="10" s="1"/>
  <c r="X71" i="10"/>
  <c r="AJ71" i="10" s="1"/>
  <c r="X66" i="10"/>
  <c r="AQ22" i="10" s="1"/>
  <c r="X55" i="10"/>
  <c r="X33" i="10"/>
  <c r="AJ33" i="10" s="1"/>
  <c r="X29" i="10"/>
  <c r="X25" i="10"/>
  <c r="AB206" i="13"/>
  <c r="AD205" i="12"/>
  <c r="AD174" i="11"/>
  <c r="AB172" i="11"/>
  <c r="I76" i="10"/>
  <c r="G75" i="10"/>
  <c r="I70" i="11"/>
  <c r="G69" i="11"/>
  <c r="I64" i="12"/>
  <c r="G63" i="12"/>
  <c r="U197" i="16"/>
  <c r="X173" i="16"/>
  <c r="AI173" i="16" s="1"/>
  <c r="U114" i="16"/>
  <c r="U83" i="16"/>
  <c r="U35" i="16"/>
  <c r="C10" i="16"/>
  <c r="W212" i="11"/>
  <c r="W212" i="12" s="1"/>
  <c r="W212" i="13" s="1"/>
  <c r="W211" i="10"/>
  <c r="W210" i="10" s="1"/>
  <c r="W209" i="10" s="1"/>
  <c r="W178" i="11"/>
  <c r="W178" i="12" s="1"/>
  <c r="W178" i="13" s="1"/>
  <c r="W178" i="14" s="1"/>
  <c r="W178" i="15" s="1"/>
  <c r="W178" i="16" s="1"/>
  <c r="W176" i="10"/>
  <c r="W106" i="13"/>
  <c r="W105" i="12"/>
  <c r="W104" i="12" s="1"/>
  <c r="W94" i="11"/>
  <c r="W91" i="10"/>
  <c r="X254" i="10"/>
  <c r="X250" i="10"/>
  <c r="AH250" i="10" s="1"/>
  <c r="X246" i="10"/>
  <c r="X240" i="10"/>
  <c r="X236" i="10"/>
  <c r="X217" i="10"/>
  <c r="AH217" i="10" s="1"/>
  <c r="X213" i="10"/>
  <c r="X204" i="10"/>
  <c r="X200" i="10"/>
  <c r="X190" i="10"/>
  <c r="X183" i="10"/>
  <c r="X173" i="10"/>
  <c r="X165" i="10"/>
  <c r="X161" i="10"/>
  <c r="AI161" i="10" s="1"/>
  <c r="X156" i="10"/>
  <c r="BN18" i="10" s="1"/>
  <c r="X150" i="10"/>
  <c r="X139" i="10"/>
  <c r="AI139" i="10" s="1"/>
  <c r="X131" i="10"/>
  <c r="X127" i="10"/>
  <c r="AH127" i="10" s="1"/>
  <c r="X121" i="10"/>
  <c r="X117" i="10"/>
  <c r="X107" i="10"/>
  <c r="X100" i="10"/>
  <c r="X95" i="10"/>
  <c r="X88" i="10"/>
  <c r="AH88" i="10" s="1"/>
  <c r="X84" i="10"/>
  <c r="X78" i="10"/>
  <c r="X70" i="10"/>
  <c r="X61" i="10"/>
  <c r="X54" i="10"/>
  <c r="X50" i="10"/>
  <c r="AH50" i="10" s="1"/>
  <c r="X45" i="10"/>
  <c r="AH45" i="10" s="1"/>
  <c r="X38" i="10"/>
  <c r="X32" i="10"/>
  <c r="X28" i="10"/>
  <c r="X24" i="10"/>
  <c r="X19" i="10"/>
  <c r="AI159" i="11"/>
  <c r="F55" i="11"/>
  <c r="F27" i="12"/>
  <c r="F15" i="12"/>
  <c r="M15" i="12" s="1"/>
  <c r="X33" i="14"/>
  <c r="AJ33" i="14" s="1"/>
  <c r="X29" i="14"/>
  <c r="X25" i="14"/>
  <c r="AJ18" i="6"/>
  <c r="AH18" i="6"/>
  <c r="AI18" i="6"/>
  <c r="BN11" i="6"/>
  <c r="I55" i="6"/>
  <c r="G54" i="6"/>
  <c r="AH181" i="6"/>
  <c r="AJ181" i="6"/>
  <c r="AI181" i="6"/>
  <c r="AI22" i="6"/>
  <c r="AJ22" i="6"/>
  <c r="AH22" i="6"/>
  <c r="H36" i="20"/>
  <c r="H33" i="20" s="1"/>
  <c r="AH46" i="6"/>
  <c r="X44" i="6"/>
  <c r="AI46" i="6"/>
  <c r="AJ46" i="6"/>
  <c r="BQ16" i="13"/>
  <c r="AC145" i="8"/>
  <c r="AC220" i="10"/>
  <c r="AF232" i="13"/>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N23" i="5"/>
  <c r="BP16" i="5"/>
  <c r="AC220" i="5"/>
  <c r="AC170" i="5"/>
  <c r="AC145" i="5"/>
  <c r="F60" i="5"/>
  <c r="U243" i="6"/>
  <c r="U211" i="6"/>
  <c r="U210" i="6" s="1"/>
  <c r="U209" i="6" s="1"/>
  <c r="U176" i="6"/>
  <c r="U170" i="6" s="1"/>
  <c r="U141" i="6"/>
  <c r="U91" i="6"/>
  <c r="U90" i="6" s="1"/>
  <c r="U49" i="6"/>
  <c r="C75" i="6"/>
  <c r="C63" i="6"/>
  <c r="C51" i="6"/>
  <c r="C35" i="6"/>
  <c r="C22" i="6"/>
  <c r="U235" i="8"/>
  <c r="U234" i="8" s="1"/>
  <c r="U157" i="8"/>
  <c r="U155" i="8" s="1"/>
  <c r="U145" i="8" s="1"/>
  <c r="U105" i="8"/>
  <c r="U104" i="8" s="1"/>
  <c r="C75" i="8"/>
  <c r="C51" i="8"/>
  <c r="AJ61" i="8"/>
  <c r="AI200" i="8"/>
  <c r="AI129" i="8"/>
  <c r="AH41" i="8"/>
  <c r="C35" i="9"/>
  <c r="AI213" i="9"/>
  <c r="AI119" i="9"/>
  <c r="AI80" i="9"/>
  <c r="AH93" i="9"/>
  <c r="U149" i="7"/>
  <c r="U147" i="7" s="1"/>
  <c r="U58" i="7"/>
  <c r="U57" i="7" s="1"/>
  <c r="C60" i="7"/>
  <c r="C42" i="7"/>
  <c r="AC112" i="7"/>
  <c r="Z220" i="7"/>
  <c r="C81" i="12"/>
  <c r="U172" i="12"/>
  <c r="AE244" i="6"/>
  <c r="AG243" i="5"/>
  <c r="AB244" i="6"/>
  <c r="AD243" i="5"/>
  <c r="AD232" i="5" s="1"/>
  <c r="W244" i="6"/>
  <c r="W243" i="5"/>
  <c r="AC43" i="13"/>
  <c r="AC170" i="12"/>
  <c r="Z90" i="13"/>
  <c r="Z112" i="8"/>
  <c r="Z110" i="8" s="1"/>
  <c r="Z112" i="13"/>
  <c r="Z110" i="13" s="1"/>
  <c r="Z193" i="15"/>
  <c r="Z220" i="9"/>
  <c r="Z234" i="8"/>
  <c r="Z232" i="8" s="1"/>
  <c r="AM145" i="13"/>
  <c r="AL43" i="16"/>
  <c r="AL14" i="16" s="1"/>
  <c r="AL90" i="15"/>
  <c r="AL193" i="14"/>
  <c r="AL112" i="13"/>
  <c r="AL90" i="9"/>
  <c r="AL90" i="7"/>
  <c r="AL220" i="5"/>
  <c r="Y193" i="5"/>
  <c r="S244" i="9"/>
  <c r="S244" i="10" s="1"/>
  <c r="S244" i="11" s="1"/>
  <c r="S244" i="12" s="1"/>
  <c r="S244" i="13" s="1"/>
  <c r="S244" i="14" s="1"/>
  <c r="S244" i="15" s="1"/>
  <c r="S244" i="16" s="1"/>
  <c r="AM193" i="13"/>
  <c r="AM193" i="9"/>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W232" i="5"/>
  <c r="V244" i="6"/>
  <c r="V243" i="5"/>
  <c r="V232" i="5" s="1"/>
  <c r="BQ29" i="13"/>
  <c r="AF232" i="15"/>
  <c r="BQ29" i="15" s="1"/>
  <c r="AF234" i="11"/>
  <c r="AF232" i="11" s="1"/>
  <c r="BQ29" i="11" s="1"/>
  <c r="AF232" i="16"/>
  <c r="BQ29" i="16" s="1"/>
  <c r="AL193" i="7"/>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U232" i="5"/>
  <c r="N53" i="5"/>
  <c r="N26" i="5"/>
  <c r="AC196" i="5"/>
  <c r="AC195" i="5" s="1"/>
  <c r="AC193" i="5" s="1"/>
  <c r="AC112" i="5"/>
  <c r="Z196" i="5"/>
  <c r="Z195" i="5" s="1"/>
  <c r="Z193" i="5" s="1"/>
  <c r="Z90" i="5"/>
  <c r="X222" i="5"/>
  <c r="U227" i="6"/>
  <c r="U220" i="6" s="1"/>
  <c r="AF112" i="6"/>
  <c r="AC234" i="6"/>
  <c r="AC232" i="6" s="1"/>
  <c r="AC112" i="6"/>
  <c r="Y196" i="6"/>
  <c r="Y195" i="6" s="1"/>
  <c r="Y193" i="6" s="1"/>
  <c r="U222" i="8"/>
  <c r="U141" i="8"/>
  <c r="U58" i="8"/>
  <c r="U57" i="8" s="1"/>
  <c r="C63" i="8"/>
  <c r="AJ24" i="8"/>
  <c r="AI217" i="8"/>
  <c r="AI152" i="8"/>
  <c r="AH86" i="8"/>
  <c r="U222" i="9"/>
  <c r="U141" i="9"/>
  <c r="AI236" i="9"/>
  <c r="U105" i="7"/>
  <c r="U104" i="7" s="1"/>
  <c r="BQ17" i="7"/>
  <c r="Z232" i="7"/>
  <c r="Z90" i="7"/>
  <c r="Z63" i="7" s="1"/>
  <c r="Z43" i="7"/>
  <c r="X58" i="7"/>
  <c r="X57" i="7" s="1"/>
  <c r="AH138" i="10"/>
  <c r="C69" i="11"/>
  <c r="C63" i="11"/>
  <c r="C45" i="11"/>
  <c r="C35" i="11"/>
  <c r="Y244" i="6"/>
  <c r="AA243" i="5"/>
  <c r="AA232" i="5" s="1"/>
  <c r="AF110" i="13"/>
  <c r="AC43" i="9"/>
  <c r="AC90" i="13"/>
  <c r="AC63" i="13" s="1"/>
  <c r="AC90" i="9"/>
  <c r="AC63" i="9" s="1"/>
  <c r="AC112" i="9"/>
  <c r="AC110" i="9" s="1"/>
  <c r="AC145" i="12"/>
  <c r="AC193" i="14"/>
  <c r="AF220" i="10"/>
  <c r="BQ30" i="10" s="1"/>
  <c r="AC232" i="9"/>
  <c r="Z145" i="15"/>
  <c r="Z232" i="12"/>
  <c r="AM145" i="16"/>
  <c r="AM170" i="12"/>
  <c r="AM170" i="14"/>
  <c r="AM220" i="5"/>
  <c r="AL145" i="16"/>
  <c r="AL145" i="15"/>
  <c r="AL110" i="15" s="1"/>
  <c r="AL145" i="13"/>
  <c r="AL193" i="12"/>
  <c r="AL90" i="12"/>
  <c r="AL43" i="12"/>
  <c r="AL14" i="12" s="1"/>
  <c r="AL90" i="6"/>
  <c r="AB90" i="5"/>
  <c r="S257" i="9"/>
  <c r="S257" i="10" s="1"/>
  <c r="S257" i="11" s="1"/>
  <c r="S257" i="12" s="1"/>
  <c r="S257" i="13" s="1"/>
  <c r="S257" i="14" s="1"/>
  <c r="S257" i="15" s="1"/>
  <c r="S257" i="16" s="1"/>
  <c r="S243" i="9"/>
  <c r="S243" i="10" s="1"/>
  <c r="S243" i="11" s="1"/>
  <c r="S243" i="12" s="1"/>
  <c r="S243" i="13" s="1"/>
  <c r="S243" i="14" s="1"/>
  <c r="S243" i="15" s="1"/>
  <c r="S243" i="16" s="1"/>
  <c r="AM193" i="12"/>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X243" i="5"/>
  <c r="AH78" i="11"/>
  <c r="AF90" i="16"/>
  <c r="AF63" i="16" s="1"/>
  <c r="AF43" i="16"/>
  <c r="AF14" i="16" s="1"/>
  <c r="Z43" i="16"/>
  <c r="Z14" i="16" s="1"/>
  <c r="AL170" i="16"/>
  <c r="AL112" i="16"/>
  <c r="Z196" i="16"/>
  <c r="Z195" i="16" s="1"/>
  <c r="Z193" i="16" s="1"/>
  <c r="AM220" i="16"/>
  <c r="K28" i="16"/>
  <c r="AF14" i="15"/>
  <c r="Z43" i="15"/>
  <c r="AL63" i="15"/>
  <c r="AL43" i="15"/>
  <c r="AC112" i="15"/>
  <c r="AC110" i="15" s="1"/>
  <c r="Z112" i="15"/>
  <c r="Z110" i="15" s="1"/>
  <c r="AL170" i="15"/>
  <c r="AM63" i="15"/>
  <c r="AM12" i="15" s="1"/>
  <c r="Z220" i="16"/>
  <c r="Z112" i="16"/>
  <c r="Z110" i="16" s="1"/>
  <c r="Z112" i="14"/>
  <c r="Z110" i="14" s="1"/>
  <c r="Z43" i="14"/>
  <c r="AL90" i="14"/>
  <c r="AL63" i="14" s="1"/>
  <c r="AC112" i="14"/>
  <c r="AC110" i="14" s="1"/>
  <c r="Z220" i="14"/>
  <c r="AL14" i="14"/>
  <c r="Z90" i="15"/>
  <c r="Z63" i="15" s="1"/>
  <c r="AC90" i="15"/>
  <c r="AC63" i="15" s="1"/>
  <c r="AC170" i="13"/>
  <c r="P28" i="13"/>
  <c r="C35" i="13"/>
  <c r="AL170" i="13"/>
  <c r="AF43" i="13"/>
  <c r="C54" i="13"/>
  <c r="C57" i="14"/>
  <c r="AF90" i="13"/>
  <c r="AF63" i="13" s="1"/>
  <c r="C75" i="13"/>
  <c r="C22" i="13"/>
  <c r="AF63" i="14"/>
  <c r="C66" i="14"/>
  <c r="C48" i="14"/>
  <c r="X252" i="14"/>
  <c r="AH252" i="14" s="1"/>
  <c r="U105" i="14"/>
  <c r="C29" i="14"/>
  <c r="AF110" i="14"/>
  <c r="AF220" i="14"/>
  <c r="BQ30" i="14" s="1"/>
  <c r="BK14" i="14" s="1"/>
  <c r="BQ13" i="14"/>
  <c r="O37" i="20" s="1"/>
  <c r="C25" i="13"/>
  <c r="AL220" i="12"/>
  <c r="AL112" i="12"/>
  <c r="C69" i="12"/>
  <c r="C22" i="12"/>
  <c r="U91" i="13"/>
  <c r="C72" i="13"/>
  <c r="C66" i="13"/>
  <c r="C60" i="13"/>
  <c r="C48" i="13"/>
  <c r="AJ173" i="14"/>
  <c r="AJ61" i="14"/>
  <c r="AJ38"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BQ28" i="12"/>
  <c r="AF195" i="12"/>
  <c r="AF193" i="12" s="1"/>
  <c r="AI78" i="14"/>
  <c r="AJ78" i="14"/>
  <c r="AH45" i="14"/>
  <c r="AI45" i="14"/>
  <c r="AB177" i="13"/>
  <c r="AD177" i="13" s="1"/>
  <c r="BP23" i="12"/>
  <c r="AB131" i="13"/>
  <c r="AD131" i="13" s="1"/>
  <c r="AI131" i="12"/>
  <c r="AB121" i="13"/>
  <c r="AD121" i="13" s="1"/>
  <c r="AB121" i="14" s="1"/>
  <c r="AD121" i="14" s="1"/>
  <c r="AI121" i="12"/>
  <c r="AB95" i="13"/>
  <c r="AD95" i="13" s="1"/>
  <c r="AB95" i="14" s="1"/>
  <c r="AD95" i="14" s="1"/>
  <c r="AI95" i="12"/>
  <c r="AB33" i="14"/>
  <c r="AD33" i="14" s="1"/>
  <c r="AI33" i="13"/>
  <c r="AB29" i="13"/>
  <c r="AD29" i="13" s="1"/>
  <c r="AB29" i="14" s="1"/>
  <c r="AD29" i="14" s="1"/>
  <c r="AB29" i="15" s="1"/>
  <c r="AD29" i="15" s="1"/>
  <c r="AI29" i="12"/>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Y240" i="16" s="1"/>
  <c r="AA240" i="16"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AH66" i="12"/>
  <c r="Y55" i="13"/>
  <c r="AA55" i="13" s="1"/>
  <c r="Y55" i="14" s="1"/>
  <c r="AA55" i="14" s="1"/>
  <c r="Y55" i="15" s="1"/>
  <c r="AA55" i="15" s="1"/>
  <c r="Y55" i="16" s="1"/>
  <c r="AA55" i="16" s="1"/>
  <c r="AH55" i="12"/>
  <c r="Y39" i="13"/>
  <c r="AA39" i="13" s="1"/>
  <c r="Y33" i="14"/>
  <c r="AA33" i="14" s="1"/>
  <c r="AH33" i="13"/>
  <c r="Y29" i="16"/>
  <c r="AA29" i="16" s="1"/>
  <c r="AH29" i="16" s="1"/>
  <c r="AH29" i="15"/>
  <c r="Y25" i="13"/>
  <c r="AA25" i="13" s="1"/>
  <c r="Y25" i="14" s="1"/>
  <c r="AA25" i="14" s="1"/>
  <c r="Y25" i="15" s="1"/>
  <c r="AA25" i="15" s="1"/>
  <c r="W238" i="15"/>
  <c r="W235" i="14"/>
  <c r="W234" i="14" s="1"/>
  <c r="V224" i="15"/>
  <c r="X224" i="14"/>
  <c r="V212" i="13"/>
  <c r="X212" i="12"/>
  <c r="AJ153" i="12"/>
  <c r="AI138" i="14"/>
  <c r="AJ45" i="13"/>
  <c r="AE45" i="14"/>
  <c r="AC196" i="12"/>
  <c r="AC195" i="12" s="1"/>
  <c r="AC193" i="12" s="1"/>
  <c r="AM112" i="12"/>
  <c r="U197" i="12"/>
  <c r="X125" i="12"/>
  <c r="U123" i="12"/>
  <c r="U69" i="12"/>
  <c r="U65" i="12" s="1"/>
  <c r="AH47" i="12"/>
  <c r="AI47" i="12"/>
  <c r="AH36" i="12"/>
  <c r="AI36" i="12"/>
  <c r="BN10" i="12"/>
  <c r="AH17" i="12"/>
  <c r="AQ22" i="12"/>
  <c r="AV22" i="12" s="1"/>
  <c r="AI17" i="12"/>
  <c r="AH183" i="14"/>
  <c r="AM90" i="12"/>
  <c r="AM63" i="12" s="1"/>
  <c r="AF43" i="12"/>
  <c r="AF14" i="12" s="1"/>
  <c r="X67" i="13"/>
  <c r="X253" i="14"/>
  <c r="AI253" i="14" s="1"/>
  <c r="X249" i="14"/>
  <c r="AH249" i="14" s="1"/>
  <c r="X239" i="14"/>
  <c r="AH239" i="14" s="1"/>
  <c r="X230" i="14"/>
  <c r="X216" i="14"/>
  <c r="AH216" i="14" s="1"/>
  <c r="X203" i="14"/>
  <c r="X182" i="14"/>
  <c r="AI182" i="14" s="1"/>
  <c r="X168" i="14"/>
  <c r="AI168" i="14" s="1"/>
  <c r="X164" i="14"/>
  <c r="AJ164" i="14" s="1"/>
  <c r="X153" i="14"/>
  <c r="X148" i="14"/>
  <c r="BN18" i="14" s="1"/>
  <c r="X130" i="14"/>
  <c r="AH130" i="14" s="1"/>
  <c r="X126" i="14"/>
  <c r="AI126" i="14" s="1"/>
  <c r="X120" i="14"/>
  <c r="X81" i="14"/>
  <c r="X77" i="14"/>
  <c r="AI77" i="14" s="1"/>
  <c r="X68" i="14"/>
  <c r="X41" i="14"/>
  <c r="X31" i="14"/>
  <c r="AH31" i="14" s="1"/>
  <c r="X27" i="14"/>
  <c r="AI27" i="14" s="1"/>
  <c r="X18" i="14"/>
  <c r="AJ18" i="14" s="1"/>
  <c r="AL170" i="12"/>
  <c r="AF90" i="12"/>
  <c r="AF63" i="12" s="1"/>
  <c r="BQ12" i="12"/>
  <c r="AH236" i="16"/>
  <c r="AL145" i="12"/>
  <c r="AL63" i="12"/>
  <c r="I32" i="12"/>
  <c r="AA230" i="13"/>
  <c r="Y227" i="13"/>
  <c r="I83" i="13"/>
  <c r="G81" i="13"/>
  <c r="G77" i="14"/>
  <c r="I71" i="13"/>
  <c r="I65" i="13"/>
  <c r="I59" i="13"/>
  <c r="G57" i="13"/>
  <c r="G34" i="14"/>
  <c r="W206" i="15"/>
  <c r="W205" i="14"/>
  <c r="V152" i="14"/>
  <c r="V143" i="15"/>
  <c r="I63" i="12"/>
  <c r="Y227" i="12"/>
  <c r="G81" i="12"/>
  <c r="G57" i="12"/>
  <c r="AH38" i="12"/>
  <c r="U205" i="12"/>
  <c r="AA227" i="12"/>
  <c r="I81" i="12"/>
  <c r="I57" i="12"/>
  <c r="G32" i="12"/>
  <c r="U44" i="12"/>
  <c r="C66" i="12"/>
  <c r="C54" i="12"/>
  <c r="C48" i="12"/>
  <c r="W205" i="12"/>
  <c r="G32" i="13"/>
  <c r="W205" i="13"/>
  <c r="F27" i="14"/>
  <c r="F15" i="14"/>
  <c r="M15" i="14" s="1"/>
  <c r="F27" i="15"/>
  <c r="F15" i="15"/>
  <c r="M15" i="15" s="1"/>
  <c r="F27" i="16"/>
  <c r="F15" i="16"/>
  <c r="M15" i="16" s="1"/>
  <c r="X137" i="13"/>
  <c r="X129" i="13"/>
  <c r="AH129" i="13" s="1"/>
  <c r="X125" i="13"/>
  <c r="X119" i="13"/>
  <c r="AI119" i="13" s="1"/>
  <c r="X102" i="13"/>
  <c r="AJ102" i="13" s="1"/>
  <c r="X80" i="13"/>
  <c r="X76" i="13"/>
  <c r="AJ76" i="13" s="1"/>
  <c r="X47" i="13"/>
  <c r="X40" i="13"/>
  <c r="X36" i="13"/>
  <c r="AH36" i="13" s="1"/>
  <c r="X30" i="13"/>
  <c r="AI30" i="13" s="1"/>
  <c r="X26" i="13"/>
  <c r="AI26" i="13" s="1"/>
  <c r="X22" i="13"/>
  <c r="X17" i="13"/>
  <c r="AI17" i="13" s="1"/>
  <c r="X255" i="14"/>
  <c r="AH255" i="14" s="1"/>
  <c r="X251" i="14"/>
  <c r="AH251" i="14" s="1"/>
  <c r="X247" i="14"/>
  <c r="AH247" i="14" s="1"/>
  <c r="X241" i="14"/>
  <c r="X218" i="14"/>
  <c r="AH218" i="14" s="1"/>
  <c r="X191" i="14"/>
  <c r="X180" i="14"/>
  <c r="AH180" i="14" s="1"/>
  <c r="X166" i="14"/>
  <c r="AJ166" i="14" s="1"/>
  <c r="X136" i="14"/>
  <c r="AH136" i="14" s="1"/>
  <c r="X128" i="14"/>
  <c r="X124" i="14"/>
  <c r="AH124" i="14" s="1"/>
  <c r="X108" i="14"/>
  <c r="AH108" i="14" s="1"/>
  <c r="X101" i="14"/>
  <c r="AJ101" i="14" s="1"/>
  <c r="X79" i="14"/>
  <c r="AH79" i="14" s="1"/>
  <c r="X71" i="14"/>
  <c r="AJ71" i="14" s="1"/>
  <c r="X66" i="14"/>
  <c r="X55" i="14"/>
  <c r="X255" i="15"/>
  <c r="X251" i="15"/>
  <c r="X247" i="15"/>
  <c r="X241" i="15"/>
  <c r="X218" i="15"/>
  <c r="X191" i="15"/>
  <c r="X180" i="15"/>
  <c r="AH180" i="15" s="1"/>
  <c r="X166" i="15"/>
  <c r="X136" i="15"/>
  <c r="X128" i="15"/>
  <c r="X124" i="15"/>
  <c r="AH124" i="15" s="1"/>
  <c r="X108" i="15"/>
  <c r="AJ108" i="15" s="1"/>
  <c r="X101" i="15"/>
  <c r="AH101" i="15" s="1"/>
  <c r="X79" i="15"/>
  <c r="AH79" i="15" s="1"/>
  <c r="X71" i="15"/>
  <c r="X66" i="15"/>
  <c r="X55" i="15"/>
  <c r="X255" i="13"/>
  <c r="X251" i="13"/>
  <c r="X247" i="13"/>
  <c r="AH247" i="13" s="1"/>
  <c r="X241" i="13"/>
  <c r="X218" i="13"/>
  <c r="X191" i="13"/>
  <c r="X180" i="13"/>
  <c r="X166" i="13"/>
  <c r="AH166" i="13" s="1"/>
  <c r="X136" i="13"/>
  <c r="AJ136" i="13" s="1"/>
  <c r="X128" i="13"/>
  <c r="AJ128" i="13" s="1"/>
  <c r="X124" i="13"/>
  <c r="AH124" i="13" s="1"/>
  <c r="X108" i="13"/>
  <c r="X101" i="13"/>
  <c r="AJ101" i="13" s="1"/>
  <c r="X79" i="13"/>
  <c r="X71" i="13"/>
  <c r="AJ71" i="13" s="1"/>
  <c r="X66" i="13"/>
  <c r="X55" i="13"/>
  <c r="AH54" i="14"/>
  <c r="AH38" i="14"/>
  <c r="AH54" i="15"/>
  <c r="AH38" i="15"/>
  <c r="AH19" i="15"/>
  <c r="AF170" i="13"/>
  <c r="BQ24" i="13" s="1"/>
  <c r="U96" i="12"/>
  <c r="U49" i="12"/>
  <c r="U141" i="11"/>
  <c r="AM110" i="11"/>
  <c r="U96" i="11"/>
  <c r="L54" i="20"/>
  <c r="BK14" i="11"/>
  <c r="AC112" i="11"/>
  <c r="AC110" i="11" s="1"/>
  <c r="AF196" i="11"/>
  <c r="AC63" i="11"/>
  <c r="Z90" i="11"/>
  <c r="M44" i="20"/>
  <c r="M39" i="20" s="1"/>
  <c r="BQ15" i="12"/>
  <c r="BK10" i="12" s="1"/>
  <c r="Z220" i="12"/>
  <c r="AJ132" i="13"/>
  <c r="AI81" i="16"/>
  <c r="Z90" i="12"/>
  <c r="Z63" i="12" s="1"/>
  <c r="C42" i="11"/>
  <c r="C32" i="11"/>
  <c r="C25" i="11"/>
  <c r="BK9" i="12"/>
  <c r="BN19" i="10"/>
  <c r="U57" i="11"/>
  <c r="AJ166" i="11"/>
  <c r="AM14" i="10"/>
  <c r="C63" i="10"/>
  <c r="C35" i="10"/>
  <c r="U235" i="11"/>
  <c r="U234" i="11" s="1"/>
  <c r="U20" i="11"/>
  <c r="U16" i="11" s="1"/>
  <c r="AL170" i="10"/>
  <c r="AF195" i="10"/>
  <c r="BQ28" i="10"/>
  <c r="K52" i="20" s="1"/>
  <c r="AM110" i="10"/>
  <c r="AM220" i="10"/>
  <c r="C22" i="10"/>
  <c r="BK15" i="10"/>
  <c r="AF43" i="10"/>
  <c r="C10" i="11"/>
  <c r="Z193" i="10"/>
  <c r="AF90" i="10"/>
  <c r="AF63" i="10" s="1"/>
  <c r="AM193" i="10"/>
  <c r="C42" i="10"/>
  <c r="AB151" i="15"/>
  <c r="AD151" i="15" s="1"/>
  <c r="AI153" i="12"/>
  <c r="AH183" i="15"/>
  <c r="X162" i="13"/>
  <c r="Z220" i="11"/>
  <c r="AH132" i="14"/>
  <c r="AU12" i="11"/>
  <c r="AV12" i="11"/>
  <c r="Z170" i="11"/>
  <c r="U35" i="10"/>
  <c r="U149" i="11"/>
  <c r="U147" i="11" s="1"/>
  <c r="U105" i="11"/>
  <c r="U104" i="11" s="1"/>
  <c r="U69" i="11"/>
  <c r="U65" i="11" s="1"/>
  <c r="U35" i="11"/>
  <c r="C72" i="11"/>
  <c r="C60" i="11"/>
  <c r="C48" i="11"/>
  <c r="AD142" i="12"/>
  <c r="AB141" i="12"/>
  <c r="AD59" i="12"/>
  <c r="AB58" i="12"/>
  <c r="AB57" i="12" s="1"/>
  <c r="AB36" i="15"/>
  <c r="AD36" i="15" s="1"/>
  <c r="AB36" i="16" s="1"/>
  <c r="AD36" i="16" s="1"/>
  <c r="AA51" i="12"/>
  <c r="Y49" i="12"/>
  <c r="W215" i="12"/>
  <c r="X215" i="12" s="1"/>
  <c r="AH215" i="12" s="1"/>
  <c r="W211" i="11"/>
  <c r="W210" i="11" s="1"/>
  <c r="W209" i="11" s="1"/>
  <c r="W177" i="12"/>
  <c r="W177" i="13" s="1"/>
  <c r="W176" i="11"/>
  <c r="W143" i="12"/>
  <c r="X143" i="12" s="1"/>
  <c r="W141" i="11"/>
  <c r="W115" i="13"/>
  <c r="X115" i="13" s="1"/>
  <c r="W114" i="12"/>
  <c r="W93" i="13"/>
  <c r="X93" i="13" s="1"/>
  <c r="W86" i="12"/>
  <c r="X86" i="12" s="1"/>
  <c r="W83" i="11"/>
  <c r="W52" i="13"/>
  <c r="X52" i="13" s="1"/>
  <c r="AI52" i="13" s="1"/>
  <c r="W48" i="12"/>
  <c r="E80" i="13"/>
  <c r="E78" i="12"/>
  <c r="E74" i="12"/>
  <c r="E72" i="11"/>
  <c r="E56" i="12"/>
  <c r="E54" i="11"/>
  <c r="E50" i="12"/>
  <c r="E48" i="11"/>
  <c r="V199" i="12"/>
  <c r="X199" i="12" s="1"/>
  <c r="V160" i="12"/>
  <c r="V160" i="13" s="1"/>
  <c r="X160" i="13" s="1"/>
  <c r="V116" i="12"/>
  <c r="X116" i="12" s="1"/>
  <c r="V106" i="12"/>
  <c r="V105" i="11"/>
  <c r="V104" i="11" s="1"/>
  <c r="V99" i="13"/>
  <c r="X99" i="13" s="1"/>
  <c r="V94" i="12"/>
  <c r="V87" i="12"/>
  <c r="X87" i="12" s="1"/>
  <c r="V60" i="12"/>
  <c r="V58" i="11"/>
  <c r="V57" i="11" s="1"/>
  <c r="V53" i="13"/>
  <c r="X53" i="13" s="1"/>
  <c r="AI53" i="13" s="1"/>
  <c r="V48" i="12"/>
  <c r="V37" i="12"/>
  <c r="V23" i="12"/>
  <c r="D65" i="12"/>
  <c r="D65" i="13" s="1"/>
  <c r="D65" i="14" s="1"/>
  <c r="D65" i="15" s="1"/>
  <c r="D65" i="16" s="1"/>
  <c r="D50" i="12"/>
  <c r="D50" i="13" s="1"/>
  <c r="D50" i="14" s="1"/>
  <c r="D50" i="15" s="1"/>
  <c r="D50" i="16" s="1"/>
  <c r="D33" i="13"/>
  <c r="D26" i="12"/>
  <c r="D25" i="11"/>
  <c r="AH33" i="10"/>
  <c r="AC170" i="11"/>
  <c r="AC196" i="11"/>
  <c r="AC195" i="11" s="1"/>
  <c r="AC193" i="11" s="1"/>
  <c r="BN10" i="10"/>
  <c r="D43" i="20"/>
  <c r="C66" i="10"/>
  <c r="AD58" i="10"/>
  <c r="AD57" i="10" s="1"/>
  <c r="AB58" i="10"/>
  <c r="AB57" i="10" s="1"/>
  <c r="Y172" i="10"/>
  <c r="AH236" i="10"/>
  <c r="U222" i="10"/>
  <c r="C75" i="10"/>
  <c r="C69" i="10"/>
  <c r="C57" i="10"/>
  <c r="C51" i="10"/>
  <c r="C29" i="10"/>
  <c r="C10" i="10"/>
  <c r="U205" i="11"/>
  <c r="U123" i="11"/>
  <c r="U91" i="11"/>
  <c r="U49" i="11"/>
  <c r="C66" i="11"/>
  <c r="C54" i="11"/>
  <c r="AA49" i="11"/>
  <c r="X256" i="11"/>
  <c r="X252" i="11"/>
  <c r="X248" i="11"/>
  <c r="X202" i="13"/>
  <c r="X181" i="13"/>
  <c r="AH181" i="13" s="1"/>
  <c r="X167" i="13"/>
  <c r="AJ167" i="13" s="1"/>
  <c r="X163" i="13"/>
  <c r="AI163" i="13" s="1"/>
  <c r="AI33" i="10"/>
  <c r="U205" i="10"/>
  <c r="AJ41" i="10"/>
  <c r="Y211" i="10"/>
  <c r="Y210" i="10" s="1"/>
  <c r="Y209" i="10" s="1"/>
  <c r="AJ138" i="10"/>
  <c r="U172" i="11"/>
  <c r="U114" i="11"/>
  <c r="U83" i="11"/>
  <c r="U44" i="11"/>
  <c r="AJ128" i="11"/>
  <c r="AH166" i="11"/>
  <c r="AA44" i="11"/>
  <c r="Y49" i="11"/>
  <c r="U227" i="11"/>
  <c r="U187" i="11"/>
  <c r="U185" i="11" s="1"/>
  <c r="U176" i="11"/>
  <c r="X216" i="11"/>
  <c r="X212" i="11"/>
  <c r="X203" i="11"/>
  <c r="AH203" i="11" s="1"/>
  <c r="X199" i="11"/>
  <c r="X182" i="11"/>
  <c r="X168" i="11"/>
  <c r="X164" i="11"/>
  <c r="AI164" i="11" s="1"/>
  <c r="X160" i="11"/>
  <c r="X153" i="11"/>
  <c r="X148" i="11"/>
  <c r="BN18" i="11" s="1"/>
  <c r="X138" i="11"/>
  <c r="X130" i="11"/>
  <c r="X126" i="11"/>
  <c r="X120" i="11"/>
  <c r="AH120" i="11" s="1"/>
  <c r="X116" i="11"/>
  <c r="AH116" i="11" s="1"/>
  <c r="X106" i="11"/>
  <c r="X99" i="11"/>
  <c r="X94" i="11"/>
  <c r="X87" i="11"/>
  <c r="X81" i="11"/>
  <c r="X77" i="11"/>
  <c r="X253" i="12"/>
  <c r="X249" i="12"/>
  <c r="X239" i="12"/>
  <c r="X230" i="12"/>
  <c r="X224" i="12"/>
  <c r="X216" i="12"/>
  <c r="AH216" i="12" s="1"/>
  <c r="X203" i="12"/>
  <c r="AI203" i="12" s="1"/>
  <c r="X182" i="12"/>
  <c r="X168" i="12"/>
  <c r="X164" i="12"/>
  <c r="X160" i="12"/>
  <c r="X148" i="12"/>
  <c r="X138" i="12"/>
  <c r="AJ138" i="12" s="1"/>
  <c r="X130" i="12"/>
  <c r="AI130" i="12" s="1"/>
  <c r="X126" i="12"/>
  <c r="X120" i="12"/>
  <c r="X99" i="12"/>
  <c r="X81" i="12"/>
  <c r="X77" i="12"/>
  <c r="AH77" i="12" s="1"/>
  <c r="X68" i="12"/>
  <c r="X60" i="12"/>
  <c r="X53" i="12"/>
  <c r="X41" i="12"/>
  <c r="X31" i="12"/>
  <c r="X27" i="12"/>
  <c r="X18" i="12"/>
  <c r="X256" i="12"/>
  <c r="X252" i="12"/>
  <c r="AH252" i="12" s="1"/>
  <c r="X248" i="12"/>
  <c r="X202" i="12"/>
  <c r="X181" i="12"/>
  <c r="AH181" i="12" s="1"/>
  <c r="X167" i="12"/>
  <c r="X163" i="12"/>
  <c r="X137" i="12"/>
  <c r="X129" i="12"/>
  <c r="X119" i="12"/>
  <c r="X115" i="12"/>
  <c r="AH115" i="12" s="1"/>
  <c r="X102" i="12"/>
  <c r="X93" i="12"/>
  <c r="AI93" i="12" s="1"/>
  <c r="X80" i="12"/>
  <c r="X76" i="12"/>
  <c r="X52" i="12"/>
  <c r="F70" i="13"/>
  <c r="N70" i="13" s="1"/>
  <c r="F58" i="13"/>
  <c r="X27" i="11"/>
  <c r="X23" i="11"/>
  <c r="AI23" i="11" s="1"/>
  <c r="X18" i="11"/>
  <c r="BN11" i="11" s="1"/>
  <c r="F62" i="11"/>
  <c r="F50" i="11"/>
  <c r="F44" i="11"/>
  <c r="X253" i="13"/>
  <c r="AH253" i="13" s="1"/>
  <c r="X249" i="13"/>
  <c r="AH249" i="13" s="1"/>
  <c r="X239" i="13"/>
  <c r="AI239" i="13" s="1"/>
  <c r="X230" i="13"/>
  <c r="X216" i="13"/>
  <c r="AH216" i="13" s="1"/>
  <c r="X203" i="13"/>
  <c r="AI203" i="13" s="1"/>
  <c r="X182" i="13"/>
  <c r="X168" i="13"/>
  <c r="AI168" i="13" s="1"/>
  <c r="X164" i="13"/>
  <c r="X153" i="13"/>
  <c r="AJ153" i="13" s="1"/>
  <c r="X148" i="13"/>
  <c r="AI148" i="13" s="1"/>
  <c r="X138" i="13"/>
  <c r="X130" i="13"/>
  <c r="X126" i="13"/>
  <c r="AI126" i="13" s="1"/>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AJ164" i="15" s="1"/>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1" i="20" s="1"/>
  <c r="AI54" i="10"/>
  <c r="P28" i="9"/>
  <c r="BO16" i="9"/>
  <c r="C57" i="9"/>
  <c r="C29" i="9"/>
  <c r="C22" i="9"/>
  <c r="U69" i="10"/>
  <c r="U65" i="10" s="1"/>
  <c r="C72" i="10"/>
  <c r="C60" i="10"/>
  <c r="C48" i="10"/>
  <c r="AI249" i="10"/>
  <c r="AI106" i="10"/>
  <c r="AI40" i="10"/>
  <c r="AI131" i="11"/>
  <c r="U187" i="10"/>
  <c r="U185" i="10" s="1"/>
  <c r="U172" i="10"/>
  <c r="BQ28" i="9"/>
  <c r="J52" i="20" s="1"/>
  <c r="AF195" i="9"/>
  <c r="AF193" i="9" s="1"/>
  <c r="AM90" i="9"/>
  <c r="AM63" i="9" s="1"/>
  <c r="AF14" i="9"/>
  <c r="C45" i="9"/>
  <c r="U149" i="10"/>
  <c r="U147" i="10" s="1"/>
  <c r="AI236" i="10"/>
  <c r="AJ132" i="11"/>
  <c r="AL170" i="9"/>
  <c r="AM43" i="9"/>
  <c r="AM14" i="9" s="1"/>
  <c r="BQ12" i="9"/>
  <c r="Z63" i="10"/>
  <c r="U243" i="10"/>
  <c r="AC170" i="10"/>
  <c r="U187" i="9"/>
  <c r="U185" i="9" s="1"/>
  <c r="U235" i="10"/>
  <c r="U234" i="10" s="1"/>
  <c r="U123" i="10"/>
  <c r="U91" i="10"/>
  <c r="U49" i="10"/>
  <c r="Z170" i="10"/>
  <c r="U227" i="9"/>
  <c r="U220" i="9" s="1"/>
  <c r="U227" i="10"/>
  <c r="U197" i="10"/>
  <c r="U157" i="10"/>
  <c r="U155" i="10" s="1"/>
  <c r="U114" i="10"/>
  <c r="U83" i="10"/>
  <c r="AJ37" i="11"/>
  <c r="AI128" i="11"/>
  <c r="U211" i="10"/>
  <c r="U210" i="10" s="1"/>
  <c r="U209" i="10" s="1"/>
  <c r="U176" i="10"/>
  <c r="U141" i="10"/>
  <c r="U96" i="10"/>
  <c r="U58" i="10"/>
  <c r="U57" i="10" s="1"/>
  <c r="AA43" i="10"/>
  <c r="AF232" i="8"/>
  <c r="AE17" i="15"/>
  <c r="AG17" i="15" s="1"/>
  <c r="AE17" i="16" s="1"/>
  <c r="AG17" i="16" s="1"/>
  <c r="AS22" i="14"/>
  <c r="AX22" i="14" s="1"/>
  <c r="AE156" i="14"/>
  <c r="AG156" i="14" s="1"/>
  <c r="AE156" i="15" s="1"/>
  <c r="AG156" i="15" s="1"/>
  <c r="AE156" i="16" s="1"/>
  <c r="AG156" i="16" s="1"/>
  <c r="T10" i="18" s="1"/>
  <c r="AE60" i="14"/>
  <c r="AG60" i="14" s="1"/>
  <c r="BQ20" i="8"/>
  <c r="AF112" i="8"/>
  <c r="AE164" i="16"/>
  <c r="AG164" i="16" s="1"/>
  <c r="AJ3" i="8"/>
  <c r="BE3" i="8"/>
  <c r="BK3" i="8" s="1"/>
  <c r="BQ3" i="8" s="1"/>
  <c r="BN5" i="8" s="1"/>
  <c r="BC5" i="8"/>
  <c r="AW19" i="8"/>
  <c r="AW4" i="8"/>
  <c r="AR21" i="8"/>
  <c r="AT6" i="8"/>
  <c r="AT21" i="8"/>
  <c r="AS6" i="8"/>
  <c r="AS21" i="8"/>
  <c r="AH108" i="16"/>
  <c r="AE174" i="11"/>
  <c r="BH5" i="8"/>
  <c r="AF220" i="8"/>
  <c r="BQ30" i="8" s="1"/>
  <c r="AM14" i="8"/>
  <c r="AH199" i="9"/>
  <c r="AI199" i="9"/>
  <c r="X150" i="9"/>
  <c r="U149" i="9"/>
  <c r="U147" i="9" s="1"/>
  <c r="X127" i="9"/>
  <c r="U123" i="9"/>
  <c r="X117" i="9"/>
  <c r="U114" i="9"/>
  <c r="X107" i="9"/>
  <c r="X105" i="9" s="1"/>
  <c r="X104" i="9" s="1"/>
  <c r="U105" i="9"/>
  <c r="U104" i="9" s="1"/>
  <c r="X95" i="9"/>
  <c r="U91" i="9"/>
  <c r="X84" i="9"/>
  <c r="AJ84" i="9" s="1"/>
  <c r="U83" i="9"/>
  <c r="X70" i="9"/>
  <c r="AI70" i="9" s="1"/>
  <c r="U69" i="9"/>
  <c r="U65" i="9" s="1"/>
  <c r="X50" i="9"/>
  <c r="AH50" i="9" s="1"/>
  <c r="U49" i="9"/>
  <c r="X38" i="9"/>
  <c r="U35" i="9"/>
  <c r="X24" i="9"/>
  <c r="AH24" i="9" s="1"/>
  <c r="U20" i="9"/>
  <c r="U16" i="9" s="1"/>
  <c r="C75" i="9"/>
  <c r="F70" i="9"/>
  <c r="N70" i="9" s="1"/>
  <c r="C69" i="9"/>
  <c r="BE10" i="8"/>
  <c r="BE9" i="8" s="1"/>
  <c r="BE8" i="8" s="1"/>
  <c r="BQ14" i="8"/>
  <c r="BK9" i="8" s="1"/>
  <c r="BQ16" i="8"/>
  <c r="Z170" i="8"/>
  <c r="AF43" i="8"/>
  <c r="AF14" i="8" s="1"/>
  <c r="AI173" i="8"/>
  <c r="AJ173" i="8"/>
  <c r="AJ165" i="8"/>
  <c r="AH165" i="8"/>
  <c r="AI165" i="8"/>
  <c r="AJ100" i="8"/>
  <c r="X74" i="8"/>
  <c r="AI74" i="8" s="1"/>
  <c r="U69" i="8"/>
  <c r="U65" i="8" s="1"/>
  <c r="U49" i="8"/>
  <c r="U35" i="8"/>
  <c r="X22" i="8"/>
  <c r="U20" i="8"/>
  <c r="U16" i="8" s="1"/>
  <c r="AH17" i="8"/>
  <c r="AI17" i="8"/>
  <c r="C72" i="8"/>
  <c r="F67" i="8"/>
  <c r="C66" i="8"/>
  <c r="C60" i="8"/>
  <c r="F55" i="8"/>
  <c r="C54" i="8"/>
  <c r="F49" i="8"/>
  <c r="N49" i="8" s="1"/>
  <c r="C48" i="8"/>
  <c r="C42" i="8"/>
  <c r="F34" i="8"/>
  <c r="C32" i="8"/>
  <c r="X198" i="9"/>
  <c r="BN26" i="9" s="1"/>
  <c r="U197" i="9"/>
  <c r="AI181" i="9"/>
  <c r="AH181" i="9"/>
  <c r="AI163" i="9"/>
  <c r="AH163" i="9"/>
  <c r="AJ163" i="9"/>
  <c r="X160" i="9"/>
  <c r="U157" i="9"/>
  <c r="U155" i="9" s="1"/>
  <c r="AG152" i="8"/>
  <c r="AE149" i="8"/>
  <c r="AE147" i="8" s="1"/>
  <c r="AE143" i="9"/>
  <c r="AG141" i="8"/>
  <c r="AE137" i="12"/>
  <c r="AG137" i="12" s="1"/>
  <c r="AJ137" i="11"/>
  <c r="AE129" i="9"/>
  <c r="AG129" i="9" s="1"/>
  <c r="AJ129" i="8"/>
  <c r="AE119" i="10"/>
  <c r="AG119" i="10" s="1"/>
  <c r="AE119" i="11" s="1"/>
  <c r="AG119" i="11" s="1"/>
  <c r="AE119" i="12" s="1"/>
  <c r="AG119" i="12" s="1"/>
  <c r="AJ119" i="9"/>
  <c r="AG115" i="8"/>
  <c r="AG98" i="8"/>
  <c r="AE93" i="9"/>
  <c r="AG86" i="8"/>
  <c r="AE67" i="9"/>
  <c r="AG67" i="9" s="1"/>
  <c r="AE67" i="10" s="1"/>
  <c r="AG67" i="10" s="1"/>
  <c r="AE67" i="11" s="1"/>
  <c r="AG67" i="11" s="1"/>
  <c r="AJ67" i="8"/>
  <c r="AG59" i="8"/>
  <c r="AE58" i="8"/>
  <c r="AE57" i="8" s="1"/>
  <c r="AG47" i="8"/>
  <c r="AE44" i="8"/>
  <c r="AE40" i="11"/>
  <c r="AG40" i="11" s="1"/>
  <c r="AE40" i="12" s="1"/>
  <c r="AG40" i="12" s="1"/>
  <c r="AJ40" i="10"/>
  <c r="AE36" i="9"/>
  <c r="AJ36" i="8"/>
  <c r="AG35" i="8"/>
  <c r="AE30" i="9"/>
  <c r="AG30" i="9" s="1"/>
  <c r="AE30" i="10" s="1"/>
  <c r="AG30" i="10" s="1"/>
  <c r="AE30" i="11" s="1"/>
  <c r="AG30" i="11" s="1"/>
  <c r="AE30" i="12" s="1"/>
  <c r="AG30" i="12" s="1"/>
  <c r="AJ30" i="8"/>
  <c r="AE26" i="9"/>
  <c r="AG26" i="9" s="1"/>
  <c r="AJ26" i="8"/>
  <c r="AE22" i="10"/>
  <c r="AG22" i="10" s="1"/>
  <c r="AE22" i="11" s="1"/>
  <c r="AG22" i="11" s="1"/>
  <c r="AE22" i="12" s="1"/>
  <c r="AG22" i="12" s="1"/>
  <c r="AJ22" i="9"/>
  <c r="AD238" i="8"/>
  <c r="AB235" i="8"/>
  <c r="AB229" i="9"/>
  <c r="AD227" i="8"/>
  <c r="AD223" i="8"/>
  <c r="AI223" i="8" s="1"/>
  <c r="AB222" i="8"/>
  <c r="AB220" i="8" s="1"/>
  <c r="AB215" i="9"/>
  <c r="AD215" i="9" s="1"/>
  <c r="AB215" i="10" s="1"/>
  <c r="AD215" i="10" s="1"/>
  <c r="AI215" i="8"/>
  <c r="AD198" i="8"/>
  <c r="AI198" i="8" s="1"/>
  <c r="AB197" i="8"/>
  <c r="AB196" i="8" s="1"/>
  <c r="AB195" i="8" s="1"/>
  <c r="AB188" i="9"/>
  <c r="AD187" i="8"/>
  <c r="AD185" i="8" s="1"/>
  <c r="AB181" i="11"/>
  <c r="AD181" i="11" s="1"/>
  <c r="AB181" i="12" s="1"/>
  <c r="AD181" i="12" s="1"/>
  <c r="AI181" i="10"/>
  <c r="AD150" i="8"/>
  <c r="AB149" i="8"/>
  <c r="AB147" i="8" s="1"/>
  <c r="AB127" i="9"/>
  <c r="AD123" i="8"/>
  <c r="AD117" i="8"/>
  <c r="AB114" i="8"/>
  <c r="AD100" i="8"/>
  <c r="AI100" i="8" s="1"/>
  <c r="AB96" i="8"/>
  <c r="AD92" i="8"/>
  <c r="AB91" i="8"/>
  <c r="AB85" i="11"/>
  <c r="AD85" i="11" s="1"/>
  <c r="AB79" i="9"/>
  <c r="AD79" i="9" s="1"/>
  <c r="AB71" i="10"/>
  <c r="AD71" i="10" s="1"/>
  <c r="AB71" i="11" s="1"/>
  <c r="AD71" i="11" s="1"/>
  <c r="AI71" i="9"/>
  <c r="AB66" i="10"/>
  <c r="AD66" i="10" s="1"/>
  <c r="AI66" i="10" s="1"/>
  <c r="AI66" i="9"/>
  <c r="AB55" i="10"/>
  <c r="AD55" i="10" s="1"/>
  <c r="AB55" i="11" s="1"/>
  <c r="AD55" i="11" s="1"/>
  <c r="AB55" i="12" s="1"/>
  <c r="AD55" i="12" s="1"/>
  <c r="AD46" i="8"/>
  <c r="AB44" i="8"/>
  <c r="AD22" i="8"/>
  <c r="AB20" i="8"/>
  <c r="AB16" i="8" s="1"/>
  <c r="L80" i="8"/>
  <c r="J80" i="9" s="1"/>
  <c r="J78" i="8"/>
  <c r="L78" i="8" s="1"/>
  <c r="J74" i="9"/>
  <c r="L72" i="8"/>
  <c r="L68" i="8"/>
  <c r="J66" i="8"/>
  <c r="L62" i="8"/>
  <c r="N62" i="8" s="1"/>
  <c r="J60" i="8"/>
  <c r="L56" i="8"/>
  <c r="J54" i="8"/>
  <c r="J50" i="9"/>
  <c r="L48" i="8"/>
  <c r="L44" i="8"/>
  <c r="J42" i="8"/>
  <c r="L36" i="8"/>
  <c r="J35" i="8"/>
  <c r="L30" i="8"/>
  <c r="J29" i="8"/>
  <c r="Q28" i="8"/>
  <c r="Q21" i="8" s="1"/>
  <c r="Q19" i="8" s="1"/>
  <c r="Q17" i="8" s="1"/>
  <c r="Q8" i="8" s="1"/>
  <c r="U96" i="8"/>
  <c r="U44" i="8"/>
  <c r="AH173" i="8"/>
  <c r="AH253" i="8"/>
  <c r="AI253" i="8"/>
  <c r="AH212" i="8"/>
  <c r="AI212" i="8"/>
  <c r="AJ159" i="9"/>
  <c r="U235" i="9"/>
  <c r="U234" i="9" s="1"/>
  <c r="U205" i="9"/>
  <c r="E42" i="20"/>
  <c r="U172" i="8"/>
  <c r="U123" i="8"/>
  <c r="U91" i="8"/>
  <c r="U96" i="9"/>
  <c r="U90" i="9" s="1"/>
  <c r="AI240" i="11"/>
  <c r="AH240" i="11"/>
  <c r="AI183" i="11"/>
  <c r="AH183" i="11"/>
  <c r="AH139" i="11"/>
  <c r="AI139" i="11"/>
  <c r="AJ107" i="11"/>
  <c r="AI30" i="11"/>
  <c r="AH30" i="11"/>
  <c r="AJ30" i="11"/>
  <c r="AH17" i="11"/>
  <c r="AJ17" i="11"/>
  <c r="Y43" i="8"/>
  <c r="AI215" i="9"/>
  <c r="Y246" i="11"/>
  <c r="AA225" i="10"/>
  <c r="Y222" i="10"/>
  <c r="Y220" i="10" s="1"/>
  <c r="Y213" i="11"/>
  <c r="AA211" i="10"/>
  <c r="AA210" i="10" s="1"/>
  <c r="AA209" i="10" s="1"/>
  <c r="AA200" i="10"/>
  <c r="Y197" i="10"/>
  <c r="Y196" i="10" s="1"/>
  <c r="Y195" i="10" s="1"/>
  <c r="AA190" i="10"/>
  <c r="Y187" i="10"/>
  <c r="Y185" i="10" s="1"/>
  <c r="Y179" i="11"/>
  <c r="AA176" i="10"/>
  <c r="Y173" i="11"/>
  <c r="AA172" i="10"/>
  <c r="AA150" i="10"/>
  <c r="AH150" i="10" s="1"/>
  <c r="Y149" i="10"/>
  <c r="Y147" i="10" s="1"/>
  <c r="Y117" i="11"/>
  <c r="AA114" i="10"/>
  <c r="Y107" i="11"/>
  <c r="AA105" i="10"/>
  <c r="AA104" i="10" s="1"/>
  <c r="AA100" i="10"/>
  <c r="AH100" i="10" s="1"/>
  <c r="Y96" i="10"/>
  <c r="AA95" i="10"/>
  <c r="Y91" i="10"/>
  <c r="AH215" i="9"/>
  <c r="AH99" i="11"/>
  <c r="AI99" i="11"/>
  <c r="AH108" i="10"/>
  <c r="AI108" i="10"/>
  <c r="AH59" i="10"/>
  <c r="AI59" i="10"/>
  <c r="AA46" i="12"/>
  <c r="Y44" i="12"/>
  <c r="W229" i="12"/>
  <c r="W227" i="11"/>
  <c r="W223" i="12"/>
  <c r="X223" i="12" s="1"/>
  <c r="W222" i="11"/>
  <c r="W198" i="12"/>
  <c r="W197" i="11"/>
  <c r="W196" i="11" s="1"/>
  <c r="W195" i="11" s="1"/>
  <c r="W193" i="11" s="1"/>
  <c r="W188" i="12"/>
  <c r="W187" i="11"/>
  <c r="W185" i="11" s="1"/>
  <c r="W170" i="11" s="1"/>
  <c r="W176" i="12"/>
  <c r="W159" i="12"/>
  <c r="X159" i="12" s="1"/>
  <c r="W157" i="11"/>
  <c r="W155" i="11" s="1"/>
  <c r="W152" i="12"/>
  <c r="X152" i="12" s="1"/>
  <c r="W149" i="11"/>
  <c r="W147" i="11" s="1"/>
  <c r="W98" i="12"/>
  <c r="X98" i="12" s="1"/>
  <c r="W96" i="11"/>
  <c r="W72" i="12"/>
  <c r="X72" i="12" s="1"/>
  <c r="W69" i="11"/>
  <c r="W65" i="11" s="1"/>
  <c r="W59" i="12"/>
  <c r="W58" i="11"/>
  <c r="W57" i="11" s="1"/>
  <c r="W52" i="14"/>
  <c r="X52" i="14" s="1"/>
  <c r="AI52" i="14" s="1"/>
  <c r="W37" i="12"/>
  <c r="W23" i="12"/>
  <c r="X23" i="12" s="1"/>
  <c r="E68" i="12"/>
  <c r="E66" i="11"/>
  <c r="E62" i="12"/>
  <c r="F62" i="12" s="1"/>
  <c r="E60" i="11"/>
  <c r="E44" i="12"/>
  <c r="E42" i="11"/>
  <c r="E30" i="12"/>
  <c r="E30" i="13" s="1"/>
  <c r="E30" i="14" s="1"/>
  <c r="E30" i="15" s="1"/>
  <c r="E30" i="16" s="1"/>
  <c r="E29" i="11"/>
  <c r="Y44" i="11"/>
  <c r="W235" i="12"/>
  <c r="W234" i="12" s="1"/>
  <c r="W235" i="13"/>
  <c r="W234" i="13" s="1"/>
  <c r="X256" i="14"/>
  <c r="X248" i="14"/>
  <c r="X202" i="14"/>
  <c r="X181" i="14"/>
  <c r="AJ17" i="10"/>
  <c r="AI252" i="12"/>
  <c r="X256" i="13"/>
  <c r="AI256" i="13" s="1"/>
  <c r="X252" i="13"/>
  <c r="X248" i="13"/>
  <c r="X86" i="11"/>
  <c r="X80" i="11"/>
  <c r="AH80" i="11" s="1"/>
  <c r="X76" i="11"/>
  <c r="AI76" i="11" s="1"/>
  <c r="X72" i="11"/>
  <c r="AH165" i="12"/>
  <c r="AH121" i="12"/>
  <c r="AH240" i="13"/>
  <c r="AH236" i="13"/>
  <c r="AH204" i="13"/>
  <c r="AH236" i="14"/>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X137" i="15"/>
  <c r="X129" i="15"/>
  <c r="X125" i="15"/>
  <c r="X119" i="15"/>
  <c r="X102" i="15"/>
  <c r="X80" i="15"/>
  <c r="X76" i="15"/>
  <c r="X67" i="15"/>
  <c r="X80" i="16"/>
  <c r="AH80" i="16" s="1"/>
  <c r="X76" i="16"/>
  <c r="AH165" i="14"/>
  <c r="AH131" i="14"/>
  <c r="AH127" i="14"/>
  <c r="AH121" i="14"/>
  <c r="F70" i="14"/>
  <c r="F58" i="14"/>
  <c r="AH240" i="15"/>
  <c r="AH236" i="15"/>
  <c r="AH165" i="15"/>
  <c r="AH127" i="15"/>
  <c r="AH162" i="9"/>
  <c r="AI162" i="9"/>
  <c r="BK15" i="8"/>
  <c r="AC196" i="8"/>
  <c r="AC195" i="8" s="1"/>
  <c r="AC193" i="8" s="1"/>
  <c r="Z196" i="8"/>
  <c r="Z195" i="8" s="1"/>
  <c r="Z193" i="8" s="1"/>
  <c r="AL145" i="8"/>
  <c r="AL110" i="8" s="1"/>
  <c r="Y93" i="16"/>
  <c r="AI99" i="9"/>
  <c r="AH99" i="9"/>
  <c r="AB158" i="16"/>
  <c r="AD158" i="16" s="1"/>
  <c r="AH252" i="9"/>
  <c r="AI252" i="9"/>
  <c r="AE150" i="16"/>
  <c r="AG150" i="16" s="1"/>
  <c r="W172" i="15"/>
  <c r="W174" i="16"/>
  <c r="W172" i="16" s="1"/>
  <c r="Y50" i="14"/>
  <c r="AA50" i="14" s="1"/>
  <c r="AB76" i="14"/>
  <c r="AD76" i="14" s="1"/>
  <c r="AI76" i="13"/>
  <c r="AE142" i="15"/>
  <c r="AG142" i="15" s="1"/>
  <c r="AI255" i="9"/>
  <c r="AH255" i="9"/>
  <c r="AH252" i="15"/>
  <c r="AB236" i="14"/>
  <c r="AH132" i="13"/>
  <c r="BQ16" i="9"/>
  <c r="J40" i="20" s="1"/>
  <c r="J39" i="20" s="1"/>
  <c r="AE117" i="14"/>
  <c r="AG117" i="14" s="1"/>
  <c r="AE117" i="15" s="1"/>
  <c r="AG117" i="15" s="1"/>
  <c r="AH198" i="8"/>
  <c r="BN26" i="8"/>
  <c r="AJ88" i="9"/>
  <c r="AH88" i="9"/>
  <c r="AI212" i="9"/>
  <c r="AH128" i="9"/>
  <c r="AJ128" i="9"/>
  <c r="AI128" i="9"/>
  <c r="AH248" i="9"/>
  <c r="AI248" i="9"/>
  <c r="AH131" i="9"/>
  <c r="AI131" i="9"/>
  <c r="AJ131" i="9"/>
  <c r="AC220" i="9"/>
  <c r="AF220" i="9"/>
  <c r="BQ30" i="9" s="1"/>
  <c r="BK14" i="9" s="1"/>
  <c r="AH212" i="7"/>
  <c r="AI212" i="7"/>
  <c r="AH58" i="8"/>
  <c r="AF220" i="7"/>
  <c r="BQ30" i="7" s="1"/>
  <c r="H54" i="20" s="1"/>
  <c r="AM110" i="7"/>
  <c r="AF43" i="7"/>
  <c r="AJ127" i="8"/>
  <c r="AH127" i="8"/>
  <c r="AI127" i="8"/>
  <c r="AC43" i="7"/>
  <c r="AC14" i="7" s="1"/>
  <c r="AM63" i="7"/>
  <c r="AF90" i="7"/>
  <c r="U172" i="7"/>
  <c r="Z112" i="7"/>
  <c r="Z110" i="7" s="1"/>
  <c r="AI58" i="8"/>
  <c r="AI57" i="8" s="1"/>
  <c r="BQ29" i="7"/>
  <c r="AC170" i="7"/>
  <c r="AJ163" i="7"/>
  <c r="AH163" i="7"/>
  <c r="AH217" i="7"/>
  <c r="AI217" i="7"/>
  <c r="AI71" i="7"/>
  <c r="AJ71" i="7"/>
  <c r="AH160" i="7"/>
  <c r="AI160" i="7"/>
  <c r="Z14" i="8"/>
  <c r="AH181" i="7"/>
  <c r="AI181" i="7"/>
  <c r="AJ158" i="7"/>
  <c r="AH158" i="7"/>
  <c r="AI158" i="7"/>
  <c r="AI183" i="7"/>
  <c r="AH183" i="7"/>
  <c r="AH203" i="7"/>
  <c r="AI203" i="7"/>
  <c r="AH162" i="7"/>
  <c r="AI162" i="7"/>
  <c r="AJ159" i="7"/>
  <c r="AI159" i="7"/>
  <c r="AI240" i="8"/>
  <c r="W90" i="10"/>
  <c r="W63" i="10" s="1"/>
  <c r="Z90" i="8"/>
  <c r="Z63" i="8" s="1"/>
  <c r="Z12" i="8" s="1"/>
  <c r="U232" i="8"/>
  <c r="AI213" i="8"/>
  <c r="X71" i="16"/>
  <c r="AC90" i="8"/>
  <c r="AC110" i="8"/>
  <c r="AC220" i="8"/>
  <c r="T26" i="7"/>
  <c r="T26" i="8" s="1"/>
  <c r="T26" i="9" s="1"/>
  <c r="T26" i="10" s="1"/>
  <c r="T26" i="11" s="1"/>
  <c r="T26" i="12" s="1"/>
  <c r="T26" i="13" s="1"/>
  <c r="T26" i="14" s="1"/>
  <c r="T26" i="15" s="1"/>
  <c r="T26" i="16" s="1"/>
  <c r="AI30" i="15"/>
  <c r="AC145" i="6"/>
  <c r="AH224" i="7"/>
  <c r="AI224" i="7"/>
  <c r="I78" i="6"/>
  <c r="AF196" i="6"/>
  <c r="BK15" i="6"/>
  <c r="AF43" i="6"/>
  <c r="AF14" i="6" s="1"/>
  <c r="Z90" i="6"/>
  <c r="Z63" i="6" s="1"/>
  <c r="AI214" i="7"/>
  <c r="AH214" i="7"/>
  <c r="AJ79" i="6"/>
  <c r="AI79" i="6"/>
  <c r="AH79" i="6"/>
  <c r="C78" i="6"/>
  <c r="F78" i="6" s="1"/>
  <c r="N78" i="6" s="1"/>
  <c r="AH223" i="6"/>
  <c r="AJ223" i="6"/>
  <c r="AI223" i="6"/>
  <c r="AI207" i="6"/>
  <c r="AH207" i="6"/>
  <c r="AH198" i="6"/>
  <c r="BN26" i="6"/>
  <c r="AI198" i="6"/>
  <c r="AJ198" i="6"/>
  <c r="X187" i="6"/>
  <c r="X185" i="6" s="1"/>
  <c r="AI188" i="6"/>
  <c r="AJ188" i="6"/>
  <c r="AH188" i="6"/>
  <c r="AI153" i="6"/>
  <c r="AJ153" i="6"/>
  <c r="AH153" i="6"/>
  <c r="AI237" i="6"/>
  <c r="AJ237" i="6"/>
  <c r="AI159" i="6"/>
  <c r="AJ159" i="6"/>
  <c r="AH159" i="6"/>
  <c r="AJ86" i="6"/>
  <c r="AI80" i="6"/>
  <c r="AJ80" i="6"/>
  <c r="AH80" i="6"/>
  <c r="AI77" i="6"/>
  <c r="AJ77" i="6"/>
  <c r="AH77" i="6"/>
  <c r="AH240" i="6"/>
  <c r="AI240" i="6"/>
  <c r="AJ240" i="6"/>
  <c r="AI217" i="6"/>
  <c r="AH217" i="6"/>
  <c r="AJ213" i="6"/>
  <c r="AI213" i="6"/>
  <c r="AH213" i="6"/>
  <c r="AI162" i="6"/>
  <c r="AJ162" i="6"/>
  <c r="AH162" i="6"/>
  <c r="AH118" i="6"/>
  <c r="AI118" i="6"/>
  <c r="AJ118" i="6"/>
  <c r="AI72" i="6"/>
  <c r="AJ72" i="6"/>
  <c r="AH72" i="6"/>
  <c r="AH59" i="6"/>
  <c r="AI59" i="6"/>
  <c r="AJ59" i="6"/>
  <c r="M83" i="6"/>
  <c r="M81" i="6" s="1"/>
  <c r="N83" i="6"/>
  <c r="N81" i="6" s="1"/>
  <c r="F81" i="6"/>
  <c r="AJ249" i="6"/>
  <c r="AH249" i="6"/>
  <c r="AI249" i="6"/>
  <c r="AH251" i="8"/>
  <c r="AH181" i="8"/>
  <c r="AI181" i="8"/>
  <c r="AJ107" i="8"/>
  <c r="AH107" i="8"/>
  <c r="AH105" i="8" s="1"/>
  <c r="AJ88" i="8"/>
  <c r="AH88" i="8"/>
  <c r="AH74" i="8"/>
  <c r="AJ74" i="8"/>
  <c r="AI55" i="8"/>
  <c r="AH55" i="8"/>
  <c r="AJ55" i="8"/>
  <c r="AH25" i="8"/>
  <c r="AI25" i="8"/>
  <c r="AJ25" i="8"/>
  <c r="U65" i="7"/>
  <c r="C69" i="7"/>
  <c r="AI68" i="7"/>
  <c r="X167" i="7"/>
  <c r="U157" i="7"/>
  <c r="U155" i="7" s="1"/>
  <c r="U145" i="7" s="1"/>
  <c r="AI240" i="10"/>
  <c r="AH240" i="10"/>
  <c r="AI159" i="10"/>
  <c r="AJ159" i="10"/>
  <c r="AH93" i="10"/>
  <c r="AI93" i="10"/>
  <c r="AH87" i="10"/>
  <c r="AI87" i="10"/>
  <c r="AI60" i="10"/>
  <c r="AJ60" i="10"/>
  <c r="AJ50" i="10"/>
  <c r="AJ159" i="11"/>
  <c r="AA170" i="6"/>
  <c r="BO24" i="6" s="1"/>
  <c r="AH254" i="9"/>
  <c r="AI254" i="9"/>
  <c r="AJ180" i="9"/>
  <c r="AH180" i="9"/>
  <c r="AI94" i="9"/>
  <c r="AI78" i="9"/>
  <c r="AH78" i="9"/>
  <c r="AI32" i="9"/>
  <c r="AH32" i="9"/>
  <c r="AJ28" i="9"/>
  <c r="AI28" i="9"/>
  <c r="U243" i="7"/>
  <c r="X236" i="7"/>
  <c r="AH236" i="7" s="1"/>
  <c r="U235" i="7"/>
  <c r="U234" i="7" s="1"/>
  <c r="AI225" i="7"/>
  <c r="AH225" i="7"/>
  <c r="X213" i="7"/>
  <c r="U211" i="7"/>
  <c r="U210" i="7" s="1"/>
  <c r="U209" i="7" s="1"/>
  <c r="X206" i="7"/>
  <c r="U205" i="7"/>
  <c r="X198" i="7"/>
  <c r="BN26" i="7" s="1"/>
  <c r="U197" i="7"/>
  <c r="AH182" i="7"/>
  <c r="AI182" i="7"/>
  <c r="X180" i="7"/>
  <c r="AJ180" i="7" s="1"/>
  <c r="U176" i="7"/>
  <c r="AH255" i="11"/>
  <c r="AI255" i="11"/>
  <c r="AH247" i="11"/>
  <c r="AI247" i="11"/>
  <c r="AH202" i="11"/>
  <c r="AI202" i="11"/>
  <c r="AH181" i="11"/>
  <c r="AH102" i="11"/>
  <c r="AJ102" i="11"/>
  <c r="AI102" i="11"/>
  <c r="AH24" i="11"/>
  <c r="AJ24" i="11"/>
  <c r="R43" i="20"/>
  <c r="AH60" i="7"/>
  <c r="AH58" i="7" s="1"/>
  <c r="AI60" i="7"/>
  <c r="AI58" i="7" s="1"/>
  <c r="AJ60" i="7"/>
  <c r="AJ58" i="7" s="1"/>
  <c r="X50" i="7"/>
  <c r="U49" i="7"/>
  <c r="X45" i="7"/>
  <c r="U44" i="7"/>
  <c r="X24" i="7"/>
  <c r="U20" i="7"/>
  <c r="U16" i="7" s="1"/>
  <c r="C75" i="7"/>
  <c r="C63" i="7"/>
  <c r="F52" i="7"/>
  <c r="N52" i="7" s="1"/>
  <c r="C51" i="7"/>
  <c r="AJ17" i="8"/>
  <c r="AI256" i="9"/>
  <c r="AH212" i="9"/>
  <c r="U222" i="7"/>
  <c r="C57" i="7"/>
  <c r="AI163" i="7"/>
  <c r="AJ136" i="7"/>
  <c r="AI136" i="7"/>
  <c r="X124" i="7"/>
  <c r="U123" i="7"/>
  <c r="U114" i="7"/>
  <c r="X97" i="7"/>
  <c r="U96" i="7"/>
  <c r="X92" i="7"/>
  <c r="AJ92" i="7" s="1"/>
  <c r="U91" i="7"/>
  <c r="U83" i="7"/>
  <c r="AI137" i="11"/>
  <c r="Y170" i="8"/>
  <c r="W196" i="8"/>
  <c r="W195" i="8" s="1"/>
  <c r="W193" i="8" s="1"/>
  <c r="AJ121" i="9"/>
  <c r="AH48" i="9"/>
  <c r="AA220" i="9"/>
  <c r="BO30" i="9" s="1"/>
  <c r="BI14" i="9" s="1"/>
  <c r="AG172" i="7"/>
  <c r="AG57" i="7"/>
  <c r="AF112" i="7"/>
  <c r="AF110" i="7" s="1"/>
  <c r="AE35" i="7"/>
  <c r="K28" i="7"/>
  <c r="K21" i="7" s="1"/>
  <c r="K19" i="7" s="1"/>
  <c r="K17" i="7" s="1"/>
  <c r="Z170" i="7"/>
  <c r="AJ139" i="11"/>
  <c r="AJ131" i="11"/>
  <c r="AI121" i="9"/>
  <c r="AE172" i="9"/>
  <c r="Y90" i="9"/>
  <c r="AG149" i="7"/>
  <c r="AG147" i="7" s="1"/>
  <c r="AG44" i="7"/>
  <c r="AC220" i="7"/>
  <c r="AI246" i="11"/>
  <c r="AJ139" i="12"/>
  <c r="AI250" i="13"/>
  <c r="AA43" i="9"/>
  <c r="AF196" i="7"/>
  <c r="AE149" i="7"/>
  <c r="AE147" i="7" s="1"/>
  <c r="Y196" i="7"/>
  <c r="Y195" i="7" s="1"/>
  <c r="Y193" i="7" s="1"/>
  <c r="Y43" i="7"/>
  <c r="AJ78" i="11"/>
  <c r="AJ27" i="6"/>
  <c r="AI27" i="6"/>
  <c r="AI61" i="11"/>
  <c r="AJ61" i="11"/>
  <c r="AH24" i="13"/>
  <c r="AJ24" i="13"/>
  <c r="AH240" i="7"/>
  <c r="AI240" i="7"/>
  <c r="AE217" i="7"/>
  <c r="AG217" i="7" s="1"/>
  <c r="AJ217" i="6"/>
  <c r="AH24" i="6"/>
  <c r="AI24" i="6"/>
  <c r="AJ24" i="6"/>
  <c r="AE207" i="7"/>
  <c r="AG207" i="7" s="1"/>
  <c r="AJ207" i="6"/>
  <c r="AH29" i="6"/>
  <c r="AJ29" i="6"/>
  <c r="AI29" i="6"/>
  <c r="M76" i="6"/>
  <c r="N76" i="6"/>
  <c r="AI60" i="9"/>
  <c r="AJ60" i="9"/>
  <c r="AH60" i="9"/>
  <c r="AH117" i="7"/>
  <c r="AI117" i="7"/>
  <c r="AJ117" i="7"/>
  <c r="AH241" i="11"/>
  <c r="AE145" i="5"/>
  <c r="AB220" i="5"/>
  <c r="X57" i="11"/>
  <c r="AE43" i="5"/>
  <c r="AE14" i="5" s="1"/>
  <c r="AR21" i="5"/>
  <c r="AF196" i="5"/>
  <c r="AF195" i="5" s="1"/>
  <c r="AF193" i="5" s="1"/>
  <c r="U205" i="14"/>
  <c r="C42" i="15"/>
  <c r="U227" i="15"/>
  <c r="U172" i="15"/>
  <c r="Y220" i="6"/>
  <c r="U104" i="14"/>
  <c r="U243" i="14"/>
  <c r="C42" i="14"/>
  <c r="AB251" i="15"/>
  <c r="AI251" i="14"/>
  <c r="AI190" i="14"/>
  <c r="AE101" i="16"/>
  <c r="AG101" i="16" s="1"/>
  <c r="AA151" i="15"/>
  <c r="AI224" i="13"/>
  <c r="AH73" i="6"/>
  <c r="AI73" i="6"/>
  <c r="AJ73" i="6"/>
  <c r="AI30" i="6"/>
  <c r="AJ30" i="6"/>
  <c r="AH30" i="6"/>
  <c r="AH165" i="9"/>
  <c r="AI165" i="9"/>
  <c r="AJ165" i="9"/>
  <c r="AI239" i="7"/>
  <c r="AH239" i="7"/>
  <c r="AI166" i="7"/>
  <c r="AI143" i="10"/>
  <c r="AH143" i="10"/>
  <c r="AG202" i="6"/>
  <c r="AE197" i="6"/>
  <c r="F16" i="20"/>
  <c r="BF16" i="7"/>
  <c r="BF16" i="10" s="1"/>
  <c r="BF16" i="13" s="1"/>
  <c r="BF16" i="16" s="1"/>
  <c r="AH98" i="6"/>
  <c r="AI98" i="6"/>
  <c r="AJ98" i="6"/>
  <c r="AH53" i="9"/>
  <c r="AI53" i="9"/>
  <c r="AH241" i="7"/>
  <c r="AI241" i="7"/>
  <c r="AI165" i="7"/>
  <c r="AJ165" i="7"/>
  <c r="AH165" i="7"/>
  <c r="BN26" i="10"/>
  <c r="AI212" i="10"/>
  <c r="AH212" i="10"/>
  <c r="AG212" i="6"/>
  <c r="AE211" i="6"/>
  <c r="AE210" i="6" s="1"/>
  <c r="AE209" i="6" s="1"/>
  <c r="Y61" i="7"/>
  <c r="AA61" i="7" s="1"/>
  <c r="AA57" i="7" s="1"/>
  <c r="BO31" i="6"/>
  <c r="BI15" i="6" s="1"/>
  <c r="AB84" i="15"/>
  <c r="AD84" i="15" s="1"/>
  <c r="AI84" i="14"/>
  <c r="AE39" i="16"/>
  <c r="AG39" i="16" s="1"/>
  <c r="AH236" i="12"/>
  <c r="N80" i="5"/>
  <c r="M80" i="5"/>
  <c r="AH78" i="6"/>
  <c r="AI78" i="6"/>
  <c r="AJ78" i="6"/>
  <c r="AH23" i="6"/>
  <c r="AI23" i="6"/>
  <c r="AH246" i="9"/>
  <c r="AI246" i="9"/>
  <c r="AI27" i="10"/>
  <c r="AJ27" i="10"/>
  <c r="AH224" i="11"/>
  <c r="AI224" i="11"/>
  <c r="AG241" i="6"/>
  <c r="AE235" i="6"/>
  <c r="AE234" i="6" s="1"/>
  <c r="Y68" i="8"/>
  <c r="AA68" i="8" s="1"/>
  <c r="Y68" i="9" s="1"/>
  <c r="AA68" i="9" s="1"/>
  <c r="Y68" i="10" s="1"/>
  <c r="AA68" i="10" s="1"/>
  <c r="Y68" i="11" s="1"/>
  <c r="AA68" i="11" s="1"/>
  <c r="Y68" i="12" s="1"/>
  <c r="AA68" i="12" s="1"/>
  <c r="AH68" i="7"/>
  <c r="AD31" i="16"/>
  <c r="AH186" i="12"/>
  <c r="AI186" i="12"/>
  <c r="W190" i="15"/>
  <c r="AD98" i="13"/>
  <c r="AB118" i="15"/>
  <c r="AE173" i="16"/>
  <c r="AG173" i="16" s="1"/>
  <c r="AJ173" i="16" s="1"/>
  <c r="AJ173" i="15"/>
  <c r="AG45" i="14"/>
  <c r="AI250" i="16"/>
  <c r="AE21" i="14"/>
  <c r="AG21" i="14" s="1"/>
  <c r="AE84" i="14"/>
  <c r="AG84" i="14" s="1"/>
  <c r="AE84" i="15" s="1"/>
  <c r="AZ22" i="12"/>
  <c r="N79" i="5"/>
  <c r="AI28" i="6"/>
  <c r="AJ28" i="6"/>
  <c r="AI236" i="7"/>
  <c r="AH160" i="10"/>
  <c r="AI160" i="10"/>
  <c r="AI173" i="13"/>
  <c r="AA85" i="6"/>
  <c r="Y83" i="6"/>
  <c r="Y76" i="9"/>
  <c r="AA76" i="9" s="1"/>
  <c r="Y76" i="10" s="1"/>
  <c r="AA76" i="10" s="1"/>
  <c r="Y76" i="11" s="1"/>
  <c r="AA76" i="11" s="1"/>
  <c r="Y76" i="12" s="1"/>
  <c r="AA76" i="12" s="1"/>
  <c r="AH76" i="8"/>
  <c r="Y26" i="9"/>
  <c r="AA26" i="9" s="1"/>
  <c r="Y26" i="10" s="1"/>
  <c r="AA26" i="10" s="1"/>
  <c r="Y26" i="11" s="1"/>
  <c r="AA26" i="11" s="1"/>
  <c r="Y26" i="12" s="1"/>
  <c r="AA26" i="12" s="1"/>
  <c r="AH26" i="8"/>
  <c r="Y57" i="6"/>
  <c r="C45" i="15"/>
  <c r="F45" i="5"/>
  <c r="U222" i="12"/>
  <c r="U220" i="12" s="1"/>
  <c r="U197" i="13"/>
  <c r="U35" i="14"/>
  <c r="AI105" i="5"/>
  <c r="AA57" i="6"/>
  <c r="U172" i="13"/>
  <c r="C78" i="13"/>
  <c r="C32" i="13"/>
  <c r="U141" i="15"/>
  <c r="AI152" i="9"/>
  <c r="AH152" i="9"/>
  <c r="AI54" i="9"/>
  <c r="AJ54" i="9"/>
  <c r="AH54" i="9"/>
  <c r="Y28" i="7"/>
  <c r="AA28" i="7" s="1"/>
  <c r="Y28" i="8" s="1"/>
  <c r="AA28" i="8" s="1"/>
  <c r="Y28" i="9" s="1"/>
  <c r="AA28" i="9" s="1"/>
  <c r="AH28" i="6"/>
  <c r="AH70" i="6"/>
  <c r="AI70" i="6"/>
  <c r="AJ26" i="6"/>
  <c r="AH26" i="6"/>
  <c r="AI26" i="6"/>
  <c r="AH167" i="9"/>
  <c r="BN19" i="9"/>
  <c r="AJ167" i="9"/>
  <c r="AH136" i="9"/>
  <c r="AJ136" i="9"/>
  <c r="AI136" i="9"/>
  <c r="AA37" i="6"/>
  <c r="Y35" i="6"/>
  <c r="AH115" i="9"/>
  <c r="AI115" i="9"/>
  <c r="AJ152" i="7"/>
  <c r="AI152" i="7"/>
  <c r="AH152" i="7"/>
  <c r="AE53" i="9"/>
  <c r="AG53" i="9" s="1"/>
  <c r="AJ53" i="8"/>
  <c r="Y70" i="9"/>
  <c r="AA70" i="9" s="1"/>
  <c r="AH70" i="8"/>
  <c r="AI61" i="9"/>
  <c r="AJ61" i="9"/>
  <c r="AI52" i="9"/>
  <c r="AH52" i="9"/>
  <c r="AI230" i="7"/>
  <c r="AJ230" i="7"/>
  <c r="AH230" i="7"/>
  <c r="AI125" i="10"/>
  <c r="AJ125" i="10"/>
  <c r="AH125" i="10"/>
  <c r="C54" i="14"/>
  <c r="C32" i="14"/>
  <c r="C60" i="15"/>
  <c r="AA90" i="5"/>
  <c r="AA63" i="5" s="1"/>
  <c r="BO12" i="5"/>
  <c r="BO9" i="5" s="1"/>
  <c r="AI23" i="10"/>
  <c r="AH23" i="10"/>
  <c r="AI241" i="13"/>
  <c r="AH241" i="13"/>
  <c r="AG52" i="6"/>
  <c r="AE49" i="6"/>
  <c r="AE43" i="6" s="1"/>
  <c r="AD167" i="6"/>
  <c r="AI167" i="6" s="1"/>
  <c r="AB157" i="6"/>
  <c r="AB155" i="6" s="1"/>
  <c r="AB145" i="6" s="1"/>
  <c r="AD39" i="6"/>
  <c r="AB35" i="6"/>
  <c r="W133" i="7"/>
  <c r="X133" i="7" s="1"/>
  <c r="AJ133" i="7" s="1"/>
  <c r="W123" i="6"/>
  <c r="F78" i="5"/>
  <c r="M78" i="5" s="1"/>
  <c r="N62" i="6"/>
  <c r="M62" i="6"/>
  <c r="AH217" i="9"/>
  <c r="AI217" i="9"/>
  <c r="AH213" i="7"/>
  <c r="AI213" i="7"/>
  <c r="AH98" i="10"/>
  <c r="AI98" i="10"/>
  <c r="AG70" i="6"/>
  <c r="AE69" i="6"/>
  <c r="AE65" i="6" s="1"/>
  <c r="AD180" i="6"/>
  <c r="AB176" i="6"/>
  <c r="AB170" i="6" s="1"/>
  <c r="AA27" i="6"/>
  <c r="Y20" i="6"/>
  <c r="Y16" i="6" s="1"/>
  <c r="AI78" i="8"/>
  <c r="AH78" i="8"/>
  <c r="AJ78" i="8"/>
  <c r="AH215" i="7"/>
  <c r="AI215" i="7"/>
  <c r="AI137" i="7"/>
  <c r="AJ137" i="7"/>
  <c r="AH137" i="7"/>
  <c r="AA71" i="6"/>
  <c r="Y69" i="6"/>
  <c r="Y65" i="6" s="1"/>
  <c r="M65" i="6"/>
  <c r="N65" i="6"/>
  <c r="AH166" i="9"/>
  <c r="AI156" i="7"/>
  <c r="AJ156" i="7"/>
  <c r="AH156" i="7"/>
  <c r="AG23" i="6"/>
  <c r="AE20" i="6"/>
  <c r="AE16" i="6" s="1"/>
  <c r="AJ17" i="14"/>
  <c r="F116" i="12"/>
  <c r="D116" i="13"/>
  <c r="D113" i="12"/>
  <c r="D115" i="13"/>
  <c r="F115" i="12"/>
  <c r="N124" i="12"/>
  <c r="M124" i="12"/>
  <c r="F120" i="13"/>
  <c r="D120" i="14"/>
  <c r="F123" i="14"/>
  <c r="D123" i="15"/>
  <c r="X133" i="6"/>
  <c r="W220" i="8"/>
  <c r="AH77" i="11"/>
  <c r="U187" i="13"/>
  <c r="U185" i="13" s="1"/>
  <c r="N122" i="13"/>
  <c r="M122" i="13"/>
  <c r="D118" i="14"/>
  <c r="F118" i="13"/>
  <c r="BC20" i="11"/>
  <c r="F113" i="11"/>
  <c r="AQ15" i="11" s="1"/>
  <c r="D124" i="14"/>
  <c r="F124" i="13"/>
  <c r="M120" i="12"/>
  <c r="N120" i="12"/>
  <c r="M123" i="13"/>
  <c r="N123" i="13"/>
  <c r="C63" i="13"/>
  <c r="U149" i="14"/>
  <c r="U147" i="14" s="1"/>
  <c r="C45" i="14"/>
  <c r="U44" i="15"/>
  <c r="N117" i="11"/>
  <c r="M117" i="11"/>
  <c r="D122" i="15"/>
  <c r="F122" i="14"/>
  <c r="N118" i="12"/>
  <c r="M118" i="12"/>
  <c r="D119" i="13"/>
  <c r="F119" i="12"/>
  <c r="N121" i="11"/>
  <c r="M121" i="11"/>
  <c r="BO17" i="6"/>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U112" i="6" s="1"/>
  <c r="AI168" i="6"/>
  <c r="AI246" i="10"/>
  <c r="AH246" i="10"/>
  <c r="AI246" i="6"/>
  <c r="AJ246" i="6"/>
  <c r="AH246" i="6"/>
  <c r="AH180" i="7"/>
  <c r="AI164" i="7"/>
  <c r="AJ164" i="7"/>
  <c r="AH164" i="7"/>
  <c r="AJ150" i="6"/>
  <c r="AH150" i="6"/>
  <c r="AI150" i="6"/>
  <c r="X115" i="6"/>
  <c r="AJ101" i="7"/>
  <c r="AI101" i="7"/>
  <c r="AH101" i="7"/>
  <c r="AJ95" i="11"/>
  <c r="AI95" i="11"/>
  <c r="AJ72" i="8"/>
  <c r="AH72" i="8"/>
  <c r="AI72" i="8"/>
  <c r="AH47" i="9"/>
  <c r="AI47" i="9"/>
  <c r="U44" i="16"/>
  <c r="AI45" i="13"/>
  <c r="AJ45" i="6"/>
  <c r="AJ44" i="6" s="1"/>
  <c r="AJ45" i="9"/>
  <c r="U44" i="10"/>
  <c r="AI45" i="6"/>
  <c r="U44" i="6"/>
  <c r="U44" i="9"/>
  <c r="U43" i="9" s="1"/>
  <c r="AJ33" i="8"/>
  <c r="U20" i="10"/>
  <c r="U16" i="10" s="1"/>
  <c r="U20" i="13"/>
  <c r="U16" i="13" s="1"/>
  <c r="AI25" i="6"/>
  <c r="AI17" i="11"/>
  <c r="AQ22" i="11"/>
  <c r="C78" i="9"/>
  <c r="C66" i="15"/>
  <c r="C25" i="14"/>
  <c r="BK13" i="10"/>
  <c r="K53" i="20"/>
  <c r="BK15" i="12"/>
  <c r="M55" i="20"/>
  <c r="BQ28" i="11"/>
  <c r="AF195" i="11"/>
  <c r="AF193" i="11" s="1"/>
  <c r="BQ27" i="14"/>
  <c r="BQ12" i="14"/>
  <c r="AF14" i="14"/>
  <c r="AF12" i="14" s="1"/>
  <c r="AI165" i="6"/>
  <c r="AH165" i="6"/>
  <c r="AJ165" i="6"/>
  <c r="AH117" i="6"/>
  <c r="AJ117" i="6"/>
  <c r="AI117" i="6"/>
  <c r="M61" i="6"/>
  <c r="N61" i="6"/>
  <c r="AI255" i="8"/>
  <c r="AH255" i="8"/>
  <c r="AI121" i="8"/>
  <c r="AJ121" i="8"/>
  <c r="AH121" i="8"/>
  <c r="N55" i="20"/>
  <c r="BK15" i="13"/>
  <c r="BK14" i="10"/>
  <c r="K54" i="20"/>
  <c r="AH253" i="6"/>
  <c r="AJ253" i="6"/>
  <c r="AI253" i="6"/>
  <c r="AH167" i="6"/>
  <c r="AJ167" i="6"/>
  <c r="AI119" i="6"/>
  <c r="AH119" i="6"/>
  <c r="AJ119" i="6"/>
  <c r="AI143" i="8"/>
  <c r="AJ143" i="8"/>
  <c r="BK14" i="13"/>
  <c r="N54" i="20"/>
  <c r="Q41" i="20"/>
  <c r="BK14" i="12"/>
  <c r="M54" i="20"/>
  <c r="AJ252" i="6"/>
  <c r="AI252" i="6"/>
  <c r="AH252" i="6"/>
  <c r="AJ76" i="6"/>
  <c r="AI76" i="6"/>
  <c r="AH76" i="6"/>
  <c r="AI119" i="8"/>
  <c r="AJ119" i="8"/>
  <c r="AH119" i="8"/>
  <c r="AI115" i="8"/>
  <c r="AH115" i="8"/>
  <c r="BK15" i="7"/>
  <c r="H55" i="20"/>
  <c r="BQ22" i="16"/>
  <c r="BK11" i="16" s="1"/>
  <c r="Q48" i="20"/>
  <c r="Q46" i="20" s="1"/>
  <c r="BQ27" i="6"/>
  <c r="G51" i="20" s="1"/>
  <c r="AH163" i="6"/>
  <c r="AJ163" i="6"/>
  <c r="AI163" i="6"/>
  <c r="AI75" i="6"/>
  <c r="AH75" i="6"/>
  <c r="AJ75" i="6"/>
  <c r="AJ31" i="6"/>
  <c r="AI31" i="6"/>
  <c r="AH31" i="6"/>
  <c r="AJ17" i="6"/>
  <c r="AI17" i="6"/>
  <c r="AQ22" i="6"/>
  <c r="AY22" i="6" s="1"/>
  <c r="AH17" i="6"/>
  <c r="M56" i="6"/>
  <c r="N56" i="6"/>
  <c r="BK13" i="13"/>
  <c r="N53" i="20"/>
  <c r="BK15" i="16"/>
  <c r="Q55" i="20"/>
  <c r="BF12" i="7"/>
  <c r="BF12" i="10" s="1"/>
  <c r="M47" i="20"/>
  <c r="AC43" i="15"/>
  <c r="AC14" i="15" s="1"/>
  <c r="AC112" i="12"/>
  <c r="AC110" i="12" s="1"/>
  <c r="BQ17" i="10"/>
  <c r="K41" i="20" s="1"/>
  <c r="K39" i="20" s="1"/>
  <c r="AC145" i="10"/>
  <c r="AC110" i="10" s="1"/>
  <c r="AC170" i="16"/>
  <c r="AC170" i="8"/>
  <c r="AC196" i="9"/>
  <c r="AC195" i="9" s="1"/>
  <c r="AC193" i="9" s="1"/>
  <c r="AC220" i="13"/>
  <c r="AC232" i="8"/>
  <c r="Z14" i="10"/>
  <c r="Z63" i="13"/>
  <c r="Z110" i="10"/>
  <c r="Z170" i="9"/>
  <c r="Z196" i="14"/>
  <c r="Z195" i="14" s="1"/>
  <c r="Z193" i="14" s="1"/>
  <c r="Z220" i="13"/>
  <c r="AM14" i="7"/>
  <c r="AM63" i="11"/>
  <c r="AM63" i="10"/>
  <c r="AM110" i="13"/>
  <c r="AL145" i="14"/>
  <c r="AL90" i="11"/>
  <c r="AL63" i="11" s="1"/>
  <c r="AL90" i="10"/>
  <c r="AL90" i="8"/>
  <c r="AL63" i="8" s="1"/>
  <c r="AL63" i="7"/>
  <c r="AL145" i="6"/>
  <c r="AL110" i="6" s="1"/>
  <c r="BK15" i="9"/>
  <c r="J55" i="20"/>
  <c r="AF90" i="15"/>
  <c r="AF90" i="11"/>
  <c r="W90" i="5"/>
  <c r="W63" i="5" s="1"/>
  <c r="AA145" i="5"/>
  <c r="AA43" i="5"/>
  <c r="AF90" i="6"/>
  <c r="AF63" i="6" s="1"/>
  <c r="AC196" i="6"/>
  <c r="AC195" i="6" s="1"/>
  <c r="AC193" i="6" s="1"/>
  <c r="Z112" i="6"/>
  <c r="Z110" i="6" s="1"/>
  <c r="AI125" i="7"/>
  <c r="AH125" i="7"/>
  <c r="AJ125" i="7"/>
  <c r="AJ18" i="10"/>
  <c r="AH18" i="10"/>
  <c r="AI18" i="10"/>
  <c r="AH98" i="11"/>
  <c r="AI98" i="11"/>
  <c r="AH204" i="12"/>
  <c r="AI204" i="12"/>
  <c r="AI200" i="12"/>
  <c r="AH167" i="13"/>
  <c r="AE162" i="8"/>
  <c r="AG162" i="8" s="1"/>
  <c r="AE162" i="9" s="1"/>
  <c r="AG162" i="9" s="1"/>
  <c r="AJ162" i="7"/>
  <c r="AG124" i="7"/>
  <c r="V237" i="8"/>
  <c r="X237" i="8" s="1"/>
  <c r="AI237" i="8" s="1"/>
  <c r="X237" i="7"/>
  <c r="AI237" i="7" s="1"/>
  <c r="V235" i="7"/>
  <c r="V234" i="7" s="1"/>
  <c r="V228" i="8"/>
  <c r="X228" i="8" s="1"/>
  <c r="AH228" i="8" s="1"/>
  <c r="X228" i="7"/>
  <c r="V227" i="7"/>
  <c r="V174" i="8"/>
  <c r="X174" i="8" s="1"/>
  <c r="X172" i="8" s="1"/>
  <c r="V172" i="7"/>
  <c r="X174" i="7"/>
  <c r="X172" i="7" s="1"/>
  <c r="V75" i="8"/>
  <c r="V75" i="9" s="1"/>
  <c r="X75" i="7"/>
  <c r="D16" i="20"/>
  <c r="BK13" i="9"/>
  <c r="J53" i="20"/>
  <c r="BK9" i="14"/>
  <c r="BE10" i="10"/>
  <c r="BE9" i="10" s="1"/>
  <c r="BE8" i="10" s="1"/>
  <c r="BK9" i="9"/>
  <c r="H47" i="20"/>
  <c r="AF170" i="11"/>
  <c r="BQ24" i="11" s="1"/>
  <c r="BP12" i="5"/>
  <c r="BP9" i="5" s="1"/>
  <c r="AC14" i="16"/>
  <c r="AC14" i="10"/>
  <c r="BQ14" i="16"/>
  <c r="BQ16" i="14"/>
  <c r="BQ16" i="15"/>
  <c r="AF145" i="10"/>
  <c r="AF145" i="8"/>
  <c r="AF110" i="8" s="1"/>
  <c r="AF145" i="15"/>
  <c r="BQ17" i="13"/>
  <c r="N41" i="20" s="1"/>
  <c r="AF170" i="8"/>
  <c r="BQ24" i="8" s="1"/>
  <c r="AC196" i="13"/>
  <c r="AC195" i="13" s="1"/>
  <c r="AC193" i="13" s="1"/>
  <c r="BK14" i="7"/>
  <c r="Z14" i="9"/>
  <c r="Z112" i="12"/>
  <c r="Z110" i="12" s="1"/>
  <c r="Z170" i="14"/>
  <c r="Z170" i="16"/>
  <c r="Z196" i="13"/>
  <c r="Z195" i="13" s="1"/>
  <c r="Z193" i="13" s="1"/>
  <c r="AM14" i="13"/>
  <c r="AM110" i="9"/>
  <c r="AM145" i="8"/>
  <c r="AM110" i="8" s="1"/>
  <c r="AM145" i="6"/>
  <c r="AM145" i="14"/>
  <c r="AM112" i="16"/>
  <c r="AM110" i="16" s="1"/>
  <c r="AL63" i="16"/>
  <c r="AL14" i="15"/>
  <c r="AL170" i="14"/>
  <c r="AL90" i="13"/>
  <c r="AL63" i="13" s="1"/>
  <c r="AL110" i="11"/>
  <c r="AL112" i="10"/>
  <c r="AL145" i="9"/>
  <c r="AM14" i="6"/>
  <c r="BQ12" i="15"/>
  <c r="BQ12" i="13"/>
  <c r="BQ12" i="10"/>
  <c r="M60" i="5"/>
  <c r="AC90" i="5"/>
  <c r="AC63" i="5" s="1"/>
  <c r="F54" i="5"/>
  <c r="BQ17" i="6"/>
  <c r="G41" i="20" s="1"/>
  <c r="AC90" i="6"/>
  <c r="AC63" i="6" s="1"/>
  <c r="AI129" i="9"/>
  <c r="AH129" i="9"/>
  <c r="AH166" i="10"/>
  <c r="AJ166" i="10"/>
  <c r="AI166" i="10"/>
  <c r="AH38" i="10"/>
  <c r="AJ38" i="10"/>
  <c r="AI38" i="10"/>
  <c r="AI217" i="11"/>
  <c r="AH217" i="11"/>
  <c r="AI213" i="11"/>
  <c r="AH19" i="13"/>
  <c r="AI19" i="13"/>
  <c r="AG161" i="7"/>
  <c r="AD75" i="7"/>
  <c r="AB69" i="7"/>
  <c r="AB65" i="7" s="1"/>
  <c r="V179" i="8"/>
  <c r="V179" i="9" s="1"/>
  <c r="V179" i="10" s="1"/>
  <c r="V179" i="11" s="1"/>
  <c r="V179" i="12" s="1"/>
  <c r="V179" i="13" s="1"/>
  <c r="V179" i="14" s="1"/>
  <c r="V179" i="15" s="1"/>
  <c r="V179" i="16" s="1"/>
  <c r="X179" i="16" s="1"/>
  <c r="X179" i="7"/>
  <c r="V135" i="8"/>
  <c r="V123" i="7"/>
  <c r="X135" i="7"/>
  <c r="AC110" i="13"/>
  <c r="AC170" i="9"/>
  <c r="BK14" i="15"/>
  <c r="P54" i="20"/>
  <c r="BK14" i="16"/>
  <c r="Q54" i="20"/>
  <c r="Z63" i="11"/>
  <c r="Z12" i="11" s="1"/>
  <c r="AM14" i="12"/>
  <c r="AM63" i="16"/>
  <c r="AM14" i="11"/>
  <c r="AL90" i="5"/>
  <c r="AL63" i="5" s="1"/>
  <c r="Q28" i="14"/>
  <c r="R35" i="20"/>
  <c r="X172" i="5"/>
  <c r="Z43" i="6"/>
  <c r="Z14" i="6" s="1"/>
  <c r="AI164" i="9"/>
  <c r="AH164" i="9"/>
  <c r="AI127" i="7"/>
  <c r="AH127" i="7"/>
  <c r="AJ127" i="7"/>
  <c r="AH216" i="11"/>
  <c r="AH40" i="13"/>
  <c r="AI40" i="13"/>
  <c r="AD216" i="7"/>
  <c r="AB211" i="7"/>
  <c r="AB210" i="7" s="1"/>
  <c r="AB209" i="7" s="1"/>
  <c r="Y161" i="8"/>
  <c r="AA161" i="8" s="1"/>
  <c r="Y161" i="9" s="1"/>
  <c r="AA161" i="9" s="1"/>
  <c r="AH161" i="7"/>
  <c r="V178" i="8"/>
  <c r="V178" i="9" s="1"/>
  <c r="X178" i="7"/>
  <c r="V73" i="8"/>
  <c r="V69" i="7"/>
  <c r="V65" i="7" s="1"/>
  <c r="BQ15" i="16"/>
  <c r="BK10" i="16" s="1"/>
  <c r="Q40" i="20"/>
  <c r="Q39" i="20" s="1"/>
  <c r="AV11" i="7"/>
  <c r="BK13" i="7"/>
  <c r="H53" i="20"/>
  <c r="BK15" i="15"/>
  <c r="BK15" i="11"/>
  <c r="BK15" i="14"/>
  <c r="O55" i="20"/>
  <c r="BQ22" i="14"/>
  <c r="BK11" i="14" s="1"/>
  <c r="O48" i="20"/>
  <c r="O46" i="20" s="1"/>
  <c r="BK9" i="10"/>
  <c r="BK9" i="11"/>
  <c r="L38" i="20"/>
  <c r="BK9" i="15"/>
  <c r="AF170" i="12"/>
  <c r="BQ24" i="12" s="1"/>
  <c r="M48" i="20" s="1"/>
  <c r="J50" i="20"/>
  <c r="AC14" i="11"/>
  <c r="AC43" i="8"/>
  <c r="AC14" i="8" s="1"/>
  <c r="AC90" i="14"/>
  <c r="AC63" i="14" s="1"/>
  <c r="N40" i="20"/>
  <c r="AF170" i="15"/>
  <c r="BQ24" i="15" s="1"/>
  <c r="AF170" i="9"/>
  <c r="BQ24" i="9" s="1"/>
  <c r="J54" i="20"/>
  <c r="Z43" i="13"/>
  <c r="Z14" i="13" s="1"/>
  <c r="Z12" i="13" s="1"/>
  <c r="Z63" i="14"/>
  <c r="Z63" i="16"/>
  <c r="Z145" i="11"/>
  <c r="Z110" i="11" s="1"/>
  <c r="Z170" i="15"/>
  <c r="AM43" i="5"/>
  <c r="AM63" i="8"/>
  <c r="AM12" i="8" s="1"/>
  <c r="AM10" i="8" s="1"/>
  <c r="AM8" i="8" s="1"/>
  <c r="AM63" i="14"/>
  <c r="AM12" i="14" s="1"/>
  <c r="AL220" i="15"/>
  <c r="AL43" i="11"/>
  <c r="AL14" i="11" s="1"/>
  <c r="AL63" i="10"/>
  <c r="AL14" i="8"/>
  <c r="AL14" i="7"/>
  <c r="AL43" i="6"/>
  <c r="AL14" i="6" s="1"/>
  <c r="B24" i="7"/>
  <c r="K128" i="7" s="1"/>
  <c r="BE21" i="6"/>
  <c r="G25" i="20" s="1"/>
  <c r="P128" i="6"/>
  <c r="Q128" i="6"/>
  <c r="K128" i="6"/>
  <c r="BE21" i="5"/>
  <c r="F25" i="20" s="1"/>
  <c r="Q28" i="12"/>
  <c r="Q21" i="12" s="1"/>
  <c r="Q19" i="12" s="1"/>
  <c r="Q17" i="12" s="1"/>
  <c r="Q28" i="13"/>
  <c r="Q21" i="13" s="1"/>
  <c r="Q19" i="13" s="1"/>
  <c r="Q17" i="13" s="1"/>
  <c r="Q8" i="13" s="1"/>
  <c r="AF90" i="8"/>
  <c r="AF63" i="8" s="1"/>
  <c r="AF12" i="8" s="1"/>
  <c r="F75" i="5"/>
  <c r="Z196" i="6"/>
  <c r="Z195" i="6" s="1"/>
  <c r="Z193" i="6" s="1"/>
  <c r="X135" i="8"/>
  <c r="AI135" i="8" s="1"/>
  <c r="AH115" i="10"/>
  <c r="AI115" i="10"/>
  <c r="AH223" i="11"/>
  <c r="AH215" i="11"/>
  <c r="AH31" i="11"/>
  <c r="AJ31" i="11"/>
  <c r="AI31" i="11"/>
  <c r="AG80" i="7"/>
  <c r="AJ80" i="7" s="1"/>
  <c r="V238" i="8"/>
  <c r="X238" i="7"/>
  <c r="X235" i="7" s="1"/>
  <c r="X234" i="7" s="1"/>
  <c r="V229" i="8"/>
  <c r="V229" i="9" s="1"/>
  <c r="V229" i="10" s="1"/>
  <c r="V229" i="11" s="1"/>
  <c r="V229" i="12" s="1"/>
  <c r="V229" i="13" s="1"/>
  <c r="V229" i="14" s="1"/>
  <c r="V229" i="15" s="1"/>
  <c r="V229" i="16" s="1"/>
  <c r="X229" i="7"/>
  <c r="V207" i="8"/>
  <c r="V207" i="9" s="1"/>
  <c r="V207" i="10" s="1"/>
  <c r="V207" i="11" s="1"/>
  <c r="V207" i="12" s="1"/>
  <c r="X207" i="12" s="1"/>
  <c r="X207" i="7"/>
  <c r="AJ207" i="7" s="1"/>
  <c r="V188" i="8"/>
  <c r="X188" i="8" s="1"/>
  <c r="V187" i="7"/>
  <c r="V185" i="7" s="1"/>
  <c r="V177" i="8"/>
  <c r="V176" i="7"/>
  <c r="X177" i="7"/>
  <c r="AF14" i="7"/>
  <c r="AD196" i="7"/>
  <c r="X188" i="7"/>
  <c r="AI188" i="7" s="1"/>
  <c r="X73" i="7"/>
  <c r="X189" i="10"/>
  <c r="AH189" i="10" s="1"/>
  <c r="X186" i="11"/>
  <c r="AI186" i="11" s="1"/>
  <c r="X189" i="12"/>
  <c r="AH189" i="12" s="1"/>
  <c r="U222" i="13"/>
  <c r="U123" i="13"/>
  <c r="AJ173" i="13"/>
  <c r="X186" i="13"/>
  <c r="U141" i="14"/>
  <c r="C69" i="14"/>
  <c r="AI156" i="14"/>
  <c r="X186" i="14"/>
  <c r="AH186" i="14" s="1"/>
  <c r="U58" i="15"/>
  <c r="U57" i="15" s="1"/>
  <c r="AI19" i="15"/>
  <c r="U222" i="15"/>
  <c r="U220" i="15" s="1"/>
  <c r="X189" i="15"/>
  <c r="AH189" i="15" s="1"/>
  <c r="J41" i="6"/>
  <c r="L41" i="6" s="1"/>
  <c r="AX14" i="5"/>
  <c r="K10" i="7"/>
  <c r="F110" i="12"/>
  <c r="D110" i="13"/>
  <c r="N108" i="11"/>
  <c r="M108" i="11"/>
  <c r="F95" i="12"/>
  <c r="D95" i="13"/>
  <c r="D94" i="12"/>
  <c r="N107" i="11"/>
  <c r="M107" i="11"/>
  <c r="N102" i="11"/>
  <c r="M102" i="11"/>
  <c r="N91" i="12"/>
  <c r="M91" i="12"/>
  <c r="D96" i="13"/>
  <c r="F96" i="12"/>
  <c r="D98" i="13"/>
  <c r="F98" i="12"/>
  <c r="I95" i="9"/>
  <c r="G94" i="9"/>
  <c r="D105" i="13"/>
  <c r="F105" i="12"/>
  <c r="D104" i="12"/>
  <c r="N109" i="12"/>
  <c r="M109" i="12"/>
  <c r="N87" i="12"/>
  <c r="M87" i="12"/>
  <c r="F97" i="14"/>
  <c r="D97" i="15"/>
  <c r="X186" i="9"/>
  <c r="C25" i="9"/>
  <c r="AF170" i="7"/>
  <c r="BQ24" i="7" s="1"/>
  <c r="H48" i="20" s="1"/>
  <c r="AC90" i="7"/>
  <c r="Z196" i="7"/>
  <c r="Z195" i="7" s="1"/>
  <c r="Z193" i="7" s="1"/>
  <c r="X186" i="7"/>
  <c r="C78" i="7"/>
  <c r="X74" i="10"/>
  <c r="X179" i="11"/>
  <c r="X74" i="14"/>
  <c r="AI74" i="14" s="1"/>
  <c r="BD17" i="5"/>
  <c r="AW14" i="5"/>
  <c r="F108" i="12"/>
  <c r="D108" i="13"/>
  <c r="D88" i="13"/>
  <c r="F88" i="12"/>
  <c r="BC18" i="11"/>
  <c r="F94" i="11"/>
  <c r="J95" i="10"/>
  <c r="L94" i="9"/>
  <c r="N95" i="9"/>
  <c r="N94" i="9" s="1"/>
  <c r="N90" i="12"/>
  <c r="M90" i="12"/>
  <c r="E105" i="13"/>
  <c r="E104" i="12"/>
  <c r="M89" i="13"/>
  <c r="N89" i="13"/>
  <c r="BC19" i="11"/>
  <c r="F104" i="11"/>
  <c r="D109" i="14"/>
  <c r="F109" i="13"/>
  <c r="V220" i="7"/>
  <c r="X186" i="10"/>
  <c r="X189" i="11"/>
  <c r="X74" i="11"/>
  <c r="AI74" i="11" s="1"/>
  <c r="X74" i="12"/>
  <c r="AJ74" i="12" s="1"/>
  <c r="U58" i="13"/>
  <c r="U57" i="13" s="1"/>
  <c r="X189" i="13"/>
  <c r="AI189" i="13" s="1"/>
  <c r="U69" i="14"/>
  <c r="U65" i="14" s="1"/>
  <c r="C60" i="14"/>
  <c r="AI200" i="14"/>
  <c r="AI161" i="14"/>
  <c r="X189" i="14"/>
  <c r="U157" i="15"/>
  <c r="U155" i="15" s="1"/>
  <c r="U35" i="15"/>
  <c r="AI47" i="15"/>
  <c r="X186" i="15"/>
  <c r="AH186" i="15" s="1"/>
  <c r="L12" i="6"/>
  <c r="E95" i="14"/>
  <c r="E94" i="13"/>
  <c r="M86" i="11"/>
  <c r="F85" i="11"/>
  <c r="I105" i="9"/>
  <c r="G104" i="9"/>
  <c r="F106" i="13"/>
  <c r="D106" i="14"/>
  <c r="M92" i="11"/>
  <c r="N92" i="11"/>
  <c r="E86" i="13"/>
  <c r="E85" i="12"/>
  <c r="D90" i="14"/>
  <c r="F90" i="13"/>
  <c r="F99" i="12"/>
  <c r="D99" i="13"/>
  <c r="L105" i="9"/>
  <c r="J104" i="9"/>
  <c r="F89" i="14"/>
  <c r="D89" i="15"/>
  <c r="M101" i="13"/>
  <c r="N101" i="13"/>
  <c r="N111" i="11"/>
  <c r="M111" i="11"/>
  <c r="L86" i="9"/>
  <c r="J85" i="9"/>
  <c r="N100" i="12"/>
  <c r="M100" i="12"/>
  <c r="X189" i="9"/>
  <c r="X74" i="9"/>
  <c r="AI74" i="9" s="1"/>
  <c r="X189" i="7"/>
  <c r="X74" i="7"/>
  <c r="AH74" i="7" s="1"/>
  <c r="C32" i="7"/>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X176" i="5"/>
  <c r="U157" i="11"/>
  <c r="U155" i="11" s="1"/>
  <c r="U145" i="11" s="1"/>
  <c r="U145" i="6"/>
  <c r="X149" i="5"/>
  <c r="X147" i="5" s="1"/>
  <c r="AJ132" i="6"/>
  <c r="AH132" i="6"/>
  <c r="AI132" i="6"/>
  <c r="AI124" i="13"/>
  <c r="X105" i="5"/>
  <c r="X104" i="5" s="1"/>
  <c r="U90" i="5"/>
  <c r="AH88" i="15"/>
  <c r="AH79" i="13"/>
  <c r="AJ79" i="13"/>
  <c r="X69" i="6"/>
  <c r="AI36" i="11"/>
  <c r="AH36" i="11"/>
  <c r="AH21" i="6"/>
  <c r="AJ21" i="6"/>
  <c r="AI21" i="6"/>
  <c r="C72" i="14"/>
  <c r="F72" i="5"/>
  <c r="C72" i="9"/>
  <c r="C72" i="7"/>
  <c r="M73" i="7"/>
  <c r="N73" i="7"/>
  <c r="BC17" i="5"/>
  <c r="F69" i="5"/>
  <c r="F42" i="5"/>
  <c r="AQ10" i="5" s="1"/>
  <c r="BC21" i="5"/>
  <c r="F22" i="5"/>
  <c r="AQ7" i="5" s="1"/>
  <c r="G24" i="6"/>
  <c r="BD21" i="5"/>
  <c r="C25" i="15"/>
  <c r="C25" i="7"/>
  <c r="L27" i="6"/>
  <c r="J128" i="6"/>
  <c r="G27" i="6"/>
  <c r="G88" i="10"/>
  <c r="M88" i="9"/>
  <c r="M85" i="9" s="1"/>
  <c r="I85" i="9"/>
  <c r="F27" i="6"/>
  <c r="C128" i="6"/>
  <c r="C25" i="10"/>
  <c r="C25" i="8"/>
  <c r="AV11" i="5"/>
  <c r="BE10" i="14"/>
  <c r="BE9" i="14" s="1"/>
  <c r="BE8" i="14" s="1"/>
  <c r="L10" i="20"/>
  <c r="L9" i="20" s="1"/>
  <c r="I10" i="20"/>
  <c r="I9" i="20" s="1"/>
  <c r="P28" i="16"/>
  <c r="H28" i="16"/>
  <c r="K28" i="15"/>
  <c r="K21" i="15" s="1"/>
  <c r="K19" i="15" s="1"/>
  <c r="K17" i="15" s="1"/>
  <c r="K8" i="15" s="1"/>
  <c r="P28" i="15"/>
  <c r="P21" i="15" s="1"/>
  <c r="P19" i="15" s="1"/>
  <c r="P17" i="15" s="1"/>
  <c r="P8" i="15" s="1"/>
  <c r="H28" i="15"/>
  <c r="Q21" i="15"/>
  <c r="Q19" i="15" s="1"/>
  <c r="Q17" i="15" s="1"/>
  <c r="Q8" i="15" s="1"/>
  <c r="K28" i="14"/>
  <c r="P28" i="14"/>
  <c r="P21" i="14" s="1"/>
  <c r="P19" i="14" s="1"/>
  <c r="P17" i="14" s="1"/>
  <c r="P8" i="14" s="1"/>
  <c r="H28" i="14"/>
  <c r="H21" i="14" s="1"/>
  <c r="H19" i="14" s="1"/>
  <c r="H17" i="14" s="1"/>
  <c r="H8" i="14" s="1"/>
  <c r="K21" i="13"/>
  <c r="K19" i="13" s="1"/>
  <c r="K17" i="13" s="1"/>
  <c r="K8" i="13" s="1"/>
  <c r="P21" i="13"/>
  <c r="P19" i="13" s="1"/>
  <c r="P17" i="13" s="1"/>
  <c r="P8" i="13" s="1"/>
  <c r="H28" i="13"/>
  <c r="H21" i="13" s="1"/>
  <c r="H19" i="13" s="1"/>
  <c r="H17" i="13" s="1"/>
  <c r="H8" i="13" s="1"/>
  <c r="BF20" i="13"/>
  <c r="BF20" i="16" s="1"/>
  <c r="BF19" i="13"/>
  <c r="BF19" i="16" s="1"/>
  <c r="R23" i="20"/>
  <c r="H28" i="12"/>
  <c r="H21" i="12" s="1"/>
  <c r="H19" i="12" s="1"/>
  <c r="P28" i="12"/>
  <c r="P21" i="12" s="1"/>
  <c r="P19" i="12" s="1"/>
  <c r="P17" i="12" s="1"/>
  <c r="P8" i="12" s="1"/>
  <c r="M10" i="20"/>
  <c r="M9" i="20" s="1"/>
  <c r="K28" i="12"/>
  <c r="K21" i="12" s="1"/>
  <c r="K19" i="12" s="1"/>
  <c r="K17" i="12" s="1"/>
  <c r="K8" i="12" s="1"/>
  <c r="K21" i="11"/>
  <c r="Q28" i="11"/>
  <c r="Q21" i="11" s="1"/>
  <c r="Q19" i="11" s="1"/>
  <c r="Q17" i="11" s="1"/>
  <c r="Q8" i="11" s="1"/>
  <c r="BE10" i="11"/>
  <c r="BE9" i="11" s="1"/>
  <c r="BE8" i="11" s="1"/>
  <c r="H28" i="11"/>
  <c r="H21" i="11" s="1"/>
  <c r="H19" i="11" s="1"/>
  <c r="H17" i="11" s="1"/>
  <c r="H8" i="11" s="1"/>
  <c r="P28" i="11"/>
  <c r="P21" i="11" s="1"/>
  <c r="P19" i="11" s="1"/>
  <c r="P17" i="11" s="1"/>
  <c r="P8" i="11" s="1"/>
  <c r="H28" i="10"/>
  <c r="P28" i="10"/>
  <c r="P21" i="10" s="1"/>
  <c r="P19" i="10" s="1"/>
  <c r="P17" i="10" s="1"/>
  <c r="P8" i="10" s="1"/>
  <c r="J23" i="15"/>
  <c r="L23" i="15" s="1"/>
  <c r="J23" i="16" s="1"/>
  <c r="L23" i="16" s="1"/>
  <c r="H28" i="9"/>
  <c r="H21" i="9" s="1"/>
  <c r="H19" i="9" s="1"/>
  <c r="H17" i="9" s="1"/>
  <c r="G73" i="16"/>
  <c r="I73" i="16" s="1"/>
  <c r="G61" i="10"/>
  <c r="I61" i="10" s="1"/>
  <c r="G50" i="10"/>
  <c r="I48" i="9"/>
  <c r="I44" i="11"/>
  <c r="M44" i="11" s="1"/>
  <c r="G42" i="11"/>
  <c r="E82" i="10"/>
  <c r="E82" i="11" s="1"/>
  <c r="E82" i="12" s="1"/>
  <c r="E82" i="13" s="1"/>
  <c r="E82" i="14" s="1"/>
  <c r="E82" i="15" s="1"/>
  <c r="E82" i="16" s="1"/>
  <c r="F82" i="16" s="1"/>
  <c r="F82" i="9"/>
  <c r="E37" i="10"/>
  <c r="E35" i="9"/>
  <c r="E31" i="13"/>
  <c r="J37" i="10"/>
  <c r="L31" i="10"/>
  <c r="BF18" i="10"/>
  <c r="BF18" i="13" s="1"/>
  <c r="BF18" i="16" s="1"/>
  <c r="K28" i="9"/>
  <c r="K21" i="9" s="1"/>
  <c r="K19" i="9" s="1"/>
  <c r="K17" i="9" s="1"/>
  <c r="Q28" i="9"/>
  <c r="Q21" i="9" s="1"/>
  <c r="Q19" i="9" s="1"/>
  <c r="Q17" i="9" s="1"/>
  <c r="Q8" i="9" s="1"/>
  <c r="F58" i="9"/>
  <c r="F70" i="12"/>
  <c r="F58" i="12"/>
  <c r="F67" i="15"/>
  <c r="F55" i="15"/>
  <c r="F55" i="9"/>
  <c r="F67" i="12"/>
  <c r="F55" i="12"/>
  <c r="F70" i="15"/>
  <c r="F58" i="15"/>
  <c r="F55" i="16"/>
  <c r="N55" i="16" s="1"/>
  <c r="F70" i="10"/>
  <c r="F58" i="10"/>
  <c r="F70" i="11"/>
  <c r="F58" i="11"/>
  <c r="F67" i="13"/>
  <c r="M67" i="13" s="1"/>
  <c r="F55" i="13"/>
  <c r="F67" i="14"/>
  <c r="N67" i="14" s="1"/>
  <c r="F55" i="14"/>
  <c r="H28" i="8"/>
  <c r="H21" i="8" s="1"/>
  <c r="H19" i="8" s="1"/>
  <c r="H17" i="8" s="1"/>
  <c r="H8" i="8" s="1"/>
  <c r="P28" i="8"/>
  <c r="P21" i="8" s="1"/>
  <c r="P19" i="8" s="1"/>
  <c r="P17" i="8" s="1"/>
  <c r="J77" i="8"/>
  <c r="L75" i="7"/>
  <c r="E83" i="8"/>
  <c r="E81" i="7"/>
  <c r="F83" i="7"/>
  <c r="E71" i="8"/>
  <c r="E69" i="7"/>
  <c r="E59" i="8"/>
  <c r="E57" i="7"/>
  <c r="E33" i="9"/>
  <c r="F33" i="9" s="1"/>
  <c r="E32" i="8"/>
  <c r="E28" i="8" s="1"/>
  <c r="D37" i="8"/>
  <c r="F37" i="8" s="1"/>
  <c r="J83" i="8"/>
  <c r="L81" i="7"/>
  <c r="J65" i="8"/>
  <c r="L63" i="7"/>
  <c r="J59" i="8"/>
  <c r="L57" i="7"/>
  <c r="J53" i="8"/>
  <c r="L51" i="7"/>
  <c r="J47" i="8"/>
  <c r="L45" i="7"/>
  <c r="J33" i="8"/>
  <c r="L32" i="7"/>
  <c r="I80" i="8"/>
  <c r="G80" i="9" s="1"/>
  <c r="G78" i="8"/>
  <c r="I78" i="8" s="1"/>
  <c r="G74" i="8"/>
  <c r="I72" i="7"/>
  <c r="G68" i="8"/>
  <c r="I66" i="7"/>
  <c r="G62" i="8"/>
  <c r="I60" i="7"/>
  <c r="G52" i="8"/>
  <c r="I51" i="7"/>
  <c r="M52" i="7"/>
  <c r="G46" i="8"/>
  <c r="I45" i="7"/>
  <c r="G37" i="8"/>
  <c r="I35" i="7"/>
  <c r="E14" i="8"/>
  <c r="F14" i="8" s="1"/>
  <c r="M14" i="8" s="1"/>
  <c r="E10" i="7"/>
  <c r="D68" i="8"/>
  <c r="F68" i="8" s="1"/>
  <c r="D66" i="7"/>
  <c r="D56" i="8"/>
  <c r="F56" i="8" s="1"/>
  <c r="D54" i="7"/>
  <c r="D13" i="8"/>
  <c r="BD15" i="7"/>
  <c r="J71" i="8"/>
  <c r="L69" i="7"/>
  <c r="J26" i="8"/>
  <c r="E77" i="8"/>
  <c r="E75" i="7"/>
  <c r="E65" i="8"/>
  <c r="F65" i="8" s="1"/>
  <c r="E63" i="7"/>
  <c r="E53" i="8"/>
  <c r="F53" i="8" s="1"/>
  <c r="M53" i="8" s="1"/>
  <c r="E51" i="7"/>
  <c r="F53" i="7"/>
  <c r="E47" i="8"/>
  <c r="F47" i="8" s="1"/>
  <c r="M47" i="8" s="1"/>
  <c r="E45" i="7"/>
  <c r="E26" i="8"/>
  <c r="E25" i="7"/>
  <c r="D31" i="8"/>
  <c r="F31" i="8" s="1"/>
  <c r="AX9" i="7"/>
  <c r="E32" i="7"/>
  <c r="E28" i="7" s="1"/>
  <c r="H14" i="20"/>
  <c r="H10" i="20" s="1"/>
  <c r="H9" i="20" s="1"/>
  <c r="BF14" i="7"/>
  <c r="BF14" i="10" s="1"/>
  <c r="BF14" i="13" s="1"/>
  <c r="BF14" i="16" s="1"/>
  <c r="Q28" i="7"/>
  <c r="Q21" i="7" s="1"/>
  <c r="Q19" i="7" s="1"/>
  <c r="Q17" i="7" s="1"/>
  <c r="Q8" i="7" s="1"/>
  <c r="F71" i="7"/>
  <c r="F65" i="7"/>
  <c r="N65" i="7" s="1"/>
  <c r="F59" i="7"/>
  <c r="R16" i="20"/>
  <c r="H28" i="7"/>
  <c r="H21" i="7" s="1"/>
  <c r="H19" i="7" s="1"/>
  <c r="H17" i="7" s="1"/>
  <c r="F47" i="7"/>
  <c r="F33" i="7"/>
  <c r="F26" i="7"/>
  <c r="F14" i="7"/>
  <c r="M14" i="7" s="1"/>
  <c r="F68" i="7"/>
  <c r="N68" i="7" s="1"/>
  <c r="F56" i="7"/>
  <c r="N56" i="7" s="1"/>
  <c r="F37" i="7"/>
  <c r="F31" i="7"/>
  <c r="F13" i="7"/>
  <c r="P28" i="7"/>
  <c r="P21" i="7" s="1"/>
  <c r="P19" i="7" s="1"/>
  <c r="P17" i="7" s="1"/>
  <c r="P8" i="7" s="1"/>
  <c r="F77" i="7"/>
  <c r="M77" i="7" s="1"/>
  <c r="BF11" i="7"/>
  <c r="BF11" i="10" s="1"/>
  <c r="BF11" i="13" s="1"/>
  <c r="BF11" i="16" s="1"/>
  <c r="L14" i="6"/>
  <c r="J14" i="7" s="1"/>
  <c r="L14" i="7" s="1"/>
  <c r="J14" i="8" s="1"/>
  <c r="L14" i="8" s="1"/>
  <c r="J14" i="9" s="1"/>
  <c r="L14" i="9" s="1"/>
  <c r="D24" i="7"/>
  <c r="D128" i="6"/>
  <c r="J24" i="7"/>
  <c r="L15" i="6"/>
  <c r="J15" i="7" s="1"/>
  <c r="L15" i="7" s="1"/>
  <c r="E24" i="7"/>
  <c r="E128" i="6"/>
  <c r="P28" i="6"/>
  <c r="Q28" i="6"/>
  <c r="Q21" i="6" s="1"/>
  <c r="Q19" i="6" s="1"/>
  <c r="Q17" i="6" s="1"/>
  <c r="Q8" i="6" s="1"/>
  <c r="L13" i="6"/>
  <c r="N13" i="6" s="1"/>
  <c r="AQ13" i="9"/>
  <c r="AQ11" i="10"/>
  <c r="AQ13" i="11"/>
  <c r="AQ11" i="11"/>
  <c r="AV11" i="11" s="1"/>
  <c r="AQ13" i="8"/>
  <c r="AQ13" i="12"/>
  <c r="AZ12" i="6"/>
  <c r="AH223" i="9"/>
  <c r="AI143" i="9"/>
  <c r="AH143" i="9"/>
  <c r="AH251" i="6"/>
  <c r="AH95" i="8"/>
  <c r="AJ95" i="8"/>
  <c r="AI95" i="8"/>
  <c r="AB88" i="7"/>
  <c r="BP31" i="6"/>
  <c r="BJ15" i="6" s="1"/>
  <c r="AD83" i="6"/>
  <c r="AH161" i="6"/>
  <c r="AI161" i="6"/>
  <c r="AJ161" i="6"/>
  <c r="AH253" i="9"/>
  <c r="AI253" i="9"/>
  <c r="AI148" i="9"/>
  <c r="AJ148" i="9"/>
  <c r="AH148" i="9"/>
  <c r="BN18" i="9"/>
  <c r="AH139" i="10"/>
  <c r="AC14" i="6"/>
  <c r="Y90" i="8"/>
  <c r="BO22" i="6"/>
  <c r="BI11" i="6" s="1"/>
  <c r="AB90" i="6"/>
  <c r="AB63" i="6" s="1"/>
  <c r="AH190" i="8"/>
  <c r="AI190" i="8"/>
  <c r="AI24" i="15"/>
  <c r="AH24" i="15"/>
  <c r="Y237" i="7"/>
  <c r="AH237" i="6"/>
  <c r="AA235" i="6"/>
  <c r="AA234" i="6" s="1"/>
  <c r="AI225" i="9"/>
  <c r="AH225" i="9"/>
  <c r="AH138" i="9"/>
  <c r="AI138" i="9"/>
  <c r="AJ138" i="9"/>
  <c r="M70" i="9"/>
  <c r="AJ160" i="6"/>
  <c r="AH160" i="6"/>
  <c r="AI160" i="6"/>
  <c r="AH250" i="9"/>
  <c r="AI250" i="9"/>
  <c r="AH218" i="10"/>
  <c r="AI250" i="12"/>
  <c r="AH250" i="12"/>
  <c r="AE118" i="15"/>
  <c r="AG118" i="15" s="1"/>
  <c r="AE118" i="16" s="1"/>
  <c r="AG118" i="16" s="1"/>
  <c r="AH250" i="6"/>
  <c r="AI250" i="6"/>
  <c r="AJ250" i="6"/>
  <c r="AH136" i="6"/>
  <c r="AI136" i="6"/>
  <c r="AJ136" i="6"/>
  <c r="AH38" i="8"/>
  <c r="AI38" i="8"/>
  <c r="AJ38" i="8"/>
  <c r="AH119" i="10"/>
  <c r="AI119" i="10"/>
  <c r="AQ22" i="14"/>
  <c r="BN10" i="14"/>
  <c r="AJ66" i="14"/>
  <c r="U90" i="16"/>
  <c r="U63" i="16" s="1"/>
  <c r="AA220" i="7"/>
  <c r="BO30" i="7" s="1"/>
  <c r="AE81" i="15"/>
  <c r="AG81" i="15" s="1"/>
  <c r="AE81" i="16" s="1"/>
  <c r="AG81" i="16" s="1"/>
  <c r="AJ81" i="16" s="1"/>
  <c r="AM145" i="5"/>
  <c r="AH32" i="6"/>
  <c r="AI32" i="6"/>
  <c r="AJ32" i="6"/>
  <c r="AI139" i="8"/>
  <c r="AJ139" i="8"/>
  <c r="AH139" i="8"/>
  <c r="AJ137" i="9"/>
  <c r="AH137" i="9"/>
  <c r="AI137" i="9"/>
  <c r="AH41" i="9"/>
  <c r="AI41" i="9"/>
  <c r="AJ41" i="9"/>
  <c r="AH129" i="7"/>
  <c r="AI129" i="7"/>
  <c r="AJ129" i="7"/>
  <c r="AI95" i="10"/>
  <c r="AJ95" i="10"/>
  <c r="AI202" i="8"/>
  <c r="AH202" i="8"/>
  <c r="AJ139" i="9"/>
  <c r="AH139" i="9"/>
  <c r="AI139" i="9"/>
  <c r="AI204" i="7"/>
  <c r="AH204" i="7"/>
  <c r="M74" i="7"/>
  <c r="N74" i="7"/>
  <c r="AI248" i="12"/>
  <c r="AH248" i="12"/>
  <c r="AI249" i="9"/>
  <c r="AH249" i="9"/>
  <c r="AJ249" i="9"/>
  <c r="AI224" i="9"/>
  <c r="AH224" i="9"/>
  <c r="AH246" i="7"/>
  <c r="AI246" i="7"/>
  <c r="AH202" i="10"/>
  <c r="AI202" i="10"/>
  <c r="AH129" i="10"/>
  <c r="AI129" i="10"/>
  <c r="AH116" i="6"/>
  <c r="AI116" i="6"/>
  <c r="AJ116" i="6"/>
  <c r="AH251" i="9"/>
  <c r="AI251" i="9"/>
  <c r="AH38" i="9"/>
  <c r="AH77" i="7"/>
  <c r="AI77" i="7"/>
  <c r="AJ77" i="7"/>
  <c r="AI239" i="10"/>
  <c r="AH239" i="10"/>
  <c r="N55" i="10"/>
  <c r="AL43" i="5"/>
  <c r="AL14" i="5" s="1"/>
  <c r="AL12" i="5" s="1"/>
  <c r="AF43" i="5"/>
  <c r="M51" i="5"/>
  <c r="BP15" i="5"/>
  <c r="BJ10" i="5" s="1"/>
  <c r="AA196" i="5"/>
  <c r="Z63" i="5"/>
  <c r="X49" i="5"/>
  <c r="F57" i="5"/>
  <c r="U197" i="15"/>
  <c r="U123" i="15"/>
  <c r="C48" i="15"/>
  <c r="C10" i="15"/>
  <c r="Q128" i="5"/>
  <c r="D128" i="5"/>
  <c r="P128" i="5"/>
  <c r="K128" i="5"/>
  <c r="C128" i="5"/>
  <c r="J128" i="5"/>
  <c r="F128" i="5"/>
  <c r="I128" i="5"/>
  <c r="E128" i="5"/>
  <c r="L128" i="5"/>
  <c r="H128" i="5"/>
  <c r="G128" i="5"/>
  <c r="X96" i="5"/>
  <c r="X222" i="9"/>
  <c r="AB220" i="7"/>
  <c r="C72" i="15"/>
  <c r="AE90" i="5"/>
  <c r="AE63" i="5" s="1"/>
  <c r="W196" i="5"/>
  <c r="W195" i="5" s="1"/>
  <c r="W193" i="5" s="1"/>
  <c r="AJ222" i="5"/>
  <c r="AG220" i="5"/>
  <c r="N25" i="5"/>
  <c r="F48" i="5"/>
  <c r="Y90" i="6"/>
  <c r="V90" i="5"/>
  <c r="F25" i="5"/>
  <c r="AQ8" i="5" s="1"/>
  <c r="AV8" i="5" s="1"/>
  <c r="F75" i="6"/>
  <c r="AB196" i="7"/>
  <c r="AB195" i="7" s="1"/>
  <c r="X41" i="16"/>
  <c r="AI41" i="16" s="1"/>
  <c r="X31" i="16"/>
  <c r="X27" i="16"/>
  <c r="AI27" i="16" s="1"/>
  <c r="X18" i="16"/>
  <c r="X61" i="15"/>
  <c r="X22" i="15"/>
  <c r="X17" i="15"/>
  <c r="X202" i="16"/>
  <c r="AH202" i="16" s="1"/>
  <c r="X167" i="16"/>
  <c r="AH167" i="16" s="1"/>
  <c r="X67" i="16"/>
  <c r="X47" i="16"/>
  <c r="AH47" i="16" s="1"/>
  <c r="X17" i="16"/>
  <c r="AI17" i="16" s="1"/>
  <c r="G41" i="6"/>
  <c r="I41" i="6" s="1"/>
  <c r="X241" i="16"/>
  <c r="AH241" i="16" s="1"/>
  <c r="X166" i="16"/>
  <c r="AH166" i="16" s="1"/>
  <c r="X41" i="15"/>
  <c r="X31" i="15"/>
  <c r="X27" i="15"/>
  <c r="AI27" i="15" s="1"/>
  <c r="X95" i="16"/>
  <c r="X88" i="16"/>
  <c r="AH88" i="16" s="1"/>
  <c r="X84" i="16"/>
  <c r="X54" i="16"/>
  <c r="AH54" i="16" s="1"/>
  <c r="AE131" i="15"/>
  <c r="AG131" i="15" s="1"/>
  <c r="AJ131" i="15" s="1"/>
  <c r="AJ131" i="14"/>
  <c r="AE88" i="15"/>
  <c r="AG88" i="15" s="1"/>
  <c r="AJ88" i="14"/>
  <c r="AE72" i="16"/>
  <c r="AG72" i="16" s="1"/>
  <c r="AB253" i="16"/>
  <c r="AD253" i="16" s="1"/>
  <c r="AI253" i="15"/>
  <c r="M71" i="6"/>
  <c r="N71" i="6"/>
  <c r="AI249" i="8"/>
  <c r="AJ249" i="8"/>
  <c r="AH249" i="8"/>
  <c r="AH117" i="8"/>
  <c r="AI117" i="8"/>
  <c r="AJ117" i="8"/>
  <c r="AI93" i="8"/>
  <c r="AJ93" i="8"/>
  <c r="AH93" i="8"/>
  <c r="AI230" i="16"/>
  <c r="AH255" i="6"/>
  <c r="AI255" i="6"/>
  <c r="AJ255" i="6"/>
  <c r="AI158" i="6"/>
  <c r="M70" i="6"/>
  <c r="N70" i="6"/>
  <c r="F69" i="6"/>
  <c r="AH166" i="8"/>
  <c r="AH131" i="8"/>
  <c r="AI131" i="8"/>
  <c r="AJ131" i="8"/>
  <c r="AH50" i="8"/>
  <c r="AJ50" i="8"/>
  <c r="AI225" i="6"/>
  <c r="AJ225" i="6"/>
  <c r="AH225" i="6"/>
  <c r="N74" i="6"/>
  <c r="M74" i="6"/>
  <c r="M68" i="6"/>
  <c r="N68" i="6"/>
  <c r="AH224" i="8"/>
  <c r="AI224" i="8"/>
  <c r="AH150" i="8"/>
  <c r="AI150" i="8"/>
  <c r="AJ150" i="8"/>
  <c r="X227" i="6"/>
  <c r="AI230" i="6"/>
  <c r="AJ230" i="6"/>
  <c r="AH230" i="6"/>
  <c r="M73" i="6"/>
  <c r="N73" i="6"/>
  <c r="F72" i="6"/>
  <c r="AI47" i="8"/>
  <c r="AH47" i="8"/>
  <c r="M50" i="8"/>
  <c r="N50" i="8"/>
  <c r="AF220" i="6"/>
  <c r="BQ30" i="6" s="1"/>
  <c r="BK14" i="6" s="1"/>
  <c r="AA43" i="6"/>
  <c r="AI131" i="7"/>
  <c r="AJ131" i="7"/>
  <c r="AH131" i="7"/>
  <c r="AH79" i="7"/>
  <c r="AI79" i="7"/>
  <c r="AJ79" i="7"/>
  <c r="AJ73" i="7"/>
  <c r="AJ66" i="7"/>
  <c r="N70" i="7"/>
  <c r="M70" i="7"/>
  <c r="AH224" i="10"/>
  <c r="AI224" i="10"/>
  <c r="AH79" i="11"/>
  <c r="AJ79" i="11"/>
  <c r="AH38" i="11"/>
  <c r="AJ38" i="11"/>
  <c r="AI38" i="11"/>
  <c r="AJ100" i="12"/>
  <c r="AH88" i="14"/>
  <c r="V134" i="11"/>
  <c r="X134" i="11" s="1"/>
  <c r="C28" i="6"/>
  <c r="AF170" i="6"/>
  <c r="BQ24" i="6" s="1"/>
  <c r="AH119" i="7"/>
  <c r="AI119" i="7"/>
  <c r="AJ119" i="7"/>
  <c r="AH167" i="11"/>
  <c r="AJ167" i="11"/>
  <c r="AI148" i="11"/>
  <c r="AJ84" i="11"/>
  <c r="AI84" i="11"/>
  <c r="AI173" i="12"/>
  <c r="AJ173" i="12"/>
  <c r="AI68" i="14"/>
  <c r="AI70" i="15"/>
  <c r="AD50" i="7"/>
  <c r="AB49" i="7"/>
  <c r="AA159" i="7"/>
  <c r="Y157" i="7"/>
  <c r="Y155" i="7" s="1"/>
  <c r="Y145" i="7" s="1"/>
  <c r="AB196" i="6"/>
  <c r="AB195" i="6" s="1"/>
  <c r="AB193" i="6" s="1"/>
  <c r="AI87" i="7"/>
  <c r="AH87" i="7"/>
  <c r="AI47" i="10"/>
  <c r="AH47" i="10"/>
  <c r="AI31" i="10"/>
  <c r="AH31" i="10"/>
  <c r="AJ31" i="10"/>
  <c r="AD107" i="7"/>
  <c r="AI107" i="7" s="1"/>
  <c r="AB105" i="7"/>
  <c r="AB104" i="7" s="1"/>
  <c r="AA133" i="7"/>
  <c r="Y123" i="7"/>
  <c r="Y112" i="7" s="1"/>
  <c r="V225" i="11"/>
  <c r="X225" i="11" s="1"/>
  <c r="V222" i="10"/>
  <c r="AB220" i="6"/>
  <c r="Z220" i="6"/>
  <c r="AI121" i="7"/>
  <c r="AJ121" i="7"/>
  <c r="AH121" i="7"/>
  <c r="AH182" i="11"/>
  <c r="AI182" i="11"/>
  <c r="AH23" i="11"/>
  <c r="I56" i="7"/>
  <c r="V245" i="8"/>
  <c r="X245" i="8" s="1"/>
  <c r="X245" i="7"/>
  <c r="C78" i="15"/>
  <c r="X225" i="10"/>
  <c r="W220" i="10"/>
  <c r="X134" i="10"/>
  <c r="AH134" i="10" s="1"/>
  <c r="W220" i="9"/>
  <c r="U196" i="10"/>
  <c r="U195" i="10" s="1"/>
  <c r="U193" i="10" s="1"/>
  <c r="U211" i="14"/>
  <c r="U210" i="14" s="1"/>
  <c r="U209" i="14" s="1"/>
  <c r="U172" i="14"/>
  <c r="AQ11" i="9"/>
  <c r="AY11" i="9" s="1"/>
  <c r="AQ11" i="8"/>
  <c r="AZ11" i="8" s="1"/>
  <c r="AU11" i="7"/>
  <c r="AH254" i="6"/>
  <c r="AI254" i="6"/>
  <c r="AJ254" i="6"/>
  <c r="AH202" i="6"/>
  <c r="AI202" i="6"/>
  <c r="AJ202" i="6"/>
  <c r="N67" i="6"/>
  <c r="BN31" i="6"/>
  <c r="BH15" i="6" s="1"/>
  <c r="AH256" i="6"/>
  <c r="AI256" i="6"/>
  <c r="AJ256" i="6"/>
  <c r="M34" i="6"/>
  <c r="N34" i="6"/>
  <c r="AE139" i="15"/>
  <c r="AG139" i="15" s="1"/>
  <c r="AF195" i="6"/>
  <c r="AF193" i="6" s="1"/>
  <c r="BQ28" i="6"/>
  <c r="G52" i="20" s="1"/>
  <c r="G49" i="20" s="1"/>
  <c r="AH128" i="6"/>
  <c r="AI128" i="6"/>
  <c r="AJ128" i="6"/>
  <c r="AH68" i="6"/>
  <c r="AI68" i="6"/>
  <c r="AJ68" i="6"/>
  <c r="AH248" i="6"/>
  <c r="AI248" i="6"/>
  <c r="AJ248" i="6"/>
  <c r="AH156" i="6"/>
  <c r="AI156" i="6"/>
  <c r="AJ156" i="6"/>
  <c r="F10" i="6"/>
  <c r="M14" i="6"/>
  <c r="AY12" i="10"/>
  <c r="AY12" i="7"/>
  <c r="AL170" i="5"/>
  <c r="W220" i="5"/>
  <c r="W170" i="5"/>
  <c r="V220" i="5"/>
  <c r="AG43" i="5"/>
  <c r="AG14" i="5" s="1"/>
  <c r="N81" i="5"/>
  <c r="N66" i="5"/>
  <c r="AA220" i="5"/>
  <c r="BO30" i="5" s="1"/>
  <c r="BI14" i="5" s="1"/>
  <c r="BO17" i="5"/>
  <c r="BO15" i="5" s="1"/>
  <c r="BI10" i="5" s="1"/>
  <c r="F66" i="5"/>
  <c r="AH30" i="9"/>
  <c r="AI30" i="9"/>
  <c r="AH128" i="7"/>
  <c r="AI128" i="7"/>
  <c r="AJ128" i="7"/>
  <c r="AI76" i="7"/>
  <c r="AJ76" i="7"/>
  <c r="AH76" i="7"/>
  <c r="AH253" i="10"/>
  <c r="AI253" i="10"/>
  <c r="AI241" i="10"/>
  <c r="AH241" i="10"/>
  <c r="AI121" i="10"/>
  <c r="AJ121" i="10"/>
  <c r="AH121" i="10"/>
  <c r="AJ79" i="10"/>
  <c r="BK9" i="5"/>
  <c r="F11" i="20"/>
  <c r="AM90" i="5"/>
  <c r="AM63" i="5" s="1"/>
  <c r="AE220" i="5"/>
  <c r="AF90" i="5"/>
  <c r="AF63" i="5" s="1"/>
  <c r="X227" i="5"/>
  <c r="AD112" i="6"/>
  <c r="AD43" i="6"/>
  <c r="AA170" i="8"/>
  <c r="BO24" i="8" s="1"/>
  <c r="BO22" i="8" s="1"/>
  <c r="BI11" i="8" s="1"/>
  <c r="M50" i="9"/>
  <c r="AI130" i="7"/>
  <c r="AJ130" i="7"/>
  <c r="AH130" i="7"/>
  <c r="AH78" i="7"/>
  <c r="AI78" i="7"/>
  <c r="AJ78" i="7"/>
  <c r="AH54" i="7"/>
  <c r="AI54" i="7"/>
  <c r="AJ54" i="7"/>
  <c r="M68" i="7"/>
  <c r="AH216" i="10"/>
  <c r="AH204" i="10"/>
  <c r="AI204" i="10"/>
  <c r="AI162" i="10"/>
  <c r="AJ117" i="10"/>
  <c r="AH117" i="10"/>
  <c r="AH52" i="10"/>
  <c r="AI52" i="10"/>
  <c r="U220" i="5"/>
  <c r="AI222" i="5"/>
  <c r="AF145" i="5"/>
  <c r="N48" i="5"/>
  <c r="X197" i="5"/>
  <c r="X187" i="5"/>
  <c r="X123" i="5"/>
  <c r="X83" i="5"/>
  <c r="F81" i="5"/>
  <c r="F63" i="5"/>
  <c r="F32" i="5"/>
  <c r="AA220" i="8"/>
  <c r="BO30" i="8" s="1"/>
  <c r="BI14" i="8" s="1"/>
  <c r="AH79" i="9"/>
  <c r="AJ79" i="9"/>
  <c r="AH132" i="7"/>
  <c r="AI132" i="7"/>
  <c r="AJ132" i="7"/>
  <c r="AI124" i="7"/>
  <c r="AI80" i="7"/>
  <c r="AH80" i="7"/>
  <c r="AI72" i="7"/>
  <c r="AJ72" i="7"/>
  <c r="AH72" i="7"/>
  <c r="AI41" i="7"/>
  <c r="AJ41" i="7"/>
  <c r="AH41" i="7"/>
  <c r="AH255" i="10"/>
  <c r="AI248" i="10"/>
  <c r="AH248" i="10"/>
  <c r="AH200" i="10"/>
  <c r="AI200" i="10"/>
  <c r="AJ100" i="10"/>
  <c r="AH77" i="10"/>
  <c r="AJ77" i="10"/>
  <c r="AI77" i="10"/>
  <c r="AY7" i="5"/>
  <c r="Y110" i="5"/>
  <c r="AE112" i="5"/>
  <c r="Y90" i="5"/>
  <c r="Y63" i="5" s="1"/>
  <c r="V196" i="5"/>
  <c r="V195" i="5" s="1"/>
  <c r="V193" i="5" s="1"/>
  <c r="AG145" i="5"/>
  <c r="N69" i="5"/>
  <c r="X141" i="5"/>
  <c r="BN20" i="5" s="1"/>
  <c r="X35" i="5"/>
  <c r="AG220" i="6"/>
  <c r="W220" i="6"/>
  <c r="AI116" i="9"/>
  <c r="AH116" i="9"/>
  <c r="AJ24" i="9"/>
  <c r="AH202" i="7"/>
  <c r="AI202" i="7"/>
  <c r="AI134" i="7"/>
  <c r="AJ134" i="7"/>
  <c r="AH134" i="7"/>
  <c r="AI126" i="7"/>
  <c r="AH126" i="7"/>
  <c r="AI74" i="7"/>
  <c r="AI61" i="7"/>
  <c r="AJ61" i="7"/>
  <c r="AH61" i="7"/>
  <c r="AH183" i="10"/>
  <c r="AI183" i="10"/>
  <c r="AJ164" i="10"/>
  <c r="AH164" i="10"/>
  <c r="AI164" i="10"/>
  <c r="AJ150" i="10"/>
  <c r="AJ137" i="10"/>
  <c r="AI137" i="10"/>
  <c r="AH137" i="10"/>
  <c r="AJ127" i="10"/>
  <c r="AJ25" i="10"/>
  <c r="AH25" i="10"/>
  <c r="AI25" i="10"/>
  <c r="W196" i="9"/>
  <c r="W195" i="9" s="1"/>
  <c r="W193" i="9" s="1"/>
  <c r="AB90" i="7"/>
  <c r="AH230" i="12"/>
  <c r="AI230" i="12"/>
  <c r="AI128" i="13"/>
  <c r="AH128" i="13"/>
  <c r="AH101" i="13"/>
  <c r="AI101" i="13"/>
  <c r="AI28" i="13"/>
  <c r="AH22" i="13"/>
  <c r="AG158" i="11"/>
  <c r="AA90" i="8"/>
  <c r="W170" i="8"/>
  <c r="AD220" i="7"/>
  <c r="AA90" i="7"/>
  <c r="W90" i="7"/>
  <c r="W63" i="7" s="1"/>
  <c r="AH30" i="13"/>
  <c r="U43" i="7"/>
  <c r="Y90" i="10"/>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112" i="16"/>
  <c r="U243" i="12"/>
  <c r="U176" i="12"/>
  <c r="U114" i="12"/>
  <c r="U112" i="12" s="1"/>
  <c r="C57" i="12"/>
  <c r="C35" i="12"/>
  <c r="C28" i="12" s="1"/>
  <c r="C10" i="12"/>
  <c r="U227" i="13"/>
  <c r="U220" i="13" s="1"/>
  <c r="U205" i="13"/>
  <c r="U176" i="13"/>
  <c r="U96" i="13"/>
  <c r="U35" i="13"/>
  <c r="C42" i="13"/>
  <c r="AJ168" i="13"/>
  <c r="AI240" i="13"/>
  <c r="U114" i="14"/>
  <c r="U83" i="14"/>
  <c r="U44" i="14"/>
  <c r="C10" i="14"/>
  <c r="AI70" i="14"/>
  <c r="U243" i="15"/>
  <c r="U49" i="15"/>
  <c r="U176" i="15"/>
  <c r="U149" i="12"/>
  <c r="U147" i="12" s="1"/>
  <c r="U145" i="12" s="1"/>
  <c r="U91" i="12"/>
  <c r="U90" i="12" s="1"/>
  <c r="U20" i="12"/>
  <c r="U16" i="12" s="1"/>
  <c r="C63" i="12"/>
  <c r="C25" i="12"/>
  <c r="AH203" i="12"/>
  <c r="U243" i="13"/>
  <c r="U211" i="13"/>
  <c r="U210" i="13" s="1"/>
  <c r="U209" i="13" s="1"/>
  <c r="U157" i="13"/>
  <c r="U155" i="13" s="1"/>
  <c r="U114" i="13"/>
  <c r="U83" i="13"/>
  <c r="U49" i="13"/>
  <c r="C10" i="13"/>
  <c r="U235" i="14"/>
  <c r="U234" i="14" s="1"/>
  <c r="U187" i="14"/>
  <c r="U185" i="14" s="1"/>
  <c r="U96" i="14"/>
  <c r="U58" i="14"/>
  <c r="U57" i="14" s="1"/>
  <c r="U20" i="14"/>
  <c r="U16" i="14" s="1"/>
  <c r="C81" i="14"/>
  <c r="AI246" i="14"/>
  <c r="U91" i="15"/>
  <c r="C57" i="15"/>
  <c r="AI54" i="15"/>
  <c r="X70" i="16"/>
  <c r="AH254" i="15"/>
  <c r="AH216" i="15"/>
  <c r="X77" i="16"/>
  <c r="AI77" i="16" s="1"/>
  <c r="X189" i="16"/>
  <c r="AH189" i="16" s="1"/>
  <c r="X168" i="16"/>
  <c r="X164" i="16"/>
  <c r="AH164" i="16" s="1"/>
  <c r="X153" i="16"/>
  <c r="AH153" i="16" s="1"/>
  <c r="X61" i="16"/>
  <c r="AJ61" i="16" s="1"/>
  <c r="X25" i="16"/>
  <c r="F67" i="16"/>
  <c r="X180" i="16"/>
  <c r="X79" i="16"/>
  <c r="AH79" i="16" s="1"/>
  <c r="X246" i="16"/>
  <c r="AB76" i="15"/>
  <c r="AD76" i="15" s="1"/>
  <c r="AI183" i="16"/>
  <c r="AH183" i="16"/>
  <c r="AD38" i="15"/>
  <c r="AE50" i="16"/>
  <c r="AG50" i="16" s="1"/>
  <c r="AE179" i="15"/>
  <c r="AG179" i="15" s="1"/>
  <c r="AE179" i="16" s="1"/>
  <c r="AG179" i="16" s="1"/>
  <c r="AG165" i="14"/>
  <c r="AJ165" i="14" s="1"/>
  <c r="AD186" i="16"/>
  <c r="AD214" i="14"/>
  <c r="L34" i="15"/>
  <c r="AA174" i="16"/>
  <c r="AD106" i="16"/>
  <c r="J61" i="15"/>
  <c r="AI38" i="14"/>
  <c r="AI249" i="16"/>
  <c r="AF14" i="5"/>
  <c r="AE18" i="15"/>
  <c r="AG18" i="15" s="1"/>
  <c r="AJ165" i="13"/>
  <c r="AJ78" i="15"/>
  <c r="AB168" i="15"/>
  <c r="AJ29" i="14"/>
  <c r="AI132" i="14"/>
  <c r="AJ117" i="13"/>
  <c r="AY12" i="9"/>
  <c r="R47" i="20"/>
  <c r="F50" i="20"/>
  <c r="AM112" i="5"/>
  <c r="AE170" i="5"/>
  <c r="AB170" i="5"/>
  <c r="AB145" i="5"/>
  <c r="AB110" i="5" s="1"/>
  <c r="J28" i="5"/>
  <c r="J21" i="5" s="1"/>
  <c r="J19" i="5" s="1"/>
  <c r="J17" i="5" s="1"/>
  <c r="J8" i="5" s="1"/>
  <c r="F33" i="20"/>
  <c r="AZ12" i="8"/>
  <c r="AH105" i="5"/>
  <c r="AG196" i="5"/>
  <c r="AG195" i="5" s="1"/>
  <c r="AF170" i="5"/>
  <c r="BQ24" i="5" s="1"/>
  <c r="N72" i="5"/>
  <c r="N51" i="5"/>
  <c r="M57" i="5"/>
  <c r="AD220" i="5"/>
  <c r="AD145" i="5"/>
  <c r="AD112" i="5"/>
  <c r="AJ241" i="6"/>
  <c r="AH241" i="6"/>
  <c r="AI241" i="6"/>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80" i="8"/>
  <c r="AH180" i="8"/>
  <c r="AJ148" i="8"/>
  <c r="AH148" i="8"/>
  <c r="AI148" i="8"/>
  <c r="AJ101" i="8"/>
  <c r="AH101" i="8"/>
  <c r="AI101" i="8"/>
  <c r="AH77" i="8"/>
  <c r="AI77" i="8"/>
  <c r="AJ77" i="8"/>
  <c r="AH68" i="8"/>
  <c r="AI68" i="8"/>
  <c r="AJ68" i="8"/>
  <c r="AH52" i="8"/>
  <c r="AI52" i="8"/>
  <c r="AJ29" i="8"/>
  <c r="AH29" i="8"/>
  <c r="AI29" i="8"/>
  <c r="AI23" i="8"/>
  <c r="AH23" i="8"/>
  <c r="M44" i="8"/>
  <c r="N44" i="8"/>
  <c r="AZ12" i="10"/>
  <c r="AW23" i="5"/>
  <c r="BH5" i="5"/>
  <c r="AJ3" i="5"/>
  <c r="AT6" i="5"/>
  <c r="Y170" i="5"/>
  <c r="G28" i="5"/>
  <c r="U196" i="5"/>
  <c r="U195" i="5" s="1"/>
  <c r="U193" i="5" s="1"/>
  <c r="W112" i="5"/>
  <c r="V112" i="5"/>
  <c r="AH58" i="5"/>
  <c r="AH57" i="5" s="1"/>
  <c r="P28" i="5"/>
  <c r="P21" i="5" s="1"/>
  <c r="P19" i="5" s="1"/>
  <c r="P17" i="5" s="1"/>
  <c r="P8" i="5" s="1"/>
  <c r="AF112" i="5"/>
  <c r="N60" i="5"/>
  <c r="N54" i="5"/>
  <c r="N42" i="5"/>
  <c r="N22" i="5"/>
  <c r="M81" i="5"/>
  <c r="M72" i="5"/>
  <c r="M66" i="5"/>
  <c r="M45" i="5"/>
  <c r="AD90" i="5"/>
  <c r="X220" i="5"/>
  <c r="AJ215" i="6"/>
  <c r="AH215" i="6"/>
  <c r="AI215" i="6"/>
  <c r="AI204" i="6"/>
  <c r="AJ204" i="6"/>
  <c r="AH204" i="6"/>
  <c r="AI179" i="6"/>
  <c r="AJ179" i="6"/>
  <c r="AH179" i="6"/>
  <c r="AJ130" i="6"/>
  <c r="AH130" i="6"/>
  <c r="AI130" i="6"/>
  <c r="AI95" i="6"/>
  <c r="AJ95" i="6"/>
  <c r="AH95" i="6"/>
  <c r="AH60" i="6"/>
  <c r="AH58" i="6" s="1"/>
  <c r="AI60" i="6"/>
  <c r="AI58" i="6" s="1"/>
  <c r="AJ60" i="6"/>
  <c r="AJ58" i="6" s="1"/>
  <c r="AH39" i="6"/>
  <c r="AJ39" i="6"/>
  <c r="M50" i="6"/>
  <c r="N50" i="6"/>
  <c r="AI256" i="8"/>
  <c r="AH256" i="8"/>
  <c r="AI248" i="8"/>
  <c r="AH248" i="8"/>
  <c r="AH182" i="8"/>
  <c r="AI182" i="8"/>
  <c r="AJ136" i="8"/>
  <c r="AH136" i="8"/>
  <c r="AI136" i="8"/>
  <c r="AJ120" i="8"/>
  <c r="AH120" i="8"/>
  <c r="AI120" i="8"/>
  <c r="AH84" i="8"/>
  <c r="AI84" i="8"/>
  <c r="AJ84" i="8"/>
  <c r="AJ71" i="8"/>
  <c r="AI71" i="8"/>
  <c r="N70" i="8"/>
  <c r="M70" i="8"/>
  <c r="BK14" i="5"/>
  <c r="F54" i="20"/>
  <c r="Y14" i="5"/>
  <c r="U63" i="5"/>
  <c r="AI245" i="6"/>
  <c r="AJ245" i="6"/>
  <c r="AH245" i="6"/>
  <c r="AH200" i="6"/>
  <c r="AI200" i="6"/>
  <c r="AJ200" i="6"/>
  <c r="AH88" i="6"/>
  <c r="AI88" i="6"/>
  <c r="AJ88" i="6"/>
  <c r="AH53" i="6"/>
  <c r="AI53" i="6"/>
  <c r="AJ53" i="6"/>
  <c r="AJ38" i="6"/>
  <c r="AH38" i="6"/>
  <c r="AI38" i="6"/>
  <c r="F42" i="6"/>
  <c r="AQ10" i="6" s="1"/>
  <c r="AY10" i="6" s="1"/>
  <c r="M43" i="6"/>
  <c r="N43" i="6"/>
  <c r="AH250" i="8"/>
  <c r="AI250" i="8"/>
  <c r="AI239" i="8"/>
  <c r="AH239" i="8"/>
  <c r="AH199" i="8"/>
  <c r="AI199" i="8"/>
  <c r="AJ167" i="8"/>
  <c r="AH167" i="8"/>
  <c r="AJ138" i="8"/>
  <c r="AH138" i="8"/>
  <c r="AI138" i="8"/>
  <c r="AH130" i="8"/>
  <c r="AI130" i="8"/>
  <c r="AJ130" i="8"/>
  <c r="AH108" i="8"/>
  <c r="AI108" i="8"/>
  <c r="AJ108" i="8"/>
  <c r="AH87" i="8"/>
  <c r="AI87" i="8"/>
  <c r="AI54" i="8"/>
  <c r="AJ54" i="8"/>
  <c r="AH54" i="8"/>
  <c r="AH40" i="8"/>
  <c r="AI40" i="8"/>
  <c r="AJ40" i="8"/>
  <c r="AH31" i="8"/>
  <c r="AI31" i="8"/>
  <c r="AJ31" i="8"/>
  <c r="N74" i="8"/>
  <c r="F44" i="20"/>
  <c r="F39" i="20" s="1"/>
  <c r="AM14" i="5"/>
  <c r="U145" i="5"/>
  <c r="U112" i="5"/>
  <c r="U43" i="5"/>
  <c r="U14" i="5" s="1"/>
  <c r="C28" i="5"/>
  <c r="C21" i="5" s="1"/>
  <c r="C19" i="5" s="1"/>
  <c r="C17" i="5" s="1"/>
  <c r="W43" i="5"/>
  <c r="W14" i="5" s="1"/>
  <c r="D28" i="5"/>
  <c r="D21" i="5" s="1"/>
  <c r="D19" i="5" s="1"/>
  <c r="D17" i="5" s="1"/>
  <c r="D8" i="5" s="1"/>
  <c r="AJ58" i="5"/>
  <c r="AJ57" i="5" s="1"/>
  <c r="AI187" i="5"/>
  <c r="AI58" i="5"/>
  <c r="AI57" i="5" s="1"/>
  <c r="Q28" i="5"/>
  <c r="Q21" i="5" s="1"/>
  <c r="Q19" i="5" s="1"/>
  <c r="Q17" i="5" s="1"/>
  <c r="Q8" i="5" s="1"/>
  <c r="AG170" i="5"/>
  <c r="AS27" i="5" s="1"/>
  <c r="AX27" i="5" s="1"/>
  <c r="AG112" i="5"/>
  <c r="AG90" i="5"/>
  <c r="M69" i="5"/>
  <c r="M48" i="5"/>
  <c r="M42" i="5"/>
  <c r="AD196" i="5"/>
  <c r="AD170" i="5"/>
  <c r="AD43" i="5"/>
  <c r="L28" i="5"/>
  <c r="AS9" i="5" s="1"/>
  <c r="AH247" i="6"/>
  <c r="AI247" i="6"/>
  <c r="AJ247" i="6"/>
  <c r="AI239" i="6"/>
  <c r="AJ239" i="6"/>
  <c r="AH239" i="6"/>
  <c r="AI190" i="6"/>
  <c r="AI187" i="6" s="1"/>
  <c r="AJ190" i="6"/>
  <c r="AH190" i="6"/>
  <c r="AH187" i="6" s="1"/>
  <c r="AJ138" i="6"/>
  <c r="AH138" i="6"/>
  <c r="AI138" i="6"/>
  <c r="AH41" i="6"/>
  <c r="AI41" i="6"/>
  <c r="AJ41" i="6"/>
  <c r="AH37" i="6"/>
  <c r="AI37" i="6"/>
  <c r="AJ37" i="6"/>
  <c r="M53" i="6"/>
  <c r="N53" i="6"/>
  <c r="M47" i="6"/>
  <c r="N47" i="6"/>
  <c r="AI252" i="8"/>
  <c r="AH252" i="8"/>
  <c r="AH241" i="8"/>
  <c r="AI241" i="8"/>
  <c r="AH223" i="8"/>
  <c r="AJ132" i="8"/>
  <c r="AH132" i="8"/>
  <c r="AI132" i="8"/>
  <c r="AH116" i="8"/>
  <c r="AI116" i="8"/>
  <c r="AH99" i="8"/>
  <c r="AI99" i="8"/>
  <c r="AH66" i="8"/>
  <c r="AA170" i="5"/>
  <c r="BO24" i="5" s="1"/>
  <c r="BO22" i="5" s="1"/>
  <c r="Z170" i="5"/>
  <c r="AA196" i="6"/>
  <c r="Y196" i="8"/>
  <c r="Y195" i="8" s="1"/>
  <c r="Y193" i="8" s="1"/>
  <c r="AJ48" i="9"/>
  <c r="AJ32" i="9"/>
  <c r="AI254" i="7"/>
  <c r="AH254" i="7"/>
  <c r="AI250" i="7"/>
  <c r="AH250" i="7"/>
  <c r="AI200" i="7"/>
  <c r="AH200" i="7"/>
  <c r="AI190" i="7"/>
  <c r="AH190" i="7"/>
  <c r="AI115" i="7"/>
  <c r="AJ115" i="7"/>
  <c r="AH115" i="7"/>
  <c r="AI94" i="7"/>
  <c r="AH94" i="7"/>
  <c r="AI250" i="10"/>
  <c r="AI213" i="10"/>
  <c r="AH213" i="10"/>
  <c r="AH191" i="10"/>
  <c r="AI191" i="10"/>
  <c r="AH136" i="10"/>
  <c r="AI136" i="10"/>
  <c r="AJ136" i="10"/>
  <c r="AI120" i="10"/>
  <c r="AJ120" i="10"/>
  <c r="AH120" i="10"/>
  <c r="AI99" i="10"/>
  <c r="AH99" i="10"/>
  <c r="AI80" i="10"/>
  <c r="AH80" i="10"/>
  <c r="AI72" i="10"/>
  <c r="AJ72" i="10"/>
  <c r="AH72" i="10"/>
  <c r="AI32" i="10"/>
  <c r="AH24" i="10"/>
  <c r="AI24" i="10"/>
  <c r="AJ24" i="10"/>
  <c r="N34" i="10"/>
  <c r="M34" i="10"/>
  <c r="AC43" i="5"/>
  <c r="AC14" i="5" s="1"/>
  <c r="Z112" i="5"/>
  <c r="X44" i="5"/>
  <c r="X43" i="5" s="1"/>
  <c r="AD90" i="6"/>
  <c r="AA220" i="6"/>
  <c r="BO30" i="6" s="1"/>
  <c r="BI14" i="6" s="1"/>
  <c r="AA112" i="6"/>
  <c r="X58" i="6"/>
  <c r="X57" i="6" s="1"/>
  <c r="W90" i="6"/>
  <c r="U196" i="8"/>
  <c r="U195" i="8" s="1"/>
  <c r="U193" i="8" s="1"/>
  <c r="AA196" i="8"/>
  <c r="Y220" i="8"/>
  <c r="AH253" i="7"/>
  <c r="AI253" i="7"/>
  <c r="AH199" i="7"/>
  <c r="AI199" i="7"/>
  <c r="AI37" i="7"/>
  <c r="AJ37" i="7"/>
  <c r="AH252" i="10"/>
  <c r="AI252" i="10"/>
  <c r="AH230" i="10"/>
  <c r="AI230" i="10"/>
  <c r="AH215" i="10"/>
  <c r="AI199" i="10"/>
  <c r="AH199" i="10"/>
  <c r="AH163" i="10"/>
  <c r="AI163" i="10"/>
  <c r="AJ163" i="10"/>
  <c r="AH124" i="10"/>
  <c r="AH101" i="10"/>
  <c r="AI101" i="10"/>
  <c r="AJ101" i="10"/>
  <c r="AH53" i="10"/>
  <c r="AI53" i="10"/>
  <c r="AH26" i="10"/>
  <c r="AI26" i="10"/>
  <c r="F29" i="5"/>
  <c r="Y112" i="6"/>
  <c r="W170" i="6"/>
  <c r="U220" i="8"/>
  <c r="U145" i="9"/>
  <c r="AI256" i="7"/>
  <c r="AH256" i="7"/>
  <c r="AI252" i="7"/>
  <c r="AH252" i="7"/>
  <c r="AH198" i="7"/>
  <c r="AH107" i="7"/>
  <c r="AJ107" i="7"/>
  <c r="N55" i="7"/>
  <c r="AH254" i="10"/>
  <c r="AI254" i="10"/>
  <c r="AI217" i="10"/>
  <c r="AH180" i="10"/>
  <c r="AH165" i="10"/>
  <c r="AI165" i="10"/>
  <c r="AJ165" i="10"/>
  <c r="AI126" i="10"/>
  <c r="AH126" i="10"/>
  <c r="AI94" i="10"/>
  <c r="AH94" i="10"/>
  <c r="AI76" i="10"/>
  <c r="AJ76" i="10"/>
  <c r="AH66" i="10"/>
  <c r="AJ66" i="10"/>
  <c r="AI28" i="10"/>
  <c r="AJ28" i="10"/>
  <c r="AH19" i="10"/>
  <c r="AI19" i="10"/>
  <c r="AJ19" i="10"/>
  <c r="K28" i="5"/>
  <c r="K21" i="5" s="1"/>
  <c r="I28" i="5"/>
  <c r="AR9" i="5" s="1"/>
  <c r="Z145" i="5"/>
  <c r="H28" i="5"/>
  <c r="H21" i="5" s="1"/>
  <c r="H19" i="5" s="1"/>
  <c r="H17" i="5" s="1"/>
  <c r="H8" i="5" s="1"/>
  <c r="X58" i="5"/>
  <c r="X57" i="5" s="1"/>
  <c r="AD220" i="6"/>
  <c r="AB43" i="6"/>
  <c r="AB14" i="6" s="1"/>
  <c r="Y145" i="6"/>
  <c r="X222" i="8"/>
  <c r="AH255" i="7"/>
  <c r="AI251" i="7"/>
  <c r="AH251" i="7"/>
  <c r="AH201" i="7"/>
  <c r="AI201" i="7"/>
  <c r="AH191" i="7"/>
  <c r="AI191" i="7"/>
  <c r="AH106" i="7"/>
  <c r="AI106" i="7"/>
  <c r="N43" i="7"/>
  <c r="AH256" i="10"/>
  <c r="AI256" i="10"/>
  <c r="AH223" i="10"/>
  <c r="AI203" i="10"/>
  <c r="AH203" i="10"/>
  <c r="AI182" i="10"/>
  <c r="AH182" i="10"/>
  <c r="AH167" i="10"/>
  <c r="AJ167" i="10"/>
  <c r="AH148" i="10"/>
  <c r="AI148" i="10"/>
  <c r="AJ148" i="10"/>
  <c r="AI128" i="10"/>
  <c r="AH128" i="10"/>
  <c r="AH78" i="10"/>
  <c r="AI78" i="10"/>
  <c r="AJ78" i="10"/>
  <c r="AI70" i="10"/>
  <c r="AH48" i="10"/>
  <c r="AI48" i="10"/>
  <c r="AJ48" i="10"/>
  <c r="AH30" i="10"/>
  <c r="AI30" i="10"/>
  <c r="AH22" i="10"/>
  <c r="AJ22" i="10"/>
  <c r="Y220" i="9"/>
  <c r="W170" i="9"/>
  <c r="U196" i="7"/>
  <c r="U195" i="7" s="1"/>
  <c r="U193" i="7" s="1"/>
  <c r="AD112" i="7"/>
  <c r="J28" i="7"/>
  <c r="AI132" i="11"/>
  <c r="AI78" i="11"/>
  <c r="N55" i="11"/>
  <c r="AI253" i="13"/>
  <c r="AI249" i="13"/>
  <c r="AI125" i="13"/>
  <c r="AH25" i="13"/>
  <c r="AH241" i="14"/>
  <c r="AI241" i="14"/>
  <c r="U220" i="7"/>
  <c r="C78" i="10"/>
  <c r="AJ32" i="12"/>
  <c r="AI32" i="12"/>
  <c r="AH32" i="12"/>
  <c r="AH217" i="13"/>
  <c r="AI217" i="13"/>
  <c r="AH127" i="13"/>
  <c r="W90" i="9"/>
  <c r="W63" i="9" s="1"/>
  <c r="AH119" i="13"/>
  <c r="AI102" i="13"/>
  <c r="AH102" i="13"/>
  <c r="AH41" i="13"/>
  <c r="AH29" i="13"/>
  <c r="Y220" i="7"/>
  <c r="W220" i="7"/>
  <c r="W196" i="7"/>
  <c r="W195" i="7" s="1"/>
  <c r="W193" i="7" s="1"/>
  <c r="AI58" i="10"/>
  <c r="Y43" i="10"/>
  <c r="AH78" i="12"/>
  <c r="AJ78" i="12"/>
  <c r="AH131" i="13"/>
  <c r="AH121" i="13"/>
  <c r="U227" i="14"/>
  <c r="U220" i="14" s="1"/>
  <c r="U197" i="14"/>
  <c r="U196" i="14" s="1"/>
  <c r="U195" i="14" s="1"/>
  <c r="U157" i="14"/>
  <c r="U155" i="14" s="1"/>
  <c r="U145" i="14" s="1"/>
  <c r="U235" i="15"/>
  <c r="U234" i="15" s="1"/>
  <c r="U187" i="15"/>
  <c r="U185" i="15" s="1"/>
  <c r="U105" i="15"/>
  <c r="U104" i="15" s="1"/>
  <c r="U69" i="15"/>
  <c r="U65" i="15" s="1"/>
  <c r="C29" i="15"/>
  <c r="AH32" i="15"/>
  <c r="U96" i="15"/>
  <c r="C78" i="12"/>
  <c r="U211" i="15"/>
  <c r="U210" i="15" s="1"/>
  <c r="U209" i="15" s="1"/>
  <c r="U114" i="15"/>
  <c r="U83" i="15"/>
  <c r="C28" i="16"/>
  <c r="U43" i="16"/>
  <c r="U14" i="16" s="1"/>
  <c r="BD13" i="5"/>
  <c r="BD10" i="5" s="1"/>
  <c r="BD9" i="5" s="1"/>
  <c r="X217" i="16"/>
  <c r="X117" i="16"/>
  <c r="X100" i="16"/>
  <c r="X253" i="16"/>
  <c r="AH253" i="16" s="1"/>
  <c r="X203" i="16"/>
  <c r="AH203" i="16" s="1"/>
  <c r="M39" i="8"/>
  <c r="N39" i="8"/>
  <c r="F40" i="9"/>
  <c r="D40" i="10"/>
  <c r="D39" i="10"/>
  <c r="F39" i="9"/>
  <c r="N40" i="8"/>
  <c r="M40" i="8"/>
  <c r="M38" i="7"/>
  <c r="N38" i="7"/>
  <c r="D38" i="9"/>
  <c r="F38" i="8"/>
  <c r="AJ79" i="14"/>
  <c r="AE79" i="15"/>
  <c r="AG79" i="15" s="1"/>
  <c r="AI124" i="15"/>
  <c r="AB124" i="16"/>
  <c r="AD124" i="16" s="1"/>
  <c r="AE177" i="14"/>
  <c r="AG177" i="14" s="1"/>
  <c r="AE153" i="16"/>
  <c r="AG153" i="16" s="1"/>
  <c r="AI200" i="16"/>
  <c r="W162" i="15"/>
  <c r="X162" i="14"/>
  <c r="AA251" i="15"/>
  <c r="AE166" i="16"/>
  <c r="AG166" i="16" s="1"/>
  <c r="AJ24" i="14"/>
  <c r="AH248" i="16"/>
  <c r="AI248" i="16"/>
  <c r="L46" i="15"/>
  <c r="J67" i="15"/>
  <c r="AB93" i="15"/>
  <c r="AD93" i="15" s="1"/>
  <c r="AI153" i="14"/>
  <c r="AE130" i="15"/>
  <c r="AG130" i="15" s="1"/>
  <c r="AE130" i="16" s="1"/>
  <c r="AG130" i="16" s="1"/>
  <c r="AI162" i="12"/>
  <c r="AJ54" i="14"/>
  <c r="AE54" i="15"/>
  <c r="AG54" i="15" s="1"/>
  <c r="AE19" i="16"/>
  <c r="AG19" i="16" s="1"/>
  <c r="AJ19" i="15"/>
  <c r="AB228" i="15"/>
  <c r="AJ29" i="15"/>
  <c r="AE29" i="16"/>
  <c r="AG29" i="16" s="1"/>
  <c r="AJ29" i="16" s="1"/>
  <c r="AI33" i="12"/>
  <c r="AD130" i="14"/>
  <c r="W212" i="14"/>
  <c r="AB86" i="15"/>
  <c r="AD86" i="15" s="1"/>
  <c r="AE76" i="15"/>
  <c r="AG76" i="15" s="1"/>
  <c r="AE125" i="15"/>
  <c r="AG125" i="15" s="1"/>
  <c r="AE136" i="15"/>
  <c r="AG136" i="15" s="1"/>
  <c r="AE48" i="15"/>
  <c r="Y72" i="16"/>
  <c r="W172" i="14"/>
  <c r="AE108" i="16"/>
  <c r="AG108" i="16" s="1"/>
  <c r="AJ108" i="16" s="1"/>
  <c r="AB74" i="15"/>
  <c r="AE167" i="15"/>
  <c r="AG167" i="15" s="1"/>
  <c r="AA21" i="16"/>
  <c r="AA53" i="13"/>
  <c r="Y53" i="14" s="1"/>
  <c r="AB101" i="16"/>
  <c r="AD101" i="16" s="1"/>
  <c r="AE128" i="16"/>
  <c r="AG128" i="16" s="1"/>
  <c r="AJ128" i="15"/>
  <c r="AE85" i="15"/>
  <c r="AG85" i="15" s="1"/>
  <c r="AE92" i="14"/>
  <c r="AE32" i="15"/>
  <c r="AG32" i="15" s="1"/>
  <c r="AJ32" i="14"/>
  <c r="AI67" i="12"/>
  <c r="BN11" i="12"/>
  <c r="AH131" i="15"/>
  <c r="W132" i="15"/>
  <c r="W138" i="16"/>
  <c r="X138" i="16" s="1"/>
  <c r="AH138" i="16" s="1"/>
  <c r="X138" i="15"/>
  <c r="AE68" i="15"/>
  <c r="AG68" i="15" s="1"/>
  <c r="AE68" i="16" s="1"/>
  <c r="AG68" i="16" s="1"/>
  <c r="AJ68" i="14"/>
  <c r="AE148" i="15"/>
  <c r="AG148" i="15" s="1"/>
  <c r="AI137" i="16"/>
  <c r="AH44" i="6"/>
  <c r="AY12" i="11"/>
  <c r="AY11" i="7"/>
  <c r="BK9" i="6"/>
  <c r="AA145" i="6"/>
  <c r="BO16" i="6"/>
  <c r="BO15" i="6" s="1"/>
  <c r="BI10" i="6" s="1"/>
  <c r="AI191" i="6"/>
  <c r="AH191" i="6"/>
  <c r="AJ191" i="6"/>
  <c r="AH180" i="6"/>
  <c r="AH177" i="6"/>
  <c r="AJ177" i="6"/>
  <c r="AI177" i="6"/>
  <c r="AH133" i="6"/>
  <c r="AJ133" i="6"/>
  <c r="AI133" i="6"/>
  <c r="AJ124" i="6"/>
  <c r="AI124" i="6"/>
  <c r="AI107" i="6"/>
  <c r="AH107" i="6"/>
  <c r="AJ107" i="6"/>
  <c r="AI94" i="6"/>
  <c r="AH94" i="6"/>
  <c r="AI52" i="6"/>
  <c r="AJ52" i="6"/>
  <c r="AH52" i="6"/>
  <c r="F51" i="6"/>
  <c r="M52" i="6"/>
  <c r="N52" i="6"/>
  <c r="M15" i="6"/>
  <c r="AH224" i="6"/>
  <c r="AI224" i="6"/>
  <c r="AJ224" i="6"/>
  <c r="AJ222" i="6" s="1"/>
  <c r="AJ212" i="6"/>
  <c r="AI212" i="6"/>
  <c r="AH212" i="6"/>
  <c r="X197" i="6"/>
  <c r="AJ199" i="6"/>
  <c r="AI199" i="6"/>
  <c r="AH199" i="6"/>
  <c r="AI182" i="6"/>
  <c r="AH182" i="6"/>
  <c r="AJ182" i="6"/>
  <c r="AJ143" i="6"/>
  <c r="AI143" i="6"/>
  <c r="AH143" i="6"/>
  <c r="AI135" i="6"/>
  <c r="AH135" i="6"/>
  <c r="AJ135" i="6"/>
  <c r="AI127" i="6"/>
  <c r="AH127" i="6"/>
  <c r="AJ127" i="6"/>
  <c r="AI97" i="6"/>
  <c r="AJ97" i="6"/>
  <c r="AJ54" i="6"/>
  <c r="AH54" i="6"/>
  <c r="AI54" i="6"/>
  <c r="AJ51" i="6"/>
  <c r="AH51" i="6"/>
  <c r="AI51" i="6"/>
  <c r="AQ13" i="6"/>
  <c r="AY13" i="6" s="1"/>
  <c r="AZ12" i="11"/>
  <c r="AZ12" i="9"/>
  <c r="AZ11" i="6"/>
  <c r="AR23" i="6"/>
  <c r="AW23" i="6" s="1"/>
  <c r="AH236" i="6"/>
  <c r="AI236" i="6"/>
  <c r="X235" i="6"/>
  <c r="X234" i="6" s="1"/>
  <c r="AJ236" i="6"/>
  <c r="AH214" i="6"/>
  <c r="AJ214" i="6"/>
  <c r="AI214" i="6"/>
  <c r="AI201" i="6"/>
  <c r="AH201" i="6"/>
  <c r="AJ201" i="6"/>
  <c r="AH137" i="6"/>
  <c r="AJ137" i="6"/>
  <c r="AI137" i="6"/>
  <c r="AH129" i="6"/>
  <c r="AJ129" i="6"/>
  <c r="AI129" i="6"/>
  <c r="AI126" i="6"/>
  <c r="AH126" i="6"/>
  <c r="BN19" i="6"/>
  <c r="AI99" i="6"/>
  <c r="AH99" i="6"/>
  <c r="AH87" i="6"/>
  <c r="AJ87" i="6"/>
  <c r="AI87" i="6"/>
  <c r="AJ66" i="6"/>
  <c r="AJ50" i="6"/>
  <c r="AH50" i="6"/>
  <c r="AI50" i="6"/>
  <c r="E35" i="20"/>
  <c r="AJ238" i="6"/>
  <c r="AH238" i="6"/>
  <c r="AI238" i="6"/>
  <c r="X211" i="6"/>
  <c r="X210" i="6" s="1"/>
  <c r="X209" i="6" s="1"/>
  <c r="AQ29" i="6" s="1"/>
  <c r="AJ216" i="6"/>
  <c r="AI216" i="6"/>
  <c r="AH216" i="6"/>
  <c r="AJ203" i="6"/>
  <c r="AI203" i="6"/>
  <c r="AH203" i="6"/>
  <c r="AI178" i="6"/>
  <c r="AH178" i="6"/>
  <c r="AI139" i="6"/>
  <c r="AH139" i="6"/>
  <c r="AJ139" i="6"/>
  <c r="AI131" i="6"/>
  <c r="AH131" i="6"/>
  <c r="AJ131" i="6"/>
  <c r="AH125" i="6"/>
  <c r="AJ125" i="6"/>
  <c r="AI125" i="6"/>
  <c r="X96" i="6"/>
  <c r="AI101" i="6"/>
  <c r="AH101" i="6"/>
  <c r="AJ101" i="6"/>
  <c r="AH61" i="6"/>
  <c r="AJ61" i="6"/>
  <c r="AI61" i="6"/>
  <c r="AI57" i="6" s="1"/>
  <c r="F48" i="6"/>
  <c r="N49" i="6"/>
  <c r="M49" i="6"/>
  <c r="F32" i="6"/>
  <c r="N33" i="6"/>
  <c r="M33" i="6"/>
  <c r="M13" i="6"/>
  <c r="B41" i="8"/>
  <c r="B41" i="9"/>
  <c r="B41" i="10" s="1"/>
  <c r="B41" i="11" s="1"/>
  <c r="B41" i="12" s="1"/>
  <c r="B41" i="13" s="1"/>
  <c r="B41" i="14" s="1"/>
  <c r="B41" i="15" s="1"/>
  <c r="B41" i="16" s="1"/>
  <c r="D47" i="20"/>
  <c r="D35" i="20"/>
  <c r="AZ12" i="12"/>
  <c r="AC220" i="6"/>
  <c r="AC170" i="6"/>
  <c r="J28" i="6"/>
  <c r="J21" i="6" s="1"/>
  <c r="J19" i="6" s="1"/>
  <c r="J17" i="6" s="1"/>
  <c r="J8" i="6" s="1"/>
  <c r="X222" i="6"/>
  <c r="X49" i="6"/>
  <c r="X43" i="6" s="1"/>
  <c r="V220" i="6"/>
  <c r="V145" i="6"/>
  <c r="U170" i="8"/>
  <c r="AJ230" i="9"/>
  <c r="AI230" i="9"/>
  <c r="AH230" i="9"/>
  <c r="AH198" i="9"/>
  <c r="AJ107" i="9"/>
  <c r="AI76" i="9"/>
  <c r="AJ76" i="9"/>
  <c r="AI67" i="9"/>
  <c r="AH67" i="9"/>
  <c r="AH25" i="9"/>
  <c r="AI25" i="9"/>
  <c r="AJ25" i="9"/>
  <c r="AJ18" i="9"/>
  <c r="AH18" i="9"/>
  <c r="AI18" i="9"/>
  <c r="M44" i="9"/>
  <c r="AH248" i="7"/>
  <c r="AI248" i="7"/>
  <c r="AJ97" i="7"/>
  <c r="X96" i="7"/>
  <c r="AI52" i="7"/>
  <c r="AH52" i="7"/>
  <c r="AI47" i="7"/>
  <c r="AH47" i="7"/>
  <c r="AJ47" i="7"/>
  <c r="BI14" i="7"/>
  <c r="L28" i="6"/>
  <c r="X157" i="6"/>
  <c r="X155" i="6" s="1"/>
  <c r="F60" i="6"/>
  <c r="BC13" i="6"/>
  <c r="W196" i="6"/>
  <c r="W195" i="6" s="1"/>
  <c r="W193" i="6" s="1"/>
  <c r="E28" i="6"/>
  <c r="AH200" i="9"/>
  <c r="AI200" i="9"/>
  <c r="AI173" i="9"/>
  <c r="AJ173" i="9"/>
  <c r="AH173" i="9"/>
  <c r="AJ27" i="9"/>
  <c r="AI27" i="9"/>
  <c r="AJ17" i="9"/>
  <c r="AH17" i="9"/>
  <c r="AI17" i="9"/>
  <c r="AJ100" i="7"/>
  <c r="AH100" i="7"/>
  <c r="AI100" i="7"/>
  <c r="AH92" i="7"/>
  <c r="D50" i="20"/>
  <c r="U43" i="6"/>
  <c r="U14" i="6" s="1"/>
  <c r="AE196" i="6"/>
  <c r="AE195" i="6" s="1"/>
  <c r="AD196" i="6"/>
  <c r="AB112" i="6"/>
  <c r="AA90" i="6"/>
  <c r="Z170" i="6"/>
  <c r="G28" i="6"/>
  <c r="W112" i="6"/>
  <c r="V170" i="6"/>
  <c r="V90" i="6"/>
  <c r="M33" i="8"/>
  <c r="AI239" i="9"/>
  <c r="AH239" i="9"/>
  <c r="AH202" i="9"/>
  <c r="AI202" i="9"/>
  <c r="AH190" i="9"/>
  <c r="AI190" i="9"/>
  <c r="AI120" i="9"/>
  <c r="AJ120" i="9"/>
  <c r="AH120" i="9"/>
  <c r="AJ100" i="9"/>
  <c r="AH100" i="9"/>
  <c r="AI72" i="9"/>
  <c r="AH72" i="9"/>
  <c r="AJ72" i="9"/>
  <c r="AH40" i="9"/>
  <c r="AI40" i="9"/>
  <c r="AJ40" i="9"/>
  <c r="AH29" i="9"/>
  <c r="AI29" i="9"/>
  <c r="AJ29" i="9"/>
  <c r="M34" i="9"/>
  <c r="N34" i="9"/>
  <c r="M15" i="9"/>
  <c r="AI102" i="7"/>
  <c r="AH102" i="7"/>
  <c r="AJ102" i="7"/>
  <c r="AH99" i="7"/>
  <c r="AI99" i="7"/>
  <c r="AH39" i="7"/>
  <c r="AJ39" i="7"/>
  <c r="F42" i="7"/>
  <c r="AQ10" i="7" s="1"/>
  <c r="M44" i="7"/>
  <c r="N44" i="7"/>
  <c r="K28" i="6"/>
  <c r="K21" i="6" s="1"/>
  <c r="K19" i="6" s="1"/>
  <c r="K17" i="6" s="1"/>
  <c r="W145" i="6"/>
  <c r="AI241" i="9"/>
  <c r="AH241" i="9"/>
  <c r="AH204" i="9"/>
  <c r="AI204" i="9"/>
  <c r="AH84" i="9"/>
  <c r="AH77" i="9"/>
  <c r="AJ77" i="9"/>
  <c r="AI77" i="9"/>
  <c r="AJ74" i="9"/>
  <c r="AH68" i="9"/>
  <c r="AJ68" i="9"/>
  <c r="AI68" i="9"/>
  <c r="AJ31" i="9"/>
  <c r="AH31" i="9"/>
  <c r="AI31" i="9"/>
  <c r="AH23" i="9"/>
  <c r="AI23" i="9"/>
  <c r="AI19" i="9"/>
  <c r="AJ19" i="9"/>
  <c r="AH19" i="9"/>
  <c r="AI98" i="7"/>
  <c r="AJ98" i="7"/>
  <c r="AH98" i="7"/>
  <c r="AH48" i="7"/>
  <c r="AJ48" i="7"/>
  <c r="AI48" i="7"/>
  <c r="N49" i="7"/>
  <c r="M49" i="7"/>
  <c r="AA196" i="9"/>
  <c r="Y43" i="9"/>
  <c r="L28" i="7"/>
  <c r="X58" i="10"/>
  <c r="X57" i="10" s="1"/>
  <c r="AH60" i="10"/>
  <c r="M67" i="10"/>
  <c r="M44" i="10"/>
  <c r="AH253" i="11"/>
  <c r="AI253" i="11"/>
  <c r="AI250" i="11"/>
  <c r="AH250" i="11"/>
  <c r="AI236" i="11"/>
  <c r="AH236" i="11"/>
  <c r="AH199" i="11"/>
  <c r="AI199" i="11"/>
  <c r="AH126" i="11"/>
  <c r="AI126" i="11"/>
  <c r="AH66" i="11"/>
  <c r="AJ66" i="11"/>
  <c r="AI81" i="13"/>
  <c r="AH81" i="13"/>
  <c r="W90" i="8"/>
  <c r="W63" i="8" s="1"/>
  <c r="Y170" i="9"/>
  <c r="AD90" i="7"/>
  <c r="AA196" i="7"/>
  <c r="Y170" i="7"/>
  <c r="AH116" i="10"/>
  <c r="X105" i="10"/>
  <c r="X104" i="10" s="1"/>
  <c r="W145" i="10"/>
  <c r="AH198" i="11"/>
  <c r="AH164" i="11"/>
  <c r="AH125" i="11"/>
  <c r="AI125" i="11"/>
  <c r="AJ125" i="11"/>
  <c r="AJ55" i="11"/>
  <c r="AH55" i="11"/>
  <c r="AJ41" i="11"/>
  <c r="AH41" i="11"/>
  <c r="AI41" i="11"/>
  <c r="AH29" i="11"/>
  <c r="AJ29" i="11"/>
  <c r="AH26" i="11"/>
  <c r="AI26" i="11"/>
  <c r="AH127" i="12"/>
  <c r="AH74" i="12"/>
  <c r="AI74" i="12"/>
  <c r="AH77" i="13"/>
  <c r="AA90" i="9"/>
  <c r="Y196" i="9"/>
  <c r="Y195" i="9" s="1"/>
  <c r="Y193" i="9" s="1"/>
  <c r="U112" i="7"/>
  <c r="C28" i="7"/>
  <c r="AB112" i="7"/>
  <c r="AA170" i="7"/>
  <c r="BO24" i="7" s="1"/>
  <c r="AA43" i="7"/>
  <c r="X211" i="7"/>
  <c r="X210" i="7" s="1"/>
  <c r="X209" i="7" s="1"/>
  <c r="AQ29" i="7" s="1"/>
  <c r="X157" i="7"/>
  <c r="X155" i="7" s="1"/>
  <c r="X105" i="7"/>
  <c r="X104" i="7" s="1"/>
  <c r="F72" i="7"/>
  <c r="W170" i="7"/>
  <c r="AI173" i="11"/>
  <c r="AJ173" i="11"/>
  <c r="AH152" i="11"/>
  <c r="AI152" i="11"/>
  <c r="AH124" i="11"/>
  <c r="AI124" i="11"/>
  <c r="AJ74" i="11"/>
  <c r="AJ54" i="11"/>
  <c r="AI54" i="11"/>
  <c r="AH54" i="11"/>
  <c r="AH47" i="11"/>
  <c r="AI47" i="11"/>
  <c r="AH217" i="12"/>
  <c r="AI217" i="12"/>
  <c r="AI54" i="13"/>
  <c r="AH54" i="13"/>
  <c r="AA43" i="8"/>
  <c r="AI58" i="9"/>
  <c r="AH58" i="9"/>
  <c r="AA170" i="9"/>
  <c r="BO24" i="9" s="1"/>
  <c r="BO22" i="9" s="1"/>
  <c r="BI11" i="9" s="1"/>
  <c r="X58" i="9"/>
  <c r="X57" i="9" s="1"/>
  <c r="AH84" i="10"/>
  <c r="AH251" i="11"/>
  <c r="AI251" i="11"/>
  <c r="AI190" i="11"/>
  <c r="AH130" i="11"/>
  <c r="AI130" i="11"/>
  <c r="AJ130" i="11"/>
  <c r="AH127" i="11"/>
  <c r="AI121" i="11"/>
  <c r="AJ121" i="11"/>
  <c r="AH121" i="11"/>
  <c r="AH60" i="11"/>
  <c r="AH58" i="11" s="1"/>
  <c r="AJ60" i="11"/>
  <c r="AI60" i="11"/>
  <c r="AI58" i="11" s="1"/>
  <c r="AH53" i="11"/>
  <c r="AI53" i="11"/>
  <c r="AH18" i="11"/>
  <c r="AI18" i="11"/>
  <c r="AJ18" i="11"/>
  <c r="AI255" i="13"/>
  <c r="AH255" i="13"/>
  <c r="W170" i="10"/>
  <c r="AI249" i="14"/>
  <c r="AI173" i="14"/>
  <c r="AI128" i="14"/>
  <c r="AI108" i="14"/>
  <c r="AI54" i="14"/>
  <c r="AH30" i="14"/>
  <c r="AI30" i="14"/>
  <c r="AI26" i="14"/>
  <c r="AH22" i="14"/>
  <c r="AH17" i="14"/>
  <c r="AI17" i="14"/>
  <c r="C78" i="11"/>
  <c r="AH29" i="14"/>
  <c r="AI29" i="14"/>
  <c r="AH25" i="14"/>
  <c r="W196" i="10"/>
  <c r="W195" i="10" s="1"/>
  <c r="W193" i="10" s="1"/>
  <c r="C28" i="11"/>
  <c r="AI165" i="14"/>
  <c r="AI61" i="14"/>
  <c r="AH32" i="14"/>
  <c r="AI32" i="14"/>
  <c r="AI28" i="14"/>
  <c r="AH24" i="14"/>
  <c r="AI24" i="14"/>
  <c r="AH19" i="14"/>
  <c r="AI19" i="14"/>
  <c r="C75" i="15"/>
  <c r="C63" i="15"/>
  <c r="C51" i="15"/>
  <c r="C35" i="15"/>
  <c r="C22" i="15"/>
  <c r="U220" i="16"/>
  <c r="U196" i="16"/>
  <c r="U195" i="16" s="1"/>
  <c r="U193" i="16" s="1"/>
  <c r="U145" i="16"/>
  <c r="U170" i="16"/>
  <c r="X239" i="16"/>
  <c r="X181" i="16"/>
  <c r="X163" i="16"/>
  <c r="X254" i="16"/>
  <c r="X240" i="16"/>
  <c r="X204" i="16"/>
  <c r="X161" i="16"/>
  <c r="X218" i="16"/>
  <c r="AH218" i="16" s="1"/>
  <c r="X191" i="16"/>
  <c r="X186" i="16"/>
  <c r="X136" i="16"/>
  <c r="AH136" i="16" s="1"/>
  <c r="X124" i="16"/>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4" i="20"/>
  <c r="E41" i="16"/>
  <c r="D41" i="7"/>
  <c r="F41" i="6"/>
  <c r="N41" i="6" s="1"/>
  <c r="Q10" i="20"/>
  <c r="Q9" i="20" s="1"/>
  <c r="J10" i="20"/>
  <c r="J9" i="20" s="1"/>
  <c r="R17" i="20"/>
  <c r="R13" i="20"/>
  <c r="B12" i="9"/>
  <c r="I12" i="6"/>
  <c r="G10" i="6"/>
  <c r="N10" i="20"/>
  <c r="N9" i="20" s="1"/>
  <c r="R12" i="20"/>
  <c r="O10" i="20"/>
  <c r="O9" i="20" s="1"/>
  <c r="P10" i="20"/>
  <c r="P9" i="20" s="1"/>
  <c r="K10" i="20"/>
  <c r="K9" i="20" s="1"/>
  <c r="R14" i="20"/>
  <c r="R34" i="20"/>
  <c r="G10" i="20"/>
  <c r="G9" i="20" s="1"/>
  <c r="R18" i="20"/>
  <c r="R20" i="20"/>
  <c r="R19" i="20"/>
  <c r="AE21" i="15"/>
  <c r="AE37" i="16"/>
  <c r="AE120" i="16"/>
  <c r="AG120" i="16" s="1"/>
  <c r="AB202" i="16"/>
  <c r="AE28" i="15"/>
  <c r="AG28" i="15" s="1"/>
  <c r="AJ28" i="14"/>
  <c r="AE121" i="15"/>
  <c r="AG121" i="15" s="1"/>
  <c r="AJ121" i="14"/>
  <c r="AE97" i="15"/>
  <c r="AE77" i="15"/>
  <c r="AG77" i="15" s="1"/>
  <c r="AE159" i="15"/>
  <c r="AB207" i="16"/>
  <c r="AD207" i="16" s="1"/>
  <c r="BO20" i="16"/>
  <c r="D44" i="20" s="1"/>
  <c r="AE74" i="16"/>
  <c r="AG74" i="16" s="1"/>
  <c r="AE27" i="15"/>
  <c r="AG27" i="15" s="1"/>
  <c r="AJ27" i="14"/>
  <c r="AE41" i="15"/>
  <c r="AG41" i="15" s="1"/>
  <c r="AJ41" i="14"/>
  <c r="AE133" i="15"/>
  <c r="AE73" i="15"/>
  <c r="AG73" i="15" s="1"/>
  <c r="AE135" i="15"/>
  <c r="AG135" i="15" s="1"/>
  <c r="AE151" i="15"/>
  <c r="B13" i="15"/>
  <c r="AH252" i="16"/>
  <c r="AI252" i="16"/>
  <c r="AE38" i="16"/>
  <c r="AG38" i="16" s="1"/>
  <c r="AJ38" i="15"/>
  <c r="AE102" i="15"/>
  <c r="AG102" i="15" s="1"/>
  <c r="AE71" i="15"/>
  <c r="AJ95" i="14"/>
  <c r="AE95" i="15"/>
  <c r="AG95" i="15" s="1"/>
  <c r="B14" i="14"/>
  <c r="AJ24" i="15"/>
  <c r="AE24" i="16"/>
  <c r="AG24" i="16" s="1"/>
  <c r="AJ100" i="14"/>
  <c r="AE100" i="15"/>
  <c r="AG100" i="15" s="1"/>
  <c r="AJ163" i="15"/>
  <c r="AE163" i="16"/>
  <c r="AG163" i="16" s="1"/>
  <c r="AE46" i="16"/>
  <c r="AE138" i="15"/>
  <c r="AG138" i="15" s="1"/>
  <c r="AJ138" i="14"/>
  <c r="AI217" i="15"/>
  <c r="AB217" i="16"/>
  <c r="AE31" i="15"/>
  <c r="AG31" i="15" s="1"/>
  <c r="AJ66" i="15"/>
  <c r="AE66" i="16"/>
  <c r="AE134" i="15"/>
  <c r="AG134" i="15" s="1"/>
  <c r="AJ25" i="14"/>
  <c r="AE25" i="15"/>
  <c r="AG25" i="15" s="1"/>
  <c r="AE107" i="15"/>
  <c r="AJ107" i="14"/>
  <c r="AE51" i="15"/>
  <c r="AC14" i="14"/>
  <c r="AC12" i="14" s="1"/>
  <c r="R15" i="20"/>
  <c r="Z14" i="14"/>
  <c r="Z12" i="14" s="1"/>
  <c r="Z10" i="14" s="1"/>
  <c r="Z8" i="14" s="1"/>
  <c r="AM12" i="7"/>
  <c r="BQ28" i="16"/>
  <c r="Q52" i="20" s="1"/>
  <c r="AF195" i="16"/>
  <c r="AF193" i="16" s="1"/>
  <c r="AC63" i="10"/>
  <c r="AC63" i="16"/>
  <c r="AC12" i="16" s="1"/>
  <c r="AC170" i="14"/>
  <c r="BQ27" i="16"/>
  <c r="Q51" i="20" s="1"/>
  <c r="AM110" i="6"/>
  <c r="AL110" i="12"/>
  <c r="AL14" i="10"/>
  <c r="AL12" i="10" s="1"/>
  <c r="AL63" i="9"/>
  <c r="AL63" i="6"/>
  <c r="AB63" i="5"/>
  <c r="N78" i="5"/>
  <c r="AF195" i="15"/>
  <c r="AF193" i="15" s="1"/>
  <c r="BQ28" i="15"/>
  <c r="AC14" i="9"/>
  <c r="AF170" i="10"/>
  <c r="BQ24" i="10" s="1"/>
  <c r="Z14" i="15"/>
  <c r="Z63" i="9"/>
  <c r="Z12" i="9" s="1"/>
  <c r="Z110" i="9"/>
  <c r="Z170" i="13"/>
  <c r="AM63" i="6"/>
  <c r="AM12" i="6" s="1"/>
  <c r="AM170" i="5"/>
  <c r="AL14" i="13"/>
  <c r="AL12" i="13" s="1"/>
  <c r="AB14" i="5"/>
  <c r="AC63" i="8"/>
  <c r="AC14" i="13"/>
  <c r="BQ27" i="8"/>
  <c r="AX22" i="9"/>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AF110" i="6" s="1"/>
  <c r="BQ16" i="6"/>
  <c r="G40" i="20" s="1"/>
  <c r="AJ106" i="6"/>
  <c r="X105" i="6"/>
  <c r="X104" i="6" s="1"/>
  <c r="AH106" i="6"/>
  <c r="AH105" i="6" s="1"/>
  <c r="AI106" i="6"/>
  <c r="AH84" i="6"/>
  <c r="AI84" i="6"/>
  <c r="AJ84" i="6"/>
  <c r="M58" i="6"/>
  <c r="N58" i="6"/>
  <c r="M37" i="6"/>
  <c r="N37" i="6"/>
  <c r="AH164" i="8"/>
  <c r="AI164" i="8"/>
  <c r="AJ164" i="8"/>
  <c r="AH160" i="8"/>
  <c r="AI160" i="8"/>
  <c r="BR31" i="16"/>
  <c r="AZ22" i="10"/>
  <c r="AU12" i="10"/>
  <c r="AV12" i="10"/>
  <c r="AU11" i="9"/>
  <c r="AV12" i="9"/>
  <c r="AU12" i="9"/>
  <c r="AY11" i="6"/>
  <c r="AZ8" i="5"/>
  <c r="AU12" i="5"/>
  <c r="AV12" i="5"/>
  <c r="AV22" i="10"/>
  <c r="AV13" i="5"/>
  <c r="AU13" i="5"/>
  <c r="BE10" i="7"/>
  <c r="BE9" i="7" s="1"/>
  <c r="BE8" i="7" s="1"/>
  <c r="BE10" i="12"/>
  <c r="BE9" i="12" s="1"/>
  <c r="BE8" i="12" s="1"/>
  <c r="BE10" i="16"/>
  <c r="AW22" i="5"/>
  <c r="BE10" i="5"/>
  <c r="AY11" i="5"/>
  <c r="AM14" i="16"/>
  <c r="BQ13" i="8"/>
  <c r="I37" i="20" s="1"/>
  <c r="BQ12" i="16"/>
  <c r="Q36" i="20" s="1"/>
  <c r="Q33" i="20" s="1"/>
  <c r="BQ12" i="8"/>
  <c r="I36" i="20" s="1"/>
  <c r="V145" i="5"/>
  <c r="AD63" i="5"/>
  <c r="BP16" i="6"/>
  <c r="AI152" i="6"/>
  <c r="AJ152" i="6"/>
  <c r="AH152" i="6"/>
  <c r="AH148" i="6"/>
  <c r="AI148" i="6"/>
  <c r="AJ148" i="6"/>
  <c r="BN18" i="6"/>
  <c r="AH55" i="6"/>
  <c r="AI55" i="6"/>
  <c r="AJ55" i="6"/>
  <c r="F35" i="6"/>
  <c r="N36" i="6"/>
  <c r="M36" i="6"/>
  <c r="AI247" i="8"/>
  <c r="AJ247" i="8"/>
  <c r="AH247" i="8"/>
  <c r="AH163" i="8"/>
  <c r="AI163" i="8"/>
  <c r="AJ163" i="8"/>
  <c r="AI159" i="8"/>
  <c r="AJ159" i="8"/>
  <c r="AI37" i="8"/>
  <c r="AJ37" i="8"/>
  <c r="AZ7" i="5"/>
  <c r="BF12" i="13"/>
  <c r="BF12" i="16" s="1"/>
  <c r="BE10" i="9"/>
  <c r="BE9" i="9" s="1"/>
  <c r="BE8" i="9" s="1"/>
  <c r="BE10" i="13"/>
  <c r="BE10" i="6"/>
  <c r="BE9" i="6" s="1"/>
  <c r="BE8" i="6" s="1"/>
  <c r="AF112" i="15"/>
  <c r="AF110" i="15" s="1"/>
  <c r="AZ11" i="5"/>
  <c r="AY13" i="5"/>
  <c r="AY12" i="5"/>
  <c r="G21" i="5"/>
  <c r="G19" i="5" s="1"/>
  <c r="G17" i="5" s="1"/>
  <c r="G8" i="5" s="1"/>
  <c r="BQ13" i="9"/>
  <c r="J37" i="20" s="1"/>
  <c r="V14" i="5"/>
  <c r="AC110" i="5"/>
  <c r="Z14" i="5"/>
  <c r="Z12" i="5" s="1"/>
  <c r="U63" i="6"/>
  <c r="AJ206" i="6"/>
  <c r="AJ205" i="6" s="1"/>
  <c r="AH206" i="6"/>
  <c r="AH205" i="6" s="1"/>
  <c r="X205" i="6"/>
  <c r="AI206" i="6"/>
  <c r="AI205" i="6" s="1"/>
  <c r="AJ174" i="6"/>
  <c r="AH174" i="6"/>
  <c r="AI174" i="6"/>
  <c r="X149" i="6"/>
  <c r="X147" i="6" s="1"/>
  <c r="AH151" i="6"/>
  <c r="AI151" i="6"/>
  <c r="AJ151" i="6"/>
  <c r="F45" i="6"/>
  <c r="M46" i="6"/>
  <c r="N46" i="6"/>
  <c r="N31" i="6"/>
  <c r="AH186" i="8"/>
  <c r="AI186" i="8"/>
  <c r="AH162" i="8"/>
  <c r="AI162" i="8"/>
  <c r="AJ162" i="8"/>
  <c r="BQ12" i="11"/>
  <c r="L36" i="20" s="1"/>
  <c r="L33" i="20" s="1"/>
  <c r="W145" i="5"/>
  <c r="W110" i="5" s="1"/>
  <c r="X172" i="6"/>
  <c r="AH173" i="6"/>
  <c r="AI173" i="6"/>
  <c r="AJ173" i="6"/>
  <c r="M77" i="6"/>
  <c r="M75" i="6" s="1"/>
  <c r="N77" i="6"/>
  <c r="N55" i="6"/>
  <c r="N54" i="6" s="1"/>
  <c r="M55" i="6"/>
  <c r="M54" i="6" s="1"/>
  <c r="F54" i="6"/>
  <c r="M44" i="6"/>
  <c r="N44" i="6"/>
  <c r="F29" i="6"/>
  <c r="N30" i="6"/>
  <c r="AH189" i="8"/>
  <c r="AI189" i="8"/>
  <c r="AH161" i="8"/>
  <c r="AI161" i="8"/>
  <c r="AH156" i="8"/>
  <c r="AI156" i="8"/>
  <c r="AJ156" i="8"/>
  <c r="BN18" i="8"/>
  <c r="N55" i="8"/>
  <c r="Q21" i="16"/>
  <c r="Q19" i="16" s="1"/>
  <c r="Q17" i="16" s="1"/>
  <c r="Q8" i="16" s="1"/>
  <c r="AV12" i="13"/>
  <c r="AU12" i="13"/>
  <c r="AC145" i="7"/>
  <c r="AC110" i="7" s="1"/>
  <c r="AH148" i="7"/>
  <c r="AI148" i="7"/>
  <c r="AJ148" i="7"/>
  <c r="AH138" i="7"/>
  <c r="AI138" i="7"/>
  <c r="AJ138" i="7"/>
  <c r="AJ88" i="7"/>
  <c r="AH88" i="7"/>
  <c r="AJ51" i="7"/>
  <c r="AH51" i="7"/>
  <c r="AI51" i="7"/>
  <c r="AH45" i="7"/>
  <c r="AI45" i="7"/>
  <c r="AJ45" i="7"/>
  <c r="AH32" i="7"/>
  <c r="AI32" i="7"/>
  <c r="AJ32" i="7"/>
  <c r="AH26" i="7"/>
  <c r="AI26" i="7"/>
  <c r="AJ26" i="7"/>
  <c r="AH17" i="7"/>
  <c r="AI17" i="7"/>
  <c r="AJ17" i="7"/>
  <c r="M62" i="7"/>
  <c r="N62" i="7"/>
  <c r="N14" i="7"/>
  <c r="AH156" i="10"/>
  <c r="AJ156" i="10"/>
  <c r="AI156" i="10"/>
  <c r="AH131" i="10"/>
  <c r="AI131" i="10"/>
  <c r="AJ131" i="10"/>
  <c r="AI68" i="10"/>
  <c r="AJ68" i="10"/>
  <c r="AJ61" i="10"/>
  <c r="AI61" i="10"/>
  <c r="M15" i="10"/>
  <c r="AH254" i="11"/>
  <c r="AI254" i="11"/>
  <c r="AI200" i="11"/>
  <c r="AH180" i="11"/>
  <c r="AI119" i="11"/>
  <c r="AH119" i="11"/>
  <c r="AI87" i="11"/>
  <c r="AJ76" i="11"/>
  <c r="AI68" i="11"/>
  <c r="AJ68" i="11"/>
  <c r="AI28" i="11"/>
  <c r="AJ28" i="11"/>
  <c r="AI161" i="13"/>
  <c r="AI137" i="13"/>
  <c r="AH137" i="13"/>
  <c r="AH88" i="13"/>
  <c r="AI230" i="14"/>
  <c r="AH164" i="14"/>
  <c r="AI164" i="14"/>
  <c r="N55" i="14"/>
  <c r="AE253" i="8"/>
  <c r="AG253" i="8" s="1"/>
  <c r="AJ253" i="7"/>
  <c r="AE250" i="8"/>
  <c r="AG250" i="8" s="1"/>
  <c r="AJ250" i="7"/>
  <c r="AE245" i="11"/>
  <c r="AG245" i="11" s="1"/>
  <c r="AE236" i="8"/>
  <c r="AJ236" i="7"/>
  <c r="AE230" i="11"/>
  <c r="AG230" i="11" s="1"/>
  <c r="AJ230" i="10"/>
  <c r="AG224" i="7"/>
  <c r="AG222" i="7" s="1"/>
  <c r="AE222" i="7"/>
  <c r="AE214" i="8"/>
  <c r="AG214" i="8" s="1"/>
  <c r="AJ214" i="7"/>
  <c r="AE205" i="7"/>
  <c r="AG206" i="7"/>
  <c r="AG198" i="7"/>
  <c r="AJ188" i="7"/>
  <c r="AE188" i="8"/>
  <c r="AG186" i="7"/>
  <c r="P21" i="9"/>
  <c r="P19" i="9" s="1"/>
  <c r="P17" i="9" s="1"/>
  <c r="P8" i="9" s="1"/>
  <c r="Q21" i="14"/>
  <c r="Q19" i="14" s="1"/>
  <c r="Q17" i="14" s="1"/>
  <c r="Q8" i="14" s="1"/>
  <c r="H21" i="15"/>
  <c r="H19" i="15" s="1"/>
  <c r="H17" i="15" s="1"/>
  <c r="H8" i="15" s="1"/>
  <c r="AU12" i="12"/>
  <c r="AV12" i="12"/>
  <c r="P21" i="6"/>
  <c r="P19" i="6" s="1"/>
  <c r="P17" i="6" s="1"/>
  <c r="P8" i="6" s="1"/>
  <c r="E21" i="6"/>
  <c r="E19" i="6" s="1"/>
  <c r="E17" i="6" s="1"/>
  <c r="E8" i="6" s="1"/>
  <c r="AC63" i="7"/>
  <c r="AH173" i="7"/>
  <c r="AI173" i="7"/>
  <c r="AJ173" i="7"/>
  <c r="AH93" i="7"/>
  <c r="AI93" i="7"/>
  <c r="AJ93" i="7"/>
  <c r="AH53" i="7"/>
  <c r="AI53" i="7"/>
  <c r="AJ53" i="7"/>
  <c r="X49" i="7"/>
  <c r="X35" i="7"/>
  <c r="AH36" i="7"/>
  <c r="AI36" i="7"/>
  <c r="AJ36" i="7"/>
  <c r="AJ28" i="7"/>
  <c r="AI28" i="7"/>
  <c r="AJ19" i="7"/>
  <c r="AH19" i="7"/>
  <c r="AI19" i="7"/>
  <c r="N58" i="7"/>
  <c r="M58" i="7"/>
  <c r="AJ153" i="10"/>
  <c r="AI153" i="10"/>
  <c r="AH130" i="10"/>
  <c r="AI130" i="10"/>
  <c r="AJ130" i="10"/>
  <c r="AJ81" i="10"/>
  <c r="AI81" i="10"/>
  <c r="AI67" i="10"/>
  <c r="AH67" i="10"/>
  <c r="AH55" i="10"/>
  <c r="AI55" i="10"/>
  <c r="AJ55" i="10"/>
  <c r="AH249" i="11"/>
  <c r="AI249" i="11"/>
  <c r="AH230" i="11"/>
  <c r="AI230" i="11"/>
  <c r="AI156" i="11"/>
  <c r="AH156" i="11"/>
  <c r="AJ156" i="11"/>
  <c r="AH136" i="11"/>
  <c r="AJ136" i="11"/>
  <c r="AI136" i="11"/>
  <c r="AH101" i="11"/>
  <c r="AI101" i="11"/>
  <c r="AJ101" i="11"/>
  <c r="AH93" i="11"/>
  <c r="AI93" i="11"/>
  <c r="AI52" i="11"/>
  <c r="AH52" i="11"/>
  <c r="AH32" i="11"/>
  <c r="AJ32" i="11"/>
  <c r="AI32" i="11"/>
  <c r="AJ25" i="11"/>
  <c r="AH25" i="11"/>
  <c r="AI136" i="13"/>
  <c r="AH254" i="14"/>
  <c r="AI254" i="14"/>
  <c r="AI240" i="14"/>
  <c r="AH240" i="14"/>
  <c r="AI166" i="14"/>
  <c r="AH163" i="14"/>
  <c r="AJ256" i="7"/>
  <c r="AE256" i="8"/>
  <c r="AG256" i="8" s="1"/>
  <c r="AE255" i="8"/>
  <c r="AG255" i="8" s="1"/>
  <c r="AJ255" i="7"/>
  <c r="AJ248" i="7"/>
  <c r="AE248" i="8"/>
  <c r="AG248" i="8" s="1"/>
  <c r="AE247" i="11"/>
  <c r="AG247" i="11" s="1"/>
  <c r="AJ247" i="10"/>
  <c r="AJ239" i="7"/>
  <c r="AE239" i="8"/>
  <c r="AG239" i="8" s="1"/>
  <c r="AE238" i="8"/>
  <c r="AG238" i="8" s="1"/>
  <c r="AG229" i="7"/>
  <c r="AG227" i="7" s="1"/>
  <c r="AE227" i="7"/>
  <c r="AJ217" i="7"/>
  <c r="AE217" i="8"/>
  <c r="AG217" i="8" s="1"/>
  <c r="AE216" i="8"/>
  <c r="AG216" i="8" s="1"/>
  <c r="AJ216" i="7"/>
  <c r="AE207" i="8"/>
  <c r="AG207" i="8" s="1"/>
  <c r="AE207" i="9" s="1"/>
  <c r="AG207" i="9" s="1"/>
  <c r="AE204" i="8"/>
  <c r="AG204" i="8" s="1"/>
  <c r="AJ204" i="7"/>
  <c r="AE199" i="8"/>
  <c r="AG199" i="8" s="1"/>
  <c r="AJ199" i="7"/>
  <c r="AJ191" i="7"/>
  <c r="AE191" i="8"/>
  <c r="AG191" i="8" s="1"/>
  <c r="AE190" i="8"/>
  <c r="AG190" i="8" s="1"/>
  <c r="AJ190" i="7"/>
  <c r="AE182" i="8"/>
  <c r="AG182" i="8" s="1"/>
  <c r="AJ182" i="7"/>
  <c r="AG181" i="7"/>
  <c r="Q21" i="10"/>
  <c r="Q19" i="10" s="1"/>
  <c r="Q17" i="10" s="1"/>
  <c r="Q8" i="10" s="1"/>
  <c r="K21" i="14"/>
  <c r="K19" i="14" s="1"/>
  <c r="K17" i="14" s="1"/>
  <c r="K8" i="14" s="1"/>
  <c r="K21" i="16"/>
  <c r="K19" i="16" s="1"/>
  <c r="K17" i="16" s="1"/>
  <c r="K8" i="16" s="1"/>
  <c r="AU13" i="6"/>
  <c r="Z14" i="7"/>
  <c r="AH247" i="7"/>
  <c r="AI247" i="7"/>
  <c r="AJ247" i="7"/>
  <c r="AI95" i="7"/>
  <c r="AJ95" i="7"/>
  <c r="AH95" i="7"/>
  <c r="AJ38" i="7"/>
  <c r="AH38" i="7"/>
  <c r="AI38" i="7"/>
  <c r="AJ22" i="7"/>
  <c r="AH22" i="7"/>
  <c r="AI22" i="7"/>
  <c r="N50" i="7"/>
  <c r="F48" i="7"/>
  <c r="M50" i="7"/>
  <c r="N46" i="7"/>
  <c r="M46" i="7"/>
  <c r="AI190" i="10"/>
  <c r="AH190" i="10"/>
  <c r="AH173" i="10"/>
  <c r="AJ173" i="10"/>
  <c r="AI173" i="10"/>
  <c r="AI152" i="10"/>
  <c r="AH152" i="10"/>
  <c r="AI45" i="10"/>
  <c r="AJ45" i="10"/>
  <c r="AJ37" i="10"/>
  <c r="AI37" i="10"/>
  <c r="AH204" i="11"/>
  <c r="AI204" i="11"/>
  <c r="AI163" i="11"/>
  <c r="AH163" i="11"/>
  <c r="AJ163" i="11"/>
  <c r="AJ100" i="11"/>
  <c r="AH48" i="11"/>
  <c r="AI48" i="11"/>
  <c r="AJ48" i="11"/>
  <c r="AH22" i="11"/>
  <c r="AH19" i="11"/>
  <c r="AI19" i="11"/>
  <c r="AJ19" i="11"/>
  <c r="AI156" i="13"/>
  <c r="AI139" i="13"/>
  <c r="AI95" i="13"/>
  <c r="AH38" i="13"/>
  <c r="AI38" i="13"/>
  <c r="AI239" i="14"/>
  <c r="AI204" i="14"/>
  <c r="AH204" i="14"/>
  <c r="AH18" i="14"/>
  <c r="AI18" i="14"/>
  <c r="AI189" i="15"/>
  <c r="AH126" i="15"/>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J201" i="7"/>
  <c r="AE201" i="8"/>
  <c r="AG201" i="8" s="1"/>
  <c r="AE183" i="8"/>
  <c r="AG183" i="8" s="1"/>
  <c r="AJ183" i="7"/>
  <c r="AE180" i="11"/>
  <c r="AJ180" i="10"/>
  <c r="K19" i="11"/>
  <c r="K17" i="11" s="1"/>
  <c r="K8" i="11" s="1"/>
  <c r="P21" i="16"/>
  <c r="P19" i="16" s="1"/>
  <c r="P17" i="16" s="1"/>
  <c r="P8" i="16" s="1"/>
  <c r="AU12" i="6"/>
  <c r="AV12" i="6"/>
  <c r="AV12" i="8"/>
  <c r="AU12" i="8"/>
  <c r="AZ12" i="13"/>
  <c r="AJ249" i="7"/>
  <c r="AH249" i="7"/>
  <c r="AI249" i="7"/>
  <c r="AJ223" i="7"/>
  <c r="X222" i="7"/>
  <c r="AH223" i="7"/>
  <c r="AH222" i="7" s="1"/>
  <c r="AI223" i="7"/>
  <c r="AH150" i="7"/>
  <c r="AI150" i="7"/>
  <c r="AJ150" i="7"/>
  <c r="AJ139" i="7"/>
  <c r="AH139" i="7"/>
  <c r="AI139" i="7"/>
  <c r="AH86" i="7"/>
  <c r="AI86" i="7"/>
  <c r="AJ86" i="7"/>
  <c r="AJ40" i="7"/>
  <c r="AH40" i="7"/>
  <c r="AI40" i="7"/>
  <c r="AJ30" i="7"/>
  <c r="AH30" i="7"/>
  <c r="AI30" i="7"/>
  <c r="AJ24" i="7"/>
  <c r="W145" i="7"/>
  <c r="AJ168" i="10"/>
  <c r="AI132" i="10"/>
  <c r="AJ132" i="10"/>
  <c r="AH132" i="10"/>
  <c r="AJ102" i="10"/>
  <c r="AI102" i="10"/>
  <c r="AH102" i="10"/>
  <c r="AJ165" i="11"/>
  <c r="AH165" i="11"/>
  <c r="AH160" i="11"/>
  <c r="AI160" i="11"/>
  <c r="AH88" i="11"/>
  <c r="AJ88" i="11"/>
  <c r="AI70" i="11"/>
  <c r="AI40" i="11"/>
  <c r="AH40" i="11"/>
  <c r="AJ40" i="11"/>
  <c r="M15" i="11"/>
  <c r="AI254" i="13"/>
  <c r="AH254" i="13"/>
  <c r="AI230" i="13"/>
  <c r="AH180" i="13"/>
  <c r="AI32" i="13"/>
  <c r="AH32" i="13"/>
  <c r="M15" i="13"/>
  <c r="AH203" i="14"/>
  <c r="AI203" i="14"/>
  <c r="AH40" i="14"/>
  <c r="AI40" i="14"/>
  <c r="N70" i="14"/>
  <c r="AJ252" i="7"/>
  <c r="AE252" i="8"/>
  <c r="AG252" i="8" s="1"/>
  <c r="AE251" i="8"/>
  <c r="AG251" i="8" s="1"/>
  <c r="AJ251" i="7"/>
  <c r="AJ228" i="7"/>
  <c r="AE228" i="8"/>
  <c r="AE225" i="8"/>
  <c r="AG225" i="8" s="1"/>
  <c r="AJ225" i="7"/>
  <c r="AE213" i="8"/>
  <c r="AG213" i="8" s="1"/>
  <c r="AJ213" i="7"/>
  <c r="AE203" i="8"/>
  <c r="AG203" i="8" s="1"/>
  <c r="AJ203" i="7"/>
  <c r="AE200" i="8"/>
  <c r="AG200" i="8" s="1"/>
  <c r="AJ200" i="7"/>
  <c r="AS13" i="6"/>
  <c r="X256" i="16"/>
  <c r="BD12" i="6"/>
  <c r="G23" i="7"/>
  <c r="X156" i="16"/>
  <c r="X129" i="16"/>
  <c r="X121" i="16"/>
  <c r="X139" i="16"/>
  <c r="X120" i="16"/>
  <c r="X107" i="16"/>
  <c r="X165" i="16"/>
  <c r="X125" i="16"/>
  <c r="X119" i="16"/>
  <c r="X127" i="16"/>
  <c r="X102" i="16"/>
  <c r="AL12" i="16" l="1"/>
  <c r="AL110" i="14"/>
  <c r="AF195" i="13"/>
  <c r="BQ28" i="13"/>
  <c r="N52" i="20" s="1"/>
  <c r="I32" i="13"/>
  <c r="Z12" i="12"/>
  <c r="AJ153" i="7"/>
  <c r="AH153" i="7"/>
  <c r="AH153" i="5"/>
  <c r="AI153" i="5"/>
  <c r="AI130" i="5"/>
  <c r="AH130" i="5"/>
  <c r="AL110" i="10"/>
  <c r="AH86" i="10"/>
  <c r="AI41" i="13"/>
  <c r="AI41" i="10"/>
  <c r="AI36" i="10"/>
  <c r="AH134" i="9"/>
  <c r="AJ134" i="9"/>
  <c r="AI134" i="9"/>
  <c r="AJ139" i="10"/>
  <c r="AL110" i="9"/>
  <c r="AI130" i="9"/>
  <c r="AH130" i="9"/>
  <c r="AJ130" i="9"/>
  <c r="AI168" i="10"/>
  <c r="AH168" i="13"/>
  <c r="Y170" i="10"/>
  <c r="AH168" i="9"/>
  <c r="AI36" i="14"/>
  <c r="AI168" i="9"/>
  <c r="AH168" i="8"/>
  <c r="AI168" i="8"/>
  <c r="AJ168" i="8"/>
  <c r="AC12" i="7"/>
  <c r="Y43" i="11"/>
  <c r="AI139" i="14"/>
  <c r="AL12" i="7"/>
  <c r="AL110" i="7"/>
  <c r="AH151" i="7"/>
  <c r="AI151" i="7"/>
  <c r="AI149" i="7" s="1"/>
  <c r="AI147" i="7" s="1"/>
  <c r="AJ151" i="7"/>
  <c r="AJ149" i="7" s="1"/>
  <c r="X149" i="7"/>
  <c r="X147" i="7" s="1"/>
  <c r="AJ88" i="10"/>
  <c r="AI85" i="6"/>
  <c r="AH85" i="6"/>
  <c r="AJ85" i="6"/>
  <c r="X83" i="6"/>
  <c r="AH28" i="7"/>
  <c r="BQ9" i="6"/>
  <c r="X196" i="6"/>
  <c r="M51" i="6"/>
  <c r="N60" i="6"/>
  <c r="D73" i="8"/>
  <c r="D72" i="7"/>
  <c r="V170" i="7"/>
  <c r="AI86" i="6"/>
  <c r="X207" i="11"/>
  <c r="AH207" i="11" s="1"/>
  <c r="W63" i="6"/>
  <c r="AI86" i="9"/>
  <c r="AJ139" i="15"/>
  <c r="N61" i="7"/>
  <c r="F60" i="7"/>
  <c r="M61" i="7"/>
  <c r="X157" i="5"/>
  <c r="X155" i="5" s="1"/>
  <c r="U90" i="15"/>
  <c r="AM12" i="11"/>
  <c r="AM10" i="11" s="1"/>
  <c r="AM8" i="11" s="1"/>
  <c r="D80" i="8"/>
  <c r="F80" i="7"/>
  <c r="BQ28" i="5"/>
  <c r="F52" i="20" s="1"/>
  <c r="AA110" i="5"/>
  <c r="AD63" i="6"/>
  <c r="AA43" i="11"/>
  <c r="BP14" i="5"/>
  <c r="BJ9" i="5" s="1"/>
  <c r="AR24" i="5"/>
  <c r="AW24" i="5" s="1"/>
  <c r="AE14" i="6"/>
  <c r="AI189" i="10"/>
  <c r="M42" i="6"/>
  <c r="AI105" i="6"/>
  <c r="AB12" i="6"/>
  <c r="AH74" i="9"/>
  <c r="M48" i="6"/>
  <c r="AJ57" i="6"/>
  <c r="N77" i="7"/>
  <c r="U12" i="6"/>
  <c r="BQ13" i="6"/>
  <c r="G37" i="20" s="1"/>
  <c r="L21" i="5"/>
  <c r="C21" i="7"/>
  <c r="C19" i="7" s="1"/>
  <c r="C17" i="7" s="1"/>
  <c r="C8" i="7" s="1"/>
  <c r="Y14" i="6"/>
  <c r="U196" i="9"/>
  <c r="U195" i="9" s="1"/>
  <c r="U193" i="9" s="1"/>
  <c r="U43" i="8"/>
  <c r="U14" i="8" s="1"/>
  <c r="U90" i="11"/>
  <c r="AL12" i="14"/>
  <c r="W43" i="6"/>
  <c r="U112" i="13"/>
  <c r="X69" i="5"/>
  <c r="X65" i="5" s="1"/>
  <c r="X210" i="5"/>
  <c r="X209" i="5" s="1"/>
  <c r="BN27" i="5" s="1"/>
  <c r="D61" i="8"/>
  <c r="D60" i="7"/>
  <c r="BE22" i="6"/>
  <c r="U193" i="14"/>
  <c r="X207" i="9"/>
  <c r="AM12" i="5"/>
  <c r="AI36" i="15"/>
  <c r="U232" i="15"/>
  <c r="Z110" i="5"/>
  <c r="Z10" i="11"/>
  <c r="Z8" i="11" s="1"/>
  <c r="M60" i="6"/>
  <c r="U90" i="7"/>
  <c r="AH235" i="6"/>
  <c r="AH234" i="6" s="1"/>
  <c r="F10" i="5"/>
  <c r="AG232" i="5"/>
  <c r="AS30" i="5" s="1"/>
  <c r="AX30" i="5" s="1"/>
  <c r="AJ187" i="5"/>
  <c r="AL110" i="5"/>
  <c r="AL10" i="5" s="1"/>
  <c r="AL8" i="5" s="1"/>
  <c r="AM259" i="5" s="1"/>
  <c r="AF110" i="16"/>
  <c r="AC110" i="16"/>
  <c r="X90" i="5"/>
  <c r="BC13" i="5"/>
  <c r="BN5" i="16"/>
  <c r="BR5" i="16"/>
  <c r="U90" i="8"/>
  <c r="U63" i="8" s="1"/>
  <c r="U232" i="10"/>
  <c r="BC15" i="7"/>
  <c r="W14" i="6"/>
  <c r="AB112" i="8"/>
  <c r="U90" i="14"/>
  <c r="Y110" i="7"/>
  <c r="C28" i="10"/>
  <c r="U193" i="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AJ29" i="13"/>
  <c r="AI29" i="13"/>
  <c r="BC16" i="7"/>
  <c r="M43" i="7"/>
  <c r="AH74" i="10"/>
  <c r="AJ74" i="10"/>
  <c r="N48" i="20"/>
  <c r="N46" i="20" s="1"/>
  <c r="BQ22" i="13"/>
  <c r="BK11" i="13" s="1"/>
  <c r="AI241" i="15"/>
  <c r="AH241" i="15"/>
  <c r="AJ125" i="13"/>
  <c r="AH125" i="13"/>
  <c r="V212" i="14"/>
  <c r="V212" i="15" s="1"/>
  <c r="X212" i="13"/>
  <c r="W235" i="15"/>
  <c r="W234" i="15" s="1"/>
  <c r="W238" i="16"/>
  <c r="W235" i="16" s="1"/>
  <c r="W234" i="16" s="1"/>
  <c r="Y139" i="16"/>
  <c r="AA139" i="16" s="1"/>
  <c r="AH139" i="15"/>
  <c r="AB95" i="15"/>
  <c r="AD95" i="15" s="1"/>
  <c r="AI95" i="14"/>
  <c r="AB131" i="14"/>
  <c r="AD131" i="14" s="1"/>
  <c r="AI131" i="13"/>
  <c r="U232" i="6"/>
  <c r="AV13" i="6"/>
  <c r="N48" i="6"/>
  <c r="AI74" i="10"/>
  <c r="AH33" i="12"/>
  <c r="AJ33" i="12"/>
  <c r="AJ66" i="8"/>
  <c r="AI66" i="8"/>
  <c r="C28" i="9"/>
  <c r="AI39" i="6"/>
  <c r="BN17" i="5"/>
  <c r="X232" i="5"/>
  <c r="AH35" i="6"/>
  <c r="AF12" i="5"/>
  <c r="L128" i="6"/>
  <c r="N27" i="6"/>
  <c r="AI20" i="6"/>
  <c r="AB79" i="10"/>
  <c r="AD79" i="10" s="1"/>
  <c r="AB79" i="11" s="1"/>
  <c r="AD79" i="11" s="1"/>
  <c r="AI79" i="9"/>
  <c r="N67" i="8"/>
  <c r="M67" i="8"/>
  <c r="AI38" i="9"/>
  <c r="AJ38" i="9"/>
  <c r="AH95" i="9"/>
  <c r="AI95" i="9"/>
  <c r="AJ95" i="9"/>
  <c r="AH150" i="9"/>
  <c r="AJ150" i="9"/>
  <c r="BK14" i="8"/>
  <c r="I54" i="20"/>
  <c r="BK13" i="14"/>
  <c r="O53" i="20"/>
  <c r="AH101" i="9"/>
  <c r="AJ101" i="9"/>
  <c r="AI101" i="9"/>
  <c r="AJ166" i="9"/>
  <c r="AI166" i="9"/>
  <c r="AI166" i="8"/>
  <c r="AJ166" i="8"/>
  <c r="M26" i="6"/>
  <c r="F25" i="6"/>
  <c r="AQ8" i="6" s="1"/>
  <c r="N26" i="6"/>
  <c r="BC11" i="6"/>
  <c r="AJ108" i="11"/>
  <c r="AH108" i="11"/>
  <c r="AI108" i="11"/>
  <c r="AH70" i="7"/>
  <c r="AI70" i="7"/>
  <c r="BK13" i="12"/>
  <c r="M53" i="20"/>
  <c r="BP16" i="7"/>
  <c r="X220" i="6"/>
  <c r="BN30" i="6" s="1"/>
  <c r="BH14" i="6" s="1"/>
  <c r="AI66" i="6"/>
  <c r="X123" i="6"/>
  <c r="BN17" i="6" s="1"/>
  <c r="X176" i="6"/>
  <c r="X170" i="6" s="1"/>
  <c r="BL14" i="7"/>
  <c r="X20" i="5"/>
  <c r="X16" i="5" s="1"/>
  <c r="X20" i="6"/>
  <c r="X16" i="6" s="1"/>
  <c r="Y12" i="5"/>
  <c r="Y10" i="5" s="1"/>
  <c r="X185" i="5"/>
  <c r="X170" i="5" s="1"/>
  <c r="BL9" i="7"/>
  <c r="BL9" i="10" s="1"/>
  <c r="BL9" i="13" s="1"/>
  <c r="AB43" i="7"/>
  <c r="AH158" i="6"/>
  <c r="AJ251" i="6"/>
  <c r="X65" i="6"/>
  <c r="BQ15" i="13"/>
  <c r="BK10" i="13" s="1"/>
  <c r="AM110" i="14"/>
  <c r="AM12" i="13"/>
  <c r="AM10" i="13" s="1"/>
  <c r="AH25" i="6"/>
  <c r="AI44" i="6"/>
  <c r="AI180" i="6"/>
  <c r="AH84" i="14"/>
  <c r="E78" i="13"/>
  <c r="U232" i="9"/>
  <c r="AM110" i="12"/>
  <c r="X244" i="6"/>
  <c r="X243" i="6" s="1"/>
  <c r="F67" i="9"/>
  <c r="BC15" i="6"/>
  <c r="AE220" i="6"/>
  <c r="AJ105" i="5"/>
  <c r="AE110" i="5"/>
  <c r="BC21" i="6"/>
  <c r="AI21" i="5"/>
  <c r="AL12" i="15"/>
  <c r="BN10" i="6"/>
  <c r="BN31" i="5"/>
  <c r="BH15" i="5" s="1"/>
  <c r="F35" i="5"/>
  <c r="F28" i="5" s="1"/>
  <c r="U170" i="7"/>
  <c r="AH211" i="7"/>
  <c r="Y193" i="10"/>
  <c r="C28" i="8"/>
  <c r="C21" i="8" s="1"/>
  <c r="C19" i="8" s="1"/>
  <c r="C17" i="8" s="1"/>
  <c r="C8" i="8" s="1"/>
  <c r="F54" i="7"/>
  <c r="AR29" i="6"/>
  <c r="AW29" i="6" s="1"/>
  <c r="BP27" i="6"/>
  <c r="AF12" i="6"/>
  <c r="AF10" i="6" s="1"/>
  <c r="AF8" i="6" s="1"/>
  <c r="X35" i="6"/>
  <c r="U110" i="5"/>
  <c r="BQ15" i="5"/>
  <c r="BK10" i="5" s="1"/>
  <c r="U43" i="15"/>
  <c r="U90" i="13"/>
  <c r="U14" i="7"/>
  <c r="V63" i="5"/>
  <c r="N72" i="7"/>
  <c r="F128" i="6"/>
  <c r="AJ21" i="5"/>
  <c r="X176" i="7"/>
  <c r="AF10" i="14"/>
  <c r="F32" i="8"/>
  <c r="AM10" i="15"/>
  <c r="AM8" i="15" s="1"/>
  <c r="F67" i="11"/>
  <c r="F67" i="7"/>
  <c r="AF195" i="14"/>
  <c r="AF193" i="14" s="1"/>
  <c r="BQ28" i="14"/>
  <c r="O52" i="20" s="1"/>
  <c r="BQ15" i="9"/>
  <c r="BK10" i="9" s="1"/>
  <c r="AH222" i="6"/>
  <c r="AC12" i="5"/>
  <c r="AC10" i="5" s="1"/>
  <c r="AI251" i="10"/>
  <c r="AH251" i="10"/>
  <c r="AH29" i="7"/>
  <c r="AI29" i="7"/>
  <c r="AJ29" i="7"/>
  <c r="AI191" i="12"/>
  <c r="AH191" i="12"/>
  <c r="AI160" i="9"/>
  <c r="AH160" i="9"/>
  <c r="Z10" i="5"/>
  <c r="AC10" i="7"/>
  <c r="AC8" i="7" s="1"/>
  <c r="V110" i="5"/>
  <c r="I21" i="5"/>
  <c r="I19" i="5" s="1"/>
  <c r="I17" i="5" s="1"/>
  <c r="I8" i="5" s="1"/>
  <c r="AM10" i="7"/>
  <c r="AM8" i="7" s="1"/>
  <c r="N14" i="6"/>
  <c r="AI225" i="10"/>
  <c r="X222" i="10"/>
  <c r="AJ124" i="7"/>
  <c r="AH124" i="7"/>
  <c r="AJ130" i="12"/>
  <c r="AH130" i="12"/>
  <c r="AI41" i="14"/>
  <c r="AH41" i="14"/>
  <c r="AJ120" i="14"/>
  <c r="AI120" i="14"/>
  <c r="AH153" i="14"/>
  <c r="AJ153" i="14"/>
  <c r="AH125" i="12"/>
  <c r="AI125" i="12"/>
  <c r="AJ125" i="12"/>
  <c r="AH212" i="12"/>
  <c r="AI212" i="12"/>
  <c r="AH73" i="7"/>
  <c r="AI73" i="7"/>
  <c r="P128" i="7"/>
  <c r="P126" i="7" s="1"/>
  <c r="P130" i="7" s="1"/>
  <c r="H128" i="7"/>
  <c r="C128" i="7"/>
  <c r="Q128" i="7"/>
  <c r="Q126" i="7" s="1"/>
  <c r="Q130" i="7" s="1"/>
  <c r="C28" i="14"/>
  <c r="V150" i="12"/>
  <c r="X150" i="11"/>
  <c r="BQ13" i="16"/>
  <c r="Q37" i="20" s="1"/>
  <c r="AH149" i="6"/>
  <c r="AM10" i="6"/>
  <c r="AM8" i="6" s="1"/>
  <c r="Z10" i="9"/>
  <c r="Z8" i="9" s="1"/>
  <c r="N51" i="6"/>
  <c r="N33" i="7"/>
  <c r="N32" i="7" s="1"/>
  <c r="AJ35" i="6"/>
  <c r="AG110" i="5"/>
  <c r="AS26" i="5" s="1"/>
  <c r="AX26" i="5" s="1"/>
  <c r="U232" i="14"/>
  <c r="AJ135" i="8"/>
  <c r="AH135" i="8"/>
  <c r="V178" i="10"/>
  <c r="X178" i="9"/>
  <c r="BO13" i="5"/>
  <c r="AA14" i="5"/>
  <c r="AA12" i="5" s="1"/>
  <c r="AA10" i="5" s="1"/>
  <c r="AI97" i="7"/>
  <c r="AH97" i="7"/>
  <c r="AI191" i="8"/>
  <c r="AH191" i="8"/>
  <c r="AE193" i="6"/>
  <c r="X232" i="6"/>
  <c r="AD110" i="5"/>
  <c r="AR26" i="5" s="1"/>
  <c r="AM110" i="5"/>
  <c r="BQ13" i="5"/>
  <c r="E128" i="7"/>
  <c r="AZ22" i="6"/>
  <c r="M78" i="6"/>
  <c r="AJ218" i="8"/>
  <c r="AH218" i="8"/>
  <c r="AI218" i="8"/>
  <c r="N59" i="6"/>
  <c r="N57" i="6" s="1"/>
  <c r="F57" i="6"/>
  <c r="M59" i="6"/>
  <c r="M57" i="6" s="1"/>
  <c r="AH124" i="12"/>
  <c r="AI124" i="12"/>
  <c r="AH218" i="12"/>
  <c r="AI218" i="12"/>
  <c r="AI255" i="12"/>
  <c r="AH255" i="12"/>
  <c r="AH33" i="8"/>
  <c r="AI33" i="8"/>
  <c r="AL10" i="7"/>
  <c r="AM12" i="12"/>
  <c r="BL14" i="10"/>
  <c r="AC12" i="6"/>
  <c r="AM8" i="13"/>
  <c r="X20" i="7"/>
  <c r="X16" i="7" s="1"/>
  <c r="AI50" i="7"/>
  <c r="Z10" i="8"/>
  <c r="Z8" i="8" s="1"/>
  <c r="AB90" i="8"/>
  <c r="D74" i="12"/>
  <c r="F74" i="11"/>
  <c r="W50" i="12"/>
  <c r="AI124" i="9"/>
  <c r="AH124" i="9"/>
  <c r="AI162" i="11"/>
  <c r="AH162" i="11"/>
  <c r="AH25" i="12"/>
  <c r="AI25" i="12"/>
  <c r="M32" i="6"/>
  <c r="BQ25" i="6"/>
  <c r="BK12" i="6" s="1"/>
  <c r="F10" i="20"/>
  <c r="F9" i="20" s="1"/>
  <c r="Y63" i="6"/>
  <c r="D128" i="7"/>
  <c r="Z12" i="6"/>
  <c r="Z10" i="6" s="1"/>
  <c r="Z12" i="10"/>
  <c r="Z10" i="10" s="1"/>
  <c r="Z8" i="10" s="1"/>
  <c r="AE12" i="5"/>
  <c r="AE10" i="5" s="1"/>
  <c r="AE8" i="5" s="1"/>
  <c r="AH142" i="6"/>
  <c r="AH141" i="6" s="1"/>
  <c r="AI142" i="6"/>
  <c r="AI141" i="6" s="1"/>
  <c r="X141" i="6"/>
  <c r="BN20" i="6" s="1"/>
  <c r="AJ142" i="6"/>
  <c r="AJ141" i="6" s="1"/>
  <c r="AI228" i="6"/>
  <c r="AI227" i="6" s="1"/>
  <c r="AJ228" i="6"/>
  <c r="AJ227" i="6" s="1"/>
  <c r="AJ220" i="6" s="1"/>
  <c r="AH228" i="6"/>
  <c r="AH227" i="6" s="1"/>
  <c r="AH220"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H210" i="5" s="1"/>
  <c r="AH209" i="5" s="1"/>
  <c r="AI214" i="5"/>
  <c r="AI211" i="5" s="1"/>
  <c r="AJ214" i="5"/>
  <c r="AJ211" i="5" s="1"/>
  <c r="AH241" i="5"/>
  <c r="AI241" i="5"/>
  <c r="AJ241" i="5"/>
  <c r="M12" i="5"/>
  <c r="N12" i="5"/>
  <c r="D23" i="7"/>
  <c r="D22" i="6"/>
  <c r="F23" i="6"/>
  <c r="N36" i="5"/>
  <c r="N35" i="5" s="1"/>
  <c r="M36" i="5"/>
  <c r="M35" i="5" s="1"/>
  <c r="D64" i="7"/>
  <c r="D63" i="6"/>
  <c r="F64" i="6"/>
  <c r="D71" i="8"/>
  <c r="D69" i="7"/>
  <c r="AI22" i="8"/>
  <c r="U170" i="9"/>
  <c r="C21" i="9"/>
  <c r="C19" i="9" s="1"/>
  <c r="C17" i="9" s="1"/>
  <c r="U112" i="11"/>
  <c r="U220" i="10"/>
  <c r="AL110" i="16"/>
  <c r="AF12" i="16"/>
  <c r="AF10" i="16" s="1"/>
  <c r="AF8" i="16" s="1"/>
  <c r="AL110" i="13"/>
  <c r="AL10" i="13" s="1"/>
  <c r="AL8" i="13" s="1"/>
  <c r="AM259" i="13" s="1"/>
  <c r="W106" i="14"/>
  <c r="W105" i="13"/>
  <c r="W104" i="13" s="1"/>
  <c r="G64" i="13"/>
  <c r="BD14" i="12"/>
  <c r="G76" i="11"/>
  <c r="I75" i="10"/>
  <c r="AD206" i="13"/>
  <c r="AB205" i="13"/>
  <c r="M34" i="11"/>
  <c r="N34" i="11"/>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I69" i="6" s="1"/>
  <c r="AI65" i="6" s="1"/>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D57" i="7"/>
  <c r="D79" i="8"/>
  <c r="D78" i="7"/>
  <c r="F78" i="7" s="1"/>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AC10" i="12"/>
  <c r="AC8" i="12" s="1"/>
  <c r="U43" i="12"/>
  <c r="U14" i="12" s="1"/>
  <c r="U232" i="12"/>
  <c r="U112" i="9"/>
  <c r="U112" i="8"/>
  <c r="U110" i="8" s="1"/>
  <c r="AH21" i="7"/>
  <c r="AI21" i="7"/>
  <c r="AJ21" i="7"/>
  <c r="AQ22" i="7"/>
  <c r="BN10" i="7"/>
  <c r="AH108" i="7"/>
  <c r="AJ108" i="7"/>
  <c r="AI108" i="7"/>
  <c r="AI142" i="7"/>
  <c r="AI141" i="7" s="1"/>
  <c r="AJ142" i="7"/>
  <c r="AJ141" i="7" s="1"/>
  <c r="X141" i="7"/>
  <c r="BN20" i="7" s="1"/>
  <c r="AH142" i="7"/>
  <c r="AH141" i="7" s="1"/>
  <c r="AJ218" i="7"/>
  <c r="AI218" i="7"/>
  <c r="AH218" i="7"/>
  <c r="AH210" i="7" s="1"/>
  <c r="AH209" i="7" s="1"/>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I16" i="6" s="1"/>
  <c r="AJ33" i="6"/>
  <c r="AH33" i="6"/>
  <c r="AI92" i="6"/>
  <c r="AI91" i="6" s="1"/>
  <c r="X91" i="6"/>
  <c r="X90" i="6" s="1"/>
  <c r="AH92" i="6"/>
  <c r="AH91" i="6" s="1"/>
  <c r="AJ92" i="6"/>
  <c r="AH108" i="6"/>
  <c r="AH104" i="6" s="1"/>
  <c r="AI108" i="6"/>
  <c r="AI104" i="6" s="1"/>
  <c r="AJ108" i="6"/>
  <c r="AJ166" i="6"/>
  <c r="AJ157" i="6" s="1"/>
  <c r="AJ155" i="6" s="1"/>
  <c r="AI166" i="6"/>
  <c r="AH166" i="6"/>
  <c r="AH157" i="6" s="1"/>
  <c r="AH155" i="6" s="1"/>
  <c r="M26" i="5"/>
  <c r="M25" i="5" s="1"/>
  <c r="BC11" i="5"/>
  <c r="AH29" i="5"/>
  <c r="AI29" i="5"/>
  <c r="AJ29" i="5"/>
  <c r="AH51" i="5"/>
  <c r="AH49" i="5" s="1"/>
  <c r="AI51" i="5"/>
  <c r="AI49" i="5" s="1"/>
  <c r="AJ51" i="5"/>
  <c r="AJ49" i="5" s="1"/>
  <c r="AH79" i="5"/>
  <c r="AI79" i="5"/>
  <c r="AJ79" i="5"/>
  <c r="AH101" i="5"/>
  <c r="AI101" i="5"/>
  <c r="AJ101" i="5"/>
  <c r="AH128" i="5"/>
  <c r="AI128" i="5"/>
  <c r="AJ128" i="5"/>
  <c r="AH151" i="5"/>
  <c r="AH149" i="5" s="1"/>
  <c r="AI151" i="5"/>
  <c r="AI149" i="5" s="1"/>
  <c r="AI147" i="5" s="1"/>
  <c r="AI145"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F74" i="12"/>
  <c r="BQ13" i="10"/>
  <c r="K37" i="20" s="1"/>
  <c r="AM12" i="10"/>
  <c r="AM10" i="10" s="1"/>
  <c r="AM8" i="10" s="1"/>
  <c r="N67" i="11"/>
  <c r="M67" i="11"/>
  <c r="W94" i="12"/>
  <c r="W91" i="11"/>
  <c r="W90" i="11" s="1"/>
  <c r="G70" i="12"/>
  <c r="I69" i="11"/>
  <c r="AB174" i="12"/>
  <c r="AD172" i="11"/>
  <c r="AI247" i="10"/>
  <c r="AH247" i="10"/>
  <c r="AJ25" i="7"/>
  <c r="AH25" i="7"/>
  <c r="AI25" i="7"/>
  <c r="X50" i="11"/>
  <c r="AH66" i="9"/>
  <c r="AJ66" i="9"/>
  <c r="AQ22" i="9"/>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I104" i="5" s="1"/>
  <c r="AJ108" i="5"/>
  <c r="AJ104" i="5" s="1"/>
  <c r="AH132" i="5"/>
  <c r="AI132" i="5"/>
  <c r="AJ132" i="5"/>
  <c r="AH158" i="5"/>
  <c r="AH157" i="5" s="1"/>
  <c r="AH155" i="5" s="1"/>
  <c r="AI158" i="5"/>
  <c r="AI157" i="5" s="1"/>
  <c r="AI155" i="5" s="1"/>
  <c r="AJ158" i="5"/>
  <c r="AH180" i="5"/>
  <c r="AH176" i="5" s="1"/>
  <c r="AI180" i="5"/>
  <c r="AI176" i="5" s="1"/>
  <c r="AJ180" i="5"/>
  <c r="AJ176" i="5" s="1"/>
  <c r="X205" i="5"/>
  <c r="X196" i="5" s="1"/>
  <c r="AH206" i="5"/>
  <c r="AH205" i="5" s="1"/>
  <c r="AI206" i="5"/>
  <c r="AI205" i="5" s="1"/>
  <c r="AJ206" i="5"/>
  <c r="AJ205" i="5" s="1"/>
  <c r="AH237" i="5"/>
  <c r="AH235" i="5" s="1"/>
  <c r="AH234" i="5" s="1"/>
  <c r="AI237" i="5"/>
  <c r="AJ237" i="5"/>
  <c r="AJ235" i="5" s="1"/>
  <c r="AJ234" i="5" s="1"/>
  <c r="AH255" i="5"/>
  <c r="AI255" i="5"/>
  <c r="AJ255" i="5"/>
  <c r="M23" i="5"/>
  <c r="M22" i="5" s="1"/>
  <c r="BC12" i="5"/>
  <c r="D43" i="8"/>
  <c r="D42" i="7"/>
  <c r="D49" i="9"/>
  <c r="D48" i="8"/>
  <c r="M64" i="5"/>
  <c r="M63" i="5" s="1"/>
  <c r="N64" i="5"/>
  <c r="N63" i="5" s="1"/>
  <c r="BC14" i="5"/>
  <c r="D76" i="7"/>
  <c r="D75" i="6"/>
  <c r="D83" i="9"/>
  <c r="D81" i="8"/>
  <c r="V46" i="7"/>
  <c r="V44" i="6"/>
  <c r="V43" i="6" s="1"/>
  <c r="V14" i="6" s="1"/>
  <c r="V92" i="8"/>
  <c r="V91" i="7"/>
  <c r="V90" i="7" s="1"/>
  <c r="V118" i="7"/>
  <c r="V114" i="6"/>
  <c r="V112" i="6" s="1"/>
  <c r="V110" i="6" s="1"/>
  <c r="V142" i="8"/>
  <c r="V141" i="7"/>
  <c r="V158" i="8"/>
  <c r="V157" i="7"/>
  <c r="V155" i="7" s="1"/>
  <c r="V201" i="8"/>
  <c r="V197" i="7"/>
  <c r="V196" i="7" s="1"/>
  <c r="V195" i="7" s="1"/>
  <c r="V214" i="8"/>
  <c r="V211" i="7"/>
  <c r="V210" i="7" s="1"/>
  <c r="V209" i="7" s="1"/>
  <c r="W39" i="8"/>
  <c r="W35" i="7"/>
  <c r="W51" i="8"/>
  <c r="W49" i="7"/>
  <c r="AG94" i="6"/>
  <c r="AE91" i="6"/>
  <c r="AE90" i="6" s="1"/>
  <c r="AE63" i="6" s="1"/>
  <c r="AE12" i="6" s="1"/>
  <c r="AE106" i="7"/>
  <c r="AG105" i="6"/>
  <c r="AG104" i="6" s="1"/>
  <c r="AG126" i="6"/>
  <c r="AE123" i="6"/>
  <c r="AE112" i="6" s="1"/>
  <c r="AE189" i="7"/>
  <c r="AG187" i="6"/>
  <c r="AG185" i="6" s="1"/>
  <c r="AJ189" i="6"/>
  <c r="AJ187" i="6" s="1"/>
  <c r="AJ185" i="6" s="1"/>
  <c r="X25" i="15"/>
  <c r="AH25" i="15" s="1"/>
  <c r="L40" i="20"/>
  <c r="L39" i="20" s="1"/>
  <c r="BQ15" i="11"/>
  <c r="BK10" i="11" s="1"/>
  <c r="C8" i="9"/>
  <c r="K8" i="8"/>
  <c r="L53" i="20"/>
  <c r="BK13" i="11"/>
  <c r="P53" i="20"/>
  <c r="BK13" i="15"/>
  <c r="P8" i="8"/>
  <c r="Q8" i="12"/>
  <c r="Q53" i="20"/>
  <c r="BK13" i="16"/>
  <c r="AC12" i="13"/>
  <c r="AC10" i="13" s="1"/>
  <c r="AI222" i="7"/>
  <c r="AJ22" i="11"/>
  <c r="AJ238" i="7"/>
  <c r="AH50" i="7"/>
  <c r="AH76" i="11"/>
  <c r="N75" i="6"/>
  <c r="AM12" i="16"/>
  <c r="AM10" i="16" s="1"/>
  <c r="AM8" i="16" s="1"/>
  <c r="AH83" i="6"/>
  <c r="AJ105" i="6"/>
  <c r="AF110" i="10"/>
  <c r="AC12" i="9"/>
  <c r="AC10" i="9" s="1"/>
  <c r="C21" i="16"/>
  <c r="C19" i="16" s="1"/>
  <c r="C17" i="16" s="1"/>
  <c r="AI68" i="13"/>
  <c r="AI57" i="9"/>
  <c r="X123" i="7"/>
  <c r="AH148" i="13"/>
  <c r="AI84" i="9"/>
  <c r="F48" i="8"/>
  <c r="AI92" i="7"/>
  <c r="N31" i="7"/>
  <c r="AI222" i="6"/>
  <c r="AI185" i="6"/>
  <c r="AJ68" i="16"/>
  <c r="AJ130" i="14"/>
  <c r="AI27" i="13"/>
  <c r="AI25" i="13"/>
  <c r="AH76" i="10"/>
  <c r="AH188" i="7"/>
  <c r="AH77" i="14"/>
  <c r="AJ74" i="7"/>
  <c r="AI24" i="9"/>
  <c r="M65" i="7"/>
  <c r="AB193" i="7"/>
  <c r="AQ29" i="5"/>
  <c r="AZ29" i="5" s="1"/>
  <c r="AH163" i="13"/>
  <c r="X179" i="13"/>
  <c r="AJ179" i="13" s="1"/>
  <c r="BE7" i="7"/>
  <c r="BF7" i="7" s="1"/>
  <c r="BF7" i="10" s="1"/>
  <c r="BF7" i="13" s="1"/>
  <c r="BF7" i="16" s="1"/>
  <c r="BL15" i="7"/>
  <c r="BL15" i="10" s="1"/>
  <c r="BL15" i="13" s="1"/>
  <c r="BL15" i="16" s="1"/>
  <c r="AC110" i="6"/>
  <c r="AH250" i="14"/>
  <c r="AB234" i="8"/>
  <c r="Z10" i="12"/>
  <c r="Z8" i="12" s="1"/>
  <c r="W244" i="7"/>
  <c r="W243" i="6"/>
  <c r="W232" i="6" s="1"/>
  <c r="AG244" i="6"/>
  <c r="AE243" i="6"/>
  <c r="AE232" i="6" s="1"/>
  <c r="T33" i="9"/>
  <c r="U232" i="13"/>
  <c r="AI24" i="7"/>
  <c r="AJ50" i="7"/>
  <c r="X91" i="7"/>
  <c r="AI255" i="14"/>
  <c r="U110" i="7"/>
  <c r="AI55" i="11"/>
  <c r="AJ120" i="11"/>
  <c r="X69" i="7"/>
  <c r="X65" i="7" s="1"/>
  <c r="AB110" i="6"/>
  <c r="AB10" i="6" s="1"/>
  <c r="AH107" i="9"/>
  <c r="AH105" i="9" s="1"/>
  <c r="AH104" i="9" s="1"/>
  <c r="AI124" i="14"/>
  <c r="AH217" i="16"/>
  <c r="AI121" i="13"/>
  <c r="AI134" i="10"/>
  <c r="AS28" i="5"/>
  <c r="AG193" i="5"/>
  <c r="AI218" i="14"/>
  <c r="C21" i="6"/>
  <c r="C19" i="6" s="1"/>
  <c r="C17" i="6" s="1"/>
  <c r="X179" i="12"/>
  <c r="X179" i="9"/>
  <c r="X179" i="14"/>
  <c r="AI179" i="14" s="1"/>
  <c r="X179" i="10"/>
  <c r="AC12" i="11"/>
  <c r="AC10" i="11" s="1"/>
  <c r="AC8" i="11" s="1"/>
  <c r="J49" i="20"/>
  <c r="AI71" i="10"/>
  <c r="AM10" i="12"/>
  <c r="AM8" i="12" s="1"/>
  <c r="O54" i="20"/>
  <c r="I38" i="20"/>
  <c r="AJ50" i="9"/>
  <c r="Y57" i="7"/>
  <c r="AI181" i="11"/>
  <c r="U232" i="11"/>
  <c r="AA244" i="6"/>
  <c r="Y243" i="6"/>
  <c r="Y232" i="6" s="1"/>
  <c r="H41" i="20"/>
  <c r="H39" i="20" s="1"/>
  <c r="BQ15" i="7"/>
  <c r="BK10" i="7" s="1"/>
  <c r="V244" i="7"/>
  <c r="V243" i="6"/>
  <c r="V232" i="6" s="1"/>
  <c r="Z258" i="11"/>
  <c r="AH24" i="7"/>
  <c r="AH149" i="7"/>
  <c r="Z12" i="7"/>
  <c r="Z10" i="7" s="1"/>
  <c r="Z8" i="7" s="1"/>
  <c r="W12" i="5"/>
  <c r="W10" i="5" s="1"/>
  <c r="AI83" i="6"/>
  <c r="AM10" i="5"/>
  <c r="AM8" i="5" s="1"/>
  <c r="AL12" i="6"/>
  <c r="AL10" i="6" s="1"/>
  <c r="AL8" i="6" s="1"/>
  <c r="AM259" i="6" s="1"/>
  <c r="AJ77" i="14"/>
  <c r="AI25" i="14"/>
  <c r="M49" i="8"/>
  <c r="AH76" i="9"/>
  <c r="N15" i="6"/>
  <c r="U63" i="7"/>
  <c r="AJ30" i="10"/>
  <c r="U196" i="13"/>
  <c r="U195" i="13" s="1"/>
  <c r="U193" i="13" s="1"/>
  <c r="AJ30" i="9"/>
  <c r="M72" i="7"/>
  <c r="X179" i="15"/>
  <c r="AF10" i="8"/>
  <c r="Z10" i="13"/>
  <c r="Z8" i="13" s="1"/>
  <c r="BQ25" i="9"/>
  <c r="BK12" i="9" s="1"/>
  <c r="U43" i="10"/>
  <c r="AH239" i="13"/>
  <c r="Z258" i="14"/>
  <c r="AD244" i="6"/>
  <c r="AB243" i="6"/>
  <c r="AB232" i="6" s="1"/>
  <c r="G55" i="7"/>
  <c r="I54" i="6"/>
  <c r="AC10" i="16"/>
  <c r="AC8" i="16" s="1"/>
  <c r="AH254" i="16"/>
  <c r="AH240" i="16"/>
  <c r="Z12" i="15"/>
  <c r="Z10" i="15" s="1"/>
  <c r="Z8" i="15" s="1"/>
  <c r="U112" i="15"/>
  <c r="U14" i="15"/>
  <c r="U170" i="15"/>
  <c r="U196" i="15"/>
  <c r="U195" i="15" s="1"/>
  <c r="U193" i="15" s="1"/>
  <c r="AL10" i="15"/>
  <c r="AL8" i="15" s="1"/>
  <c r="M58" i="16"/>
  <c r="AS22" i="15"/>
  <c r="AX22" i="15" s="1"/>
  <c r="U110" i="16"/>
  <c r="AJ148" i="15"/>
  <c r="Q32" i="20"/>
  <c r="Q49" i="20"/>
  <c r="AH126" i="14"/>
  <c r="AH253" i="14"/>
  <c r="AC10" i="14"/>
  <c r="AC8" i="14" s="1"/>
  <c r="AM10" i="14"/>
  <c r="AM8" i="14" s="1"/>
  <c r="AC12" i="15"/>
  <c r="AC10" i="15" s="1"/>
  <c r="AC8" i="15" s="1"/>
  <c r="AI252" i="14"/>
  <c r="AF14" i="13"/>
  <c r="AF12" i="13" s="1"/>
  <c r="AF10" i="13" s="1"/>
  <c r="BQ13" i="13"/>
  <c r="N37" i="20" s="1"/>
  <c r="U112" i="14"/>
  <c r="AH160" i="13"/>
  <c r="AI160" i="13"/>
  <c r="AI148" i="15"/>
  <c r="BL14" i="13"/>
  <c r="BL14" i="16" s="1"/>
  <c r="M67" i="14"/>
  <c r="AJ117" i="14"/>
  <c r="N39" i="20"/>
  <c r="AI239" i="15"/>
  <c r="E80" i="14"/>
  <c r="E78" i="14" s="1"/>
  <c r="W93" i="14"/>
  <c r="X93" i="14" s="1"/>
  <c r="AI93" i="14" s="1"/>
  <c r="AH120" i="14"/>
  <c r="AH148" i="15"/>
  <c r="U63" i="14"/>
  <c r="AH230" i="13"/>
  <c r="AF12" i="12"/>
  <c r="AF10" i="12" s="1"/>
  <c r="AF8" i="12" s="1"/>
  <c r="AI81" i="14"/>
  <c r="AH81" i="14"/>
  <c r="Y25" i="16"/>
  <c r="AA25" i="16" s="1"/>
  <c r="AH25" i="16" s="1"/>
  <c r="BN19" i="15"/>
  <c r="AH139" i="14"/>
  <c r="AI36" i="13"/>
  <c r="AI18" i="15"/>
  <c r="AJ31" i="14"/>
  <c r="AI247" i="14"/>
  <c r="AI77" i="13"/>
  <c r="N55" i="13"/>
  <c r="AJ148" i="14"/>
  <c r="AI101" i="15"/>
  <c r="E29" i="12"/>
  <c r="AH126" i="13"/>
  <c r="AI136" i="14"/>
  <c r="AH182" i="14"/>
  <c r="U196" i="12"/>
  <c r="U195" i="12" s="1"/>
  <c r="U193" i="12" s="1"/>
  <c r="AB29" i="16"/>
  <c r="AD29" i="16" s="1"/>
  <c r="AI29" i="16" s="1"/>
  <c r="AI29" i="15"/>
  <c r="AI95" i="15"/>
  <c r="AB95" i="16"/>
  <c r="AD95" i="16" s="1"/>
  <c r="Y33" i="15"/>
  <c r="AA33" i="15" s="1"/>
  <c r="AH33" i="14"/>
  <c r="M52" i="20"/>
  <c r="M49"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5"/>
  <c r="BQ13" i="12"/>
  <c r="M37" i="20" s="1"/>
  <c r="AH166" i="14"/>
  <c r="AH136" i="13"/>
  <c r="AH78" i="14"/>
  <c r="AI148" i="14"/>
  <c r="AI153" i="15"/>
  <c r="C28" i="13"/>
  <c r="AJ81" i="14"/>
  <c r="M36" i="20"/>
  <c r="M33"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I34" i="14"/>
  <c r="G32" i="14"/>
  <c r="G65" i="14"/>
  <c r="I77" i="14"/>
  <c r="Y230" i="14"/>
  <c r="AA227" i="13"/>
  <c r="AH191" i="13"/>
  <c r="AI191" i="13"/>
  <c r="AI218" i="13"/>
  <c r="AH218" i="13"/>
  <c r="AH191" i="15"/>
  <c r="AI191" i="15"/>
  <c r="AI218" i="15"/>
  <c r="AH218" i="15"/>
  <c r="AI255" i="15"/>
  <c r="AH255" i="15"/>
  <c r="AH191" i="14"/>
  <c r="AI191" i="14"/>
  <c r="AH47" i="13"/>
  <c r="AI47" i="13"/>
  <c r="AI128" i="15"/>
  <c r="AH128" i="15"/>
  <c r="AH101" i="14"/>
  <c r="AI101" i="14"/>
  <c r="AH128" i="14"/>
  <c r="AJ128" i="14"/>
  <c r="AJ108" i="14"/>
  <c r="V143" i="16"/>
  <c r="W206" i="16"/>
  <c r="W205" i="15"/>
  <c r="G59" i="14"/>
  <c r="I57" i="13"/>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W115" i="14"/>
  <c r="X115" i="14" s="1"/>
  <c r="AH115" i="14" s="1"/>
  <c r="AJ68" i="15"/>
  <c r="W114" i="13"/>
  <c r="U220" i="11"/>
  <c r="AH115" i="13"/>
  <c r="AI115" i="13"/>
  <c r="AH98" i="12"/>
  <c r="AI98" i="12"/>
  <c r="AI163" i="14"/>
  <c r="AI80" i="11"/>
  <c r="AH68" i="11"/>
  <c r="AC12" i="10"/>
  <c r="AC10" i="10" s="1"/>
  <c r="AC8" i="10" s="1"/>
  <c r="AH53" i="13"/>
  <c r="AH74" i="11"/>
  <c r="AI120" i="11"/>
  <c r="AH93" i="12"/>
  <c r="AH148" i="11"/>
  <c r="C21" i="10"/>
  <c r="C19" i="10" s="1"/>
  <c r="C17" i="10" s="1"/>
  <c r="C8" i="10" s="1"/>
  <c r="AI99" i="13"/>
  <c r="U145" i="10"/>
  <c r="U112" i="10"/>
  <c r="AF14" i="10"/>
  <c r="AF12" i="10" s="1"/>
  <c r="U196" i="11"/>
  <c r="U195" i="11" s="1"/>
  <c r="U193" i="11" s="1"/>
  <c r="U43" i="11"/>
  <c r="U14" i="11" s="1"/>
  <c r="AJ119" i="11"/>
  <c r="AH68" i="10"/>
  <c r="BQ15" i="10"/>
  <c r="AE131" i="16"/>
  <c r="AG131" i="16" s="1"/>
  <c r="AJ131" i="16" s="1"/>
  <c r="AJ84" i="14"/>
  <c r="AJ19" i="16"/>
  <c r="AI18" i="13"/>
  <c r="AH99" i="13"/>
  <c r="U170" i="11"/>
  <c r="Y43" i="12"/>
  <c r="AL10" i="10"/>
  <c r="AL8" i="10" s="1"/>
  <c r="AJ179" i="16"/>
  <c r="AJ153" i="16"/>
  <c r="AJ148" i="11"/>
  <c r="BN19" i="13"/>
  <c r="AI72" i="11"/>
  <c r="AJ72" i="11"/>
  <c r="AI202" i="15"/>
  <c r="AV11" i="10"/>
  <c r="AZ11" i="10"/>
  <c r="AH168" i="15"/>
  <c r="AH72" i="11"/>
  <c r="AH137" i="14"/>
  <c r="AI137" i="14"/>
  <c r="AJ31" i="13"/>
  <c r="AH31" i="13"/>
  <c r="AI31" i="13"/>
  <c r="AJ27" i="11"/>
  <c r="AI27" i="11"/>
  <c r="AH86" i="12"/>
  <c r="AI86" i="12"/>
  <c r="AI119" i="12"/>
  <c r="AH119" i="12"/>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AJ164" i="13"/>
  <c r="N58" i="15"/>
  <c r="M58" i="15"/>
  <c r="AH74" i="15"/>
  <c r="AJ74" i="15"/>
  <c r="AI189" i="11"/>
  <c r="AH189" i="11"/>
  <c r="AJ179" i="11"/>
  <c r="AI179" i="11"/>
  <c r="AI79" i="10"/>
  <c r="AB215" i="11"/>
  <c r="AD215" i="11" s="1"/>
  <c r="AI215" i="10"/>
  <c r="U170" i="10"/>
  <c r="AH81" i="15"/>
  <c r="AI81" i="15"/>
  <c r="AJ81" i="15"/>
  <c r="AI230" i="15"/>
  <c r="AJ138" i="13"/>
  <c r="AH138" i="13"/>
  <c r="AI138" i="13"/>
  <c r="AH164" i="13"/>
  <c r="C21" i="11"/>
  <c r="C19" i="11" s="1"/>
  <c r="C17" i="11" s="1"/>
  <c r="C8" i="11" s="1"/>
  <c r="AH52" i="13"/>
  <c r="AI203" i="11"/>
  <c r="AH182" i="15"/>
  <c r="AI182" i="15"/>
  <c r="AJ120" i="13"/>
  <c r="AH120" i="13"/>
  <c r="AI120" i="13"/>
  <c r="AJ148" i="13"/>
  <c r="BN18" i="13"/>
  <c r="M58" i="13"/>
  <c r="N58" i="13"/>
  <c r="AH52" i="12"/>
  <c r="AI52" i="12"/>
  <c r="AI129" i="12"/>
  <c r="AH129" i="12"/>
  <c r="AJ167" i="12"/>
  <c r="AH167"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BN26" i="11"/>
  <c r="AH212" i="11"/>
  <c r="D26" i="13"/>
  <c r="D25" i="12"/>
  <c r="V23" i="13"/>
  <c r="V48" i="13"/>
  <c r="V60" i="13"/>
  <c r="V58" i="12"/>
  <c r="V57" i="12" s="1"/>
  <c r="V94" i="13"/>
  <c r="V106" i="13"/>
  <c r="V105" i="12"/>
  <c r="V104" i="12" s="1"/>
  <c r="X106" i="12"/>
  <c r="V160" i="14"/>
  <c r="E56" i="13"/>
  <c r="E54" i="12"/>
  <c r="W143" i="13"/>
  <c r="W141" i="12"/>
  <c r="W215" i="13"/>
  <c r="W211" i="12"/>
  <c r="W210" i="12" s="1"/>
  <c r="W209" i="12" s="1"/>
  <c r="Y51" i="13"/>
  <c r="AA49" i="12"/>
  <c r="AB59" i="13"/>
  <c r="AD58" i="12"/>
  <c r="AD57" i="12" s="1"/>
  <c r="AH162" i="13"/>
  <c r="AI162" i="13"/>
  <c r="AJ153" i="15"/>
  <c r="AH256" i="11"/>
  <c r="AI256" i="11"/>
  <c r="AJ164" i="11"/>
  <c r="AI120" i="15"/>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H160" i="12"/>
  <c r="AI160" i="12"/>
  <c r="AI199" i="12"/>
  <c r="AH199" i="12"/>
  <c r="AI77" i="11"/>
  <c r="AJ77" i="11"/>
  <c r="BN19" i="11"/>
  <c r="AJ153" i="11"/>
  <c r="AH153" i="11"/>
  <c r="AI153" i="11"/>
  <c r="AI93" i="13"/>
  <c r="AH93" i="13"/>
  <c r="AH248" i="11"/>
  <c r="AI248" i="11"/>
  <c r="AI202" i="13"/>
  <c r="AH202" i="13"/>
  <c r="AH58" i="10"/>
  <c r="U63" i="11"/>
  <c r="AI77" i="15"/>
  <c r="AH77" i="15"/>
  <c r="AH164" i="15"/>
  <c r="AI164" i="15"/>
  <c r="AH130" i="13"/>
  <c r="AJ130" i="13"/>
  <c r="AI130" i="13"/>
  <c r="AH80" i="12"/>
  <c r="AI80" i="12"/>
  <c r="AI115" i="12"/>
  <c r="AI143" i="12"/>
  <c r="AH143" i="12"/>
  <c r="AI202" i="12"/>
  <c r="AH202" i="12"/>
  <c r="AH18" i="12"/>
  <c r="AI18" i="12"/>
  <c r="AJ18" i="12"/>
  <c r="AJ77" i="12"/>
  <c r="AI77" i="12"/>
  <c r="AI99" i="12"/>
  <c r="AH99" i="12"/>
  <c r="AH164" i="12"/>
  <c r="AI164" i="12"/>
  <c r="AJ164" i="12"/>
  <c r="AI239" i="12"/>
  <c r="AH239" i="12"/>
  <c r="AJ81" i="11"/>
  <c r="AH81" i="11"/>
  <c r="AI81" i="11"/>
  <c r="X105" i="11"/>
  <c r="X104" i="11" s="1"/>
  <c r="AH106" i="11"/>
  <c r="AI106" i="11"/>
  <c r="AH252" i="11"/>
  <c r="AI252" i="11"/>
  <c r="D33" i="14"/>
  <c r="V37" i="13"/>
  <c r="V53" i="14"/>
  <c r="V87" i="13"/>
  <c r="V99" i="14"/>
  <c r="V116" i="13"/>
  <c r="V199" i="13"/>
  <c r="E50" i="13"/>
  <c r="E48" i="12"/>
  <c r="E74" i="13"/>
  <c r="E72" i="12"/>
  <c r="W48" i="13"/>
  <c r="W86" i="13"/>
  <c r="W83" i="12"/>
  <c r="AB142" i="13"/>
  <c r="AD141" i="12"/>
  <c r="BP20" i="12" s="1"/>
  <c r="AF12" i="9"/>
  <c r="AF10" i="9" s="1"/>
  <c r="AF8" i="9" s="1"/>
  <c r="U90" i="10"/>
  <c r="U63" i="10" s="1"/>
  <c r="J36" i="20"/>
  <c r="J33" i="20" s="1"/>
  <c r="J32" i="20" s="1"/>
  <c r="J31" i="20" s="1"/>
  <c r="BQ9" i="9"/>
  <c r="BQ8" i="9" s="1"/>
  <c r="AJ130" i="15"/>
  <c r="AH189" i="13"/>
  <c r="AI186" i="14"/>
  <c r="AE139" i="16"/>
  <c r="AG139" i="16" s="1"/>
  <c r="AJ139" i="16" s="1"/>
  <c r="AI189" i="12"/>
  <c r="AI186" i="15"/>
  <c r="AZ11" i="9"/>
  <c r="AI179" i="13"/>
  <c r="AJ119" i="10"/>
  <c r="U14" i="9"/>
  <c r="AM12" i="9"/>
  <c r="AM10" i="9" s="1"/>
  <c r="AM8" i="9" s="1"/>
  <c r="W145" i="11"/>
  <c r="W220" i="11"/>
  <c r="AI80" i="16"/>
  <c r="BQ29" i="8"/>
  <c r="BK13" i="8" s="1"/>
  <c r="AF8" i="8"/>
  <c r="Y95" i="11"/>
  <c r="AA91" i="10"/>
  <c r="AE67" i="12"/>
  <c r="AG67" i="12" s="1"/>
  <c r="AJ67" i="11"/>
  <c r="AE129" i="10"/>
  <c r="AG129" i="10" s="1"/>
  <c r="AJ129" i="9"/>
  <c r="AZ11" i="11"/>
  <c r="AJ74" i="16"/>
  <c r="AH95" i="10"/>
  <c r="AJ156" i="14"/>
  <c r="AH248" i="15"/>
  <c r="AI248" i="15"/>
  <c r="N34" i="8"/>
  <c r="M34" i="8"/>
  <c r="M32" i="8" s="1"/>
  <c r="AH22" i="8"/>
  <c r="AJ22" i="8"/>
  <c r="AH23" i="12"/>
  <c r="AI23" i="12"/>
  <c r="AJ67" i="10"/>
  <c r="AJ163" i="16"/>
  <c r="AI57" i="11"/>
  <c r="V75" i="10"/>
  <c r="V75" i="11" s="1"/>
  <c r="V75" i="12" s="1"/>
  <c r="X75" i="9"/>
  <c r="AH75" i="9" s="1"/>
  <c r="AE117" i="16"/>
  <c r="AG117" i="16" s="1"/>
  <c r="AJ117" i="15"/>
  <c r="AA93" i="16"/>
  <c r="AH86" i="11"/>
  <c r="AI86" i="11"/>
  <c r="AH181" i="15"/>
  <c r="AH167" i="14"/>
  <c r="BN19" i="14"/>
  <c r="AG36" i="9"/>
  <c r="AE35" i="9"/>
  <c r="AE47" i="9"/>
  <c r="AG44" i="8"/>
  <c r="AG93" i="9"/>
  <c r="AE115" i="9"/>
  <c r="AJ115" i="8"/>
  <c r="AG143" i="9"/>
  <c r="AE141" i="9"/>
  <c r="AJ67" i="9"/>
  <c r="AJ167" i="14"/>
  <c r="AJ47" i="8"/>
  <c r="AB98" i="14"/>
  <c r="Y50" i="15"/>
  <c r="AA50" i="15" s="1"/>
  <c r="AH125" i="15"/>
  <c r="AI125" i="15"/>
  <c r="AH119" i="14"/>
  <c r="AH252" i="13"/>
  <c r="AI252" i="13"/>
  <c r="AH152" i="12"/>
  <c r="AI152" i="12"/>
  <c r="BQ15" i="8"/>
  <c r="BK10" i="8" s="1"/>
  <c r="I40" i="20"/>
  <c r="AE172" i="11"/>
  <c r="AG174" i="11"/>
  <c r="AG172" i="11" s="1"/>
  <c r="U63" i="9"/>
  <c r="W63" i="11"/>
  <c r="N48" i="8"/>
  <c r="AJ179" i="15"/>
  <c r="AI119" i="15"/>
  <c r="AH119" i="15"/>
  <c r="AH67" i="14"/>
  <c r="BN11" i="14"/>
  <c r="AH248" i="13"/>
  <c r="AI248" i="13"/>
  <c r="AH202" i="14"/>
  <c r="AI202" i="14"/>
  <c r="AH256" i="14"/>
  <c r="AI256" i="14"/>
  <c r="E62" i="13"/>
  <c r="E60" i="12"/>
  <c r="W23" i="13"/>
  <c r="W59" i="13"/>
  <c r="W58" i="12"/>
  <c r="W57" i="12" s="1"/>
  <c r="X59" i="12"/>
  <c r="W98" i="13"/>
  <c r="W96" i="12"/>
  <c r="W159" i="13"/>
  <c r="W157" i="12"/>
  <c r="W155" i="12" s="1"/>
  <c r="W188" i="13"/>
  <c r="W187" i="12"/>
  <c r="W185" i="12" s="1"/>
  <c r="W170" i="12" s="1"/>
  <c r="W223" i="13"/>
  <c r="W222" i="12"/>
  <c r="AA117" i="11"/>
  <c r="Y114" i="11"/>
  <c r="AA173" i="11"/>
  <c r="Y172" i="11"/>
  <c r="Y190" i="11"/>
  <c r="AA187" i="10"/>
  <c r="AA185" i="10" s="1"/>
  <c r="AA170" i="10" s="1"/>
  <c r="BO24" i="10" s="1"/>
  <c r="AA213" i="11"/>
  <c r="Y211" i="11"/>
  <c r="Y210" i="11" s="1"/>
  <c r="Y209" i="11" s="1"/>
  <c r="AA246" i="11"/>
  <c r="J30" i="9"/>
  <c r="L29" i="8"/>
  <c r="J44" i="9"/>
  <c r="L42" i="8"/>
  <c r="AS10" i="8" s="1"/>
  <c r="AX10" i="8"/>
  <c r="J56" i="9"/>
  <c r="L54" i="8"/>
  <c r="J68" i="9"/>
  <c r="L66" i="8"/>
  <c r="L80" i="9"/>
  <c r="J78" i="9"/>
  <c r="L78" i="9" s="1"/>
  <c r="AB46" i="9"/>
  <c r="AD44" i="8"/>
  <c r="AB66" i="11"/>
  <c r="AD66" i="11" s="1"/>
  <c r="AR22" i="10"/>
  <c r="BP10" i="10"/>
  <c r="AB92" i="9"/>
  <c r="AD91" i="8"/>
  <c r="AB117" i="9"/>
  <c r="AD114" i="8"/>
  <c r="AB150" i="9"/>
  <c r="AD149" i="8"/>
  <c r="AD147" i="8" s="1"/>
  <c r="AD188" i="9"/>
  <c r="AB187" i="9"/>
  <c r="AB185" i="9" s="1"/>
  <c r="AD229" i="9"/>
  <c r="AB227" i="9"/>
  <c r="AE26" i="10"/>
  <c r="AG26" i="10" s="1"/>
  <c r="AJ26" i="9"/>
  <c r="AH117" i="9"/>
  <c r="AJ117" i="9"/>
  <c r="AI80" i="15"/>
  <c r="AH80" i="15"/>
  <c r="AH102" i="15"/>
  <c r="AI102" i="15"/>
  <c r="AH129" i="15"/>
  <c r="AI129" i="15"/>
  <c r="AH52" i="14"/>
  <c r="AH125" i="14"/>
  <c r="AI125" i="14"/>
  <c r="AI159" i="12"/>
  <c r="AJ159" i="12"/>
  <c r="AH181" i="14"/>
  <c r="E44" i="13"/>
  <c r="E42" i="12"/>
  <c r="E68" i="13"/>
  <c r="E66" i="12"/>
  <c r="W37" i="13"/>
  <c r="X37" i="12"/>
  <c r="W52" i="15"/>
  <c r="W72" i="13"/>
  <c r="W69" i="12"/>
  <c r="W65" i="12" s="1"/>
  <c r="W115" i="15"/>
  <c r="W152" i="13"/>
  <c r="W149" i="12"/>
  <c r="W147" i="12" s="1"/>
  <c r="W177" i="14"/>
  <c r="W176" i="13"/>
  <c r="W198" i="13"/>
  <c r="W197" i="12"/>
  <c r="W196" i="12" s="1"/>
  <c r="W195" i="12" s="1"/>
  <c r="X198" i="12"/>
  <c r="W229" i="13"/>
  <c r="X229" i="13" s="1"/>
  <c r="W227" i="12"/>
  <c r="AA107" i="11"/>
  <c r="Y105" i="11"/>
  <c r="Y104" i="11" s="1"/>
  <c r="Y150" i="11"/>
  <c r="AA149" i="10"/>
  <c r="AA147" i="10" s="1"/>
  <c r="BO16" i="10" s="1"/>
  <c r="AA179" i="11"/>
  <c r="Y176" i="11"/>
  <c r="Y200" i="11"/>
  <c r="AA197" i="10"/>
  <c r="AA196" i="10" s="1"/>
  <c r="AA195" i="10" s="1"/>
  <c r="AA193" i="10" s="1"/>
  <c r="Y225" i="11"/>
  <c r="AA222" i="10"/>
  <c r="AA220" i="10" s="1"/>
  <c r="BO30" i="10" s="1"/>
  <c r="BI14" i="10" s="1"/>
  <c r="J36" i="9"/>
  <c r="L35" i="8"/>
  <c r="L50" i="9"/>
  <c r="J48" i="9"/>
  <c r="J62" i="9"/>
  <c r="L60" i="8"/>
  <c r="L74" i="9"/>
  <c r="J72" i="9"/>
  <c r="AB22" i="9"/>
  <c r="AD20" i="8"/>
  <c r="AD16" i="8" s="1"/>
  <c r="AB55" i="13"/>
  <c r="AD55" i="13" s="1"/>
  <c r="AI55" i="12"/>
  <c r="AB71" i="12"/>
  <c r="AD71" i="12" s="1"/>
  <c r="AI71" i="11"/>
  <c r="AB85" i="12"/>
  <c r="AD85" i="12" s="1"/>
  <c r="AB100" i="9"/>
  <c r="AD96" i="8"/>
  <c r="AD127" i="9"/>
  <c r="AI127" i="9" s="1"/>
  <c r="AB123" i="9"/>
  <c r="AB181" i="13"/>
  <c r="AD181" i="13" s="1"/>
  <c r="AI181" i="12"/>
  <c r="AB198" i="9"/>
  <c r="AD197" i="8"/>
  <c r="AD196" i="8" s="1"/>
  <c r="AD195" i="8" s="1"/>
  <c r="BP26" i="8"/>
  <c r="AB223" i="9"/>
  <c r="AD222" i="8"/>
  <c r="AD220" i="8" s="1"/>
  <c r="BP30" i="8" s="1"/>
  <c r="BJ14" i="8" s="1"/>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72" i="12"/>
  <c r="AJ72" i="12"/>
  <c r="AH72" i="12"/>
  <c r="AH223" i="12"/>
  <c r="AI248" i="14"/>
  <c r="AH248" i="14"/>
  <c r="F44" i="12"/>
  <c r="Y46" i="13"/>
  <c r="AA44" i="12"/>
  <c r="Y100" i="11"/>
  <c r="AA96" i="10"/>
  <c r="BO27" i="10"/>
  <c r="AE40" i="13"/>
  <c r="AG40" i="13" s="1"/>
  <c r="AJ40" i="12"/>
  <c r="AE59" i="9"/>
  <c r="AG58" i="8"/>
  <c r="AG57" i="8" s="1"/>
  <c r="AJ59" i="8"/>
  <c r="AJ58" i="8" s="1"/>
  <c r="AJ57" i="8" s="1"/>
  <c r="AE86" i="9"/>
  <c r="AJ86" i="8"/>
  <c r="AE98" i="9"/>
  <c r="AJ98" i="8"/>
  <c r="AE119" i="13"/>
  <c r="AG119" i="13" s="1"/>
  <c r="AJ119" i="12"/>
  <c r="AE137" i="13"/>
  <c r="AG137" i="13" s="1"/>
  <c r="AJ137" i="12"/>
  <c r="AE152" i="9"/>
  <c r="AG149" i="8"/>
  <c r="AG147" i="8" s="1"/>
  <c r="AJ152" i="8"/>
  <c r="I44" i="20"/>
  <c r="BR20" i="16"/>
  <c r="AI207" i="11"/>
  <c r="N55" i="12"/>
  <c r="AZ22" i="11"/>
  <c r="AJ134" i="10"/>
  <c r="AI228" i="8"/>
  <c r="AV11" i="9"/>
  <c r="AJ156" i="15"/>
  <c r="X75" i="10"/>
  <c r="X75" i="8"/>
  <c r="AL12" i="8"/>
  <c r="AL10" i="8" s="1"/>
  <c r="AL8" i="8" s="1"/>
  <c r="AM259" i="8" s="1"/>
  <c r="AI57" i="10"/>
  <c r="AD236" i="14"/>
  <c r="K8" i="9"/>
  <c r="H8" i="9"/>
  <c r="X197" i="7"/>
  <c r="AI198" i="7"/>
  <c r="AL8" i="7"/>
  <c r="AM259" i="7" s="1"/>
  <c r="AF63" i="7"/>
  <c r="AF12" i="7" s="1"/>
  <c r="AF10" i="7" s="1"/>
  <c r="BQ13" i="7"/>
  <c r="BO13" i="7"/>
  <c r="AH57" i="7"/>
  <c r="AJ130" i="16"/>
  <c r="AH104" i="8"/>
  <c r="R55" i="20"/>
  <c r="U232" i="7"/>
  <c r="BQ29" i="6"/>
  <c r="W258" i="5"/>
  <c r="W8" i="5"/>
  <c r="BO29" i="5"/>
  <c r="BI13" i="5" s="1"/>
  <c r="BQ29" i="5"/>
  <c r="BP29" i="5"/>
  <c r="BJ13" i="5" s="1"/>
  <c r="AC8" i="5"/>
  <c r="Z8" i="5"/>
  <c r="Z258" i="5"/>
  <c r="AI157" i="6"/>
  <c r="AI155" i="6" s="1"/>
  <c r="AI133" i="7"/>
  <c r="AH28" i="8"/>
  <c r="AJ57" i="7"/>
  <c r="N37" i="8"/>
  <c r="K8" i="7"/>
  <c r="K126" i="7" s="1"/>
  <c r="K130" i="7" s="1"/>
  <c r="AI57" i="7"/>
  <c r="AF195" i="7"/>
  <c r="AF193" i="7" s="1"/>
  <c r="BQ28" i="7"/>
  <c r="AI206" i="7"/>
  <c r="AI205" i="7" s="1"/>
  <c r="X205" i="7"/>
  <c r="AH206" i="7"/>
  <c r="AH205" i="7" s="1"/>
  <c r="AH167" i="7"/>
  <c r="AJ167" i="7"/>
  <c r="BN19" i="7"/>
  <c r="H8" i="7"/>
  <c r="BN29" i="5"/>
  <c r="BH13" i="5" s="1"/>
  <c r="M28" i="5"/>
  <c r="W110" i="6"/>
  <c r="AH222" i="8"/>
  <c r="AX28" i="5"/>
  <c r="U170" i="14"/>
  <c r="AH26" i="9"/>
  <c r="X190" i="15"/>
  <c r="W190" i="16"/>
  <c r="AE241" i="7"/>
  <c r="AG235" i="6"/>
  <c r="Y151" i="16"/>
  <c r="AD251" i="15"/>
  <c r="AI123" i="6"/>
  <c r="AH211" i="6"/>
  <c r="AH210" i="6" s="1"/>
  <c r="AH209" i="6" s="1"/>
  <c r="AH186" i="11"/>
  <c r="Y26" i="13"/>
  <c r="AA26" i="13" s="1"/>
  <c r="AH26" i="12"/>
  <c r="Y85" i="7"/>
  <c r="AA83" i="6"/>
  <c r="Y61" i="8"/>
  <c r="BO31" i="7"/>
  <c r="BI15" i="7" s="1"/>
  <c r="AE202" i="7"/>
  <c r="AG197" i="6"/>
  <c r="AG196" i="6" s="1"/>
  <c r="AG195" i="6" s="1"/>
  <c r="AI96" i="6"/>
  <c r="U63" i="15"/>
  <c r="U12" i="15" s="1"/>
  <c r="AE45" i="15"/>
  <c r="AG45" i="15" s="1"/>
  <c r="AJ45" i="14"/>
  <c r="AD118" i="15"/>
  <c r="Y68" i="13"/>
  <c r="AA68" i="13" s="1"/>
  <c r="AH68" i="12"/>
  <c r="AB151" i="16"/>
  <c r="U145" i="15"/>
  <c r="U170" i="13"/>
  <c r="Y76" i="13"/>
  <c r="AA76" i="13" s="1"/>
  <c r="AH76" i="12"/>
  <c r="AI84" i="15"/>
  <c r="AB84" i="16"/>
  <c r="AD84" i="16" s="1"/>
  <c r="AE212" i="7"/>
  <c r="AG211" i="6"/>
  <c r="AG210" i="6" s="1"/>
  <c r="AG209" i="6" s="1"/>
  <c r="AE174" i="12"/>
  <c r="F54" i="8"/>
  <c r="N56" i="8"/>
  <c r="N54" i="8" s="1"/>
  <c r="X90" i="7"/>
  <c r="N60" i="7"/>
  <c r="AE148" i="16"/>
  <c r="AG148" i="16" s="1"/>
  <c r="AI138" i="16"/>
  <c r="M48" i="8"/>
  <c r="AH49" i="6"/>
  <c r="AA110" i="6"/>
  <c r="AE165" i="15"/>
  <c r="AG165" i="15" s="1"/>
  <c r="AJ165" i="15" s="1"/>
  <c r="AH225" i="10"/>
  <c r="Y37" i="7"/>
  <c r="AA35" i="6"/>
  <c r="M45" i="6"/>
  <c r="AJ83" i="6"/>
  <c r="R11" i="20"/>
  <c r="R10" i="20" s="1"/>
  <c r="R9" i="20" s="1"/>
  <c r="AJ24" i="16"/>
  <c r="AJ235" i="6"/>
  <c r="AJ234" i="6" s="1"/>
  <c r="AJ166" i="16"/>
  <c r="AE53" i="10"/>
  <c r="AG53" i="10" s="1"/>
  <c r="AJ53" i="9"/>
  <c r="Y28" i="10"/>
  <c r="AA28" i="10" s="1"/>
  <c r="AH28" i="9"/>
  <c r="N32" i="6"/>
  <c r="AI47" i="16"/>
  <c r="Y70" i="10"/>
  <c r="AA70" i="10" s="1"/>
  <c r="AH70" i="9"/>
  <c r="AI225" i="11"/>
  <c r="X222" i="11"/>
  <c r="U14" i="10"/>
  <c r="U12" i="10" s="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AJ16" i="6" s="1"/>
  <c r="Y71" i="7"/>
  <c r="AA69" i="6"/>
  <c r="AA65" i="6" s="1"/>
  <c r="AH71" i="6"/>
  <c r="AH69" i="6" s="1"/>
  <c r="AH65" i="6" s="1"/>
  <c r="K8" i="6"/>
  <c r="N121" i="12"/>
  <c r="M121" i="12"/>
  <c r="D119" i="14"/>
  <c r="F119" i="13"/>
  <c r="D122" i="16"/>
  <c r="F122" i="16" s="1"/>
  <c r="F122" i="15"/>
  <c r="M124" i="13"/>
  <c r="N124" i="13"/>
  <c r="F123" i="15"/>
  <c r="D123" i="16"/>
  <c r="F123" i="16" s="1"/>
  <c r="Y27" i="7"/>
  <c r="AA20" i="6"/>
  <c r="AA16" i="6" s="1"/>
  <c r="AH27" i="6"/>
  <c r="AH20" i="6" s="1"/>
  <c r="AH16" i="6" s="1"/>
  <c r="AE70" i="7"/>
  <c r="AG69" i="6"/>
  <c r="AG65" i="6" s="1"/>
  <c r="AJ70" i="6"/>
  <c r="AJ69" i="6" s="1"/>
  <c r="AJ65" i="6" s="1"/>
  <c r="AB39" i="7"/>
  <c r="AD35" i="6"/>
  <c r="AD14" i="6" s="1"/>
  <c r="AE52" i="7"/>
  <c r="AG49" i="6"/>
  <c r="AG43" i="6" s="1"/>
  <c r="F82" i="10"/>
  <c r="E115" i="15"/>
  <c r="E113" i="14"/>
  <c r="D121" i="14"/>
  <c r="F121" i="13"/>
  <c r="F124" i="14"/>
  <c r="D124" i="15"/>
  <c r="M123" i="14"/>
  <c r="N123" i="14"/>
  <c r="D116" i="14"/>
  <c r="F116" i="13"/>
  <c r="AJ117" i="16"/>
  <c r="U145" i="13"/>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W110" i="7" s="1"/>
  <c r="AB167" i="7"/>
  <c r="AD157" i="6"/>
  <c r="AD155" i="6" s="1"/>
  <c r="BP19" i="6"/>
  <c r="U110" i="11"/>
  <c r="U110" i="6"/>
  <c r="U10" i="6" s="1"/>
  <c r="U8" i="6" s="1"/>
  <c r="AI176" i="6"/>
  <c r="U110" i="14"/>
  <c r="AJ115" i="6"/>
  <c r="AJ114" i="6" s="1"/>
  <c r="AI115" i="6"/>
  <c r="AI114" i="6" s="1"/>
  <c r="AH115" i="6"/>
  <c r="AH114" i="6" s="1"/>
  <c r="X114" i="6"/>
  <c r="U12" i="5"/>
  <c r="U10" i="5" s="1"/>
  <c r="U258" i="5" s="1"/>
  <c r="U12" i="7"/>
  <c r="U10" i="7" s="1"/>
  <c r="AI43" i="5"/>
  <c r="U12" i="11"/>
  <c r="AV22" i="11"/>
  <c r="N42" i="7"/>
  <c r="C28" i="15"/>
  <c r="C21" i="15" s="1"/>
  <c r="C19" i="15" s="1"/>
  <c r="C17" i="15" s="1"/>
  <c r="C8" i="15" s="1"/>
  <c r="AQ16" i="6"/>
  <c r="AH188" i="8"/>
  <c r="AH187" i="8" s="1"/>
  <c r="AH185" i="8" s="1"/>
  <c r="AI188" i="8"/>
  <c r="X187" i="8"/>
  <c r="X185" i="8" s="1"/>
  <c r="I33" i="20"/>
  <c r="I32" i="20" s="1"/>
  <c r="I31" i="20" s="1"/>
  <c r="N68" i="8"/>
  <c r="N66" i="8" s="1"/>
  <c r="F66" i="8"/>
  <c r="BQ25" i="8"/>
  <c r="BK12" i="8" s="1"/>
  <c r="I51" i="20"/>
  <c r="AC12" i="8"/>
  <c r="AC10" i="8" s="1"/>
  <c r="AC8" i="8" s="1"/>
  <c r="BC17" i="6"/>
  <c r="D100" i="15"/>
  <c r="F100" i="14"/>
  <c r="F87" i="14"/>
  <c r="D87" i="15"/>
  <c r="F101" i="15"/>
  <c r="D101" i="16"/>
  <c r="F101" i="16" s="1"/>
  <c r="F91" i="14"/>
  <c r="D91" i="15"/>
  <c r="N92" i="12"/>
  <c r="M92" i="12"/>
  <c r="M86" i="12"/>
  <c r="F85" i="12"/>
  <c r="AJ74" i="13"/>
  <c r="AI74" i="13"/>
  <c r="AH74" i="13"/>
  <c r="X229" i="11"/>
  <c r="D89" i="16"/>
  <c r="F89" i="16" s="1"/>
  <c r="AQ12" i="16" s="1"/>
  <c r="F89" i="15"/>
  <c r="F99" i="13"/>
  <c r="D99" i="14"/>
  <c r="D106" i="15"/>
  <c r="F106" i="14"/>
  <c r="E95" i="15"/>
  <c r="E94" i="14"/>
  <c r="AH189" i="14"/>
  <c r="AI189" i="14"/>
  <c r="N109" i="13"/>
  <c r="M109" i="13"/>
  <c r="D88" i="14"/>
  <c r="F88" i="13"/>
  <c r="AI186" i="9"/>
  <c r="AH186" i="9"/>
  <c r="BD18" i="9"/>
  <c r="G95" i="10"/>
  <c r="I94" i="9"/>
  <c r="M95" i="9"/>
  <c r="M94" i="9" s="1"/>
  <c r="D96" i="14"/>
  <c r="F96" i="13"/>
  <c r="AH207" i="7"/>
  <c r="AI207" i="7"/>
  <c r="AI238" i="7"/>
  <c r="AI235" i="7" s="1"/>
  <c r="AI234" i="7" s="1"/>
  <c r="AH238" i="7"/>
  <c r="V73" i="9"/>
  <c r="V69" i="8"/>
  <c r="V65" i="8" s="1"/>
  <c r="Y161" i="10"/>
  <c r="AA161" i="10" s="1"/>
  <c r="AH161" i="9"/>
  <c r="V135" i="9"/>
  <c r="V123" i="8"/>
  <c r="AB75" i="8"/>
  <c r="AD69" i="7"/>
  <c r="AD65" i="7" s="1"/>
  <c r="X207" i="8"/>
  <c r="AJ207" i="8" s="1"/>
  <c r="K36" i="20"/>
  <c r="K33" i="20" s="1"/>
  <c r="K32" i="20" s="1"/>
  <c r="K31" i="20" s="1"/>
  <c r="BQ9" i="10"/>
  <c r="BQ15" i="14"/>
  <c r="BK10" i="14" s="1"/>
  <c r="O40" i="20"/>
  <c r="O39" i="20" s="1"/>
  <c r="H46" i="20"/>
  <c r="AJ174" i="7"/>
  <c r="AJ172" i="7" s="1"/>
  <c r="AH174" i="7"/>
  <c r="AH172" i="7" s="1"/>
  <c r="AI174" i="7"/>
  <c r="AI172" i="7" s="1"/>
  <c r="BN31" i="7"/>
  <c r="BH15" i="7" s="1"/>
  <c r="AH228" i="7"/>
  <c r="AI228" i="7"/>
  <c r="X227" i="7"/>
  <c r="X220" i="7" s="1"/>
  <c r="V237" i="9"/>
  <c r="V235" i="8"/>
  <c r="V234" i="8" s="1"/>
  <c r="AE162" i="10"/>
  <c r="AG162" i="10" s="1"/>
  <c r="AJ162" i="9"/>
  <c r="AF63" i="11"/>
  <c r="AF12" i="11" s="1"/>
  <c r="AF10" i="11" s="1"/>
  <c r="AF8" i="11" s="1"/>
  <c r="BQ13" i="11"/>
  <c r="L37" i="20" s="1"/>
  <c r="L32" i="20" s="1"/>
  <c r="L31" i="20" s="1"/>
  <c r="AL12" i="11"/>
  <c r="AV22" i="6"/>
  <c r="AU22" i="6"/>
  <c r="O36" i="20"/>
  <c r="O33" i="20" s="1"/>
  <c r="O32" i="20" s="1"/>
  <c r="O31" i="20" s="1"/>
  <c r="BQ9" i="14"/>
  <c r="L52" i="20"/>
  <c r="BQ25" i="11"/>
  <c r="BK12" i="11" s="1"/>
  <c r="AH43" i="6"/>
  <c r="BR24" i="16"/>
  <c r="BR22" i="16" s="1"/>
  <c r="K48" i="20"/>
  <c r="K46" i="20" s="1"/>
  <c r="AJ38" i="16"/>
  <c r="AH220" i="5"/>
  <c r="C21" i="13"/>
  <c r="AH17" i="16"/>
  <c r="M66" i="6"/>
  <c r="M72" i="6"/>
  <c r="N66" i="6"/>
  <c r="M69" i="6"/>
  <c r="AZ22" i="14"/>
  <c r="M87" i="13"/>
  <c r="N87" i="13"/>
  <c r="N101" i="14"/>
  <c r="M101" i="14"/>
  <c r="N91" i="13"/>
  <c r="M91" i="13"/>
  <c r="N107" i="12"/>
  <c r="M107" i="12"/>
  <c r="D86" i="14"/>
  <c r="F86" i="13"/>
  <c r="D85" i="13"/>
  <c r="AJ179" i="12"/>
  <c r="AI179" i="12"/>
  <c r="AI178" i="9"/>
  <c r="AH178" i="9"/>
  <c r="M89" i="14"/>
  <c r="N89" i="14"/>
  <c r="AQ12" i="14"/>
  <c r="N99" i="12"/>
  <c r="M99" i="12"/>
  <c r="E86" i="14"/>
  <c r="E85" i="13"/>
  <c r="N106" i="13"/>
  <c r="M106" i="13"/>
  <c r="D109" i="15"/>
  <c r="F109" i="14"/>
  <c r="E105" i="14"/>
  <c r="E104" i="13"/>
  <c r="F108" i="13"/>
  <c r="D108" i="14"/>
  <c r="X229" i="9"/>
  <c r="BC19" i="12"/>
  <c r="F104" i="12"/>
  <c r="N98" i="12"/>
  <c r="M98" i="12"/>
  <c r="D95" i="14"/>
  <c r="F95" i="13"/>
  <c r="D94" i="13"/>
  <c r="F110" i="13"/>
  <c r="D110" i="14"/>
  <c r="J41" i="7"/>
  <c r="L41" i="7" s="1"/>
  <c r="AX14" i="6"/>
  <c r="X187" i="7"/>
  <c r="X185" i="7" s="1"/>
  <c r="V177" i="9"/>
  <c r="V176" i="8"/>
  <c r="X177" i="8"/>
  <c r="V207" i="13"/>
  <c r="V238" i="9"/>
  <c r="X238" i="8"/>
  <c r="BE21" i="7"/>
  <c r="H25" i="20" s="1"/>
  <c r="B24" i="8"/>
  <c r="H128" i="8" s="1"/>
  <c r="H126" i="8" s="1"/>
  <c r="H130" i="8" s="1"/>
  <c r="BQ22" i="9"/>
  <c r="BK11" i="9" s="1"/>
  <c r="J48" i="20"/>
  <c r="J46" i="20" s="1"/>
  <c r="AH178" i="7"/>
  <c r="AI178" i="7"/>
  <c r="X229" i="12"/>
  <c r="AH179" i="7"/>
  <c r="AI179" i="7"/>
  <c r="AJ179" i="7"/>
  <c r="X229" i="8"/>
  <c r="N36" i="20"/>
  <c r="N33" i="20" s="1"/>
  <c r="BQ9" i="13"/>
  <c r="Z12" i="16"/>
  <c r="Z10" i="16" s="1"/>
  <c r="Z8" i="16" s="1"/>
  <c r="I48" i="20"/>
  <c r="I46" i="20" s="1"/>
  <c r="BQ22" i="8"/>
  <c r="BK11" i="8" s="1"/>
  <c r="BK9" i="16"/>
  <c r="Q38" i="20"/>
  <c r="Q31" i="20" s="1"/>
  <c r="Q30" i="20" s="1"/>
  <c r="Q56" i="20" s="1"/>
  <c r="BR14" i="16"/>
  <c r="BQ22" i="7"/>
  <c r="V228" i="9"/>
  <c r="V227" i="8"/>
  <c r="V220" i="8" s="1"/>
  <c r="AH174" i="8"/>
  <c r="AH172" i="8" s="1"/>
  <c r="AI174" i="8"/>
  <c r="AI172" i="8" s="1"/>
  <c r="AJ174" i="8"/>
  <c r="AJ172" i="8" s="1"/>
  <c r="AF63" i="15"/>
  <c r="AF12" i="15" s="1"/>
  <c r="AF10" i="15" s="1"/>
  <c r="AF8" i="15" s="1"/>
  <c r="BQ13" i="15"/>
  <c r="M46" i="20"/>
  <c r="BR17" i="16"/>
  <c r="V12" i="5"/>
  <c r="V10" i="5" s="1"/>
  <c r="AF110" i="5"/>
  <c r="AF10" i="5" s="1"/>
  <c r="AF8" i="5" s="1"/>
  <c r="AH222" i="9"/>
  <c r="F111" i="13"/>
  <c r="D111" i="14"/>
  <c r="N102" i="12"/>
  <c r="M102" i="12"/>
  <c r="D107" i="14"/>
  <c r="F107" i="13"/>
  <c r="AI179" i="15"/>
  <c r="X229" i="10"/>
  <c r="AH189" i="7"/>
  <c r="AI189" i="7"/>
  <c r="AH189" i="9"/>
  <c r="AI189" i="9"/>
  <c r="N90" i="13"/>
  <c r="M90" i="13"/>
  <c r="AQ13" i="13"/>
  <c r="J12" i="7"/>
  <c r="L12" i="7" s="1"/>
  <c r="N12" i="6"/>
  <c r="AJ75" i="9"/>
  <c r="L95" i="10"/>
  <c r="J94" i="10"/>
  <c r="N108" i="12"/>
  <c r="M108" i="12"/>
  <c r="AH74" i="14"/>
  <c r="AJ74" i="14"/>
  <c r="AH186" i="7"/>
  <c r="AI186" i="7"/>
  <c r="F97" i="15"/>
  <c r="D97" i="16"/>
  <c r="F97" i="16" s="1"/>
  <c r="D105" i="14"/>
  <c r="F105" i="13"/>
  <c r="D104" i="13"/>
  <c r="D98" i="14"/>
  <c r="F98" i="13"/>
  <c r="BC18" i="12"/>
  <c r="F94" i="12"/>
  <c r="N110" i="12"/>
  <c r="M110" i="12"/>
  <c r="AI207" i="12"/>
  <c r="AH207" i="12"/>
  <c r="AD195" i="7"/>
  <c r="BP28" i="7"/>
  <c r="AH229" i="7"/>
  <c r="AI229" i="7"/>
  <c r="P48" i="20"/>
  <c r="P46" i="20" s="1"/>
  <c r="BQ22" i="15"/>
  <c r="BK11" i="15" s="1"/>
  <c r="AB216" i="8"/>
  <c r="AI216" i="7"/>
  <c r="AI211" i="7" s="1"/>
  <c r="AI210" i="7" s="1"/>
  <c r="AI209" i="7" s="1"/>
  <c r="AD211" i="7"/>
  <c r="AD210" i="7" s="1"/>
  <c r="AD209" i="7" s="1"/>
  <c r="AR29" i="7" s="1"/>
  <c r="AH135" i="7"/>
  <c r="AJ135" i="7"/>
  <c r="AI135" i="7"/>
  <c r="AE161" i="8"/>
  <c r="AJ161" i="7"/>
  <c r="X73" i="8"/>
  <c r="AI75" i="7"/>
  <c r="AI69" i="7" s="1"/>
  <c r="AI65" i="7" s="1"/>
  <c r="AH75" i="7"/>
  <c r="AJ75" i="7"/>
  <c r="V174" i="9"/>
  <c r="V172" i="8"/>
  <c r="AE124" i="8"/>
  <c r="X179" i="8"/>
  <c r="BQ22" i="12"/>
  <c r="AI187" i="8"/>
  <c r="AI185" i="8" s="1"/>
  <c r="BQ25" i="15"/>
  <c r="P52" i="20"/>
  <c r="P49" i="20" s="1"/>
  <c r="AJ43" i="5"/>
  <c r="BD17" i="6"/>
  <c r="AW14" i="6"/>
  <c r="N100" i="13"/>
  <c r="M100" i="13"/>
  <c r="N111" i="12"/>
  <c r="M111" i="12"/>
  <c r="D102" i="14"/>
  <c r="F102" i="13"/>
  <c r="D92" i="14"/>
  <c r="F92" i="13"/>
  <c r="AH207" i="9"/>
  <c r="AI207" i="9"/>
  <c r="J86" i="10"/>
  <c r="L85" i="9"/>
  <c r="N86" i="9"/>
  <c r="N85" i="9" s="1"/>
  <c r="J105" i="10"/>
  <c r="L104" i="9"/>
  <c r="N105" i="9"/>
  <c r="N104" i="9" s="1"/>
  <c r="D90" i="15"/>
  <c r="F90" i="14"/>
  <c r="BD19" i="9"/>
  <c r="G105" i="10"/>
  <c r="I104" i="9"/>
  <c r="M105" i="9"/>
  <c r="M104" i="9" s="1"/>
  <c r="AI186" i="10"/>
  <c r="AH186" i="10"/>
  <c r="AH179" i="9"/>
  <c r="AI179" i="9"/>
  <c r="AJ179" i="9"/>
  <c r="N88" i="12"/>
  <c r="AQ11" i="12"/>
  <c r="N97" i="14"/>
  <c r="M97" i="14"/>
  <c r="M96" i="12"/>
  <c r="N96" i="12"/>
  <c r="AI186" i="13"/>
  <c r="AH186" i="13"/>
  <c r="AJ177" i="7"/>
  <c r="AH177" i="7"/>
  <c r="AI177" i="7"/>
  <c r="BN23" i="7"/>
  <c r="V188" i="9"/>
  <c r="V187" i="8"/>
  <c r="V185" i="8" s="1"/>
  <c r="AE80" i="8"/>
  <c r="P36" i="20"/>
  <c r="P33" i="20" s="1"/>
  <c r="BQ9" i="15"/>
  <c r="P40" i="20"/>
  <c r="P39" i="20" s="1"/>
  <c r="BQ15" i="15"/>
  <c r="BK10" i="15" s="1"/>
  <c r="L48" i="20"/>
  <c r="L46" i="20" s="1"/>
  <c r="BQ22" i="11"/>
  <c r="BK11" i="11" s="1"/>
  <c r="AI179" i="16"/>
  <c r="O51" i="20"/>
  <c r="O49" i="20" s="1"/>
  <c r="BQ25" i="14"/>
  <c r="BK12" i="14" s="1"/>
  <c r="AI197" i="6"/>
  <c r="AI196" i="6" s="1"/>
  <c r="AI195" i="6" s="1"/>
  <c r="N128" i="6"/>
  <c r="M67" i="16"/>
  <c r="M67" i="15"/>
  <c r="N67" i="13"/>
  <c r="C21" i="12"/>
  <c r="C19" i="12" s="1"/>
  <c r="C17" i="12" s="1"/>
  <c r="C8" i="12" s="1"/>
  <c r="C21" i="14"/>
  <c r="C19" i="14" s="1"/>
  <c r="C17" i="14" s="1"/>
  <c r="C8" i="14" s="1"/>
  <c r="AV10" i="6"/>
  <c r="AU10" i="6"/>
  <c r="AZ10" i="6"/>
  <c r="AY10" i="5"/>
  <c r="AU10" i="5"/>
  <c r="AZ10" i="5"/>
  <c r="AV10" i="5"/>
  <c r="AU7" i="5"/>
  <c r="AV7" i="5"/>
  <c r="BC7" i="5"/>
  <c r="AQ16" i="5"/>
  <c r="I24" i="6"/>
  <c r="G22" i="6"/>
  <c r="AU11" i="8"/>
  <c r="J27" i="7"/>
  <c r="J128" i="7" s="1"/>
  <c r="AX8" i="6"/>
  <c r="L25" i="6"/>
  <c r="AS8" i="6" s="1"/>
  <c r="I27" i="6"/>
  <c r="G128" i="6"/>
  <c r="G25" i="6"/>
  <c r="G21" i="6" s="1"/>
  <c r="G19" i="6" s="1"/>
  <c r="G17" i="6" s="1"/>
  <c r="G8" i="6" s="1"/>
  <c r="I88" i="10"/>
  <c r="G85" i="10"/>
  <c r="M33" i="7"/>
  <c r="M32" i="7" s="1"/>
  <c r="F32" i="7"/>
  <c r="BC10" i="5"/>
  <c r="BC9" i="5" s="1"/>
  <c r="BC8" i="5" s="1"/>
  <c r="F82" i="11"/>
  <c r="F82" i="13"/>
  <c r="M82" i="13" s="1"/>
  <c r="F82" i="12"/>
  <c r="M82" i="12" s="1"/>
  <c r="F82" i="14"/>
  <c r="M82" i="14" s="1"/>
  <c r="F82" i="15"/>
  <c r="N70" i="11"/>
  <c r="M70" i="11"/>
  <c r="M58" i="10"/>
  <c r="N58" i="10"/>
  <c r="M67" i="12"/>
  <c r="N67" i="12"/>
  <c r="N55" i="15"/>
  <c r="M58" i="12"/>
  <c r="N58" i="12"/>
  <c r="L37" i="10"/>
  <c r="E37" i="11"/>
  <c r="E35" i="10"/>
  <c r="G44" i="12"/>
  <c r="I42" i="11"/>
  <c r="AR10" i="11" s="1"/>
  <c r="AW10" i="11"/>
  <c r="N70" i="15"/>
  <c r="N58" i="11"/>
  <c r="M58" i="11"/>
  <c r="N82" i="9"/>
  <c r="M82" i="9"/>
  <c r="N70" i="10"/>
  <c r="M70" i="10"/>
  <c r="N55" i="9"/>
  <c r="N70" i="12"/>
  <c r="M58" i="9"/>
  <c r="N58" i="9"/>
  <c r="J31" i="11"/>
  <c r="E31" i="14"/>
  <c r="E29" i="13"/>
  <c r="I50" i="10"/>
  <c r="G48" i="10"/>
  <c r="N31" i="8"/>
  <c r="P128" i="8"/>
  <c r="P126" i="8" s="1"/>
  <c r="P130" i="8" s="1"/>
  <c r="C128" i="8"/>
  <c r="M65" i="8"/>
  <c r="F32" i="9"/>
  <c r="M33" i="9"/>
  <c r="M32" i="9" s="1"/>
  <c r="N37" i="7"/>
  <c r="M37" i="7"/>
  <c r="N83" i="7"/>
  <c r="N81" i="7" s="1"/>
  <c r="M83" i="7"/>
  <c r="M81" i="7" s="1"/>
  <c r="F81" i="7"/>
  <c r="E53" i="9"/>
  <c r="E51" i="8"/>
  <c r="E77" i="9"/>
  <c r="E75" i="8"/>
  <c r="F77" i="8"/>
  <c r="I52" i="8"/>
  <c r="G51" i="8"/>
  <c r="I68" i="8"/>
  <c r="G66" i="8"/>
  <c r="I80" i="9"/>
  <c r="G78" i="9"/>
  <c r="I78" i="9" s="1"/>
  <c r="D37" i="9"/>
  <c r="E59" i="9"/>
  <c r="E57" i="8"/>
  <c r="M47" i="7"/>
  <c r="N47" i="7"/>
  <c r="N45" i="7" s="1"/>
  <c r="F45" i="7"/>
  <c r="F69" i="7"/>
  <c r="M71" i="7"/>
  <c r="M69" i="7" s="1"/>
  <c r="N71" i="7"/>
  <c r="N69" i="7" s="1"/>
  <c r="E26" i="9"/>
  <c r="E25" i="8"/>
  <c r="D13" i="9"/>
  <c r="I37" i="8"/>
  <c r="G35" i="8"/>
  <c r="L33" i="8"/>
  <c r="J32" i="8"/>
  <c r="J28" i="8" s="1"/>
  <c r="L65" i="8"/>
  <c r="J63" i="8"/>
  <c r="M42" i="7"/>
  <c r="N54" i="7"/>
  <c r="M13" i="7"/>
  <c r="BC11" i="7"/>
  <c r="M26" i="7"/>
  <c r="N26" i="7"/>
  <c r="F25" i="7"/>
  <c r="AQ8" i="7" s="1"/>
  <c r="F13" i="8"/>
  <c r="M59" i="7"/>
  <c r="M57" i="7" s="1"/>
  <c r="N59" i="7"/>
  <c r="N57" i="7" s="1"/>
  <c r="F57" i="7"/>
  <c r="D31" i="9"/>
  <c r="E47" i="9"/>
  <c r="E45" i="8"/>
  <c r="L71" i="8"/>
  <c r="J69" i="8"/>
  <c r="D56" i="9"/>
  <c r="D54" i="8"/>
  <c r="E14" i="9"/>
  <c r="E10" i="8"/>
  <c r="I46" i="8"/>
  <c r="G45" i="8"/>
  <c r="L47" i="8"/>
  <c r="N47" i="8" s="1"/>
  <c r="J45" i="8"/>
  <c r="L59" i="8"/>
  <c r="J57" i="8"/>
  <c r="L83" i="8"/>
  <c r="J81" i="8"/>
  <c r="E83" i="9"/>
  <c r="E81" i="8"/>
  <c r="L26" i="8"/>
  <c r="D68" i="9"/>
  <c r="D66" i="8"/>
  <c r="L53" i="8"/>
  <c r="J51" i="8"/>
  <c r="L77" i="8"/>
  <c r="J75" i="8"/>
  <c r="M45" i="7"/>
  <c r="N53" i="7"/>
  <c r="N51" i="7" s="1"/>
  <c r="M53" i="7"/>
  <c r="M51" i="7" s="1"/>
  <c r="F51" i="7"/>
  <c r="E65" i="9"/>
  <c r="E63" i="8"/>
  <c r="F26" i="8"/>
  <c r="I62" i="8"/>
  <c r="G60" i="8"/>
  <c r="I74" i="8"/>
  <c r="G72" i="8"/>
  <c r="E33" i="10"/>
  <c r="E32" i="9"/>
  <c r="E28" i="9" s="1"/>
  <c r="E71" i="9"/>
  <c r="E69" i="8"/>
  <c r="F83" i="8"/>
  <c r="M60" i="7"/>
  <c r="N14" i="8"/>
  <c r="K128" i="8"/>
  <c r="K126" i="8" s="1"/>
  <c r="K130" i="8" s="1"/>
  <c r="F24" i="7"/>
  <c r="BC21" i="7" s="1"/>
  <c r="L24" i="7"/>
  <c r="J22" i="7"/>
  <c r="J14" i="10"/>
  <c r="L14" i="10" s="1"/>
  <c r="Q128" i="8"/>
  <c r="Q126" i="8" s="1"/>
  <c r="Q130" i="8" s="1"/>
  <c r="E24" i="8"/>
  <c r="E22" i="7"/>
  <c r="E21" i="7" s="1"/>
  <c r="E19" i="7" s="1"/>
  <c r="E17" i="7" s="1"/>
  <c r="E8" i="7" s="1"/>
  <c r="D24" i="8"/>
  <c r="D22" i="7"/>
  <c r="N42" i="6"/>
  <c r="N45" i="6"/>
  <c r="N25" i="6"/>
  <c r="J13" i="7"/>
  <c r="L10" i="6"/>
  <c r="J15" i="8"/>
  <c r="L15" i="8" s="1"/>
  <c r="N15" i="7"/>
  <c r="AH57" i="6"/>
  <c r="AI222" i="8"/>
  <c r="AD88" i="7"/>
  <c r="AB83" i="7"/>
  <c r="AB63" i="7" s="1"/>
  <c r="X14" i="6"/>
  <c r="AJ49" i="6"/>
  <c r="AJ43" i="6" s="1"/>
  <c r="AH134" i="11"/>
  <c r="AJ134" i="11"/>
  <c r="AJ211" i="6"/>
  <c r="AJ210" i="6" s="1"/>
  <c r="AJ209" i="6" s="1"/>
  <c r="AA237" i="7"/>
  <c r="Y235" i="7"/>
  <c r="Y234" i="7" s="1"/>
  <c r="N72" i="6"/>
  <c r="AV22" i="14"/>
  <c r="AH176" i="6"/>
  <c r="AJ197" i="6"/>
  <c r="AJ196" i="6" s="1"/>
  <c r="AJ195" i="6" s="1"/>
  <c r="AH41" i="15"/>
  <c r="AI41" i="15"/>
  <c r="G41" i="7"/>
  <c r="I41" i="7" s="1"/>
  <c r="AI67" i="16"/>
  <c r="AH67" i="16"/>
  <c r="AI18" i="16"/>
  <c r="AH18" i="16"/>
  <c r="BN11" i="16"/>
  <c r="C35" i="20" s="1"/>
  <c r="AI241" i="16"/>
  <c r="AJ17" i="16"/>
  <c r="AH197" i="7"/>
  <c r="AH84" i="16"/>
  <c r="AI84" i="16"/>
  <c r="AH41" i="16"/>
  <c r="AH17" i="15"/>
  <c r="BN10" i="15"/>
  <c r="AQ22" i="15"/>
  <c r="AI17" i="15"/>
  <c r="AJ17" i="15"/>
  <c r="AI31" i="15"/>
  <c r="AH31" i="15"/>
  <c r="AH22" i="15"/>
  <c r="AH31" i="16"/>
  <c r="AI31" i="16"/>
  <c r="AY8" i="5"/>
  <c r="AU8" i="5"/>
  <c r="AA195" i="5"/>
  <c r="AA193" i="5" s="1"/>
  <c r="BO28" i="5"/>
  <c r="BO25" i="5" s="1"/>
  <c r="BI12" i="5" s="1"/>
  <c r="AI95" i="16"/>
  <c r="BQ25" i="5"/>
  <c r="BK12" i="5" s="1"/>
  <c r="N69" i="6"/>
  <c r="AI54" i="16"/>
  <c r="AI61" i="15"/>
  <c r="AJ61" i="15"/>
  <c r="AI166" i="16"/>
  <c r="AJ245" i="8"/>
  <c r="AH245" i="8"/>
  <c r="AI245" i="8"/>
  <c r="V225" i="12"/>
  <c r="V222" i="11"/>
  <c r="AB107" i="8"/>
  <c r="AD105" i="7"/>
  <c r="AD104" i="7" s="1"/>
  <c r="AB50" i="8"/>
  <c r="AD49" i="7"/>
  <c r="AD43" i="7" s="1"/>
  <c r="AI25" i="16"/>
  <c r="AI134" i="11"/>
  <c r="AH245" i="7"/>
  <c r="AJ245" i="7"/>
  <c r="AI245" i="7"/>
  <c r="G56" i="8"/>
  <c r="G48" i="20"/>
  <c r="G46" i="20" s="1"/>
  <c r="BQ22" i="6"/>
  <c r="BK11" i="6" s="1"/>
  <c r="G54" i="20"/>
  <c r="R54" i="20" s="1"/>
  <c r="BR30" i="16"/>
  <c r="AJ88" i="15"/>
  <c r="AE88" i="16"/>
  <c r="AG88" i="16" s="1"/>
  <c r="AJ88" i="16" s="1"/>
  <c r="Y133" i="8"/>
  <c r="AA123" i="7"/>
  <c r="AA112" i="7" s="1"/>
  <c r="AH133" i="7"/>
  <c r="AH123" i="7" s="1"/>
  <c r="Y159" i="8"/>
  <c r="AA157" i="7"/>
  <c r="AA155" i="7" s="1"/>
  <c r="AH159" i="7"/>
  <c r="AH157" i="7" s="1"/>
  <c r="AH155" i="7" s="1"/>
  <c r="M56" i="7"/>
  <c r="V134" i="12"/>
  <c r="AH172" i="6"/>
  <c r="AI187" i="7"/>
  <c r="V245" i="9"/>
  <c r="AZ13" i="6"/>
  <c r="AV11" i="8"/>
  <c r="AY11" i="8"/>
  <c r="BD8" i="5"/>
  <c r="BD22" i="5" s="1"/>
  <c r="H126" i="5"/>
  <c r="H130" i="5" s="1"/>
  <c r="U110" i="12"/>
  <c r="AH49" i="7"/>
  <c r="AI70" i="16"/>
  <c r="AH77" i="16"/>
  <c r="U170" i="12"/>
  <c r="BN14" i="5"/>
  <c r="BH9" i="5" s="1"/>
  <c r="AQ24" i="5"/>
  <c r="AJ164" i="16"/>
  <c r="C19" i="13"/>
  <c r="C17" i="13" s="1"/>
  <c r="C8" i="13" s="1"/>
  <c r="N29" i="6"/>
  <c r="AJ172" i="6"/>
  <c r="AH180" i="16"/>
  <c r="AJ168" i="16"/>
  <c r="AH168" i="16"/>
  <c r="U43" i="13"/>
  <c r="U14" i="13" s="1"/>
  <c r="AE158" i="12"/>
  <c r="AI246" i="16"/>
  <c r="BP28" i="8"/>
  <c r="BC7" i="6"/>
  <c r="AH105" i="7"/>
  <c r="AH104" i="7" s="1"/>
  <c r="AH187" i="7"/>
  <c r="AH185" i="7" s="1"/>
  <c r="AI189" i="16"/>
  <c r="AI61" i="16"/>
  <c r="U43" i="14"/>
  <c r="U14" i="14" s="1"/>
  <c r="U12" i="14" s="1"/>
  <c r="U10" i="14" s="1"/>
  <c r="U8" i="14" s="1"/>
  <c r="U63" i="13"/>
  <c r="BP30" i="7"/>
  <c r="BJ14" i="7" s="1"/>
  <c r="AI153" i="16"/>
  <c r="AU29" i="5"/>
  <c r="AV29" i="5"/>
  <c r="AI49" i="7"/>
  <c r="W12" i="6"/>
  <c r="W10" i="6" s="1"/>
  <c r="W258" i="6" s="1"/>
  <c r="X14" i="5"/>
  <c r="AI105" i="7"/>
  <c r="AI104" i="7" s="1"/>
  <c r="AI197" i="7"/>
  <c r="Y110" i="6"/>
  <c r="U63" i="12"/>
  <c r="U12" i="12" s="1"/>
  <c r="AE127" i="12"/>
  <c r="AI164" i="16"/>
  <c r="X112" i="5"/>
  <c r="BN16" i="5"/>
  <c r="BN15" i="5" s="1"/>
  <c r="BH10" i="5" s="1"/>
  <c r="BI11" i="5"/>
  <c r="N39" i="9"/>
  <c r="M39" i="9"/>
  <c r="BP30" i="6"/>
  <c r="BJ14" i="6" s="1"/>
  <c r="AA195" i="6"/>
  <c r="AA193" i="6" s="1"/>
  <c r="BO28" i="6"/>
  <c r="BO25" i="6" s="1"/>
  <c r="BI12" i="6" s="1"/>
  <c r="AR27" i="5"/>
  <c r="AW27" i="5" s="1"/>
  <c r="BP24" i="5"/>
  <c r="BP22" i="5" s="1"/>
  <c r="BJ11" i="5" s="1"/>
  <c r="AS25" i="5"/>
  <c r="AX25" i="5" s="1"/>
  <c r="AG63" i="5"/>
  <c r="AG12" i="5" s="1"/>
  <c r="AG10" i="5" s="1"/>
  <c r="AG8" i="5" s="1"/>
  <c r="P126" i="5"/>
  <c r="P130" i="5" s="1"/>
  <c r="BP30" i="5"/>
  <c r="BJ14" i="5" s="1"/>
  <c r="AR30" i="5"/>
  <c r="AW30" i="5" s="1"/>
  <c r="F37" i="20"/>
  <c r="F32" i="20" s="1"/>
  <c r="F31" i="20" s="1"/>
  <c r="BQ8" i="5"/>
  <c r="BK8" i="5"/>
  <c r="AI203" i="16"/>
  <c r="AB214" i="15"/>
  <c r="AE142" i="16"/>
  <c r="AJ149" i="6"/>
  <c r="AJ147" i="6" s="1"/>
  <c r="AB12" i="5"/>
  <c r="AB10" i="5" s="1"/>
  <c r="AB258" i="5" s="1"/>
  <c r="AI128" i="16"/>
  <c r="U110" i="15"/>
  <c r="F39" i="10"/>
  <c r="D39" i="11"/>
  <c r="U110" i="13"/>
  <c r="AA195" i="8"/>
  <c r="AA193" i="8" s="1"/>
  <c r="BO28" i="8"/>
  <c r="BO25" i="8" s="1"/>
  <c r="BI12" i="8" s="1"/>
  <c r="AD195" i="5"/>
  <c r="BP28" i="5"/>
  <c r="BP25" i="5" s="1"/>
  <c r="BJ12" i="5" s="1"/>
  <c r="BN30" i="5"/>
  <c r="BH14" i="5" s="1"/>
  <c r="AQ30" i="5"/>
  <c r="AJ18" i="15"/>
  <c r="AE18" i="16"/>
  <c r="AG18" i="16" s="1"/>
  <c r="AJ18" i="16" s="1"/>
  <c r="J34" i="16"/>
  <c r="AH185" i="6"/>
  <c r="M38" i="8"/>
  <c r="N38" i="8"/>
  <c r="F40" i="10"/>
  <c r="D40" i="11"/>
  <c r="U110" i="9"/>
  <c r="X145" i="5"/>
  <c r="AQ25" i="5"/>
  <c r="BN13" i="5"/>
  <c r="AD168" i="15"/>
  <c r="L61" i="15"/>
  <c r="AI38" i="15"/>
  <c r="AB38" i="16"/>
  <c r="F38" i="9"/>
  <c r="D38" i="10"/>
  <c r="M40" i="9"/>
  <c r="N40" i="9"/>
  <c r="AQ23" i="6"/>
  <c r="AY23" i="6" s="1"/>
  <c r="BN12" i="6"/>
  <c r="BN9" i="6" s="1"/>
  <c r="X195" i="5"/>
  <c r="BN28" i="5"/>
  <c r="BN25" i="5" s="1"/>
  <c r="BH12" i="5" s="1"/>
  <c r="AR25" i="6"/>
  <c r="AW25" i="6" s="1"/>
  <c r="BP13" i="6"/>
  <c r="AH222" i="10"/>
  <c r="AR25" i="5"/>
  <c r="AW25" i="5" s="1"/>
  <c r="AD14" i="5"/>
  <c r="AD12" i="5" s="1"/>
  <c r="AD10" i="5" s="1"/>
  <c r="BP13" i="5"/>
  <c r="BJ8" i="5" s="1"/>
  <c r="AI35" i="6"/>
  <c r="BQ22" i="5"/>
  <c r="BK11" i="5" s="1"/>
  <c r="F48" i="20"/>
  <c r="R44" i="20"/>
  <c r="F49" i="20"/>
  <c r="AI253" i="16"/>
  <c r="AI76" i="15"/>
  <c r="AB76" i="16"/>
  <c r="AD76" i="16" s="1"/>
  <c r="AI76" i="16" s="1"/>
  <c r="AI149" i="6"/>
  <c r="AI147" i="6" s="1"/>
  <c r="AH22" i="16"/>
  <c r="AH40" i="16"/>
  <c r="AI40" i="16"/>
  <c r="AH78" i="16"/>
  <c r="AJ78" i="16"/>
  <c r="D10" i="18"/>
  <c r="AH148" i="16"/>
  <c r="AH19" i="16"/>
  <c r="AI19" i="16"/>
  <c r="AH38" i="16"/>
  <c r="AH124" i="16"/>
  <c r="AI124" i="16"/>
  <c r="AH191" i="16"/>
  <c r="AI191" i="16"/>
  <c r="AY10" i="7"/>
  <c r="AV10" i="7"/>
  <c r="AU10" i="7"/>
  <c r="AI96" i="7"/>
  <c r="AV8" i="6"/>
  <c r="AZ8" i="6"/>
  <c r="AI49" i="6"/>
  <c r="AI43" i="6" s="1"/>
  <c r="AH138" i="15"/>
  <c r="AI138" i="15"/>
  <c r="AJ128" i="16"/>
  <c r="AE167" i="16"/>
  <c r="AG167" i="16" s="1"/>
  <c r="AJ167" i="16" s="1"/>
  <c r="AJ167" i="15"/>
  <c r="AG48" i="15"/>
  <c r="AE125" i="16"/>
  <c r="AG125" i="16" s="1"/>
  <c r="AJ125" i="16" s="1"/>
  <c r="AJ125" i="15"/>
  <c r="AH212" i="13"/>
  <c r="AI212" i="13"/>
  <c r="AB130" i="15"/>
  <c r="AI130" i="14"/>
  <c r="AD228" i="15"/>
  <c r="W162" i="16"/>
  <c r="X162" i="15"/>
  <c r="AE79" i="16"/>
  <c r="AG79" i="16" s="1"/>
  <c r="AJ79" i="16" s="1"/>
  <c r="AJ79" i="15"/>
  <c r="AE220" i="7"/>
  <c r="F28" i="6"/>
  <c r="AQ9" i="6" s="1"/>
  <c r="N35" i="6"/>
  <c r="G32" i="20"/>
  <c r="G31" i="20" s="1"/>
  <c r="AI26" i="16"/>
  <c r="AH55" i="16"/>
  <c r="AH126" i="16"/>
  <c r="BN19" i="16"/>
  <c r="C43" i="20" s="1"/>
  <c r="AI126" i="16"/>
  <c r="AI24" i="16"/>
  <c r="AH24" i="16"/>
  <c r="AH45" i="16"/>
  <c r="AI45" i="16"/>
  <c r="AH74" i="16"/>
  <c r="AI136" i="16"/>
  <c r="BN27" i="7"/>
  <c r="BO13" i="6"/>
  <c r="AA63" i="6"/>
  <c r="BN27" i="6"/>
  <c r="AZ10" i="7"/>
  <c r="AI235" i="6"/>
  <c r="AE85" i="16"/>
  <c r="AG85" i="16" s="1"/>
  <c r="AI254" i="16"/>
  <c r="AB86" i="16"/>
  <c r="X212" i="14"/>
  <c r="W212" i="15"/>
  <c r="AB93" i="16"/>
  <c r="Y251" i="16"/>
  <c r="AH251" i="15"/>
  <c r="AG220" i="7"/>
  <c r="AH91" i="7"/>
  <c r="G39" i="20"/>
  <c r="R40" i="20"/>
  <c r="AH30" i="16"/>
  <c r="AI30" i="16"/>
  <c r="AQ22" i="16"/>
  <c r="BN10" i="16"/>
  <c r="C34" i="20" s="1"/>
  <c r="AI28" i="16"/>
  <c r="AI163" i="16"/>
  <c r="AH163" i="16"/>
  <c r="AH239" i="16"/>
  <c r="AI32" i="16"/>
  <c r="BO22" i="7"/>
  <c r="BI11" i="7" s="1"/>
  <c r="AA195" i="7"/>
  <c r="AA193" i="7" s="1"/>
  <c r="BO28" i="7"/>
  <c r="AQ23" i="7"/>
  <c r="BN12" i="7"/>
  <c r="BN9" i="7" s="1"/>
  <c r="AA195" i="9"/>
  <c r="AA193" i="9" s="1"/>
  <c r="BO28" i="9"/>
  <c r="BO25" i="9" s="1"/>
  <c r="BI12" i="9" s="1"/>
  <c r="AH96" i="7"/>
  <c r="AH123" i="6"/>
  <c r="AH197" i="6"/>
  <c r="AH196" i="6" s="1"/>
  <c r="AH195" i="6" s="1"/>
  <c r="AH193" i="6" s="1"/>
  <c r="AI211" i="6"/>
  <c r="AI210" i="6" s="1"/>
  <c r="AI209" i="6" s="1"/>
  <c r="AI247" i="16"/>
  <c r="AI240" i="16"/>
  <c r="AI182" i="16"/>
  <c r="N82" i="16"/>
  <c r="M82" i="16"/>
  <c r="AH36" i="16"/>
  <c r="AI36" i="16"/>
  <c r="AH101" i="16"/>
  <c r="AH186" i="16"/>
  <c r="AI186" i="16"/>
  <c r="AH204" i="16"/>
  <c r="AI204" i="16"/>
  <c r="AI239" i="16"/>
  <c r="AH181" i="16"/>
  <c r="AI148" i="16"/>
  <c r="AI218" i="16"/>
  <c r="U12" i="16"/>
  <c r="U10" i="16" s="1"/>
  <c r="U8" i="16" s="1"/>
  <c r="BN17" i="7"/>
  <c r="AD195" i="6"/>
  <c r="BP28" i="6"/>
  <c r="BP25" i="6" s="1"/>
  <c r="BJ12" i="6" s="1"/>
  <c r="AH96"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J126" i="6"/>
  <c r="J130" i="6" s="1"/>
  <c r="M41" i="6"/>
  <c r="D41" i="8"/>
  <c r="F41" i="7"/>
  <c r="B12" i="10"/>
  <c r="G12" i="7"/>
  <c r="M12" i="6"/>
  <c r="M10" i="6" s="1"/>
  <c r="I10" i="6"/>
  <c r="Q126" i="6"/>
  <c r="Q130" i="6" s="1"/>
  <c r="G126" i="5"/>
  <c r="G130" i="5" s="1"/>
  <c r="AR13" i="7"/>
  <c r="AW13" i="7"/>
  <c r="AY13" i="7" s="1"/>
  <c r="E10" i="18"/>
  <c r="AI156" i="16"/>
  <c r="BN18" i="16"/>
  <c r="C42" i="20" s="1"/>
  <c r="AJ156" i="16"/>
  <c r="AH256" i="16"/>
  <c r="AI256" i="16"/>
  <c r="AE225" i="9"/>
  <c r="AG225" i="9" s="1"/>
  <c r="AJ225" i="8"/>
  <c r="Q126" i="5"/>
  <c r="Q130" i="5" s="1"/>
  <c r="AE183" i="9"/>
  <c r="AG183" i="9" s="1"/>
  <c r="AJ183" i="8"/>
  <c r="AE215" i="9"/>
  <c r="AG215" i="9" s="1"/>
  <c r="AJ215" i="8"/>
  <c r="AE240" i="9"/>
  <c r="AG240" i="9" s="1"/>
  <c r="AJ240" i="8"/>
  <c r="AI20" i="7"/>
  <c r="AI16" i="7" s="1"/>
  <c r="AE181" i="8"/>
  <c r="AJ181" i="7"/>
  <c r="AE190" i="9"/>
  <c r="AG190" i="9" s="1"/>
  <c r="AJ190" i="8"/>
  <c r="AE199" i="9"/>
  <c r="AG199" i="9" s="1"/>
  <c r="AJ199" i="8"/>
  <c r="AE207" i="10"/>
  <c r="AG207" i="10" s="1"/>
  <c r="AJ207" i="9"/>
  <c r="AJ247" i="11"/>
  <c r="AE247" i="12"/>
  <c r="AG247" i="12" s="1"/>
  <c r="AE255" i="9"/>
  <c r="AG255" i="9" s="1"/>
  <c r="AJ255" i="8"/>
  <c r="AG188" i="8"/>
  <c r="AE206" i="8"/>
  <c r="AG205" i="7"/>
  <c r="AJ206" i="7"/>
  <c r="AJ205" i="7" s="1"/>
  <c r="AE250" i="9"/>
  <c r="AG250" i="9" s="1"/>
  <c r="AJ250" i="8"/>
  <c r="AS9" i="6"/>
  <c r="BN29" i="6"/>
  <c r="BH13" i="6" s="1"/>
  <c r="AQ30" i="6"/>
  <c r="BQ9" i="16"/>
  <c r="BR12" i="16"/>
  <c r="BR9" i="16" s="1"/>
  <c r="X63" i="5"/>
  <c r="AQ23" i="5"/>
  <c r="BN12" i="5"/>
  <c r="BN9" i="5" s="1"/>
  <c r="BK10" i="10"/>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19" i="16"/>
  <c r="AH119" i="16"/>
  <c r="AH139" i="16"/>
  <c r="AI139" i="16"/>
  <c r="AE200" i="9"/>
  <c r="AG200" i="9" s="1"/>
  <c r="AJ200" i="8"/>
  <c r="AE252" i="9"/>
  <c r="AG252" i="9" s="1"/>
  <c r="AJ252" i="8"/>
  <c r="AH125" i="16"/>
  <c r="AI125" i="16"/>
  <c r="X145" i="7"/>
  <c r="M48" i="7"/>
  <c r="AE191" i="9"/>
  <c r="AG191" i="9" s="1"/>
  <c r="AJ191" i="8"/>
  <c r="AE239" i="9"/>
  <c r="AG239" i="9" s="1"/>
  <c r="AJ239" i="8"/>
  <c r="AE248" i="9"/>
  <c r="AG248" i="9" s="1"/>
  <c r="AJ248" i="8"/>
  <c r="AE256" i="9"/>
  <c r="AG256" i="9" s="1"/>
  <c r="AJ256" i="8"/>
  <c r="AJ35" i="7"/>
  <c r="P126" i="6"/>
  <c r="P130" i="6" s="1"/>
  <c r="AE224" i="8"/>
  <c r="AG224" i="8" s="1"/>
  <c r="AJ224" i="7"/>
  <c r="AJ222" i="7" s="1"/>
  <c r="AG236" i="8"/>
  <c r="AE245" i="12"/>
  <c r="AG245" i="12" s="1"/>
  <c r="N48" i="7"/>
  <c r="U12" i="8"/>
  <c r="U10" i="8" s="1"/>
  <c r="U8" i="8" s="1"/>
  <c r="AI172" i="6"/>
  <c r="X145" i="6"/>
  <c r="BN16" i="6"/>
  <c r="BE9" i="13"/>
  <c r="M35" i="6"/>
  <c r="J126" i="5"/>
  <c r="J130" i="5" s="1"/>
  <c r="BQ25" i="16"/>
  <c r="BK12" i="16" s="1"/>
  <c r="AL12" i="9"/>
  <c r="AL10" i="9" s="1"/>
  <c r="AL8" i="9" s="1"/>
  <c r="AE60" i="15"/>
  <c r="AJ25" i="15"/>
  <c r="AE25" i="16"/>
  <c r="AG25" i="16" s="1"/>
  <c r="AJ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S9"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I91" i="7"/>
  <c r="AE186" i="8"/>
  <c r="AJ186" i="7"/>
  <c r="AE253" i="9"/>
  <c r="AG253" i="9" s="1"/>
  <c r="AJ253" i="8"/>
  <c r="X195" i="6"/>
  <c r="BN28" i="6"/>
  <c r="BK8" i="9"/>
  <c r="BE9" i="5"/>
  <c r="BF10" i="7"/>
  <c r="BF10" i="10" s="1"/>
  <c r="BF10" i="13" s="1"/>
  <c r="BF10" i="16" s="1"/>
  <c r="BE9" i="16"/>
  <c r="BK8" i="6"/>
  <c r="BQ8" i="6"/>
  <c r="BR28" i="1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238" i="8"/>
  <c r="AJ198" i="7"/>
  <c r="AE198" i="8"/>
  <c r="AE214" i="9"/>
  <c r="AG214" i="9" s="1"/>
  <c r="AE230" i="12"/>
  <c r="AG230" i="12" s="1"/>
  <c r="AJ230" i="11"/>
  <c r="AI123" i="7"/>
  <c r="AH147" i="7"/>
  <c r="K126" i="6"/>
  <c r="K130" i="6" s="1"/>
  <c r="BQ9" i="11"/>
  <c r="AW26" i="5"/>
  <c r="AH147" i="6"/>
  <c r="BQ9" i="8"/>
  <c r="BQ15" i="6"/>
  <c r="BK10" i="6" s="1"/>
  <c r="BR16" i="16"/>
  <c r="AZ22" i="9"/>
  <c r="BK12" i="15"/>
  <c r="BQ22" i="10"/>
  <c r="BK11" i="10" s="1"/>
  <c r="AJ100" i="15"/>
  <c r="AE100" i="16"/>
  <c r="AG100" i="16" s="1"/>
  <c r="AJ100" i="16" s="1"/>
  <c r="B13" i="16"/>
  <c r="AG21" i="15"/>
  <c r="AG84" i="15"/>
  <c r="AL10" i="16" l="1"/>
  <c r="AL8" i="16" s="1"/>
  <c r="AM259" i="16" s="1"/>
  <c r="AL10" i="14"/>
  <c r="AL8" i="14" s="1"/>
  <c r="AM259" i="14" s="1"/>
  <c r="O30" i="20"/>
  <c r="N32" i="20"/>
  <c r="N31" i="20" s="1"/>
  <c r="N30" i="20" s="1"/>
  <c r="AH147" i="5"/>
  <c r="AH145" i="5" s="1"/>
  <c r="AJ147" i="7"/>
  <c r="X112" i="6"/>
  <c r="BR13" i="16"/>
  <c r="BR8" i="16" s="1"/>
  <c r="BQ7" i="9"/>
  <c r="BQ32" i="9" s="1"/>
  <c r="BR15" i="16"/>
  <c r="Z258" i="9"/>
  <c r="BL9" i="16"/>
  <c r="AC258" i="7"/>
  <c r="E80" i="15"/>
  <c r="BN14" i="6"/>
  <c r="BH9" i="6" s="1"/>
  <c r="AQ24" i="6"/>
  <c r="AY24" i="6" s="1"/>
  <c r="AD12" i="6"/>
  <c r="AI115" i="14"/>
  <c r="Z258" i="8"/>
  <c r="N28" i="5"/>
  <c r="D73" i="9"/>
  <c r="D72" i="8"/>
  <c r="F73" i="8"/>
  <c r="AF10" i="10"/>
  <c r="AI25" i="15"/>
  <c r="X170" i="7"/>
  <c r="AI170" i="6"/>
  <c r="BO28" i="10"/>
  <c r="BO25" i="10" s="1"/>
  <c r="BI12" i="10" s="1"/>
  <c r="AC10" i="6"/>
  <c r="AC8" i="6" s="1"/>
  <c r="Z8" i="6"/>
  <c r="Y8" i="5"/>
  <c r="Y258" i="5"/>
  <c r="AJ179" i="14"/>
  <c r="AI235" i="5"/>
  <c r="AI234" i="5" s="1"/>
  <c r="D80" i="9"/>
  <c r="F80" i="8"/>
  <c r="AH48" i="12"/>
  <c r="N80" i="7"/>
  <c r="M80" i="7"/>
  <c r="N10" i="6"/>
  <c r="AE110" i="6"/>
  <c r="AE10" i="6" s="1"/>
  <c r="AE8" i="6" s="1"/>
  <c r="AR24" i="6"/>
  <c r="AW24" i="6" s="1"/>
  <c r="BP14" i="6"/>
  <c r="BJ9" i="6" s="1"/>
  <c r="Y12" i="6"/>
  <c r="Y10" i="6" s="1"/>
  <c r="W193" i="12"/>
  <c r="AH93" i="14"/>
  <c r="AC258" i="12"/>
  <c r="D61" i="9"/>
  <c r="D60" i="8"/>
  <c r="F61" i="8"/>
  <c r="X75" i="11"/>
  <c r="AJ104" i="6"/>
  <c r="AR14" i="5"/>
  <c r="AR17" i="5" s="1"/>
  <c r="AW17" i="5" s="1"/>
  <c r="AW22" i="10"/>
  <c r="AY22" i="10" s="1"/>
  <c r="AU22" i="10"/>
  <c r="AJ210" i="5"/>
  <c r="AJ209" i="5" s="1"/>
  <c r="U110" i="10"/>
  <c r="F57" i="8"/>
  <c r="M59" i="8"/>
  <c r="M57" i="8" s="1"/>
  <c r="AJ193" i="6"/>
  <c r="V193" i="7"/>
  <c r="H126" i="7"/>
  <c r="H130" i="7" s="1"/>
  <c r="X63" i="6"/>
  <c r="X12" i="6" s="1"/>
  <c r="BN13" i="6"/>
  <c r="AQ25" i="6"/>
  <c r="BN24" i="5"/>
  <c r="BN22" i="5" s="1"/>
  <c r="BH11" i="5" s="1"/>
  <c r="AQ27" i="5"/>
  <c r="AV27" i="5" s="1"/>
  <c r="F21" i="5"/>
  <c r="F19" i="5" s="1"/>
  <c r="F17" i="5" s="1"/>
  <c r="F8" i="5" s="1"/>
  <c r="AQ9" i="5"/>
  <c r="AQ27" i="6"/>
  <c r="BN24" i="6"/>
  <c r="BN22" i="6" s="1"/>
  <c r="BH11" i="6" s="1"/>
  <c r="AH243" i="5"/>
  <c r="AJ96" i="5"/>
  <c r="AH43" i="5"/>
  <c r="AI48" i="12"/>
  <c r="AC258" i="11"/>
  <c r="AJ20" i="5"/>
  <c r="AJ16" i="5" s="1"/>
  <c r="AJ14" i="5" s="1"/>
  <c r="AH185" i="5"/>
  <c r="AH170" i="5" s="1"/>
  <c r="M67" i="7"/>
  <c r="M66" i="7" s="1"/>
  <c r="F66" i="7"/>
  <c r="N67" i="7"/>
  <c r="N66" i="7" s="1"/>
  <c r="AF8" i="14"/>
  <c r="AB131" i="15"/>
  <c r="AD131" i="15" s="1"/>
  <c r="AI131" i="14"/>
  <c r="AH145" i="6"/>
  <c r="AI112" i="6"/>
  <c r="U10" i="10"/>
  <c r="U8" i="10" s="1"/>
  <c r="AH96" i="5"/>
  <c r="AI20" i="5"/>
  <c r="AI16" i="5" s="1"/>
  <c r="AI220" i="6"/>
  <c r="W93" i="15"/>
  <c r="AJ157" i="5"/>
  <c r="AJ155" i="5" s="1"/>
  <c r="M75" i="5"/>
  <c r="M21" i="5" s="1"/>
  <c r="M19" i="5" s="1"/>
  <c r="M17" i="5" s="1"/>
  <c r="AI90" i="6"/>
  <c r="V12" i="6"/>
  <c r="V10" i="6" s="1"/>
  <c r="AJ185" i="5"/>
  <c r="AJ170" i="5" s="1"/>
  <c r="N67" i="9"/>
  <c r="M67" i="9"/>
  <c r="N78" i="7"/>
  <c r="M78" i="7"/>
  <c r="AH90" i="6"/>
  <c r="D49" i="10"/>
  <c r="D48" i="9"/>
  <c r="F49" i="9"/>
  <c r="AH50" i="11"/>
  <c r="AJ50" i="11"/>
  <c r="AE178" i="7"/>
  <c r="AG176" i="6"/>
  <c r="AG170" i="6" s="1"/>
  <c r="AS27" i="6" s="1"/>
  <c r="AX27" i="6" s="1"/>
  <c r="AZ27" i="6" s="1"/>
  <c r="AJ178" i="6"/>
  <c r="AJ176" i="6" s="1"/>
  <c r="AG116" i="7"/>
  <c r="AE114" i="7"/>
  <c r="AG87" i="7"/>
  <c r="AE83" i="7"/>
  <c r="W21" i="9"/>
  <c r="W20" i="8"/>
  <c r="W16" i="8" s="1"/>
  <c r="V151" i="9"/>
  <c r="V149" i="8"/>
  <c r="V147" i="8" s="1"/>
  <c r="X151" i="8"/>
  <c r="V85" i="8"/>
  <c r="V83" i="7"/>
  <c r="V63" i="7" s="1"/>
  <c r="X85" i="7"/>
  <c r="V39" i="9"/>
  <c r="V35" i="8"/>
  <c r="X39" i="8"/>
  <c r="D71" i="9"/>
  <c r="D69" i="8"/>
  <c r="D23" i="8"/>
  <c r="F23" i="7"/>
  <c r="AJ69" i="5"/>
  <c r="AJ65" i="5" s="1"/>
  <c r="F71" i="8"/>
  <c r="BI8" i="5"/>
  <c r="BO8" i="5"/>
  <c r="BO7" i="5" s="1"/>
  <c r="BO32" i="5" s="1"/>
  <c r="AI210" i="5"/>
  <c r="AI209" i="5" s="1"/>
  <c r="AH112" i="6"/>
  <c r="AA258" i="5"/>
  <c r="BO33" i="5" s="1"/>
  <c r="AE126" i="7"/>
  <c r="AG123" i="6"/>
  <c r="AG112" i="6" s="1"/>
  <c r="AG110" i="6" s="1"/>
  <c r="AS26" i="6" s="1"/>
  <c r="AX26" i="6" s="1"/>
  <c r="AJ126" i="6"/>
  <c r="AJ123" i="6" s="1"/>
  <c r="AJ112" i="6" s="1"/>
  <c r="AE94" i="7"/>
  <c r="AG91" i="6"/>
  <c r="AJ94" i="6"/>
  <c r="AJ91" i="6" s="1"/>
  <c r="W39" i="9"/>
  <c r="W35" i="8"/>
  <c r="V201" i="9"/>
  <c r="V197" i="8"/>
  <c r="X201" i="8"/>
  <c r="V142" i="9"/>
  <c r="V141" i="8"/>
  <c r="X142" i="8"/>
  <c r="V92" i="9"/>
  <c r="V91" i="8"/>
  <c r="X92" i="8"/>
  <c r="D83" i="10"/>
  <c r="D81" i="9"/>
  <c r="AU22" i="9"/>
  <c r="AY22" i="9"/>
  <c r="AV22" i="9"/>
  <c r="I70" i="12"/>
  <c r="G69" i="12"/>
  <c r="D28" i="6"/>
  <c r="D21" i="6" s="1"/>
  <c r="D19" i="6" s="1"/>
  <c r="D17" i="6" s="1"/>
  <c r="D8" i="6" s="1"/>
  <c r="AJ196" i="5"/>
  <c r="AJ195" i="5" s="1"/>
  <c r="AJ193" i="5" s="1"/>
  <c r="V213" i="13"/>
  <c r="X213" i="12"/>
  <c r="D34" i="13"/>
  <c r="F34" i="12"/>
  <c r="D32" i="12"/>
  <c r="AV22" i="7"/>
  <c r="AU22" i="7"/>
  <c r="AZ22" i="7"/>
  <c r="AY22" i="7"/>
  <c r="W43" i="7"/>
  <c r="D79" i="9"/>
  <c r="D78" i="8"/>
  <c r="F78" i="8" s="1"/>
  <c r="F79" i="8"/>
  <c r="D52" i="9"/>
  <c r="D51" i="8"/>
  <c r="F52" i="8"/>
  <c r="D36" i="8"/>
  <c r="F36" i="7"/>
  <c r="D35" i="7"/>
  <c r="D12" i="8"/>
  <c r="F12" i="7"/>
  <c r="F10" i="7" s="1"/>
  <c r="D10" i="7"/>
  <c r="AJ123" i="5"/>
  <c r="AJ112" i="5" s="1"/>
  <c r="AI96" i="5"/>
  <c r="AI90" i="5" s="1"/>
  <c r="AB206" i="14"/>
  <c r="AD205" i="13"/>
  <c r="I64" i="13"/>
  <c r="G63" i="13"/>
  <c r="BC14" i="6"/>
  <c r="F63" i="6"/>
  <c r="M64" i="6"/>
  <c r="M63" i="6" s="1"/>
  <c r="N64" i="6"/>
  <c r="N63" i="6" s="1"/>
  <c r="N10" i="5"/>
  <c r="AJ90" i="5"/>
  <c r="AI69" i="5"/>
  <c r="AI65" i="5" s="1"/>
  <c r="V150" i="13"/>
  <c r="X150" i="12"/>
  <c r="AM259" i="15"/>
  <c r="D43" i="9"/>
  <c r="D42" i="8"/>
  <c r="F43" i="8"/>
  <c r="AH232" i="5"/>
  <c r="AV22" i="5"/>
  <c r="AU22" i="5"/>
  <c r="AZ22" i="5"/>
  <c r="D30" i="8"/>
  <c r="F30" i="7"/>
  <c r="D29" i="7"/>
  <c r="AI196" i="5"/>
  <c r="AI195" i="5" s="1"/>
  <c r="AI193" i="5" s="1"/>
  <c r="AG160" i="7"/>
  <c r="AE157" i="7"/>
  <c r="AE155" i="7" s="1"/>
  <c r="AE145" i="7" s="1"/>
  <c r="AE99" i="7"/>
  <c r="AG96" i="6"/>
  <c r="AJ99" i="6"/>
  <c r="AJ96" i="6" s="1"/>
  <c r="W46" i="9"/>
  <c r="W44" i="8"/>
  <c r="V206" i="9"/>
  <c r="V205" i="8"/>
  <c r="X206" i="8"/>
  <c r="V97" i="9"/>
  <c r="V96" i="8"/>
  <c r="X97" i="8"/>
  <c r="V51" i="9"/>
  <c r="V49" i="8"/>
  <c r="X51" i="8"/>
  <c r="V21" i="9"/>
  <c r="V20" i="8"/>
  <c r="V16" i="8" s="1"/>
  <c r="X21" i="8"/>
  <c r="AJ243" i="5"/>
  <c r="AJ232" i="5" s="1"/>
  <c r="AI123" i="5"/>
  <c r="AI112" i="5" s="1"/>
  <c r="AI110" i="5" s="1"/>
  <c r="F22" i="6"/>
  <c r="AQ7" i="6" s="1"/>
  <c r="BC12" i="6"/>
  <c r="BC10" i="6" s="1"/>
  <c r="BC9" i="6" s="1"/>
  <c r="BC8" i="6" s="1"/>
  <c r="BC22" i="6" s="1"/>
  <c r="M23" i="6"/>
  <c r="N23" i="6"/>
  <c r="N22" i="6" s="1"/>
  <c r="M128" i="5"/>
  <c r="M10" i="5"/>
  <c r="AI185" i="5"/>
  <c r="AI170" i="5" s="1"/>
  <c r="AH69" i="5"/>
  <c r="AH65" i="5" s="1"/>
  <c r="D74" i="13"/>
  <c r="V178" i="11"/>
  <c r="X178" i="10"/>
  <c r="AY22" i="5"/>
  <c r="AI145" i="6"/>
  <c r="AJ145" i="6"/>
  <c r="BI7" i="5"/>
  <c r="BI16" i="5" s="1"/>
  <c r="AI14" i="5"/>
  <c r="X196" i="7"/>
  <c r="X195" i="7" s="1"/>
  <c r="AQ28"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AB172" i="12"/>
  <c r="W94" i="13"/>
  <c r="W91" i="12"/>
  <c r="W90" i="12" s="1"/>
  <c r="W63" i="12" s="1"/>
  <c r="X94" i="12"/>
  <c r="N75" i="5"/>
  <c r="N21" i="5" s="1"/>
  <c r="N19" i="5" s="1"/>
  <c r="N17" i="5" s="1"/>
  <c r="N8" i="5" s="1"/>
  <c r="AH196" i="5"/>
  <c r="AH195" i="5" s="1"/>
  <c r="AH193" i="5" s="1"/>
  <c r="AJ145" i="5"/>
  <c r="V50" i="13"/>
  <c r="X50" i="12"/>
  <c r="W14" i="7"/>
  <c r="W12" i="7" s="1"/>
  <c r="W10" i="7" s="1"/>
  <c r="V145" i="7"/>
  <c r="N79" i="7"/>
  <c r="M79" i="7"/>
  <c r="D59" i="9"/>
  <c r="D57" i="8"/>
  <c r="D46" i="9"/>
  <c r="D45" i="8"/>
  <c r="F46" i="8"/>
  <c r="AI243" i="5"/>
  <c r="AI232" i="5" s="1"/>
  <c r="AH123" i="5"/>
  <c r="AH112" i="5" s="1"/>
  <c r="AH20" i="5"/>
  <c r="AH16" i="5" s="1"/>
  <c r="AH14" i="5" s="1"/>
  <c r="I76" i="11"/>
  <c r="G75" i="11"/>
  <c r="W106" i="15"/>
  <c r="W105" i="14"/>
  <c r="W104" i="14" s="1"/>
  <c r="D64" i="8"/>
  <c r="D63" i="7"/>
  <c r="F64" i="7"/>
  <c r="AH90" i="5"/>
  <c r="W50" i="13"/>
  <c r="AJ150" i="11"/>
  <c r="AQ27" i="7"/>
  <c r="BN24" i="7"/>
  <c r="AB8" i="6"/>
  <c r="AB258" i="6"/>
  <c r="AR28" i="6"/>
  <c r="AD193" i="6"/>
  <c r="AI234" i="6"/>
  <c r="AR28" i="8"/>
  <c r="AW28" i="8" s="1"/>
  <c r="AI193" i="6"/>
  <c r="AR28" i="7"/>
  <c r="AW28" i="7" s="1"/>
  <c r="AD193" i="7"/>
  <c r="AG258" i="5"/>
  <c r="AS31" i="5" s="1"/>
  <c r="AS32" i="5" s="1"/>
  <c r="W8" i="6"/>
  <c r="AF8" i="7"/>
  <c r="AI179" i="10"/>
  <c r="AJ179" i="10"/>
  <c r="AH179" i="10"/>
  <c r="C8" i="6"/>
  <c r="U258" i="6"/>
  <c r="T33" i="10"/>
  <c r="AC258" i="14"/>
  <c r="U258" i="14"/>
  <c r="AE258" i="5"/>
  <c r="AC258" i="8"/>
  <c r="AL10" i="11"/>
  <c r="AL8" i="11" s="1"/>
  <c r="AM259" i="11" s="1"/>
  <c r="AG234" i="6"/>
  <c r="U8" i="5"/>
  <c r="AB8" i="5"/>
  <c r="AA8" i="5"/>
  <c r="I53" i="20"/>
  <c r="U12" i="9"/>
  <c r="U10" i="9" s="1"/>
  <c r="V244" i="8"/>
  <c r="X244" i="7"/>
  <c r="V243" i="7"/>
  <c r="V232" i="7" s="1"/>
  <c r="AE244" i="7"/>
  <c r="AG243" i="6"/>
  <c r="AJ244" i="6"/>
  <c r="AJ243" i="6" s="1"/>
  <c r="AJ232" i="6" s="1"/>
  <c r="Z258" i="13"/>
  <c r="Z258" i="7"/>
  <c r="AC8" i="13"/>
  <c r="AC258" i="13"/>
  <c r="AQ28" i="6"/>
  <c r="X193" i="6"/>
  <c r="AQ28" i="5"/>
  <c r="AU28" i="5" s="1"/>
  <c r="X193" i="5"/>
  <c r="U10" i="12"/>
  <c r="U8" i="12" s="1"/>
  <c r="U10" i="11"/>
  <c r="U8" i="11" s="1"/>
  <c r="AS29" i="6"/>
  <c r="AX29" i="6" s="1"/>
  <c r="AZ29" i="6" s="1"/>
  <c r="AG193" i="6"/>
  <c r="AS28" i="6"/>
  <c r="AX28" i="6" s="1"/>
  <c r="AZ28" i="6" s="1"/>
  <c r="AD234" i="8"/>
  <c r="I55" i="7"/>
  <c r="G54" i="7"/>
  <c r="AB244" i="7"/>
  <c r="AD243" i="6"/>
  <c r="AD232" i="6" s="1"/>
  <c r="AI244" i="6"/>
  <c r="AI243" i="6" s="1"/>
  <c r="AC258" i="15"/>
  <c r="U258" i="10"/>
  <c r="U258" i="12"/>
  <c r="R41" i="20"/>
  <c r="R39" i="20" s="1"/>
  <c r="U258" i="8"/>
  <c r="C8" i="16"/>
  <c r="U258" i="16"/>
  <c r="AR28" i="5"/>
  <c r="AD193" i="5"/>
  <c r="AD8" i="5" s="1"/>
  <c r="V258" i="5"/>
  <c r="V8" i="5"/>
  <c r="Z258" i="15"/>
  <c r="AC258" i="16"/>
  <c r="Y244" i="7"/>
  <c r="AA243" i="6"/>
  <c r="AA232" i="6" s="1"/>
  <c r="BO29" i="6" s="1"/>
  <c r="BI13" i="6" s="1"/>
  <c r="AH244" i="6"/>
  <c r="AH243" i="6" s="1"/>
  <c r="AH232" i="6" s="1"/>
  <c r="W244" i="8"/>
  <c r="W243" i="7"/>
  <c r="W232" i="7" s="1"/>
  <c r="AC258" i="10"/>
  <c r="AC8" i="9"/>
  <c r="AC258" i="9"/>
  <c r="U10" i="15"/>
  <c r="U8" i="15" s="1"/>
  <c r="M32" i="20"/>
  <c r="M31" i="20" s="1"/>
  <c r="M30" i="20" s="1"/>
  <c r="M56" i="20" s="1"/>
  <c r="AM259" i="12"/>
  <c r="BQ8" i="12"/>
  <c r="BK8" i="12"/>
  <c r="Y39" i="15"/>
  <c r="AA39" i="15" s="1"/>
  <c r="AB33" i="16"/>
  <c r="AD33" i="16" s="1"/>
  <c r="AI33" i="16" s="1"/>
  <c r="AI33" i="15"/>
  <c r="AB121" i="16"/>
  <c r="AD121" i="16" s="1"/>
  <c r="AI121" i="16" s="1"/>
  <c r="AI121" i="15"/>
  <c r="Y156" i="15"/>
  <c r="AA156" i="15" s="1"/>
  <c r="BO18" i="14"/>
  <c r="AH156" i="14"/>
  <c r="AB177" i="15"/>
  <c r="AD177" i="15" s="1"/>
  <c r="BP23" i="14"/>
  <c r="AH224" i="16"/>
  <c r="AI224" i="16"/>
  <c r="W114" i="14"/>
  <c r="AH224" i="15"/>
  <c r="AI224" i="15"/>
  <c r="Y66" i="15"/>
  <c r="AA66" i="15" s="1"/>
  <c r="BO10" i="14"/>
  <c r="AH66" i="14"/>
  <c r="Y33" i="16"/>
  <c r="AA33" i="16" s="1"/>
  <c r="AH33" i="16" s="1"/>
  <c r="AH33" i="15"/>
  <c r="I71" i="14"/>
  <c r="W205" i="16"/>
  <c r="AA230" i="14"/>
  <c r="Y227" i="14"/>
  <c r="I65" i="14"/>
  <c r="V152" i="16"/>
  <c r="AV22" i="13"/>
  <c r="AZ22" i="13"/>
  <c r="I83" i="14"/>
  <c r="G81" i="14"/>
  <c r="I59" i="14"/>
  <c r="G57" i="14"/>
  <c r="G77" i="15"/>
  <c r="G34" i="15"/>
  <c r="I32" i="14"/>
  <c r="N82" i="14"/>
  <c r="AM259" i="10"/>
  <c r="W86" i="14"/>
  <c r="X86" i="13"/>
  <c r="W83" i="13"/>
  <c r="V199" i="14"/>
  <c r="X199" i="13"/>
  <c r="V106" i="14"/>
  <c r="V105" i="13"/>
  <c r="V104" i="13" s="1"/>
  <c r="X106" i="13"/>
  <c r="V23" i="14"/>
  <c r="AA51" i="13"/>
  <c r="Y49" i="13"/>
  <c r="W143" i="14"/>
  <c r="W141" i="13"/>
  <c r="X143" i="13"/>
  <c r="X160" i="14"/>
  <c r="V160" i="15"/>
  <c r="G61" i="12"/>
  <c r="I61" i="12" s="1"/>
  <c r="AD142" i="13"/>
  <c r="AB141" i="13"/>
  <c r="X99" i="14"/>
  <c r="V99" i="15"/>
  <c r="D33" i="15"/>
  <c r="AB215" i="12"/>
  <c r="AD215" i="12" s="1"/>
  <c r="AI215" i="11"/>
  <c r="AA43" i="12"/>
  <c r="W48" i="14"/>
  <c r="E50" i="14"/>
  <c r="E48" i="13"/>
  <c r="F50" i="13"/>
  <c r="V116" i="14"/>
  <c r="X116" i="13"/>
  <c r="V87" i="14"/>
  <c r="X87" i="13"/>
  <c r="V37" i="14"/>
  <c r="AH106" i="12"/>
  <c r="X105" i="12"/>
  <c r="X104" i="12" s="1"/>
  <c r="AI106" i="12"/>
  <c r="V94" i="14"/>
  <c r="X94" i="13"/>
  <c r="V48" i="14"/>
  <c r="X48" i="13"/>
  <c r="D26" i="14"/>
  <c r="D25" i="13"/>
  <c r="AB79" i="12"/>
  <c r="AD79" i="12" s="1"/>
  <c r="AI79" i="11"/>
  <c r="E74" i="14"/>
  <c r="F74" i="13"/>
  <c r="E72" i="13"/>
  <c r="X53" i="14"/>
  <c r="V53" i="15"/>
  <c r="V60" i="14"/>
  <c r="V58" i="13"/>
  <c r="V57" i="13" s="1"/>
  <c r="X60" i="13"/>
  <c r="AD59" i="13"/>
  <c r="AB58" i="13"/>
  <c r="AB57" i="13" s="1"/>
  <c r="W215" i="14"/>
  <c r="W211" i="13"/>
  <c r="W210" i="13" s="1"/>
  <c r="W209" i="13" s="1"/>
  <c r="X215" i="13"/>
  <c r="E54" i="13"/>
  <c r="E56" i="14"/>
  <c r="AH207" i="10"/>
  <c r="AM259" i="9"/>
  <c r="U8" i="7"/>
  <c r="U258" i="7"/>
  <c r="BO22" i="10"/>
  <c r="BI11" i="10" s="1"/>
  <c r="AG152" i="9"/>
  <c r="AE149" i="9"/>
  <c r="AE147" i="9" s="1"/>
  <c r="AJ119" i="13"/>
  <c r="AE119" i="14"/>
  <c r="AG119" i="14" s="1"/>
  <c r="AJ30" i="13"/>
  <c r="AE30" i="14"/>
  <c r="AG30" i="14" s="1"/>
  <c r="AD238" i="9"/>
  <c r="AB235" i="9"/>
  <c r="AB234" i="9" s="1"/>
  <c r="AA225" i="11"/>
  <c r="Y222" i="11"/>
  <c r="Y220" i="11" s="1"/>
  <c r="Y179" i="12"/>
  <c r="AA176" i="11"/>
  <c r="AH179" i="11"/>
  <c r="Y107" i="12"/>
  <c r="AA105" i="11"/>
  <c r="AA104" i="11" s="1"/>
  <c r="AH107" i="11"/>
  <c r="AH105" i="11" s="1"/>
  <c r="AH104" i="11" s="1"/>
  <c r="W37" i="14"/>
  <c r="X37" i="13"/>
  <c r="AE26" i="11"/>
  <c r="AG26" i="11" s="1"/>
  <c r="AJ26" i="10"/>
  <c r="AB229" i="10"/>
  <c r="AD227" i="9"/>
  <c r="AD150" i="9"/>
  <c r="AB149" i="9"/>
  <c r="AB147" i="9" s="1"/>
  <c r="AD90" i="8"/>
  <c r="W220" i="12"/>
  <c r="W145" i="12"/>
  <c r="AI59" i="12"/>
  <c r="AI58" i="12" s="1"/>
  <c r="AI57" i="12" s="1"/>
  <c r="X58" i="12"/>
  <c r="X57" i="12" s="1"/>
  <c r="AH59" i="12"/>
  <c r="AH58" i="12" s="1"/>
  <c r="Y50" i="16"/>
  <c r="AA50" i="16" s="1"/>
  <c r="AD98" i="14"/>
  <c r="AE93" i="10"/>
  <c r="AJ93" i="9"/>
  <c r="AE36" i="10"/>
  <c r="AG35" i="9"/>
  <c r="AJ36" i="9"/>
  <c r="AA95" i="11"/>
  <c r="Y91" i="11"/>
  <c r="AG59" i="9"/>
  <c r="AE58" i="9"/>
  <c r="AE57" i="9" s="1"/>
  <c r="AA100" i="11"/>
  <c r="Y96" i="11"/>
  <c r="AD198" i="9"/>
  <c r="AB197" i="9"/>
  <c r="AB196" i="9" s="1"/>
  <c r="AB195" i="9" s="1"/>
  <c r="AB127" i="10"/>
  <c r="AD123" i="9"/>
  <c r="AB85" i="13"/>
  <c r="AD85" i="13" s="1"/>
  <c r="AB55" i="14"/>
  <c r="AD55" i="14" s="1"/>
  <c r="AI55" i="13"/>
  <c r="J74" i="10"/>
  <c r="L72" i="9"/>
  <c r="N74" i="9"/>
  <c r="J50" i="10"/>
  <c r="L48" i="9"/>
  <c r="N50" i="9"/>
  <c r="W198" i="14"/>
  <c r="W197" i="13"/>
  <c r="W196" i="13" s="1"/>
  <c r="W195" i="13" s="1"/>
  <c r="X198" i="13"/>
  <c r="W152" i="14"/>
  <c r="W149" i="13"/>
  <c r="W147" i="13" s="1"/>
  <c r="X152" i="13"/>
  <c r="W93" i="16"/>
  <c r="X93" i="15"/>
  <c r="W52" i="16"/>
  <c r="X52" i="15"/>
  <c r="E68" i="14"/>
  <c r="E66" i="13"/>
  <c r="E44" i="14"/>
  <c r="E42" i="13"/>
  <c r="F44" i="13"/>
  <c r="BP16" i="8"/>
  <c r="AD112" i="8"/>
  <c r="AD92" i="9"/>
  <c r="AB91" i="9"/>
  <c r="AD46" i="9"/>
  <c r="AB44" i="9"/>
  <c r="L68" i="9"/>
  <c r="J66" i="9"/>
  <c r="L30" i="9"/>
  <c r="J29" i="9"/>
  <c r="Y213" i="12"/>
  <c r="AA211" i="11"/>
  <c r="AA210" i="11" s="1"/>
  <c r="AA209" i="11" s="1"/>
  <c r="AH213" i="11"/>
  <c r="Y173" i="12"/>
  <c r="AA172" i="11"/>
  <c r="AH173" i="11"/>
  <c r="W223" i="14"/>
  <c r="W222" i="13"/>
  <c r="X223" i="13"/>
  <c r="W159" i="14"/>
  <c r="W157" i="13"/>
  <c r="W155" i="13" s="1"/>
  <c r="X159" i="13"/>
  <c r="W98" i="14"/>
  <c r="W96" i="13"/>
  <c r="X98" i="13"/>
  <c r="AE67" i="13"/>
  <c r="AG67" i="13" s="1"/>
  <c r="AJ67" i="12"/>
  <c r="AE137" i="14"/>
  <c r="AG137" i="14" s="1"/>
  <c r="AJ137" i="13"/>
  <c r="AG86" i="9"/>
  <c r="AJ22" i="13"/>
  <c r="AE22" i="14"/>
  <c r="AG22" i="14" s="1"/>
  <c r="AD223" i="9"/>
  <c r="AB222" i="9"/>
  <c r="AB220" i="9" s="1"/>
  <c r="AA200" i="11"/>
  <c r="Y197" i="11"/>
  <c r="Y196" i="11" s="1"/>
  <c r="Y195" i="11" s="1"/>
  <c r="Y193" i="11" s="1"/>
  <c r="AA150" i="11"/>
  <c r="Y149" i="11"/>
  <c r="Y147" i="11" s="1"/>
  <c r="W229" i="14"/>
  <c r="W227" i="13"/>
  <c r="AJ37" i="12"/>
  <c r="AI37" i="12"/>
  <c r="AB188" i="10"/>
  <c r="AD187" i="9"/>
  <c r="AD185" i="9" s="1"/>
  <c r="AD117" i="9"/>
  <c r="AB114" i="9"/>
  <c r="AB112" i="9" s="1"/>
  <c r="AB66" i="12"/>
  <c r="AD66" i="12" s="1"/>
  <c r="BP10" i="11"/>
  <c r="AR22" i="11"/>
  <c r="AI66" i="11"/>
  <c r="L44" i="9"/>
  <c r="J42" i="9"/>
  <c r="W59" i="14"/>
  <c r="W58" i="13"/>
  <c r="W57" i="13" s="1"/>
  <c r="X59" i="13"/>
  <c r="W23" i="14"/>
  <c r="X23" i="13"/>
  <c r="E62" i="14"/>
  <c r="E60" i="13"/>
  <c r="F62" i="13"/>
  <c r="AG115" i="9"/>
  <c r="AG47" i="9"/>
  <c r="AE44" i="9"/>
  <c r="AG98" i="9"/>
  <c r="AE40" i="14"/>
  <c r="AG40" i="14" s="1"/>
  <c r="AJ40" i="13"/>
  <c r="AA46" i="13"/>
  <c r="Y44" i="13"/>
  <c r="AB181" i="14"/>
  <c r="AD181" i="14" s="1"/>
  <c r="AI181" i="13"/>
  <c r="AD100" i="9"/>
  <c r="AB96" i="9"/>
  <c r="AB71" i="13"/>
  <c r="AD71" i="13" s="1"/>
  <c r="AI71" i="12"/>
  <c r="AD22" i="9"/>
  <c r="AB20" i="9"/>
  <c r="AB16" i="9" s="1"/>
  <c r="L62" i="9"/>
  <c r="J60" i="9"/>
  <c r="L36" i="9"/>
  <c r="J35" i="9"/>
  <c r="BN26" i="12"/>
  <c r="AH198" i="12"/>
  <c r="W177" i="15"/>
  <c r="W176" i="14"/>
  <c r="W115" i="16"/>
  <c r="W114" i="15"/>
  <c r="X115" i="15"/>
  <c r="W72" i="14"/>
  <c r="W69" i="13"/>
  <c r="W65" i="13" s="1"/>
  <c r="X72" i="13"/>
  <c r="E80" i="16"/>
  <c r="E78" i="15"/>
  <c r="J80" i="10"/>
  <c r="L56" i="9"/>
  <c r="J54" i="9"/>
  <c r="Y246" i="12"/>
  <c r="AH246" i="11"/>
  <c r="AA190" i="11"/>
  <c r="Y187" i="11"/>
  <c r="Y185" i="11" s="1"/>
  <c r="Y170" i="11" s="1"/>
  <c r="Y117" i="12"/>
  <c r="AA114" i="11"/>
  <c r="AH117" i="11"/>
  <c r="W188" i="14"/>
  <c r="W187" i="13"/>
  <c r="W185" i="13" s="1"/>
  <c r="W170" i="13" s="1"/>
  <c r="I39" i="20"/>
  <c r="I30" i="20" s="1"/>
  <c r="AE143" i="10"/>
  <c r="AG141" i="9"/>
  <c r="AJ143" i="9"/>
  <c r="V75" i="13"/>
  <c r="X75" i="12"/>
  <c r="AE129" i="11"/>
  <c r="AG129" i="11" s="1"/>
  <c r="AJ129" i="10"/>
  <c r="AA90" i="10"/>
  <c r="AJ75" i="11"/>
  <c r="AH75" i="11"/>
  <c r="AH75" i="8"/>
  <c r="AJ75" i="8"/>
  <c r="AH75" i="10"/>
  <c r="AJ75" i="10"/>
  <c r="AB236" i="15"/>
  <c r="AI236" i="14"/>
  <c r="H37" i="20"/>
  <c r="H32" i="20" s="1"/>
  <c r="H31" i="20" s="1"/>
  <c r="H30" i="20" s="1"/>
  <c r="BK8" i="7"/>
  <c r="BL8" i="7" s="1"/>
  <c r="BQ8" i="7"/>
  <c r="BQ7" i="7" s="1"/>
  <c r="G53" i="20"/>
  <c r="BK13" i="6"/>
  <c r="BR29" i="16"/>
  <c r="BK13" i="5"/>
  <c r="F53" i="20"/>
  <c r="R53" i="20" s="1"/>
  <c r="AW28" i="6"/>
  <c r="AY28" i="6" s="1"/>
  <c r="AH196" i="7"/>
  <c r="AH195" i="7" s="1"/>
  <c r="AH193" i="7" s="1"/>
  <c r="AI185" i="7"/>
  <c r="BN31" i="8"/>
  <c r="BH15" i="8" s="1"/>
  <c r="BN25" i="6"/>
  <c r="BH12" i="6" s="1"/>
  <c r="H52" i="20"/>
  <c r="H49" i="20" s="1"/>
  <c r="BQ25" i="7"/>
  <c r="BK12" i="7" s="1"/>
  <c r="BL12" i="7" s="1"/>
  <c r="AI14" i="6"/>
  <c r="BP13" i="7"/>
  <c r="BN15" i="6"/>
  <c r="BH10" i="6" s="1"/>
  <c r="AH145" i="7"/>
  <c r="AE165" i="16"/>
  <c r="AG165" i="16" s="1"/>
  <c r="AJ165" i="16" s="1"/>
  <c r="BP24" i="6"/>
  <c r="BP22" i="6" s="1"/>
  <c r="BJ11" i="6" s="1"/>
  <c r="AH170" i="6"/>
  <c r="AI196" i="7"/>
  <c r="AI195" i="7" s="1"/>
  <c r="AI193" i="7" s="1"/>
  <c r="AR25" i="7"/>
  <c r="AW25"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BH8" i="6"/>
  <c r="AI90" i="7"/>
  <c r="AI63" i="6"/>
  <c r="AG174" i="12"/>
  <c r="AE172" i="12"/>
  <c r="AD151" i="16"/>
  <c r="X190" i="16"/>
  <c r="AW28" i="5"/>
  <c r="AY28" i="5" s="1"/>
  <c r="BO14" i="6"/>
  <c r="BI9" i="6" s="1"/>
  <c r="AJ45" i="15"/>
  <c r="AE45" i="16"/>
  <c r="AG45" i="16" s="1"/>
  <c r="AJ45" i="16" s="1"/>
  <c r="AA61" i="8"/>
  <c r="Y57" i="8"/>
  <c r="Y26" i="14"/>
  <c r="AA26" i="14" s="1"/>
  <c r="AH26" i="13"/>
  <c r="AA151" i="16"/>
  <c r="AI190" i="15"/>
  <c r="Y70" i="11"/>
  <c r="AA70" i="11" s="1"/>
  <c r="AH70" i="10"/>
  <c r="AA37" i="7"/>
  <c r="Y35" i="7"/>
  <c r="AE53" i="11"/>
  <c r="AG53" i="11" s="1"/>
  <c r="AJ53" i="10"/>
  <c r="AH63" i="6"/>
  <c r="G126" i="6"/>
  <c r="G130" i="6" s="1"/>
  <c r="BF21" i="7"/>
  <c r="AJ170" i="6"/>
  <c r="Y28" i="11"/>
  <c r="AA28" i="11" s="1"/>
  <c r="AH28" i="10"/>
  <c r="AD167" i="7"/>
  <c r="AB157" i="7"/>
  <c r="AB155" i="7" s="1"/>
  <c r="AB145" i="7" s="1"/>
  <c r="AB110" i="7" s="1"/>
  <c r="AD180" i="7"/>
  <c r="AB176" i="7"/>
  <c r="AB170" i="7" s="1"/>
  <c r="N120" i="14"/>
  <c r="M120" i="14"/>
  <c r="M117" i="13"/>
  <c r="N117" i="13"/>
  <c r="N124" i="14"/>
  <c r="M124" i="14"/>
  <c r="E115" i="16"/>
  <c r="E113" i="16" s="1"/>
  <c r="E113" i="15"/>
  <c r="BO12" i="6"/>
  <c r="BO9" i="6" s="1"/>
  <c r="AA14" i="6"/>
  <c r="AA12" i="6" s="1"/>
  <c r="AA10" i="6" s="1"/>
  <c r="AA8" i="6" s="1"/>
  <c r="M119" i="13"/>
  <c r="N119" i="13"/>
  <c r="AA71" i="7"/>
  <c r="Y69" i="7"/>
  <c r="Y65" i="7" s="1"/>
  <c r="AG23" i="7"/>
  <c r="AE20" i="7"/>
  <c r="AE16" i="7" s="1"/>
  <c r="D118" i="16"/>
  <c r="F118" i="16" s="1"/>
  <c r="F118" i="15"/>
  <c r="X12" i="5"/>
  <c r="D120" i="16"/>
  <c r="F120" i="16" s="1"/>
  <c r="F120" i="15"/>
  <c r="F117" i="14"/>
  <c r="D117" i="15"/>
  <c r="AI178" i="8"/>
  <c r="AH178" i="8"/>
  <c r="N116" i="13"/>
  <c r="M116" i="13"/>
  <c r="N121" i="13"/>
  <c r="M121" i="13"/>
  <c r="AG52" i="7"/>
  <c r="AE49" i="7"/>
  <c r="AE43" i="7" s="1"/>
  <c r="AA27" i="7"/>
  <c r="Y20" i="7"/>
  <c r="Y16" i="7" s="1"/>
  <c r="D119" i="15"/>
  <c r="F119" i="14"/>
  <c r="BC20" i="13"/>
  <c r="F113" i="13"/>
  <c r="AQ15" i="13" s="1"/>
  <c r="AJ14" i="6"/>
  <c r="W133" i="9"/>
  <c r="W123" i="8"/>
  <c r="W112" i="8" s="1"/>
  <c r="W110"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AH170" i="7" s="1"/>
  <c r="BP17" i="6"/>
  <c r="BP15" i="6" s="1"/>
  <c r="BJ10" i="6" s="1"/>
  <c r="AD145" i="6"/>
  <c r="AD110" i="6" s="1"/>
  <c r="AR26" i="6" s="1"/>
  <c r="AW26" i="6" s="1"/>
  <c r="D124" i="16"/>
  <c r="F124" i="16" s="1"/>
  <c r="F124" i="15"/>
  <c r="AD39" i="7"/>
  <c r="AB35" i="7"/>
  <c r="AB14" i="7" s="1"/>
  <c r="AB12" i="7" s="1"/>
  <c r="N123" i="15"/>
  <c r="M123" i="15"/>
  <c r="N122" i="16"/>
  <c r="M122" i="16"/>
  <c r="AS23" i="6"/>
  <c r="AX23" i="6" s="1"/>
  <c r="AG14" i="6"/>
  <c r="D115" i="15"/>
  <c r="D113" i="14"/>
  <c r="F115" i="14"/>
  <c r="N118" i="14"/>
  <c r="M118" i="14"/>
  <c r="L115" i="11"/>
  <c r="J113" i="11"/>
  <c r="AH14" i="6"/>
  <c r="AR16" i="6"/>
  <c r="AW16" i="6" s="1"/>
  <c r="AS16" i="6"/>
  <c r="AX16" i="6" s="1"/>
  <c r="AQ16" i="7"/>
  <c r="BN30" i="7"/>
  <c r="D90" i="16"/>
  <c r="F90" i="16" s="1"/>
  <c r="F90" i="15"/>
  <c r="F102" i="14"/>
  <c r="D102" i="15"/>
  <c r="AJ179" i="8"/>
  <c r="AH179" i="8"/>
  <c r="AI179" i="8"/>
  <c r="V174" i="10"/>
  <c r="V172" i="9"/>
  <c r="X174" i="9"/>
  <c r="AI73" i="8"/>
  <c r="AJ73" i="8"/>
  <c r="X69" i="8"/>
  <c r="X65" i="8" s="1"/>
  <c r="AH73" i="8"/>
  <c r="AW29" i="7"/>
  <c r="BP27" i="7"/>
  <c r="BP25" i="7" s="1"/>
  <c r="BJ12" i="7" s="1"/>
  <c r="D98" i="15"/>
  <c r="F98" i="14"/>
  <c r="N97" i="16"/>
  <c r="M97" i="16"/>
  <c r="C20" i="20"/>
  <c r="M111" i="13"/>
  <c r="N111" i="13"/>
  <c r="AI229" i="8"/>
  <c r="AI227" i="8" s="1"/>
  <c r="AI220" i="8" s="1"/>
  <c r="AH229" i="8"/>
  <c r="AH227" i="8" s="1"/>
  <c r="AH220" i="8" s="1"/>
  <c r="X227" i="8"/>
  <c r="X220" i="8" s="1"/>
  <c r="V207" i="14"/>
  <c r="X207" i="13"/>
  <c r="J41" i="8"/>
  <c r="L41" i="8" s="1"/>
  <c r="AX14" i="7"/>
  <c r="F94" i="13"/>
  <c r="F108" i="14"/>
  <c r="D108" i="15"/>
  <c r="E105" i="15"/>
  <c r="E104" i="14"/>
  <c r="D86" i="15"/>
  <c r="F86" i="14"/>
  <c r="D85" i="14"/>
  <c r="L49" i="20"/>
  <c r="AI207" i="8"/>
  <c r="AH207" i="8"/>
  <c r="V135" i="10"/>
  <c r="V123" i="9"/>
  <c r="X135" i="9"/>
  <c r="V73" i="10"/>
  <c r="V69" i="9"/>
  <c r="V65" i="9" s="1"/>
  <c r="X73" i="9"/>
  <c r="D96" i="15"/>
  <c r="F96" i="14"/>
  <c r="N88" i="13"/>
  <c r="AQ11" i="13"/>
  <c r="E95" i="16"/>
  <c r="E94" i="16" s="1"/>
  <c r="E94" i="15"/>
  <c r="N99" i="13"/>
  <c r="M99" i="13"/>
  <c r="F91" i="15"/>
  <c r="D91" i="16"/>
  <c r="F91" i="16" s="1"/>
  <c r="F87" i="15"/>
  <c r="D87" i="16"/>
  <c r="F87" i="16" s="1"/>
  <c r="BJ7" i="5"/>
  <c r="BJ16" i="5" s="1"/>
  <c r="V188" i="10"/>
  <c r="V187" i="9"/>
  <c r="V185" i="9" s="1"/>
  <c r="X188" i="9"/>
  <c r="AV11" i="12"/>
  <c r="AZ11" i="12"/>
  <c r="G104" i="10"/>
  <c r="N92" i="13"/>
  <c r="M92" i="13"/>
  <c r="N97" i="15"/>
  <c r="M97" i="15"/>
  <c r="J95" i="11"/>
  <c r="L94" i="10"/>
  <c r="N95" i="10"/>
  <c r="N94" i="10" s="1"/>
  <c r="AH229" i="12"/>
  <c r="AH238" i="8"/>
  <c r="AI238" i="8"/>
  <c r="AI235" i="8" s="1"/>
  <c r="AI234" i="8" s="1"/>
  <c r="X235" i="8"/>
  <c r="X234" i="8" s="1"/>
  <c r="AI177" i="8"/>
  <c r="AJ177" i="8"/>
  <c r="AH177" i="8"/>
  <c r="BN23" i="8"/>
  <c r="X176" i="8"/>
  <c r="X170" i="8" s="1"/>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AI220" i="7" s="1"/>
  <c r="BP12" i="7"/>
  <c r="BP9" i="7" s="1"/>
  <c r="AR23" i="7"/>
  <c r="AW23" i="7" s="1"/>
  <c r="AY23" i="7" s="1"/>
  <c r="D88" i="15"/>
  <c r="F88" i="14"/>
  <c r="N106" i="14"/>
  <c r="M106" i="14"/>
  <c r="N89" i="15"/>
  <c r="M89" i="15"/>
  <c r="AQ12" i="15"/>
  <c r="N91" i="14"/>
  <c r="M91" i="14"/>
  <c r="N87" i="14"/>
  <c r="M87" i="14"/>
  <c r="R36" i="20"/>
  <c r="R33" i="20" s="1"/>
  <c r="L30" i="20"/>
  <c r="R38" i="20"/>
  <c r="N82" i="12"/>
  <c r="BQ8" i="15"/>
  <c r="BQ7" i="15" s="1"/>
  <c r="BQ32" i="15" s="1"/>
  <c r="L86" i="10"/>
  <c r="J85" i="10"/>
  <c r="F92" i="14"/>
  <c r="D92" i="15"/>
  <c r="AG124" i="8"/>
  <c r="AD216" i="8"/>
  <c r="AB211" i="8"/>
  <c r="AB210" i="8" s="1"/>
  <c r="AB209" i="8" s="1"/>
  <c r="AB193" i="8" s="1"/>
  <c r="J30" i="20"/>
  <c r="J56" i="20" s="1"/>
  <c r="BC19" i="13"/>
  <c r="F104" i="13"/>
  <c r="J12" i="8"/>
  <c r="L12" i="8" s="1"/>
  <c r="N12" i="7"/>
  <c r="AH229" i="10"/>
  <c r="N107" i="13"/>
  <c r="M107" i="13"/>
  <c r="V228" i="10"/>
  <c r="V227" i="9"/>
  <c r="V220" i="9" s="1"/>
  <c r="X228" i="9"/>
  <c r="BK8" i="13"/>
  <c r="BK7" i="13" s="1"/>
  <c r="BQ8" i="13"/>
  <c r="BQ7" i="13" s="1"/>
  <c r="V238" i="10"/>
  <c r="X238" i="9"/>
  <c r="N110" i="13"/>
  <c r="M110" i="13"/>
  <c r="AI229" i="9"/>
  <c r="AH229" i="9"/>
  <c r="D109" i="16"/>
  <c r="F109" i="16" s="1"/>
  <c r="F109" i="15"/>
  <c r="E86" i="15"/>
  <c r="E85" i="14"/>
  <c r="BE22" i="7"/>
  <c r="O56" i="20"/>
  <c r="AH227" i="7"/>
  <c r="AH220" i="7" s="1"/>
  <c r="BQ8" i="10"/>
  <c r="BQ7" i="10" s="1"/>
  <c r="BK8" i="10"/>
  <c r="BK7" i="10" s="1"/>
  <c r="AD75" i="8"/>
  <c r="AB69" i="8"/>
  <c r="AB65" i="8" s="1"/>
  <c r="Y161" i="11"/>
  <c r="AA161" i="11" s="1"/>
  <c r="AH161" i="10"/>
  <c r="D106" i="16"/>
  <c r="F106" i="16" s="1"/>
  <c r="F106" i="15"/>
  <c r="M89" i="16"/>
  <c r="N89" i="16"/>
  <c r="N101" i="16"/>
  <c r="M101" i="16"/>
  <c r="N100" i="14"/>
  <c r="M100" i="14"/>
  <c r="G41" i="8"/>
  <c r="I41" i="8" s="1"/>
  <c r="BD17" i="7"/>
  <c r="AW14" i="7"/>
  <c r="AG80" i="8"/>
  <c r="N90" i="14"/>
  <c r="M90" i="14"/>
  <c r="AQ13" i="14"/>
  <c r="L105" i="10"/>
  <c r="J104" i="10"/>
  <c r="N102" i="13"/>
  <c r="M102" i="13"/>
  <c r="BK11" i="12"/>
  <c r="BQ7" i="12"/>
  <c r="BQ32" i="12" s="1"/>
  <c r="V170" i="8"/>
  <c r="AG161" i="8"/>
  <c r="N98" i="13"/>
  <c r="M98" i="13"/>
  <c r="D105" i="15"/>
  <c r="F105" i="14"/>
  <c r="D104" i="14"/>
  <c r="F107" i="14"/>
  <c r="D107" i="15"/>
  <c r="F111" i="14"/>
  <c r="D111" i="15"/>
  <c r="BK8" i="15"/>
  <c r="BK7" i="15" s="1"/>
  <c r="BK16" i="15" s="1"/>
  <c r="P37" i="20"/>
  <c r="BK11" i="7"/>
  <c r="BE21" i="8"/>
  <c r="B24" i="9"/>
  <c r="V177" i="10"/>
  <c r="V176" i="9"/>
  <c r="X177" i="9"/>
  <c r="AH229" i="13"/>
  <c r="M86" i="13"/>
  <c r="F85" i="13"/>
  <c r="V237" i="10"/>
  <c r="V235" i="9"/>
  <c r="V234" i="9" s="1"/>
  <c r="X237" i="9"/>
  <c r="K30" i="20"/>
  <c r="BC18" i="13"/>
  <c r="N96" i="13"/>
  <c r="M96" i="13"/>
  <c r="I95" i="10"/>
  <c r="G94" i="10"/>
  <c r="D99" i="15"/>
  <c r="F99" i="14"/>
  <c r="AH229" i="11"/>
  <c r="N101" i="15"/>
  <c r="M101" i="15"/>
  <c r="D100" i="16"/>
  <c r="F100" i="16" s="1"/>
  <c r="F100" i="15"/>
  <c r="I49" i="20"/>
  <c r="X110" i="6"/>
  <c r="AQ26" i="6" s="1"/>
  <c r="N28" i="6"/>
  <c r="BC22" i="5"/>
  <c r="AV16" i="5"/>
  <c r="AY16" i="5"/>
  <c r="AU16" i="5"/>
  <c r="AZ16" i="5"/>
  <c r="M24" i="6"/>
  <c r="M22" i="6" s="1"/>
  <c r="I22" i="6"/>
  <c r="AR7" i="6" s="1"/>
  <c r="AU7" i="6" s="1"/>
  <c r="AW7" i="6"/>
  <c r="AY7" i="6" s="1"/>
  <c r="G24" i="7"/>
  <c r="L21" i="6"/>
  <c r="L19" i="6" s="1"/>
  <c r="L17" i="6" s="1"/>
  <c r="L8" i="6" s="1"/>
  <c r="L27" i="7"/>
  <c r="J25" i="7"/>
  <c r="J21" i="7" s="1"/>
  <c r="J19" i="7" s="1"/>
  <c r="J17" i="7" s="1"/>
  <c r="G27" i="7"/>
  <c r="I25" i="6"/>
  <c r="AW8" i="6"/>
  <c r="AY8" i="6" s="1"/>
  <c r="M27" i="6"/>
  <c r="M25" i="6" s="1"/>
  <c r="G88" i="11"/>
  <c r="M88" i="10"/>
  <c r="M85" i="10" s="1"/>
  <c r="I85" i="10"/>
  <c r="AW11" i="10"/>
  <c r="AY11" i="10" s="1"/>
  <c r="AR11" i="10"/>
  <c r="AU11" i="10" s="1"/>
  <c r="F21" i="6"/>
  <c r="F19" i="6" s="1"/>
  <c r="F17" i="6" s="1"/>
  <c r="N82" i="13"/>
  <c r="N82" i="15"/>
  <c r="M82" i="15"/>
  <c r="M82" i="11"/>
  <c r="N82" i="11"/>
  <c r="G50" i="11"/>
  <c r="I48" i="10"/>
  <c r="M50" i="10"/>
  <c r="L31" i="11"/>
  <c r="I44" i="12"/>
  <c r="G42" i="12"/>
  <c r="J37" i="11"/>
  <c r="E31" i="15"/>
  <c r="E29" i="14"/>
  <c r="E37" i="12"/>
  <c r="E35" i="11"/>
  <c r="J65" i="9"/>
  <c r="L63" i="8"/>
  <c r="E26" i="10"/>
  <c r="E25" i="9"/>
  <c r="F26" i="9"/>
  <c r="M77" i="8"/>
  <c r="N77" i="8"/>
  <c r="E71" i="10"/>
  <c r="E69" i="9"/>
  <c r="F71" i="9"/>
  <c r="G74" i="9"/>
  <c r="I72" i="8"/>
  <c r="M74" i="8"/>
  <c r="BC11" i="8"/>
  <c r="M26" i="8"/>
  <c r="N26" i="8"/>
  <c r="F25" i="8"/>
  <c r="AQ8" i="8" s="1"/>
  <c r="J53" i="9"/>
  <c r="L51" i="8"/>
  <c r="J26" i="9"/>
  <c r="J83" i="9"/>
  <c r="L81" i="8"/>
  <c r="J47" i="9"/>
  <c r="L45" i="8"/>
  <c r="E14" i="10"/>
  <c r="E10" i="9"/>
  <c r="F14" i="9"/>
  <c r="J71" i="9"/>
  <c r="L69" i="8"/>
  <c r="N71" i="8"/>
  <c r="N69" i="8" s="1"/>
  <c r="D31" i="10"/>
  <c r="F31" i="9"/>
  <c r="M13" i="8"/>
  <c r="D37" i="10"/>
  <c r="F37" i="9"/>
  <c r="G68" i="9"/>
  <c r="I66" i="8"/>
  <c r="N65" i="8"/>
  <c r="M68" i="8"/>
  <c r="M66" i="8" s="1"/>
  <c r="J33" i="9"/>
  <c r="L32" i="8"/>
  <c r="L28" i="8" s="1"/>
  <c r="AX9" i="8"/>
  <c r="N33" i="8"/>
  <c r="N32" i="8" s="1"/>
  <c r="D13" i="10"/>
  <c r="F13" i="9"/>
  <c r="E77" i="10"/>
  <c r="E75" i="9"/>
  <c r="F77" i="9"/>
  <c r="N53" i="8"/>
  <c r="G37" i="9"/>
  <c r="I35" i="8"/>
  <c r="E53" i="10"/>
  <c r="E51" i="9"/>
  <c r="F53" i="9"/>
  <c r="F81" i="8"/>
  <c r="M83" i="8"/>
  <c r="M81" i="8" s="1"/>
  <c r="N83" i="8"/>
  <c r="N81" i="8" s="1"/>
  <c r="E33" i="11"/>
  <c r="E32" i="10"/>
  <c r="E28" i="10" s="1"/>
  <c r="F33" i="10"/>
  <c r="G62" i="9"/>
  <c r="I60" i="8"/>
  <c r="M62" i="8"/>
  <c r="E65" i="10"/>
  <c r="E63" i="9"/>
  <c r="F65" i="9"/>
  <c r="J77" i="9"/>
  <c r="L75" i="8"/>
  <c r="D68" i="10"/>
  <c r="D66" i="9"/>
  <c r="F68" i="9"/>
  <c r="E83" i="10"/>
  <c r="E81" i="9"/>
  <c r="F83" i="9"/>
  <c r="J59" i="9"/>
  <c r="L57" i="8"/>
  <c r="N59" i="8"/>
  <c r="N57" i="8" s="1"/>
  <c r="G46" i="9"/>
  <c r="I45" i="8"/>
  <c r="BD15" i="8"/>
  <c r="M46" i="8"/>
  <c r="M45" i="8" s="1"/>
  <c r="D56" i="10"/>
  <c r="D54" i="9"/>
  <c r="F56" i="9"/>
  <c r="E47" i="10"/>
  <c r="E45" i="9"/>
  <c r="F47" i="9"/>
  <c r="BC7" i="7"/>
  <c r="E59" i="10"/>
  <c r="E57" i="9"/>
  <c r="F59" i="9"/>
  <c r="G80" i="10"/>
  <c r="G52" i="9"/>
  <c r="I51" i="8"/>
  <c r="M52" i="8"/>
  <c r="M51" i="8" s="1"/>
  <c r="M37" i="8"/>
  <c r="E24" i="9"/>
  <c r="E22" i="8"/>
  <c r="E21" i="8" s="1"/>
  <c r="E19" i="8" s="1"/>
  <c r="E17" i="8" s="1"/>
  <c r="E8" i="8" s="1"/>
  <c r="E128" i="8"/>
  <c r="N24" i="7"/>
  <c r="F22" i="7"/>
  <c r="F128" i="7"/>
  <c r="L13" i="7"/>
  <c r="J10" i="7"/>
  <c r="D24" i="9"/>
  <c r="D22" i="8"/>
  <c r="F24" i="8"/>
  <c r="BC21" i="8" s="1"/>
  <c r="D128" i="8"/>
  <c r="J14" i="11"/>
  <c r="L14" i="11" s="1"/>
  <c r="J15" i="9"/>
  <c r="L15" i="9" s="1"/>
  <c r="N15" i="8"/>
  <c r="J24" i="8"/>
  <c r="L22" i="7"/>
  <c r="AX7" i="7"/>
  <c r="L128" i="7"/>
  <c r="AB88" i="8"/>
  <c r="AD83" i="7"/>
  <c r="BP31" i="7"/>
  <c r="BJ15" i="7" s="1"/>
  <c r="AI88" i="7"/>
  <c r="Y237" i="8"/>
  <c r="AA235" i="7"/>
  <c r="AH237" i="7"/>
  <c r="AH235" i="7" s="1"/>
  <c r="AH234" i="7" s="1"/>
  <c r="AV22" i="15"/>
  <c r="X110" i="5"/>
  <c r="AQ26" i="5" s="1"/>
  <c r="AY26" i="5" s="1"/>
  <c r="U12" i="13"/>
  <c r="U10" i="13" s="1"/>
  <c r="U8" i="13" s="1"/>
  <c r="BO17" i="7"/>
  <c r="BO15" i="7" s="1"/>
  <c r="BI10" i="7" s="1"/>
  <c r="AA145" i="7"/>
  <c r="AA110" i="7" s="1"/>
  <c r="AA133" i="8"/>
  <c r="Y123" i="8"/>
  <c r="Y112" i="8" s="1"/>
  <c r="I56" i="8"/>
  <c r="V245" i="10"/>
  <c r="X245" i="9"/>
  <c r="V134" i="13"/>
  <c r="X134" i="12"/>
  <c r="AA159" i="8"/>
  <c r="Y157" i="8"/>
  <c r="Y155" i="8" s="1"/>
  <c r="Y145" i="8" s="1"/>
  <c r="AD107" i="8"/>
  <c r="AB105" i="8"/>
  <c r="AB104" i="8" s="1"/>
  <c r="AD50" i="8"/>
  <c r="AB49" i="8"/>
  <c r="AB43" i="8" s="1"/>
  <c r="V225" i="13"/>
  <c r="V222" i="12"/>
  <c r="X225" i="12"/>
  <c r="AU16" i="6"/>
  <c r="AY16" i="6"/>
  <c r="AV16" i="6"/>
  <c r="AG127" i="12"/>
  <c r="AV24" i="5"/>
  <c r="AU24" i="5"/>
  <c r="AZ24" i="5"/>
  <c r="AY24" i="5"/>
  <c r="AG158" i="12"/>
  <c r="AU23" i="6"/>
  <c r="AV23" i="6"/>
  <c r="AZ23" i="6"/>
  <c r="M38" i="9"/>
  <c r="N38" i="9"/>
  <c r="AD38" i="16"/>
  <c r="L34" i="16"/>
  <c r="AG142" i="16"/>
  <c r="BP8" i="5"/>
  <c r="BP7" i="5" s="1"/>
  <c r="BP32" i="5" s="1"/>
  <c r="AE227" i="8"/>
  <c r="R48" i="20"/>
  <c r="R46" i="20" s="1"/>
  <c r="F46" i="20"/>
  <c r="F30" i="20" s="1"/>
  <c r="AY25" i="5"/>
  <c r="AV25" i="5"/>
  <c r="AZ25" i="5"/>
  <c r="AU25" i="5"/>
  <c r="D40" i="12"/>
  <c r="F40" i="11"/>
  <c r="AD214" i="15"/>
  <c r="BK7" i="5"/>
  <c r="BK16" i="5" s="1"/>
  <c r="AV28" i="5"/>
  <c r="AB168" i="16"/>
  <c r="AI168" i="15"/>
  <c r="N40" i="10"/>
  <c r="M40" i="10"/>
  <c r="F39" i="11"/>
  <c r="D39" i="12"/>
  <c r="BQ7" i="5"/>
  <c r="BQ32" i="5" s="1"/>
  <c r="AZ28" i="5"/>
  <c r="BP8" i="6"/>
  <c r="BJ8" i="6"/>
  <c r="D38" i="11"/>
  <c r="F38" i="10"/>
  <c r="J61" i="16"/>
  <c r="AU30" i="5"/>
  <c r="AZ30" i="5"/>
  <c r="AY30" i="5"/>
  <c r="AV30" i="5"/>
  <c r="M39" i="10"/>
  <c r="N39" i="10"/>
  <c r="AB74" i="16"/>
  <c r="AI74" i="15"/>
  <c r="AE92" i="15"/>
  <c r="X132" i="16"/>
  <c r="AH90" i="7"/>
  <c r="AD93" i="16"/>
  <c r="AU29" i="7"/>
  <c r="AY29" i="7"/>
  <c r="AV29" i="7"/>
  <c r="X162" i="16"/>
  <c r="AB228" i="16"/>
  <c r="AE48" i="16"/>
  <c r="BN22" i="7"/>
  <c r="BH11" i="7" s="1"/>
  <c r="J67" i="16"/>
  <c r="N67" i="15"/>
  <c r="AH132" i="15"/>
  <c r="AI132" i="15"/>
  <c r="AJ132" i="15"/>
  <c r="W212" i="16"/>
  <c r="X212" i="15"/>
  <c r="AV29" i="6"/>
  <c r="AU29" i="6"/>
  <c r="G30" i="20"/>
  <c r="G56" i="20" s="1"/>
  <c r="AJ220" i="7"/>
  <c r="AA251" i="16"/>
  <c r="AH212" i="14"/>
  <c r="AI212" i="14"/>
  <c r="AY12" i="16"/>
  <c r="AZ12" i="16"/>
  <c r="AV12" i="16"/>
  <c r="AU12" i="16"/>
  <c r="AD130" i="15"/>
  <c r="BH14" i="7"/>
  <c r="AE177" i="16"/>
  <c r="AG177" i="16" s="1"/>
  <c r="L46" i="16"/>
  <c r="BO25" i="7"/>
  <c r="BI12" i="7" s="1"/>
  <c r="AD86" i="16"/>
  <c r="AH162" i="15"/>
  <c r="AI162" i="15"/>
  <c r="N41" i="7"/>
  <c r="M41" i="7"/>
  <c r="D41" i="9"/>
  <c r="F41" i="8"/>
  <c r="B12" i="11"/>
  <c r="I12" i="7"/>
  <c r="G10" i="7"/>
  <c r="BD7" i="6"/>
  <c r="AV27" i="6"/>
  <c r="AY27" i="6"/>
  <c r="AU27" i="6"/>
  <c r="AJ71" i="15"/>
  <c r="AE71" i="16"/>
  <c r="AE229" i="9"/>
  <c r="AG229" i="9" s="1"/>
  <c r="AJ229" i="8"/>
  <c r="AE204" i="10"/>
  <c r="AG204" i="10" s="1"/>
  <c r="AJ204" i="9"/>
  <c r="AE254" i="10"/>
  <c r="AG254" i="10" s="1"/>
  <c r="AJ254" i="9"/>
  <c r="AE251" i="10"/>
  <c r="AG251" i="10" s="1"/>
  <c r="AJ251" i="9"/>
  <c r="AI202" i="16"/>
  <c r="AG60" i="15"/>
  <c r="BE8" i="13"/>
  <c r="AE200" i="10"/>
  <c r="AG200" i="10" s="1"/>
  <c r="AJ200" i="9"/>
  <c r="AE222" i="8"/>
  <c r="AJ107" i="15"/>
  <c r="AE107" i="16"/>
  <c r="AU23" i="5"/>
  <c r="AZ23" i="5"/>
  <c r="AV23" i="5"/>
  <c r="AY23" i="5"/>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J238" i="9"/>
  <c r="AE133" i="16"/>
  <c r="BQ7" i="6"/>
  <c r="BQ32" i="6" s="1"/>
  <c r="BF9" i="7"/>
  <c r="BF9" i="10" s="1"/>
  <c r="BF9" i="13" s="1"/>
  <c r="BF9" i="16" s="1"/>
  <c r="BE8" i="5"/>
  <c r="BE22" i="5" s="1"/>
  <c r="BK7" i="9"/>
  <c r="BK16" i="9" s="1"/>
  <c r="AE213" i="10"/>
  <c r="AG213" i="10" s="1"/>
  <c r="AJ213" i="9"/>
  <c r="AZ22" i="15"/>
  <c r="AV24" i="6"/>
  <c r="AE245" i="13"/>
  <c r="AG245" i="13" s="1"/>
  <c r="AE224" i="9"/>
  <c r="AG224" i="9" s="1"/>
  <c r="AJ224" i="8"/>
  <c r="AE256" i="10"/>
  <c r="AG256" i="10" s="1"/>
  <c r="AJ256" i="9"/>
  <c r="AE239" i="10"/>
  <c r="AG239" i="10" s="1"/>
  <c r="AJ239" i="9"/>
  <c r="AE223" i="9"/>
  <c r="AJ223" i="8"/>
  <c r="AG222" i="8"/>
  <c r="AE97" i="1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AQ14" i="5"/>
  <c r="AY25" i="6"/>
  <c r="AU25" i="6"/>
  <c r="AE159" i="16"/>
  <c r="Y53" i="15"/>
  <c r="AH53" i="14"/>
  <c r="AI217" i="16"/>
  <c r="AJ66" i="16"/>
  <c r="AS22" i="16"/>
  <c r="AV22" i="16" s="1"/>
  <c r="BK7" i="6"/>
  <c r="AG186" i="8"/>
  <c r="AE216" i="10"/>
  <c r="AG216" i="10" s="1"/>
  <c r="AJ216" i="9"/>
  <c r="AE182" i="10"/>
  <c r="AG182" i="10" s="1"/>
  <c r="AJ182" i="9"/>
  <c r="AE246" i="10"/>
  <c r="AG246" i="10" s="1"/>
  <c r="AJ246" i="9"/>
  <c r="AE218" i="13"/>
  <c r="AG218" i="13" s="1"/>
  <c r="AJ218" i="12"/>
  <c r="AJ180" i="11"/>
  <c r="AE180" i="12"/>
  <c r="AS13" i="7"/>
  <c r="AX13" i="7"/>
  <c r="G23" i="8"/>
  <c r="BD12" i="7"/>
  <c r="M23" i="7"/>
  <c r="AJ249" i="12"/>
  <c r="AE249" i="13"/>
  <c r="AG249" i="13" s="1"/>
  <c r="BN8" i="6"/>
  <c r="AE51" i="16"/>
  <c r="I126" i="5"/>
  <c r="I130" i="5" s="1"/>
  <c r="AE250" i="10"/>
  <c r="AG250" i="10" s="1"/>
  <c r="AJ250" i="9"/>
  <c r="AG206" i="8"/>
  <c r="AE205" i="8"/>
  <c r="AE247" i="13"/>
  <c r="AG247" i="13" s="1"/>
  <c r="AJ247" i="12"/>
  <c r="AE21" i="16"/>
  <c r="AU9" i="5"/>
  <c r="AV9" i="5"/>
  <c r="AY9" i="5"/>
  <c r="AZ9" i="5"/>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AE236" i="9"/>
  <c r="AJ236" i="8"/>
  <c r="AE248" i="10"/>
  <c r="AG248" i="10" s="1"/>
  <c r="AJ248" i="9"/>
  <c r="AE191" i="10"/>
  <c r="AG191" i="10" s="1"/>
  <c r="AJ191" i="9"/>
  <c r="AE252" i="10"/>
  <c r="AG252" i="10" s="1"/>
  <c r="AJ252" i="9"/>
  <c r="AE201" i="10"/>
  <c r="AG201" i="10" s="1"/>
  <c r="BH8" i="5"/>
  <c r="BH7" i="5" s="1"/>
  <c r="BH16" i="5" s="1"/>
  <c r="BN8" i="5"/>
  <c r="BN7" i="5" s="1"/>
  <c r="BN32" i="5" s="1"/>
  <c r="AY27" i="5"/>
  <c r="AU27" i="5"/>
  <c r="AE199" i="10"/>
  <c r="AG199" i="10" s="1"/>
  <c r="AJ199" i="9"/>
  <c r="AE215" i="10"/>
  <c r="AG215" i="10" s="1"/>
  <c r="AJ215" i="9"/>
  <c r="AF211" i="10" l="1"/>
  <c r="AF210" i="10" s="1"/>
  <c r="AF209" i="10" s="1"/>
  <c r="BQ26" i="10"/>
  <c r="BK7" i="12"/>
  <c r="BK16" i="12" s="1"/>
  <c r="AH110" i="5"/>
  <c r="AU24" i="6"/>
  <c r="AZ24" i="6"/>
  <c r="BQ32" i="7"/>
  <c r="R37" i="20"/>
  <c r="R32" i="20" s="1"/>
  <c r="R31" i="20" s="1"/>
  <c r="R30" i="20" s="1"/>
  <c r="V110" i="7"/>
  <c r="AJ110" i="6"/>
  <c r="AU23" i="7"/>
  <c r="AC258" i="6"/>
  <c r="N21" i="6"/>
  <c r="N19" i="6" s="1"/>
  <c r="N17" i="6" s="1"/>
  <c r="N8" i="6" s="1"/>
  <c r="D73" i="10"/>
  <c r="D72" i="9"/>
  <c r="F73" i="9"/>
  <c r="AV26" i="6"/>
  <c r="M73" i="8"/>
  <c r="M72" i="8" s="1"/>
  <c r="F72" i="8"/>
  <c r="N73" i="8"/>
  <c r="N72" i="8" s="1"/>
  <c r="AJ90" i="6"/>
  <c r="AJ63" i="6" s="1"/>
  <c r="AJ12" i="6" s="1"/>
  <c r="AZ27" i="5"/>
  <c r="BN7" i="6"/>
  <c r="BN32" i="6" s="1"/>
  <c r="AV28" i="6"/>
  <c r="AU28" i="6"/>
  <c r="BN28" i="7"/>
  <c r="BN25" i="7" s="1"/>
  <c r="BH12" i="7" s="1"/>
  <c r="AI110" i="6"/>
  <c r="AI12" i="6"/>
  <c r="BH7" i="6"/>
  <c r="BH16" i="6" s="1"/>
  <c r="V258" i="6"/>
  <c r="M80" i="8"/>
  <c r="N80" i="8"/>
  <c r="BK7" i="7"/>
  <c r="BK16" i="7" s="1"/>
  <c r="V8" i="6"/>
  <c r="D80" i="10"/>
  <c r="F80" i="9"/>
  <c r="BP7" i="6"/>
  <c r="BJ7" i="6"/>
  <c r="AH110" i="6"/>
  <c r="Y8" i="6"/>
  <c r="Y258" i="6"/>
  <c r="D61" i="10"/>
  <c r="D60" i="9"/>
  <c r="F61" i="9"/>
  <c r="N61" i="8"/>
  <c r="N60" i="8" s="1"/>
  <c r="M61" i="8"/>
  <c r="M60" i="8" s="1"/>
  <c r="F60" i="8"/>
  <c r="M8" i="5"/>
  <c r="AW22" i="11"/>
  <c r="AY22" i="11" s="1"/>
  <c r="AU22" i="11"/>
  <c r="D28" i="7"/>
  <c r="D21" i="7" s="1"/>
  <c r="D19" i="7" s="1"/>
  <c r="D17" i="7" s="1"/>
  <c r="D8" i="7" s="1"/>
  <c r="Y1" i="5"/>
  <c r="AI232" i="6"/>
  <c r="AB131" i="16"/>
  <c r="AD131" i="16" s="1"/>
  <c r="AI131" i="16" s="1"/>
  <c r="AI131" i="15"/>
  <c r="AH63" i="5"/>
  <c r="AH12" i="5" s="1"/>
  <c r="AH10" i="5" s="1"/>
  <c r="R52" i="20"/>
  <c r="AH12" i="6"/>
  <c r="AJ110" i="5"/>
  <c r="V12" i="7"/>
  <c r="BP29" i="6"/>
  <c r="BJ13" i="6" s="1"/>
  <c r="AR30" i="6"/>
  <c r="W50" i="14"/>
  <c r="AH50" i="12"/>
  <c r="AJ50" i="12"/>
  <c r="D76" i="9"/>
  <c r="D75" i="8"/>
  <c r="F76" i="8"/>
  <c r="BC17" i="8" s="1"/>
  <c r="X114" i="7"/>
  <c r="AH118" i="7"/>
  <c r="AH114" i="7" s="1"/>
  <c r="AH112" i="7" s="1"/>
  <c r="AH110" i="7" s="1"/>
  <c r="AI118" i="7"/>
  <c r="AI114" i="7" s="1"/>
  <c r="AI112" i="7" s="1"/>
  <c r="AJ118" i="7"/>
  <c r="V214" i="10"/>
  <c r="V211" i="9"/>
  <c r="V210" i="9" s="1"/>
  <c r="V209" i="9" s="1"/>
  <c r="X214" i="9"/>
  <c r="AE106" i="8"/>
  <c r="AG105" i="7"/>
  <c r="AG104" i="7" s="1"/>
  <c r="AJ106" i="7"/>
  <c r="AJ105" i="7" s="1"/>
  <c r="AJ104" i="7" s="1"/>
  <c r="AI178" i="10"/>
  <c r="AH178" i="10"/>
  <c r="AZ7" i="6"/>
  <c r="AV7" i="6"/>
  <c r="V51" i="10"/>
  <c r="V49" i="9"/>
  <c r="X51" i="9"/>
  <c r="AH206" i="8"/>
  <c r="AH205" i="8" s="1"/>
  <c r="X205" i="8"/>
  <c r="AI206" i="8"/>
  <c r="AI205" i="8" s="1"/>
  <c r="W46" i="10"/>
  <c r="W44" i="9"/>
  <c r="N30" i="7"/>
  <c r="N29" i="7" s="1"/>
  <c r="BC13" i="7"/>
  <c r="F29" i="7"/>
  <c r="D42" i="9"/>
  <c r="D43" i="10"/>
  <c r="F43" i="9"/>
  <c r="AJ150" i="12"/>
  <c r="F35" i="7"/>
  <c r="M36" i="7"/>
  <c r="M35" i="7" s="1"/>
  <c r="N36" i="7"/>
  <c r="N35" i="7" s="1"/>
  <c r="F52" i="9"/>
  <c r="N52" i="9" s="1"/>
  <c r="D52" i="10"/>
  <c r="D51" i="9"/>
  <c r="D34" i="14"/>
  <c r="F34" i="13"/>
  <c r="D32" i="13"/>
  <c r="V90" i="8"/>
  <c r="V142" i="10"/>
  <c r="V141" i="9"/>
  <c r="X142" i="9"/>
  <c r="AG94" i="7"/>
  <c r="AE91" i="7"/>
  <c r="AJ63" i="5"/>
  <c r="AJ12" i="5" s="1"/>
  <c r="D69" i="9"/>
  <c r="D71" i="10"/>
  <c r="X83" i="7"/>
  <c r="AI85" i="7"/>
  <c r="AI83" i="7" s="1"/>
  <c r="AI63" i="7" s="1"/>
  <c r="AJ85" i="7"/>
  <c r="V145" i="8"/>
  <c r="D49" i="11"/>
  <c r="D48" i="10"/>
  <c r="F49" i="10"/>
  <c r="D64" i="9"/>
  <c r="D63" i="8"/>
  <c r="F64" i="8"/>
  <c r="G76" i="12"/>
  <c r="I75" i="11"/>
  <c r="N46" i="8"/>
  <c r="N45" i="8" s="1"/>
  <c r="F45" i="8"/>
  <c r="BC15" i="8"/>
  <c r="D59" i="10"/>
  <c r="D57" i="9"/>
  <c r="V50" i="14"/>
  <c r="X50" i="13"/>
  <c r="AI94" i="12"/>
  <c r="AH94" i="12"/>
  <c r="AB174" i="13"/>
  <c r="AD172" i="12"/>
  <c r="AJ46" i="7"/>
  <c r="AJ44" i="7" s="1"/>
  <c r="AI46" i="7"/>
  <c r="AI44" i="7" s="1"/>
  <c r="AI43" i="7" s="1"/>
  <c r="AH46" i="7"/>
  <c r="AH44" i="7" s="1"/>
  <c r="AH43" i="7" s="1"/>
  <c r="X44" i="7"/>
  <c r="X43" i="7" s="1"/>
  <c r="V158" i="10"/>
  <c r="V157" i="9"/>
  <c r="V155" i="9" s="1"/>
  <c r="X158" i="9"/>
  <c r="AG187" i="7"/>
  <c r="AG185" i="7" s="1"/>
  <c r="AE189" i="8"/>
  <c r="AJ189" i="7"/>
  <c r="AJ187" i="7" s="1"/>
  <c r="AJ185" i="7" s="1"/>
  <c r="V178" i="12"/>
  <c r="X178" i="11"/>
  <c r="V21" i="10"/>
  <c r="V20" i="9"/>
  <c r="V16" i="9" s="1"/>
  <c r="X21" i="9"/>
  <c r="AI97" i="8"/>
  <c r="AI96" i="8" s="1"/>
  <c r="AJ97" i="8"/>
  <c r="AH97" i="8"/>
  <c r="AH96" i="8" s="1"/>
  <c r="X96" i="8"/>
  <c r="AE160" i="8"/>
  <c r="AJ160" i="7"/>
  <c r="AJ157" i="7" s="1"/>
  <c r="AJ155" i="7" s="1"/>
  <c r="AJ145" i="7" s="1"/>
  <c r="AG157" i="7"/>
  <c r="AG155" i="7" s="1"/>
  <c r="AG145" i="7" s="1"/>
  <c r="D30" i="9"/>
  <c r="F30" i="8"/>
  <c r="D29" i="8"/>
  <c r="AD206" i="14"/>
  <c r="AB205" i="14"/>
  <c r="D36" i="9"/>
  <c r="F36" i="8"/>
  <c r="D35" i="8"/>
  <c r="N79" i="8"/>
  <c r="M79" i="8"/>
  <c r="V92" i="10"/>
  <c r="V91" i="9"/>
  <c r="X92" i="9"/>
  <c r="AI201" i="8"/>
  <c r="AI197" i="8" s="1"/>
  <c r="X197" i="8"/>
  <c r="X196" i="8" s="1"/>
  <c r="X195" i="8" s="1"/>
  <c r="AH201" i="8"/>
  <c r="AH197" i="8" s="1"/>
  <c r="AJ201" i="8"/>
  <c r="W39" i="10"/>
  <c r="W35" i="9"/>
  <c r="BC12" i="7"/>
  <c r="N23" i="7"/>
  <c r="X35" i="8"/>
  <c r="AH39" i="8"/>
  <c r="AJ39" i="8"/>
  <c r="AJ35" i="8" s="1"/>
  <c r="V151" i="10"/>
  <c r="V149" i="9"/>
  <c r="V147" i="9" s="1"/>
  <c r="X151" i="9"/>
  <c r="AE87" i="8"/>
  <c r="AG83" i="7"/>
  <c r="AS24" i="7" s="1"/>
  <c r="AX24" i="7" s="1"/>
  <c r="AJ87" i="7"/>
  <c r="AE193" i="7"/>
  <c r="AF258" i="5"/>
  <c r="AG232" i="6"/>
  <c r="AS30" i="6" s="1"/>
  <c r="M76" i="7"/>
  <c r="M75" i="7" s="1"/>
  <c r="N76" i="7"/>
  <c r="N75" i="7" s="1"/>
  <c r="F75" i="7"/>
  <c r="V118" i="9"/>
  <c r="V114" i="8"/>
  <c r="V112" i="8" s="1"/>
  <c r="X118" i="8"/>
  <c r="AH214" i="8"/>
  <c r="AH211" i="8" s="1"/>
  <c r="AH210" i="8" s="1"/>
  <c r="AH209" i="8" s="1"/>
  <c r="AI214" i="8"/>
  <c r="X211" i="8"/>
  <c r="X210" i="8" s="1"/>
  <c r="X209" i="8" s="1"/>
  <c r="AJ214" i="8"/>
  <c r="W51" i="10"/>
  <c r="W49" i="9"/>
  <c r="AH51" i="8"/>
  <c r="AH49" i="8" s="1"/>
  <c r="X49" i="8"/>
  <c r="AI51" i="8"/>
  <c r="AJ51" i="8"/>
  <c r="V206" i="10"/>
  <c r="V205" i="9"/>
  <c r="X206" i="9"/>
  <c r="BC16" i="8"/>
  <c r="N43" i="8"/>
  <c r="N42" i="8" s="1"/>
  <c r="M43" i="8"/>
  <c r="M42" i="8" s="1"/>
  <c r="F42" i="8"/>
  <c r="AQ10" i="8" s="1"/>
  <c r="V150" i="14"/>
  <c r="X150" i="13"/>
  <c r="AJ150" i="13" s="1"/>
  <c r="D12" i="9"/>
  <c r="F12" i="8"/>
  <c r="F10" i="8" s="1"/>
  <c r="D10" i="8"/>
  <c r="N52" i="8"/>
  <c r="N51" i="8" s="1"/>
  <c r="F51" i="8"/>
  <c r="N78" i="8"/>
  <c r="M78" i="8"/>
  <c r="AI213" i="12"/>
  <c r="D83" i="11"/>
  <c r="D81" i="10"/>
  <c r="AI142" i="8"/>
  <c r="AI141" i="8" s="1"/>
  <c r="AH142" i="8"/>
  <c r="AH141" i="8" s="1"/>
  <c r="X141" i="8"/>
  <c r="BN20" i="8" s="1"/>
  <c r="AJ142" i="8"/>
  <c r="AJ141" i="8" s="1"/>
  <c r="V196" i="8"/>
  <c r="V195" i="8" s="1"/>
  <c r="V193" i="8" s="1"/>
  <c r="D23" i="9"/>
  <c r="F23" i="8"/>
  <c r="V85" i="9"/>
  <c r="V83" i="8"/>
  <c r="V63" i="8" s="1"/>
  <c r="X85" i="8"/>
  <c r="AG178" i="7"/>
  <c r="AE176" i="7"/>
  <c r="AE170" i="7" s="1"/>
  <c r="F48" i="9"/>
  <c r="M49" i="9"/>
  <c r="M48" i="9" s="1"/>
  <c r="N49" i="9"/>
  <c r="N48" i="9" s="1"/>
  <c r="W193" i="13"/>
  <c r="W258" i="7"/>
  <c r="N64" i="7"/>
  <c r="N63" i="7" s="1"/>
  <c r="F63" i="7"/>
  <c r="M64" i="7"/>
  <c r="M63" i="7" s="1"/>
  <c r="BC14" i="7"/>
  <c r="W106" i="16"/>
  <c r="W105" i="16" s="1"/>
  <c r="W104" i="16" s="1"/>
  <c r="W105" i="15"/>
  <c r="W104" i="15" s="1"/>
  <c r="F46" i="9"/>
  <c r="D46" i="10"/>
  <c r="D45" i="9"/>
  <c r="W94" i="14"/>
  <c r="W91" i="13"/>
  <c r="W90" i="13" s="1"/>
  <c r="W63" i="13" s="1"/>
  <c r="V46" i="9"/>
  <c r="V44" i="8"/>
  <c r="V43" i="8" s="1"/>
  <c r="V14" i="8" s="1"/>
  <c r="X46" i="8"/>
  <c r="AJ158" i="8"/>
  <c r="AH158" i="8"/>
  <c r="X157" i="8"/>
  <c r="X155" i="8" s="1"/>
  <c r="AI158" i="8"/>
  <c r="D74" i="14"/>
  <c r="AJ21" i="8"/>
  <c r="AI21" i="8"/>
  <c r="AI20" i="8" s="1"/>
  <c r="AI16" i="8" s="1"/>
  <c r="AH21" i="8"/>
  <c r="X20" i="8"/>
  <c r="X16" i="8" s="1"/>
  <c r="AQ23" i="8" s="1"/>
  <c r="V97" i="10"/>
  <c r="V96" i="9"/>
  <c r="X97" i="9"/>
  <c r="W43" i="8"/>
  <c r="W14" i="8" s="1"/>
  <c r="W12" i="8" s="1"/>
  <c r="W10" i="8" s="1"/>
  <c r="AG99" i="7"/>
  <c r="AE96" i="7"/>
  <c r="AI63" i="5"/>
  <c r="AI12" i="5" s="1"/>
  <c r="AI10" i="5" s="1"/>
  <c r="G64" i="14"/>
  <c r="BD14" i="13"/>
  <c r="I63" i="13"/>
  <c r="D78" i="9"/>
  <c r="F78" i="9" s="1"/>
  <c r="F79" i="9"/>
  <c r="D79" i="10"/>
  <c r="N34" i="12"/>
  <c r="M34" i="12"/>
  <c r="V213" i="14"/>
  <c r="X213" i="13"/>
  <c r="AI213" i="13" s="1"/>
  <c r="G70" i="13"/>
  <c r="I69" i="12"/>
  <c r="M70" i="12"/>
  <c r="AH92" i="8"/>
  <c r="AH91" i="8" s="1"/>
  <c r="AJ92" i="8"/>
  <c r="X91" i="8"/>
  <c r="X90" i="8" s="1"/>
  <c r="AI92" i="8"/>
  <c r="AI91" i="8" s="1"/>
  <c r="V201" i="10"/>
  <c r="V197" i="9"/>
  <c r="X201" i="9"/>
  <c r="AG90" i="6"/>
  <c r="AG126" i="7"/>
  <c r="AE123" i="7"/>
  <c r="AE112" i="7" s="1"/>
  <c r="AE110" i="7" s="1"/>
  <c r="BC17" i="7"/>
  <c r="M71" i="8"/>
  <c r="M69" i="8" s="1"/>
  <c r="F69" i="8"/>
  <c r="V39" i="10"/>
  <c r="V35" i="9"/>
  <c r="X39" i="9"/>
  <c r="AI151" i="8"/>
  <c r="AI149" i="8" s="1"/>
  <c r="AI147" i="8" s="1"/>
  <c r="AJ151" i="8"/>
  <c r="AJ149" i="8" s="1"/>
  <c r="AJ147" i="8" s="1"/>
  <c r="AH151" i="8"/>
  <c r="AH149" i="8" s="1"/>
  <c r="AH147" i="8" s="1"/>
  <c r="X149" i="8"/>
  <c r="X147" i="8" s="1"/>
  <c r="W21" i="10"/>
  <c r="W20" i="9"/>
  <c r="W16" i="9" s="1"/>
  <c r="AE116" i="8"/>
  <c r="AJ116" i="7"/>
  <c r="AJ114" i="7" s="1"/>
  <c r="AG114" i="7"/>
  <c r="U258" i="13"/>
  <c r="G55" i="8"/>
  <c r="M55" i="7"/>
  <c r="M54" i="7" s="1"/>
  <c r="I54" i="7"/>
  <c r="AG244" i="7"/>
  <c r="AE243" i="7"/>
  <c r="AE232" i="7" s="1"/>
  <c r="V244" i="9"/>
  <c r="X244" i="8"/>
  <c r="V243" i="8"/>
  <c r="V232" i="8" s="1"/>
  <c r="W8" i="7"/>
  <c r="AA234" i="7"/>
  <c r="X10" i="5"/>
  <c r="X10" i="6"/>
  <c r="X8" i="6" s="1"/>
  <c r="U1" i="6" s="1"/>
  <c r="AD10" i="6"/>
  <c r="AD8" i="6" s="1"/>
  <c r="Y1" i="6" s="1"/>
  <c r="AD244" i="7"/>
  <c r="AI244" i="7" s="1"/>
  <c r="AI243" i="7" s="1"/>
  <c r="AI232" i="7" s="1"/>
  <c r="AB243" i="7"/>
  <c r="AB232" i="7" s="1"/>
  <c r="AF258" i="6"/>
  <c r="AB10" i="7"/>
  <c r="BL13" i="7"/>
  <c r="BL13" i="10" s="1"/>
  <c r="BL13" i="13" s="1"/>
  <c r="BL13" i="16" s="1"/>
  <c r="W244" i="9"/>
  <c r="W243" i="8"/>
  <c r="W232" i="8" s="1"/>
  <c r="AA244" i="7"/>
  <c r="Y243" i="7"/>
  <c r="Y232" i="7" s="1"/>
  <c r="U258" i="15"/>
  <c r="U258" i="11"/>
  <c r="AH244" i="7"/>
  <c r="AH243" i="7" s="1"/>
  <c r="AH232" i="7" s="1"/>
  <c r="AJ244" i="7"/>
  <c r="AJ243" i="7" s="1"/>
  <c r="X243" i="7"/>
  <c r="X232" i="7" s="1"/>
  <c r="U8" i="9"/>
  <c r="U258" i="9"/>
  <c r="T33" i="11"/>
  <c r="P32" i="20"/>
  <c r="P31" i="20" s="1"/>
  <c r="P30" i="20" s="1"/>
  <c r="P56" i="20" s="1"/>
  <c r="Y39" i="16"/>
  <c r="AA39" i="16" s="1"/>
  <c r="Y43" i="13"/>
  <c r="AB177" i="16"/>
  <c r="AD177" i="16" s="1"/>
  <c r="BP23" i="16" s="1"/>
  <c r="E47" i="20" s="1"/>
  <c r="BP23" i="15"/>
  <c r="Y156" i="16"/>
  <c r="AA156" i="16" s="1"/>
  <c r="BO18" i="15"/>
  <c r="AH156" i="15"/>
  <c r="Y66" i="16"/>
  <c r="AA66" i="16" s="1"/>
  <c r="BO10" i="15"/>
  <c r="AH66" i="15"/>
  <c r="I34" i="15"/>
  <c r="G32" i="15"/>
  <c r="G59" i="15"/>
  <c r="I57" i="14"/>
  <c r="G65" i="15"/>
  <c r="I77" i="15"/>
  <c r="G83" i="15"/>
  <c r="I81" i="14"/>
  <c r="Y230" i="15"/>
  <c r="AA227" i="14"/>
  <c r="AH230" i="14"/>
  <c r="G71" i="15"/>
  <c r="AB59" i="14"/>
  <c r="AD58" i="13"/>
  <c r="AD57" i="13" s="1"/>
  <c r="AH160" i="14"/>
  <c r="AI160" i="14"/>
  <c r="AH60" i="13"/>
  <c r="AI60" i="13"/>
  <c r="AJ60" i="13"/>
  <c r="X53" i="15"/>
  <c r="AI53" i="15" s="1"/>
  <c r="V53" i="16"/>
  <c r="F74" i="14"/>
  <c r="E72" i="14"/>
  <c r="E74" i="15"/>
  <c r="AI79" i="12"/>
  <c r="AB79" i="13"/>
  <c r="AD79" i="13" s="1"/>
  <c r="V94" i="15"/>
  <c r="X94" i="14"/>
  <c r="V87" i="15"/>
  <c r="X87" i="14"/>
  <c r="W48" i="15"/>
  <c r="AD141" i="13"/>
  <c r="BP20" i="13" s="1"/>
  <c r="AB142" i="14"/>
  <c r="AH143" i="13"/>
  <c r="AI143" i="13"/>
  <c r="Y51" i="14"/>
  <c r="AA49" i="13"/>
  <c r="AH215" i="13"/>
  <c r="AI94" i="13"/>
  <c r="AH94" i="13"/>
  <c r="AI87" i="13"/>
  <c r="AH87" i="13"/>
  <c r="D33" i="16"/>
  <c r="AI106" i="13"/>
  <c r="AH106" i="13"/>
  <c r="X105" i="13"/>
  <c r="X104" i="13" s="1"/>
  <c r="E56" i="15"/>
  <c r="E54" i="14"/>
  <c r="W215" i="15"/>
  <c r="X215" i="14"/>
  <c r="W211" i="14"/>
  <c r="W210" i="14" s="1"/>
  <c r="W209" i="14" s="1"/>
  <c r="AI53" i="14"/>
  <c r="V48" i="15"/>
  <c r="X48" i="14"/>
  <c r="V37" i="15"/>
  <c r="AH116" i="13"/>
  <c r="AI116" i="13"/>
  <c r="V99" i="16"/>
  <c r="X99" i="15"/>
  <c r="V106" i="15"/>
  <c r="X106" i="14"/>
  <c r="V105" i="14"/>
  <c r="V104" i="14" s="1"/>
  <c r="AI86" i="13"/>
  <c r="AH86" i="13"/>
  <c r="AJ48" i="13"/>
  <c r="AH48" i="13"/>
  <c r="AI48" i="13"/>
  <c r="V116" i="15"/>
  <c r="X116" i="14"/>
  <c r="AB215" i="13"/>
  <c r="AD215" i="13" s="1"/>
  <c r="AB215" i="14" s="1"/>
  <c r="AD215" i="14" s="1"/>
  <c r="AB215" i="15" s="1"/>
  <c r="AD215" i="15" s="1"/>
  <c r="AB215" i="16" s="1"/>
  <c r="AD215" i="16" s="1"/>
  <c r="AI215" i="12"/>
  <c r="X199" i="14"/>
  <c r="V199" i="15"/>
  <c r="L56" i="20"/>
  <c r="X60" i="14"/>
  <c r="V60" i="15"/>
  <c r="V58" i="14"/>
  <c r="V57" i="14" s="1"/>
  <c r="D26" i="15"/>
  <c r="D25" i="14"/>
  <c r="F50" i="14"/>
  <c r="E50" i="15"/>
  <c r="E48" i="14"/>
  <c r="AH99" i="14"/>
  <c r="AI99" i="14"/>
  <c r="G61" i="13"/>
  <c r="I61" i="13" s="1"/>
  <c r="V160" i="16"/>
  <c r="X160" i="15"/>
  <c r="X143" i="14"/>
  <c r="W141" i="14"/>
  <c r="W143" i="15"/>
  <c r="V23" i="15"/>
  <c r="AI199" i="13"/>
  <c r="AH199" i="13"/>
  <c r="X86" i="14"/>
  <c r="W83" i="14"/>
  <c r="W86" i="15"/>
  <c r="Y90" i="11"/>
  <c r="AH75" i="12"/>
  <c r="AJ75" i="12"/>
  <c r="AG143" i="10"/>
  <c r="AE141" i="10"/>
  <c r="J56" i="10"/>
  <c r="L54" i="9"/>
  <c r="W72" i="15"/>
  <c r="W69" i="14"/>
  <c r="W65" i="14" s="1"/>
  <c r="X72" i="14"/>
  <c r="W23" i="15"/>
  <c r="X23" i="14"/>
  <c r="Y150" i="12"/>
  <c r="AA149" i="11"/>
  <c r="AA147" i="11" s="1"/>
  <c r="BO16" i="11" s="1"/>
  <c r="AH150" i="11"/>
  <c r="AB223" i="10"/>
  <c r="AD222" i="9"/>
  <c r="AD220" i="9" s="1"/>
  <c r="AI223" i="9"/>
  <c r="AI222" i="9" s="1"/>
  <c r="AJ137" i="14"/>
  <c r="AE137" i="15"/>
  <c r="AG137" i="15" s="1"/>
  <c r="W159" i="15"/>
  <c r="X159" i="14"/>
  <c r="W157" i="14"/>
  <c r="W155" i="14" s="1"/>
  <c r="BO27" i="11"/>
  <c r="AB90" i="9"/>
  <c r="E68" i="15"/>
  <c r="E66" i="14"/>
  <c r="X52" i="16"/>
  <c r="AH152" i="13"/>
  <c r="AI152" i="13"/>
  <c r="L50" i="10"/>
  <c r="J48" i="10"/>
  <c r="Y100" i="12"/>
  <c r="AA96" i="11"/>
  <c r="AH100" i="11"/>
  <c r="AB98" i="15"/>
  <c r="AD229" i="10"/>
  <c r="AB227" i="10"/>
  <c r="AA179" i="12"/>
  <c r="Y176" i="12"/>
  <c r="AB238" i="10"/>
  <c r="AD235" i="9"/>
  <c r="AD234" i="9" s="1"/>
  <c r="AH115" i="15"/>
  <c r="AI115" i="15"/>
  <c r="W177" i="16"/>
  <c r="W176" i="16" s="1"/>
  <c r="W176" i="15"/>
  <c r="J62" i="10"/>
  <c r="L60" i="9"/>
  <c r="N62" i="9"/>
  <c r="AB181" i="15"/>
  <c r="AD181" i="15" s="1"/>
  <c r="AI181" i="14"/>
  <c r="AE98" i="10"/>
  <c r="AJ98" i="9"/>
  <c r="AE115" i="10"/>
  <c r="AJ115" i="9"/>
  <c r="AH59" i="13"/>
  <c r="X58" i="13"/>
  <c r="X57" i="13" s="1"/>
  <c r="AI59" i="13"/>
  <c r="J44" i="10"/>
  <c r="L42" i="9"/>
  <c r="AS10" i="9" s="1"/>
  <c r="AX10" i="9"/>
  <c r="N44" i="9"/>
  <c r="AD188" i="10"/>
  <c r="AB187" i="10"/>
  <c r="AB185" i="10" s="1"/>
  <c r="J68" i="10"/>
  <c r="L66" i="9"/>
  <c r="AH93" i="15"/>
  <c r="AI93" i="15"/>
  <c r="W198" i="15"/>
  <c r="W197" i="14"/>
  <c r="W196" i="14" s="1"/>
  <c r="W195" i="14" s="1"/>
  <c r="X198" i="14"/>
  <c r="AB55" i="15"/>
  <c r="AD55" i="15" s="1"/>
  <c r="AI55" i="14"/>
  <c r="AD127" i="10"/>
  <c r="AB123" i="10"/>
  <c r="AA107" i="12"/>
  <c r="Y105" i="12"/>
  <c r="Y104" i="12" s="1"/>
  <c r="AE129" i="12"/>
  <c r="AG129" i="12" s="1"/>
  <c r="AJ129" i="11"/>
  <c r="W188" i="15"/>
  <c r="W187" i="14"/>
  <c r="W185" i="14" s="1"/>
  <c r="W170" i="14" s="1"/>
  <c r="AA246" i="12"/>
  <c r="L80" i="10"/>
  <c r="J78" i="10"/>
  <c r="L78" i="10" s="1"/>
  <c r="AH72" i="13"/>
  <c r="AI72" i="13"/>
  <c r="AJ72" i="13"/>
  <c r="AI23" i="13"/>
  <c r="AH23" i="13"/>
  <c r="W229" i="15"/>
  <c r="W227" i="14"/>
  <c r="X229" i="14"/>
  <c r="Y200" i="12"/>
  <c r="AA197" i="11"/>
  <c r="AA196" i="11" s="1"/>
  <c r="AH200" i="11"/>
  <c r="AE86" i="10"/>
  <c r="AJ86" i="9"/>
  <c r="AJ67" i="13"/>
  <c r="AE67" i="14"/>
  <c r="AG67" i="14" s="1"/>
  <c r="AJ159" i="13"/>
  <c r="AI159" i="13"/>
  <c r="W220" i="13"/>
  <c r="AA173" i="12"/>
  <c r="Y172" i="12"/>
  <c r="E44" i="15"/>
  <c r="E42" i="14"/>
  <c r="F44" i="14"/>
  <c r="AH52" i="15"/>
  <c r="AI52" i="15"/>
  <c r="W152" i="15"/>
  <c r="W149" i="14"/>
  <c r="W147" i="14" s="1"/>
  <c r="X152" i="14"/>
  <c r="AE59" i="10"/>
  <c r="AG58" i="9"/>
  <c r="AG57" i="9" s="1"/>
  <c r="AJ59" i="9"/>
  <c r="AJ58" i="9" s="1"/>
  <c r="AJ57" i="9" s="1"/>
  <c r="Y95" i="12"/>
  <c r="AA91" i="11"/>
  <c r="AH95" i="11"/>
  <c r="AG93" i="10"/>
  <c r="AB150" i="10"/>
  <c r="AD149" i="9"/>
  <c r="AD147" i="9" s="1"/>
  <c r="AI150" i="9"/>
  <c r="AE26" i="12"/>
  <c r="AG26" i="12" s="1"/>
  <c r="AJ26" i="11"/>
  <c r="Y225" i="12"/>
  <c r="AA222" i="11"/>
  <c r="AA220" i="11" s="1"/>
  <c r="BO30" i="11" s="1"/>
  <c r="BI14" i="11" s="1"/>
  <c r="AH225" i="11"/>
  <c r="AH222" i="11" s="1"/>
  <c r="AE119" i="15"/>
  <c r="AG119" i="15" s="1"/>
  <c r="AJ119" i="14"/>
  <c r="V75" i="14"/>
  <c r="X75" i="13"/>
  <c r="AA117" i="12"/>
  <c r="Y114" i="12"/>
  <c r="E78" i="16"/>
  <c r="AB71" i="14"/>
  <c r="AD71" i="14" s="1"/>
  <c r="AI71" i="13"/>
  <c r="Y46" i="14"/>
  <c r="AA44" i="13"/>
  <c r="E62" i="15"/>
  <c r="E60" i="14"/>
  <c r="F62" i="14"/>
  <c r="AB66" i="13"/>
  <c r="AD66" i="13" s="1"/>
  <c r="AR22" i="12"/>
  <c r="BP10" i="12"/>
  <c r="AI66" i="12"/>
  <c r="AE22" i="15"/>
  <c r="AG22" i="15" s="1"/>
  <c r="AJ22" i="14"/>
  <c r="W98" i="15"/>
  <c r="W96" i="14"/>
  <c r="X98" i="14"/>
  <c r="AH223" i="13"/>
  <c r="AA213" i="12"/>
  <c r="Y211" i="12"/>
  <c r="Y210" i="12" s="1"/>
  <c r="Y209" i="12" s="1"/>
  <c r="AB92" i="10"/>
  <c r="AD91" i="9"/>
  <c r="AI92" i="9"/>
  <c r="AI91" i="9" s="1"/>
  <c r="W37" i="15"/>
  <c r="X37" i="14"/>
  <c r="AJ30" i="14"/>
  <c r="AE30" i="15"/>
  <c r="AG30" i="15" s="1"/>
  <c r="AE152" i="10"/>
  <c r="AG149" i="9"/>
  <c r="AG147" i="9" s="1"/>
  <c r="AJ152" i="9"/>
  <c r="Y190" i="12"/>
  <c r="AA187" i="11"/>
  <c r="AA185" i="11" s="1"/>
  <c r="AA170" i="11" s="1"/>
  <c r="BO24" i="11" s="1"/>
  <c r="BO22" i="11" s="1"/>
  <c r="BI11" i="11" s="1"/>
  <c r="AH190" i="11"/>
  <c r="W114" i="16"/>
  <c r="X115" i="16"/>
  <c r="J36" i="10"/>
  <c r="L35" i="9"/>
  <c r="AB22" i="10"/>
  <c r="AI22" i="9"/>
  <c r="AD20" i="9"/>
  <c r="AD16" i="9" s="1"/>
  <c r="AB100" i="10"/>
  <c r="AD96" i="9"/>
  <c r="AI100" i="9"/>
  <c r="AE40" i="15"/>
  <c r="AG40" i="15" s="1"/>
  <c r="AJ40" i="14"/>
  <c r="AE47" i="10"/>
  <c r="AG44" i="9"/>
  <c r="AJ47" i="9"/>
  <c r="W59" i="15"/>
  <c r="W58" i="14"/>
  <c r="W57" i="14" s="1"/>
  <c r="X59" i="14"/>
  <c r="AB117" i="10"/>
  <c r="AD114" i="9"/>
  <c r="AI117" i="9"/>
  <c r="AH98" i="13"/>
  <c r="AI98" i="13"/>
  <c r="W145" i="13"/>
  <c r="W223" i="15"/>
  <c r="W222" i="14"/>
  <c r="X223" i="14"/>
  <c r="J30" i="10"/>
  <c r="L29" i="9"/>
  <c r="AB46" i="10"/>
  <c r="AD44" i="9"/>
  <c r="X93" i="16"/>
  <c r="AI93" i="16" s="1"/>
  <c r="AH198" i="13"/>
  <c r="BN26" i="13"/>
  <c r="L74" i="10"/>
  <c r="J72" i="10"/>
  <c r="AB85" i="14"/>
  <c r="AD85" i="14" s="1"/>
  <c r="AB198" i="10"/>
  <c r="AD197" i="9"/>
  <c r="AD196" i="9" s="1"/>
  <c r="BP26" i="9"/>
  <c r="AI198" i="9"/>
  <c r="AG36" i="10"/>
  <c r="AE35" i="10"/>
  <c r="AJ37" i="13"/>
  <c r="AI37" i="13"/>
  <c r="AD236" i="15"/>
  <c r="X193" i="7"/>
  <c r="H56" i="20"/>
  <c r="AH176" i="8"/>
  <c r="AH170" i="8" s="1"/>
  <c r="F56" i="20"/>
  <c r="AZ26" i="6"/>
  <c r="BJ8" i="7"/>
  <c r="AJ227" i="8"/>
  <c r="Y14" i="7"/>
  <c r="AE174" i="13"/>
  <c r="AG172" i="12"/>
  <c r="Y68" i="15"/>
  <c r="AA68" i="15" s="1"/>
  <c r="AH68" i="14"/>
  <c r="AE212" i="8"/>
  <c r="AJ212" i="7"/>
  <c r="AJ211" i="7" s="1"/>
  <c r="AJ210" i="7" s="1"/>
  <c r="AJ209" i="7" s="1"/>
  <c r="AG211" i="7"/>
  <c r="AG210" i="7" s="1"/>
  <c r="AG209" i="7" s="1"/>
  <c r="BN28" i="8"/>
  <c r="Y63" i="7"/>
  <c r="Y61" i="9"/>
  <c r="BO31" i="8"/>
  <c r="BI15" i="8" s="1"/>
  <c r="AH61" i="8"/>
  <c r="AH57" i="8" s="1"/>
  <c r="AA57" i="8"/>
  <c r="BO13" i="8" s="1"/>
  <c r="Y85" i="8"/>
  <c r="AA83" i="7"/>
  <c r="AH85" i="7"/>
  <c r="AH83" i="7" s="1"/>
  <c r="AI190" i="16"/>
  <c r="AD118" i="16"/>
  <c r="Y76" i="15"/>
  <c r="AA76" i="15" s="1"/>
  <c r="AH76" i="14"/>
  <c r="AC1" i="5"/>
  <c r="Y26" i="15"/>
  <c r="AA26" i="15" s="1"/>
  <c r="AH26" i="14"/>
  <c r="AD251" i="16"/>
  <c r="AE241" i="8"/>
  <c r="AJ241" i="7"/>
  <c r="AJ235" i="7" s="1"/>
  <c r="AJ234" i="7" s="1"/>
  <c r="AG235" i="7"/>
  <c r="AJ202" i="7"/>
  <c r="AJ197" i="7" s="1"/>
  <c r="AJ196" i="7" s="1"/>
  <c r="AJ195" i="7" s="1"/>
  <c r="AE202" i="8"/>
  <c r="AG197" i="7"/>
  <c r="AG196" i="7" s="1"/>
  <c r="AG195" i="7" s="1"/>
  <c r="AS14" i="6"/>
  <c r="AS17" i="6" s="1"/>
  <c r="Y37" i="8"/>
  <c r="AA35" i="7"/>
  <c r="AH37" i="7"/>
  <c r="AH35" i="7" s="1"/>
  <c r="AE220" i="8"/>
  <c r="Y28" i="12"/>
  <c r="AA28" i="12" s="1"/>
  <c r="AH28" i="11"/>
  <c r="AE53" i="12"/>
  <c r="AG53" i="12" s="1"/>
  <c r="AJ53" i="11"/>
  <c r="Y70" i="12"/>
  <c r="AA70" i="12" s="1"/>
  <c r="AH70" i="11"/>
  <c r="BC19" i="14"/>
  <c r="BF22" i="7"/>
  <c r="D113" i="15"/>
  <c r="F115" i="15"/>
  <c r="D115" i="16"/>
  <c r="N124" i="16"/>
  <c r="M124" i="16"/>
  <c r="D121" i="16"/>
  <c r="F121" i="16" s="1"/>
  <c r="F121" i="15"/>
  <c r="AI133" i="8"/>
  <c r="AI123" i="8" s="1"/>
  <c r="AJ133" i="8"/>
  <c r="X123" i="8"/>
  <c r="M119" i="14"/>
  <c r="N119" i="14"/>
  <c r="N120" i="16"/>
  <c r="M120" i="16"/>
  <c r="AE14" i="7"/>
  <c r="BI8" i="6"/>
  <c r="BI7" i="6" s="1"/>
  <c r="BI16" i="6" s="1"/>
  <c r="BO8" i="6"/>
  <c r="BO7" i="6" s="1"/>
  <c r="BO32" i="6" s="1"/>
  <c r="AB39" i="8"/>
  <c r="AD35" i="7"/>
  <c r="AD14" i="7" s="1"/>
  <c r="AI39" i="7"/>
  <c r="AI35" i="7" s="1"/>
  <c r="AE70" i="8"/>
  <c r="AJ70" i="7"/>
  <c r="AJ69" i="7" s="1"/>
  <c r="AJ65" i="7" s="1"/>
  <c r="AG69" i="7"/>
  <c r="AG65" i="7" s="1"/>
  <c r="N121" i="14"/>
  <c r="M121" i="14"/>
  <c r="I115" i="11"/>
  <c r="G113" i="11"/>
  <c r="D119" i="16"/>
  <c r="F119" i="16" s="1"/>
  <c r="F119" i="15"/>
  <c r="AE52" i="8"/>
  <c r="AG49" i="7"/>
  <c r="AG43" i="7" s="1"/>
  <c r="AJ52" i="7"/>
  <c r="AJ49" i="7" s="1"/>
  <c r="AJ43" i="7" s="1"/>
  <c r="D117" i="16"/>
  <c r="F117" i="16" s="1"/>
  <c r="F117" i="15"/>
  <c r="AE23" i="8"/>
  <c r="AG20" i="7"/>
  <c r="AG16" i="7" s="1"/>
  <c r="AJ23" i="7"/>
  <c r="AJ20" i="7" s="1"/>
  <c r="AJ16" i="7" s="1"/>
  <c r="AB167" i="8"/>
  <c r="AI167" i="7"/>
  <c r="AI157" i="7" s="1"/>
  <c r="AI155" i="7" s="1"/>
  <c r="AI145" i="7" s="1"/>
  <c r="AD157" i="7"/>
  <c r="AD155" i="7" s="1"/>
  <c r="BP19" i="7"/>
  <c r="BC20" i="14"/>
  <c r="F113" i="14"/>
  <c r="AQ15" i="14" s="1"/>
  <c r="N116" i="14"/>
  <c r="M116" i="14"/>
  <c r="W133" i="10"/>
  <c r="X133" i="9"/>
  <c r="X123" i="9" s="1"/>
  <c r="W123" i="9"/>
  <c r="W112" i="9" s="1"/>
  <c r="W110"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D170" i="7" s="1"/>
  <c r="AI180" i="7"/>
  <c r="AI176" i="7" s="1"/>
  <c r="AI170" i="7" s="1"/>
  <c r="AU26" i="6"/>
  <c r="F8" i="6"/>
  <c r="AQ16" i="8"/>
  <c r="AQ27" i="8"/>
  <c r="BN24" i="8"/>
  <c r="BN22" i="8" s="1"/>
  <c r="BH11" i="8" s="1"/>
  <c r="M100" i="15"/>
  <c r="N100" i="15"/>
  <c r="AI177" i="9"/>
  <c r="AH177" i="9"/>
  <c r="AH176" i="9" s="1"/>
  <c r="AJ177" i="9"/>
  <c r="BN23" i="9"/>
  <c r="X176" i="9"/>
  <c r="I25" i="20"/>
  <c r="BE22" i="8"/>
  <c r="D107" i="16"/>
  <c r="F107" i="16" s="1"/>
  <c r="F107" i="15"/>
  <c r="D105" i="16"/>
  <c r="F105" i="15"/>
  <c r="D104" i="15"/>
  <c r="Y161" i="12"/>
  <c r="AA161" i="12" s="1"/>
  <c r="AH161" i="11"/>
  <c r="AH238" i="9"/>
  <c r="AI238" i="9"/>
  <c r="AH228" i="9"/>
  <c r="AH227" i="9" s="1"/>
  <c r="AH220" i="9" s="1"/>
  <c r="AI228" i="9"/>
  <c r="AI227" i="9" s="1"/>
  <c r="AI220" i="9" s="1"/>
  <c r="X227" i="9"/>
  <c r="X220" i="9" s="1"/>
  <c r="BN30" i="9" s="1"/>
  <c r="BH14" i="9" s="1"/>
  <c r="J12" i="9"/>
  <c r="L12" i="9" s="1"/>
  <c r="N12" i="8"/>
  <c r="BC18" i="14"/>
  <c r="F94" i="14"/>
  <c r="V170" i="9"/>
  <c r="N91" i="16"/>
  <c r="M91" i="16"/>
  <c r="V135" i="11"/>
  <c r="X135" i="10"/>
  <c r="V123" i="10"/>
  <c r="N108" i="14"/>
  <c r="M108" i="14"/>
  <c r="V174" i="11"/>
  <c r="V172" i="10"/>
  <c r="X174" i="10"/>
  <c r="D102" i="16"/>
  <c r="F102" i="16" s="1"/>
  <c r="F102" i="15"/>
  <c r="M100" i="16"/>
  <c r="N100" i="16"/>
  <c r="C22" i="20"/>
  <c r="BD18" i="10"/>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V69" i="10"/>
  <c r="V65" i="10" s="1"/>
  <c r="X73" i="10"/>
  <c r="V207" i="15"/>
  <c r="X207" i="14"/>
  <c r="N102" i="14"/>
  <c r="M102" i="14"/>
  <c r="BL8" i="10"/>
  <c r="BL8" i="13" s="1"/>
  <c r="BL8" i="16" s="1"/>
  <c r="M99" i="14"/>
  <c r="N99" i="14"/>
  <c r="V177" i="11"/>
  <c r="X177" i="10"/>
  <c r="V176" i="10"/>
  <c r="D111" i="16"/>
  <c r="F111" i="16" s="1"/>
  <c r="F111" i="15"/>
  <c r="AE161" i="9"/>
  <c r="AJ161" i="8"/>
  <c r="AE80" i="9"/>
  <c r="AJ80" i="8"/>
  <c r="G41" i="9"/>
  <c r="I41" i="9" s="1"/>
  <c r="I56" i="20"/>
  <c r="M106" i="16"/>
  <c r="N106" i="16"/>
  <c r="AB75" i="9"/>
  <c r="AD69" i="8"/>
  <c r="AD65" i="8" s="1"/>
  <c r="AI75" i="8"/>
  <c r="AI69" i="8" s="1"/>
  <c r="AI65" i="8" s="1"/>
  <c r="N109" i="15"/>
  <c r="M109" i="15"/>
  <c r="V228" i="11"/>
  <c r="V227" i="10"/>
  <c r="V220" i="10" s="1"/>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AX14" i="8"/>
  <c r="BN30" i="8"/>
  <c r="BH14" i="8" s="1"/>
  <c r="N98" i="14"/>
  <c r="M98" i="14"/>
  <c r="AH174" i="9"/>
  <c r="AH172" i="9" s="1"/>
  <c r="BN31" i="9"/>
  <c r="BH15" i="9" s="1"/>
  <c r="AI174" i="9"/>
  <c r="AI172" i="9" s="1"/>
  <c r="AJ174" i="9"/>
  <c r="AJ172" i="9" s="1"/>
  <c r="X172" i="9"/>
  <c r="M90" i="15"/>
  <c r="N90" i="15"/>
  <c r="AQ13" i="15"/>
  <c r="F99" i="15"/>
  <c r="D99" i="16"/>
  <c r="F99" i="16"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AI211" i="8" s="1"/>
  <c r="AI210" i="8" s="1"/>
  <c r="AI209" i="8" s="1"/>
  <c r="M92" i="14"/>
  <c r="N92" i="14"/>
  <c r="AV12" i="15"/>
  <c r="AU12" i="15"/>
  <c r="AY12" i="15"/>
  <c r="AZ12" i="15"/>
  <c r="AE162" i="12"/>
  <c r="AG162" i="12" s="1"/>
  <c r="AJ162" i="11"/>
  <c r="F95" i="15"/>
  <c r="D95" i="16"/>
  <c r="D94" i="15"/>
  <c r="X187" i="9"/>
  <c r="X185" i="9" s="1"/>
  <c r="AI188" i="9"/>
  <c r="AI187" i="9" s="1"/>
  <c r="AI185" i="9" s="1"/>
  <c r="AH188" i="9"/>
  <c r="AH187" i="9" s="1"/>
  <c r="AH185" i="9" s="1"/>
  <c r="N87" i="15"/>
  <c r="M87" i="15"/>
  <c r="AV11" i="13"/>
  <c r="AZ11" i="13"/>
  <c r="AH73" i="9"/>
  <c r="AI73" i="9"/>
  <c r="AJ73" i="9"/>
  <c r="X69" i="9"/>
  <c r="X65" i="9" s="1"/>
  <c r="D86" i="16"/>
  <c r="F86" i="15"/>
  <c r="D85" i="15"/>
  <c r="F108" i="15"/>
  <c r="D108" i="16"/>
  <c r="F108" i="16" s="1"/>
  <c r="AH207" i="13"/>
  <c r="AI207" i="13"/>
  <c r="D98" i="16"/>
  <c r="F98" i="16" s="1"/>
  <c r="F98" i="15"/>
  <c r="N90" i="16"/>
  <c r="M90" i="16"/>
  <c r="AQ13" i="16"/>
  <c r="J8" i="7"/>
  <c r="AU26" i="5"/>
  <c r="AV26" i="5"/>
  <c r="AZ26" i="5"/>
  <c r="I24" i="7"/>
  <c r="G22" i="7"/>
  <c r="J27" i="8"/>
  <c r="J128" i="8" s="1"/>
  <c r="L25" i="7"/>
  <c r="AS8" i="7" s="1"/>
  <c r="AV8" i="7" s="1"/>
  <c r="N27" i="7"/>
  <c r="N25" i="7" s="1"/>
  <c r="AX8" i="7"/>
  <c r="AZ8" i="7" s="1"/>
  <c r="I27" i="7"/>
  <c r="G25" i="7"/>
  <c r="AR8" i="6"/>
  <c r="AU8" i="6" s="1"/>
  <c r="I88" i="11"/>
  <c r="G85" i="11"/>
  <c r="AQ14" i="6"/>
  <c r="G44" i="13"/>
  <c r="I42" i="12"/>
  <c r="AR10" i="12" s="1"/>
  <c r="AW10" i="12"/>
  <c r="M44" i="12"/>
  <c r="L37" i="11"/>
  <c r="E37" i="13"/>
  <c r="E35" i="12"/>
  <c r="E31" i="16"/>
  <c r="E29" i="16" s="1"/>
  <c r="E29" i="15"/>
  <c r="J31" i="12"/>
  <c r="I50" i="11"/>
  <c r="G48" i="11"/>
  <c r="I52" i="9"/>
  <c r="G51" i="9"/>
  <c r="F45" i="9"/>
  <c r="M47" i="9"/>
  <c r="L59" i="9"/>
  <c r="N59" i="9" s="1"/>
  <c r="N57" i="9" s="1"/>
  <c r="J57" i="9"/>
  <c r="F66" i="9"/>
  <c r="N68" i="9"/>
  <c r="N66" i="9" s="1"/>
  <c r="L77" i="9"/>
  <c r="J75" i="9"/>
  <c r="E53" i="11"/>
  <c r="E51" i="10"/>
  <c r="F53" i="10"/>
  <c r="M77" i="9"/>
  <c r="AS9" i="8"/>
  <c r="I68" i="9"/>
  <c r="G66" i="9"/>
  <c r="L71" i="9"/>
  <c r="N71" i="9" s="1"/>
  <c r="N69" i="9" s="1"/>
  <c r="J69" i="9"/>
  <c r="L53" i="9"/>
  <c r="N53" i="9" s="1"/>
  <c r="N51" i="9" s="1"/>
  <c r="J51" i="9"/>
  <c r="F69" i="9"/>
  <c r="M71" i="9"/>
  <c r="M69" i="9" s="1"/>
  <c r="E26" i="11"/>
  <c r="E25" i="10"/>
  <c r="F26" i="10"/>
  <c r="F57" i="9"/>
  <c r="M59" i="9"/>
  <c r="M57" i="9" s="1"/>
  <c r="F54" i="9"/>
  <c r="N56" i="9"/>
  <c r="N54" i="9" s="1"/>
  <c r="E65" i="11"/>
  <c r="E63" i="10"/>
  <c r="F65" i="10"/>
  <c r="M13" i="9"/>
  <c r="D37" i="11"/>
  <c r="F37" i="10"/>
  <c r="E14" i="11"/>
  <c r="E10" i="10"/>
  <c r="F14" i="10"/>
  <c r="E59" i="11"/>
  <c r="E57" i="10"/>
  <c r="F59" i="10"/>
  <c r="D56" i="11"/>
  <c r="D54" i="10"/>
  <c r="F56" i="10"/>
  <c r="I46" i="9"/>
  <c r="G45" i="9"/>
  <c r="M83" i="9"/>
  <c r="M81" i="9" s="1"/>
  <c r="F81" i="9"/>
  <c r="M65" i="9"/>
  <c r="E33" i="12"/>
  <c r="E32" i="11"/>
  <c r="E28" i="11" s="1"/>
  <c r="F33" i="11"/>
  <c r="D13" i="11"/>
  <c r="F13" i="10"/>
  <c r="L33" i="9"/>
  <c r="J32" i="9"/>
  <c r="J28" i="9" s="1"/>
  <c r="N37" i="9"/>
  <c r="BC7" i="8"/>
  <c r="D31" i="11"/>
  <c r="F31" i="10"/>
  <c r="M14" i="9"/>
  <c r="N14" i="9"/>
  <c r="L47" i="9"/>
  <c r="N47" i="9" s="1"/>
  <c r="J45" i="9"/>
  <c r="E83" i="11"/>
  <c r="E81" i="10"/>
  <c r="F83" i="10"/>
  <c r="F32" i="10"/>
  <c r="M33" i="10"/>
  <c r="M32" i="10" s="1"/>
  <c r="N31" i="9"/>
  <c r="L83" i="9"/>
  <c r="N83" i="9" s="1"/>
  <c r="N81" i="9" s="1"/>
  <c r="J81" i="9"/>
  <c r="I74" i="9"/>
  <c r="G72" i="9"/>
  <c r="I80" i="10"/>
  <c r="G78" i="10"/>
  <c r="I78" i="10" s="1"/>
  <c r="E47" i="11"/>
  <c r="E45" i="10"/>
  <c r="F47" i="10"/>
  <c r="D68" i="11"/>
  <c r="D66" i="10"/>
  <c r="F68" i="10"/>
  <c r="I62" i="9"/>
  <c r="G60" i="9"/>
  <c r="M53" i="9"/>
  <c r="F51" i="9"/>
  <c r="I37" i="9"/>
  <c r="M37" i="9" s="1"/>
  <c r="G35" i="9"/>
  <c r="E77" i="11"/>
  <c r="E75" i="10"/>
  <c r="F77" i="10"/>
  <c r="L26" i="9"/>
  <c r="N26" i="9" s="1"/>
  <c r="E71" i="11"/>
  <c r="E69" i="10"/>
  <c r="F71" i="10"/>
  <c r="M26" i="9"/>
  <c r="BC11" i="9"/>
  <c r="F25" i="9"/>
  <c r="AQ8" i="9" s="1"/>
  <c r="L65" i="9"/>
  <c r="N65" i="9" s="1"/>
  <c r="J63" i="9"/>
  <c r="AS7" i="7"/>
  <c r="F22" i="8"/>
  <c r="AQ7" i="8" s="1"/>
  <c r="F128" i="8"/>
  <c r="J13" i="8"/>
  <c r="N13" i="7"/>
  <c r="N10" i="7" s="1"/>
  <c r="L10" i="7"/>
  <c r="N22" i="7"/>
  <c r="E24" i="10"/>
  <c r="E22" i="9"/>
  <c r="E21" i="9" s="1"/>
  <c r="E19" i="9" s="1"/>
  <c r="E17" i="9" s="1"/>
  <c r="E128" i="9"/>
  <c r="L24" i="8"/>
  <c r="J22" i="8"/>
  <c r="J15" i="10"/>
  <c r="L15" i="10" s="1"/>
  <c r="N15" i="9"/>
  <c r="J14" i="12"/>
  <c r="L14" i="12" s="1"/>
  <c r="D24" i="10"/>
  <c r="D22" i="9"/>
  <c r="F24" i="9"/>
  <c r="BC21" i="9" s="1"/>
  <c r="D128" i="9"/>
  <c r="AQ7" i="7"/>
  <c r="AD88" i="8"/>
  <c r="AB83" i="8"/>
  <c r="AB63" i="8" s="1"/>
  <c r="AD63" i="7"/>
  <c r="AA237" i="8"/>
  <c r="Y235" i="8"/>
  <c r="V225" i="14"/>
  <c r="V222" i="13"/>
  <c r="X225" i="13"/>
  <c r="AB107" i="9"/>
  <c r="AI107" i="8"/>
  <c r="AI105" i="8" s="1"/>
  <c r="AI104" i="8" s="1"/>
  <c r="AD105" i="8"/>
  <c r="AD104" i="8" s="1"/>
  <c r="Y159" i="9"/>
  <c r="AA157" i="8"/>
  <c r="AA155" i="8" s="1"/>
  <c r="AA145" i="8" s="1"/>
  <c r="AH159" i="8"/>
  <c r="AH157" i="8" s="1"/>
  <c r="AH155" i="8" s="1"/>
  <c r="AI245" i="9"/>
  <c r="AH245" i="9"/>
  <c r="AJ245" i="9"/>
  <c r="Y110" i="8"/>
  <c r="AJ134" i="12"/>
  <c r="AH134" i="12"/>
  <c r="AI134" i="12"/>
  <c r="Y133" i="9"/>
  <c r="AH133" i="8"/>
  <c r="AH123" i="8" s="1"/>
  <c r="AA123" i="8"/>
  <c r="X222" i="12"/>
  <c r="AI225" i="12"/>
  <c r="AB50" i="9"/>
  <c r="AD49" i="8"/>
  <c r="AD43" i="8" s="1"/>
  <c r="AI50" i="8"/>
  <c r="AI49" i="8" s="1"/>
  <c r="V245" i="11"/>
  <c r="X245" i="10"/>
  <c r="V134" i="14"/>
  <c r="X134" i="13"/>
  <c r="G56" i="9"/>
  <c r="M56" i="8"/>
  <c r="AE158" i="13"/>
  <c r="AE127" i="13"/>
  <c r="AJ127" i="12"/>
  <c r="F39" i="12"/>
  <c r="D39" i="13"/>
  <c r="F40" i="12"/>
  <c r="D40" i="13"/>
  <c r="M39" i="11"/>
  <c r="N39" i="11"/>
  <c r="AD168" i="16"/>
  <c r="L61" i="16"/>
  <c r="M38" i="10"/>
  <c r="N38" i="10"/>
  <c r="AB214" i="16"/>
  <c r="AI38" i="16"/>
  <c r="D38" i="12"/>
  <c r="F38" i="11"/>
  <c r="M40" i="11"/>
  <c r="N40" i="11"/>
  <c r="AG92" i="15"/>
  <c r="AH251" i="16"/>
  <c r="AI212" i="15"/>
  <c r="AH212" i="15"/>
  <c r="L67" i="16"/>
  <c r="AH162" i="16"/>
  <c r="AI162" i="16"/>
  <c r="AH132" i="16"/>
  <c r="AI132" i="16"/>
  <c r="AJ132" i="16"/>
  <c r="AB130" i="16"/>
  <c r="AI130" i="15"/>
  <c r="AG48" i="16"/>
  <c r="X212" i="16"/>
  <c r="AD228" i="16"/>
  <c r="AD74" i="16"/>
  <c r="F41" i="9"/>
  <c r="D41" i="10"/>
  <c r="BC10" i="7"/>
  <c r="BC9" i="7" s="1"/>
  <c r="BC8" i="7" s="1"/>
  <c r="BC22" i="7" s="1"/>
  <c r="N41" i="8"/>
  <c r="M41" i="8"/>
  <c r="B12" i="12"/>
  <c r="G12" i="8"/>
  <c r="I10" i="7"/>
  <c r="M12" i="7"/>
  <c r="M10" i="7" s="1"/>
  <c r="AE201" i="11"/>
  <c r="AG201" i="11" s="1"/>
  <c r="AG236" i="9"/>
  <c r="AG21" i="16"/>
  <c r="AE247" i="14"/>
  <c r="AG247" i="14" s="1"/>
  <c r="AJ247" i="13"/>
  <c r="AJ250" i="10"/>
  <c r="AE250" i="11"/>
  <c r="AG250" i="11" s="1"/>
  <c r="AG159" i="16"/>
  <c r="AU14" i="5"/>
  <c r="AZ14" i="5"/>
  <c r="AY14" i="5"/>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AY14" i="6"/>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Y26" i="6"/>
  <c r="AG71" i="16"/>
  <c r="AE199" i="11"/>
  <c r="AG199" i="11" s="1"/>
  <c r="AJ199" i="10"/>
  <c r="AE203" i="11"/>
  <c r="AG203" i="11" s="1"/>
  <c r="AJ203" i="10"/>
  <c r="AE206" i="9"/>
  <c r="AG205" i="8"/>
  <c r="AJ206" i="8"/>
  <c r="AJ205" i="8" s="1"/>
  <c r="L126" i="6"/>
  <c r="L130" i="6" s="1"/>
  <c r="AG51" i="16"/>
  <c r="BL7" i="7"/>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J222" i="8"/>
  <c r="AJ220" i="8" s="1"/>
  <c r="AE238" i="11"/>
  <c r="AG238" i="11" s="1"/>
  <c r="AG188" i="9"/>
  <c r="AG107" i="16"/>
  <c r="AE251" i="11"/>
  <c r="AG251" i="11" s="1"/>
  <c r="AJ251" i="10"/>
  <c r="AJ254" i="10"/>
  <c r="AE254" i="11"/>
  <c r="AG254" i="11" s="1"/>
  <c r="K50" i="20" l="1"/>
  <c r="BQ27" i="10"/>
  <c r="AF193" i="10"/>
  <c r="AF8" i="10" s="1"/>
  <c r="BN12" i="8"/>
  <c r="BN9" i="8" s="1"/>
  <c r="AI196" i="8"/>
  <c r="AI195" i="8" s="1"/>
  <c r="BL16" i="7"/>
  <c r="AH145" i="8"/>
  <c r="BP14" i="7"/>
  <c r="V10" i="7"/>
  <c r="V8" i="7" s="1"/>
  <c r="AJ10" i="6"/>
  <c r="AJ8" i="6" s="1"/>
  <c r="AH10" i="6"/>
  <c r="AH8" i="6" s="1"/>
  <c r="AI10" i="6"/>
  <c r="AI8" i="6" s="1"/>
  <c r="BJ16" i="6"/>
  <c r="N73" i="9"/>
  <c r="N72" i="9" s="1"/>
  <c r="M73" i="9"/>
  <c r="F72" i="9"/>
  <c r="N128" i="7"/>
  <c r="BP32" i="6"/>
  <c r="D73" i="11"/>
  <c r="F73" i="10"/>
  <c r="D72" i="10"/>
  <c r="AI110" i="7"/>
  <c r="AH196" i="8"/>
  <c r="AH195" i="8" s="1"/>
  <c r="AH193" i="8" s="1"/>
  <c r="AH170" i="9"/>
  <c r="N80" i="9"/>
  <c r="M80" i="9"/>
  <c r="AW30" i="6"/>
  <c r="AY30" i="6" s="1"/>
  <c r="AU30" i="6"/>
  <c r="D80" i="11"/>
  <c r="F80" i="10"/>
  <c r="N80" i="10" s="1"/>
  <c r="AX30" i="6"/>
  <c r="AZ30" i="6" s="1"/>
  <c r="AV30" i="6"/>
  <c r="BO14" i="7"/>
  <c r="BI9" i="7" s="1"/>
  <c r="AA63" i="7"/>
  <c r="AR24" i="7"/>
  <c r="AW24" i="7" s="1"/>
  <c r="N61" i="9"/>
  <c r="N60" i="9" s="1"/>
  <c r="F60" i="9"/>
  <c r="M61" i="9"/>
  <c r="AJ10" i="5"/>
  <c r="AJ258" i="5" s="1"/>
  <c r="D61" i="11"/>
  <c r="D60" i="10"/>
  <c r="F61" i="10"/>
  <c r="AV14" i="6"/>
  <c r="AW22" i="12"/>
  <c r="AY22" i="12" s="1"/>
  <c r="AU22" i="12"/>
  <c r="X145" i="8"/>
  <c r="AH8" i="5"/>
  <c r="AH258" i="5"/>
  <c r="V90" i="9"/>
  <c r="N28" i="7"/>
  <c r="N21" i="7" s="1"/>
  <c r="N19" i="7" s="1"/>
  <c r="N17" i="7" s="1"/>
  <c r="N8" i="7" s="1"/>
  <c r="AB8" i="7"/>
  <c r="V12" i="8"/>
  <c r="AJ232" i="7"/>
  <c r="W8" i="8"/>
  <c r="AH39" i="9"/>
  <c r="AJ39" i="9"/>
  <c r="AJ35" i="9" s="1"/>
  <c r="X35" i="9"/>
  <c r="AS25" i="6"/>
  <c r="AG63" i="6"/>
  <c r="AG12" i="6" s="1"/>
  <c r="AG10" i="6" s="1"/>
  <c r="D79" i="11"/>
  <c r="D78" i="10"/>
  <c r="F78" i="10" s="1"/>
  <c r="N78" i="10" s="1"/>
  <c r="F79" i="10"/>
  <c r="AE99" i="8"/>
  <c r="AJ99" i="7"/>
  <c r="AJ96" i="7" s="1"/>
  <c r="AG96" i="7"/>
  <c r="V97" i="11"/>
  <c r="V96" i="10"/>
  <c r="X97" i="10"/>
  <c r="AI85" i="8"/>
  <c r="AJ85" i="8"/>
  <c r="X83" i="8"/>
  <c r="X63" i="8" s="1"/>
  <c r="D23" i="10"/>
  <c r="F23" i="9"/>
  <c r="D12" i="10"/>
  <c r="F12" i="9"/>
  <c r="F10" i="9" s="1"/>
  <c r="BC7" i="9" s="1"/>
  <c r="D10" i="9"/>
  <c r="AZ10" i="8"/>
  <c r="AY10" i="8"/>
  <c r="AU10" i="8"/>
  <c r="AV10" i="8"/>
  <c r="X205" i="9"/>
  <c r="AH206" i="9"/>
  <c r="AH205" i="9" s="1"/>
  <c r="AI206" i="9"/>
  <c r="AI205" i="9" s="1"/>
  <c r="W51" i="11"/>
  <c r="W49" i="10"/>
  <c r="V151" i="11"/>
  <c r="V149" i="10"/>
  <c r="V147" i="10" s="1"/>
  <c r="X151" i="10"/>
  <c r="AJ92" i="9"/>
  <c r="AH92" i="9"/>
  <c r="AH91" i="9" s="1"/>
  <c r="X91" i="9"/>
  <c r="D30" i="10"/>
  <c r="F30" i="9"/>
  <c r="D29" i="9"/>
  <c r="AI21" i="9"/>
  <c r="AI20" i="9" s="1"/>
  <c r="AI16" i="9" s="1"/>
  <c r="X20" i="9"/>
  <c r="X16" i="9" s="1"/>
  <c r="AH21" i="9"/>
  <c r="AJ21" i="9"/>
  <c r="V178" i="13"/>
  <c r="X178" i="12"/>
  <c r="AJ158" i="9"/>
  <c r="AH158" i="9"/>
  <c r="X157" i="9"/>
  <c r="X155" i="9" s="1"/>
  <c r="BN17" i="9" s="1"/>
  <c r="AI158" i="9"/>
  <c r="AD174" i="13"/>
  <c r="AB172" i="13"/>
  <c r="D57" i="10"/>
  <c r="D59" i="11"/>
  <c r="D64" i="10"/>
  <c r="D63" i="9"/>
  <c r="F64" i="9"/>
  <c r="D49" i="12"/>
  <c r="D48" i="11"/>
  <c r="F49" i="11"/>
  <c r="AQ24" i="7"/>
  <c r="BN14" i="7"/>
  <c r="X63" i="7"/>
  <c r="AE90" i="7"/>
  <c r="AE63" i="7" s="1"/>
  <c r="AE12" i="7" s="1"/>
  <c r="AE10" i="7" s="1"/>
  <c r="AE8" i="7" s="1"/>
  <c r="V142" i="11"/>
  <c r="V141" i="10"/>
  <c r="X142" i="10"/>
  <c r="D34" i="15"/>
  <c r="F34" i="14"/>
  <c r="D32" i="14"/>
  <c r="F28" i="7"/>
  <c r="W46" i="11"/>
  <c r="W44" i="10"/>
  <c r="W43" i="10" s="1"/>
  <c r="AH51" i="9"/>
  <c r="AH49" i="9" s="1"/>
  <c r="AI51" i="9"/>
  <c r="AJ51" i="9"/>
  <c r="X49" i="9"/>
  <c r="F76" i="9"/>
  <c r="BC17" i="9" s="1"/>
  <c r="D76" i="10"/>
  <c r="D75" i="9"/>
  <c r="AG116" i="8"/>
  <c r="AE114" i="8"/>
  <c r="X197" i="9"/>
  <c r="AI201" i="9"/>
  <c r="AI197" i="9" s="1"/>
  <c r="AH201" i="9"/>
  <c r="AH197" i="9" s="1"/>
  <c r="AJ201" i="9"/>
  <c r="V213" i="15"/>
  <c r="X213" i="14"/>
  <c r="AI213" i="14" s="1"/>
  <c r="N79" i="9"/>
  <c r="M79" i="9"/>
  <c r="I64" i="14"/>
  <c r="G63" i="14"/>
  <c r="V46" i="10"/>
  <c r="V44" i="9"/>
  <c r="V43" i="9" s="1"/>
  <c r="V14" i="9" s="1"/>
  <c r="X46" i="9"/>
  <c r="D46" i="11"/>
  <c r="D45" i="10"/>
  <c r="F46" i="10"/>
  <c r="AH118" i="8"/>
  <c r="AH114" i="8" s="1"/>
  <c r="AH112" i="8" s="1"/>
  <c r="X114" i="8"/>
  <c r="BN16" i="8" s="1"/>
  <c r="AJ118" i="8"/>
  <c r="AI118" i="8"/>
  <c r="AI114" i="8" s="1"/>
  <c r="AI112" i="8" s="1"/>
  <c r="AG87" i="8"/>
  <c r="AE83" i="8"/>
  <c r="AB206" i="15"/>
  <c r="AD205" i="14"/>
  <c r="AJ50" i="13"/>
  <c r="AH50" i="13"/>
  <c r="I76" i="12"/>
  <c r="G75" i="12"/>
  <c r="D69" i="10"/>
  <c r="D71" i="11"/>
  <c r="F71" i="11" s="1"/>
  <c r="AE94" i="8"/>
  <c r="AG91" i="7"/>
  <c r="AJ94" i="7"/>
  <c r="AJ91" i="7" s="1"/>
  <c r="N43" i="9"/>
  <c r="N42" i="9" s="1"/>
  <c r="BC16" i="9"/>
  <c r="F42" i="9"/>
  <c r="AQ10" i="9" s="1"/>
  <c r="M43" i="9"/>
  <c r="M42" i="9" s="1"/>
  <c r="V214" i="11"/>
  <c r="V211" i="10"/>
  <c r="V210" i="10" s="1"/>
  <c r="V209" i="10" s="1"/>
  <c r="X214" i="10"/>
  <c r="X112" i="7"/>
  <c r="X110" i="7" s="1"/>
  <c r="AQ26" i="7" s="1"/>
  <c r="BN16" i="7"/>
  <c r="BN15" i="7" s="1"/>
  <c r="BH10" i="7" s="1"/>
  <c r="W50" i="15"/>
  <c r="AZ14" i="6"/>
  <c r="AI193" i="8"/>
  <c r="AJ193" i="7"/>
  <c r="W193" i="14"/>
  <c r="V39" i="11"/>
  <c r="V35" i="10"/>
  <c r="X39" i="10"/>
  <c r="V196" i="9"/>
  <c r="V195" i="9" s="1"/>
  <c r="V193" i="9" s="1"/>
  <c r="I70" i="13"/>
  <c r="G69" i="13"/>
  <c r="N78" i="9"/>
  <c r="M78" i="9"/>
  <c r="AI97" i="9"/>
  <c r="AI96" i="9" s="1"/>
  <c r="AI90" i="9" s="1"/>
  <c r="X96" i="9"/>
  <c r="AJ97" i="9"/>
  <c r="AH97" i="9"/>
  <c r="AH96" i="9" s="1"/>
  <c r="AH90" i="9" s="1"/>
  <c r="D74" i="15"/>
  <c r="F74" i="15" s="1"/>
  <c r="N46" i="9"/>
  <c r="N45" i="9" s="1"/>
  <c r="BC15" i="9"/>
  <c r="AE178" i="8"/>
  <c r="AJ178" i="7"/>
  <c r="AJ176" i="7" s="1"/>
  <c r="AJ170" i="7" s="1"/>
  <c r="AG176" i="7"/>
  <c r="AG170" i="7" s="1"/>
  <c r="AS27" i="7" s="1"/>
  <c r="AV27" i="7" s="1"/>
  <c r="V85" i="10"/>
  <c r="V83" i="9"/>
  <c r="X85" i="9"/>
  <c r="V206" i="11"/>
  <c r="V205" i="10"/>
  <c r="X206" i="10"/>
  <c r="AQ29" i="8"/>
  <c r="BN27" i="8"/>
  <c r="V110" i="8"/>
  <c r="AI151" i="9"/>
  <c r="AI149" i="9" s="1"/>
  <c r="AI147" i="9" s="1"/>
  <c r="AJ151" i="9"/>
  <c r="AJ149" i="9" s="1"/>
  <c r="AJ147" i="9" s="1"/>
  <c r="AH151" i="9"/>
  <c r="AH149" i="9" s="1"/>
  <c r="AH147" i="9" s="1"/>
  <c r="X149" i="9"/>
  <c r="X147" i="9" s="1"/>
  <c r="V92" i="11"/>
  <c r="V91" i="10"/>
  <c r="X92" i="10"/>
  <c r="M36" i="8"/>
  <c r="M35" i="8" s="1"/>
  <c r="N36" i="8"/>
  <c r="N35" i="8" s="1"/>
  <c r="F35" i="8"/>
  <c r="D28" i="8"/>
  <c r="D21" i="8" s="1"/>
  <c r="D19" i="8" s="1"/>
  <c r="D17" i="8" s="1"/>
  <c r="V21" i="11"/>
  <c r="V20" i="10"/>
  <c r="V16" i="10" s="1"/>
  <c r="X21" i="10"/>
  <c r="AG189" i="8"/>
  <c r="AE187" i="8"/>
  <c r="AE185" i="8" s="1"/>
  <c r="V158" i="11"/>
  <c r="V157" i="10"/>
  <c r="V155" i="10" s="1"/>
  <c r="X158" i="10"/>
  <c r="V50" i="15"/>
  <c r="X50" i="14"/>
  <c r="BC14" i="8"/>
  <c r="M64" i="8"/>
  <c r="M63" i="8" s="1"/>
  <c r="N64" i="8"/>
  <c r="N63" i="8" s="1"/>
  <c r="F63" i="8"/>
  <c r="N49" i="10"/>
  <c r="M49" i="10"/>
  <c r="M48" i="10" s="1"/>
  <c r="F48" i="10"/>
  <c r="AJ83" i="7"/>
  <c r="AI142" i="9"/>
  <c r="AI141" i="9" s="1"/>
  <c r="AH142" i="9"/>
  <c r="AH141" i="9" s="1"/>
  <c r="X141" i="9"/>
  <c r="BN20" i="9" s="1"/>
  <c r="AJ142" i="9"/>
  <c r="AJ141" i="9" s="1"/>
  <c r="F52" i="10"/>
  <c r="N52" i="10" s="1"/>
  <c r="D52" i="11"/>
  <c r="D51" i="10"/>
  <c r="F43" i="10"/>
  <c r="D43" i="11"/>
  <c r="D42" i="10"/>
  <c r="V51" i="11"/>
  <c r="V49" i="10"/>
  <c r="X51" i="10"/>
  <c r="AG106" i="8"/>
  <c r="AE105" i="8"/>
  <c r="AE104" i="8" s="1"/>
  <c r="N76" i="8"/>
  <c r="N75" i="8" s="1"/>
  <c r="M76" i="8"/>
  <c r="M75" i="8" s="1"/>
  <c r="F75" i="8"/>
  <c r="AI14" i="7"/>
  <c r="AI12" i="7" s="1"/>
  <c r="BN25" i="8"/>
  <c r="BH12" i="8" s="1"/>
  <c r="AZ10" i="9"/>
  <c r="W21" i="11"/>
  <c r="W20" i="10"/>
  <c r="W16" i="10" s="1"/>
  <c r="AE126" i="8"/>
  <c r="AJ126" i="7"/>
  <c r="AJ123" i="7" s="1"/>
  <c r="AJ112" i="7" s="1"/>
  <c r="AJ110" i="7" s="1"/>
  <c r="AG123" i="7"/>
  <c r="AG112" i="7" s="1"/>
  <c r="AG110" i="7" s="1"/>
  <c r="AS26" i="7" s="1"/>
  <c r="AX26" i="7" s="1"/>
  <c r="V201" i="11"/>
  <c r="V197" i="10"/>
  <c r="X201" i="10"/>
  <c r="AH90" i="8"/>
  <c r="AJ46" i="8"/>
  <c r="AJ44" i="8" s="1"/>
  <c r="AH46" i="8"/>
  <c r="AH44" i="8" s="1"/>
  <c r="AH43" i="8" s="1"/>
  <c r="X44" i="8"/>
  <c r="X43" i="8" s="1"/>
  <c r="AI46" i="8"/>
  <c r="AI44" i="8" s="1"/>
  <c r="AI43" i="8" s="1"/>
  <c r="W94" i="15"/>
  <c r="W91" i="14"/>
  <c r="W90" i="14" s="1"/>
  <c r="W63" i="14" s="1"/>
  <c r="BC12" i="8"/>
  <c r="N23" i="8"/>
  <c r="D83" i="12"/>
  <c r="D81" i="11"/>
  <c r="V150" i="15"/>
  <c r="X150" i="14"/>
  <c r="AJ150" i="14" s="1"/>
  <c r="V118" i="10"/>
  <c r="V114" i="9"/>
  <c r="V112" i="9" s="1"/>
  <c r="X118" i="9"/>
  <c r="V145" i="9"/>
  <c r="W39" i="11"/>
  <c r="W35" i="10"/>
  <c r="D36" i="10"/>
  <c r="F36" i="9"/>
  <c r="D35" i="9"/>
  <c r="N30" i="8"/>
  <c r="N29" i="8" s="1"/>
  <c r="F29" i="8"/>
  <c r="F28" i="8" s="1"/>
  <c r="AQ9" i="8" s="1"/>
  <c r="AZ9" i="8" s="1"/>
  <c r="BC13" i="8"/>
  <c r="AG160" i="8"/>
  <c r="AE157" i="8"/>
  <c r="AE155" i="8" s="1"/>
  <c r="AE145" i="8" s="1"/>
  <c r="AI90" i="8"/>
  <c r="AH178" i="11"/>
  <c r="AI178" i="11"/>
  <c r="X14" i="7"/>
  <c r="BN13" i="7"/>
  <c r="BH8" i="7" s="1"/>
  <c r="AQ25" i="7"/>
  <c r="M34" i="13"/>
  <c r="N34" i="13"/>
  <c r="W43" i="9"/>
  <c r="W14" i="9" s="1"/>
  <c r="W12" i="9" s="1"/>
  <c r="W10" i="9" s="1"/>
  <c r="AH214" i="9"/>
  <c r="AH211" i="9" s="1"/>
  <c r="AH210" i="9" s="1"/>
  <c r="AH209" i="9" s="1"/>
  <c r="AI214" i="9"/>
  <c r="X211" i="9"/>
  <c r="X210" i="9" s="1"/>
  <c r="X209" i="9" s="1"/>
  <c r="AJ214" i="9"/>
  <c r="AG234" i="7"/>
  <c r="T33" i="12"/>
  <c r="W258" i="8"/>
  <c r="Y244" i="8"/>
  <c r="AA243" i="7"/>
  <c r="AA232" i="7" s="1"/>
  <c r="AB244" i="8"/>
  <c r="AD243" i="7"/>
  <c r="AD232" i="7" s="1"/>
  <c r="AD258" i="6"/>
  <c r="AR31" i="6" s="1"/>
  <c r="AR32" i="6" s="1"/>
  <c r="X8" i="5"/>
  <c r="U1" i="5" s="1"/>
  <c r="X258" i="5"/>
  <c r="X243" i="8"/>
  <c r="X232" i="8" s="1"/>
  <c r="AI8" i="5"/>
  <c r="AI258" i="5"/>
  <c r="AR29" i="8"/>
  <c r="AD193" i="8"/>
  <c r="AG193" i="7"/>
  <c r="AS28" i="7"/>
  <c r="AX28" i="7" s="1"/>
  <c r="AZ28" i="7" s="1"/>
  <c r="AS29" i="7"/>
  <c r="AX29" i="7" s="1"/>
  <c r="AZ29" i="7" s="1"/>
  <c r="V244" i="10"/>
  <c r="X244" i="9"/>
  <c r="V243" i="9"/>
  <c r="V232" i="9" s="1"/>
  <c r="X258" i="6"/>
  <c r="W244" i="10"/>
  <c r="W243" i="9"/>
  <c r="W232" i="9" s="1"/>
  <c r="I55" i="8"/>
  <c r="G54" i="8"/>
  <c r="BL7" i="10"/>
  <c r="BL7" i="13" s="1"/>
  <c r="BL7" i="16" s="1"/>
  <c r="Y234" i="8"/>
  <c r="AQ28" i="8"/>
  <c r="AY28" i="8" s="1"/>
  <c r="X193" i="8"/>
  <c r="D8" i="8"/>
  <c r="BN29" i="7"/>
  <c r="BH13" i="7" s="1"/>
  <c r="AQ30" i="7"/>
  <c r="AB258" i="7"/>
  <c r="AG243" i="7"/>
  <c r="AE244" i="8"/>
  <c r="AA43" i="13"/>
  <c r="AI58" i="13"/>
  <c r="AI57" i="13" s="1"/>
  <c r="BO10" i="16"/>
  <c r="D34" i="20" s="1"/>
  <c r="AH66" i="16"/>
  <c r="J10" i="18"/>
  <c r="BO18" i="16"/>
  <c r="D42" i="20" s="1"/>
  <c r="AH156" i="16"/>
  <c r="I71" i="15"/>
  <c r="I83" i="15"/>
  <c r="G81" i="15"/>
  <c r="I59" i="15"/>
  <c r="G57" i="15"/>
  <c r="AA230" i="15"/>
  <c r="Y227" i="15"/>
  <c r="G77" i="16"/>
  <c r="I65" i="15"/>
  <c r="G34" i="16"/>
  <c r="I32" i="15"/>
  <c r="V23" i="16"/>
  <c r="AI60" i="14"/>
  <c r="AH60" i="14"/>
  <c r="AJ60" i="14"/>
  <c r="W215" i="16"/>
  <c r="X215" i="15"/>
  <c r="W211" i="15"/>
  <c r="W210" i="15" s="1"/>
  <c r="W209" i="15" s="1"/>
  <c r="AH58" i="13"/>
  <c r="AH143" i="14"/>
  <c r="AI143" i="14"/>
  <c r="G61" i="14"/>
  <c r="I61" i="14" s="1"/>
  <c r="D25" i="15"/>
  <c r="D26" i="16"/>
  <c r="D25" i="16" s="1"/>
  <c r="X60" i="15"/>
  <c r="V58" i="15"/>
  <c r="V57" i="15" s="1"/>
  <c r="V60" i="16"/>
  <c r="X106" i="15"/>
  <c r="V106" i="16"/>
  <c r="V105" i="15"/>
  <c r="V104" i="15" s="1"/>
  <c r="V48" i="16"/>
  <c r="X48" i="15"/>
  <c r="AH215" i="14"/>
  <c r="AI215" i="14"/>
  <c r="X53" i="16"/>
  <c r="AI53" i="16" s="1"/>
  <c r="X86" i="15"/>
  <c r="W86" i="16"/>
  <c r="W83" i="15"/>
  <c r="AI160" i="15"/>
  <c r="AH160" i="15"/>
  <c r="E50" i="16"/>
  <c r="E48" i="15"/>
  <c r="F50" i="15"/>
  <c r="X199" i="15"/>
  <c r="V199" i="16"/>
  <c r="V37" i="16"/>
  <c r="AI87" i="14"/>
  <c r="AH87" i="14"/>
  <c r="E74" i="16"/>
  <c r="E72" i="15"/>
  <c r="X143" i="15"/>
  <c r="W141" i="15"/>
  <c r="W143" i="16"/>
  <c r="X160" i="16"/>
  <c r="AH199" i="14"/>
  <c r="AI199" i="14"/>
  <c r="AI48" i="14"/>
  <c r="AH48" i="14"/>
  <c r="AJ48" i="14"/>
  <c r="AA51" i="14"/>
  <c r="Y49" i="14"/>
  <c r="X94" i="15"/>
  <c r="V94" i="16"/>
  <c r="AH116" i="14"/>
  <c r="AI116" i="14"/>
  <c r="AI99" i="15"/>
  <c r="AH99" i="15"/>
  <c r="AI94" i="14"/>
  <c r="AH94" i="14"/>
  <c r="AI86" i="14"/>
  <c r="AH86" i="14"/>
  <c r="X116" i="15"/>
  <c r="V116" i="16"/>
  <c r="AH106" i="14"/>
  <c r="X105" i="14"/>
  <c r="X104" i="14" s="1"/>
  <c r="AI106" i="14"/>
  <c r="X99" i="16"/>
  <c r="E56" i="16"/>
  <c r="E54" i="16" s="1"/>
  <c r="E54" i="15"/>
  <c r="AI215" i="13"/>
  <c r="AB141" i="14"/>
  <c r="AD142" i="14"/>
  <c r="W48" i="16"/>
  <c r="X87" i="15"/>
  <c r="V87" i="16"/>
  <c r="AB79" i="14"/>
  <c r="AD79" i="14" s="1"/>
  <c r="AI79" i="13"/>
  <c r="AD59" i="14"/>
  <c r="AB58" i="14"/>
  <c r="AB57" i="14" s="1"/>
  <c r="W220" i="14"/>
  <c r="AA90" i="11"/>
  <c r="BN29" i="8"/>
  <c r="BH13" i="8" s="1"/>
  <c r="AE36" i="11"/>
  <c r="AJ36" i="10"/>
  <c r="AG35" i="10"/>
  <c r="AD112" i="9"/>
  <c r="BP16" i="9"/>
  <c r="W59" i="16"/>
  <c r="W58" i="15"/>
  <c r="W57" i="15" s="1"/>
  <c r="X59" i="15"/>
  <c r="L36" i="10"/>
  <c r="J35" i="10"/>
  <c r="AA225" i="12"/>
  <c r="Y222" i="12"/>
  <c r="Y220" i="12" s="1"/>
  <c r="AA95" i="12"/>
  <c r="Y91" i="12"/>
  <c r="BO28" i="11"/>
  <c r="BO25" i="11" s="1"/>
  <c r="BI12" i="11" s="1"/>
  <c r="AA195" i="11"/>
  <c r="AA193" i="11" s="1"/>
  <c r="AG98" i="10"/>
  <c r="AD198" i="10"/>
  <c r="AB197" i="10"/>
  <c r="AB196" i="10" s="1"/>
  <c r="AB195" i="10" s="1"/>
  <c r="J74" i="11"/>
  <c r="L72" i="10"/>
  <c r="N74" i="10"/>
  <c r="L30" i="10"/>
  <c r="J29" i="10"/>
  <c r="AE40" i="16"/>
  <c r="AG40" i="16" s="1"/>
  <c r="AJ40" i="16" s="1"/>
  <c r="AJ40" i="15"/>
  <c r="AH98" i="14"/>
  <c r="AI98" i="14"/>
  <c r="AE22" i="16"/>
  <c r="AG22" i="16" s="1"/>
  <c r="AJ22" i="16" s="1"/>
  <c r="AJ22" i="15"/>
  <c r="AB71" i="15"/>
  <c r="AD71" i="15" s="1"/>
  <c r="AI71" i="14"/>
  <c r="X75" i="14"/>
  <c r="V75" i="15"/>
  <c r="AG59" i="10"/>
  <c r="AE58" i="10"/>
  <c r="AE57" i="10" s="1"/>
  <c r="AH152" i="14"/>
  <c r="AI152" i="14"/>
  <c r="AJ67" i="14"/>
  <c r="AE67" i="15"/>
  <c r="AG67" i="15" s="1"/>
  <c r="Y246" i="13"/>
  <c r="AH246" i="12"/>
  <c r="Y107" i="13"/>
  <c r="AH107" i="12"/>
  <c r="AH105" i="12" s="1"/>
  <c r="AH104" i="12" s="1"/>
  <c r="AA105" i="12"/>
  <c r="AA104" i="12" s="1"/>
  <c r="AB127" i="11"/>
  <c r="AD123" i="10"/>
  <c r="AI127" i="10"/>
  <c r="AD238" i="10"/>
  <c r="AB235" i="10"/>
  <c r="AB234" i="10" s="1"/>
  <c r="AB229" i="11"/>
  <c r="AD227" i="10"/>
  <c r="AI229" i="10"/>
  <c r="AD98" i="15"/>
  <c r="AA100" i="12"/>
  <c r="Y96" i="12"/>
  <c r="J50" i="11"/>
  <c r="L48" i="10"/>
  <c r="N50" i="10"/>
  <c r="E68" i="16"/>
  <c r="E66" i="16" s="1"/>
  <c r="E66" i="15"/>
  <c r="BP30" i="9"/>
  <c r="BJ14" i="9" s="1"/>
  <c r="AA150" i="12"/>
  <c r="Y149" i="12"/>
  <c r="Y147" i="12" s="1"/>
  <c r="AI72" i="14"/>
  <c r="AJ72" i="14"/>
  <c r="AH72" i="14"/>
  <c r="AH93" i="16"/>
  <c r="AH223" i="14"/>
  <c r="AJ37" i="14"/>
  <c r="AI37" i="14"/>
  <c r="Y213" i="13"/>
  <c r="AA211" i="12"/>
  <c r="AA210" i="12" s="1"/>
  <c r="AA209" i="12" s="1"/>
  <c r="AH213" i="12"/>
  <c r="W229" i="16"/>
  <c r="W227" i="15"/>
  <c r="X229" i="15"/>
  <c r="AE129" i="13"/>
  <c r="AG129" i="13" s="1"/>
  <c r="AJ129" i="12"/>
  <c r="W198" i="16"/>
  <c r="W197" i="15"/>
  <c r="W196" i="15" s="1"/>
  <c r="W195" i="15" s="1"/>
  <c r="W193" i="15" s="1"/>
  <c r="X198" i="15"/>
  <c r="AH52" i="16"/>
  <c r="AI52" i="16"/>
  <c r="W145" i="14"/>
  <c r="AE137" i="16"/>
  <c r="AG137" i="16" s="1"/>
  <c r="AJ137" i="16" s="1"/>
  <c r="AJ137" i="15"/>
  <c r="AD223" i="10"/>
  <c r="AB222" i="10"/>
  <c r="AB220" i="10" s="1"/>
  <c r="AH23" i="14"/>
  <c r="AI23" i="14"/>
  <c r="AB85" i="15"/>
  <c r="AD85" i="15" s="1"/>
  <c r="AD117" i="10"/>
  <c r="AB114" i="10"/>
  <c r="AB112" i="10" s="1"/>
  <c r="AG47" i="10"/>
  <c r="AE44" i="10"/>
  <c r="AD22" i="10"/>
  <c r="AB20" i="10"/>
  <c r="AB16" i="10" s="1"/>
  <c r="AH115" i="16"/>
  <c r="AI115" i="16"/>
  <c r="AG152" i="10"/>
  <c r="AE149" i="10"/>
  <c r="AE147" i="10" s="1"/>
  <c r="AD90" i="9"/>
  <c r="W98" i="16"/>
  <c r="W96" i="15"/>
  <c r="X98" i="15"/>
  <c r="AB66" i="14"/>
  <c r="AD66" i="14" s="1"/>
  <c r="BP10" i="13"/>
  <c r="AI66" i="13"/>
  <c r="AR22" i="13"/>
  <c r="AA46" i="14"/>
  <c r="Y44" i="14"/>
  <c r="Y117" i="13"/>
  <c r="AA114" i="12"/>
  <c r="AH117" i="12"/>
  <c r="AE119" i="16"/>
  <c r="AG119" i="16" s="1"/>
  <c r="AJ119" i="16" s="1"/>
  <c r="AJ119" i="15"/>
  <c r="AD150" i="10"/>
  <c r="AB149" i="10"/>
  <c r="AB147" i="10" s="1"/>
  <c r="AE93" i="11"/>
  <c r="AJ93" i="10"/>
  <c r="W152" i="16"/>
  <c r="W149" i="15"/>
  <c r="W147" i="15" s="1"/>
  <c r="X152" i="15"/>
  <c r="AA200" i="12"/>
  <c r="Y197" i="12"/>
  <c r="Y196" i="12" s="1"/>
  <c r="Y195" i="12" s="1"/>
  <c r="Y193" i="12" s="1"/>
  <c r="J80" i="11"/>
  <c r="W188" i="16"/>
  <c r="W187" i="16" s="1"/>
  <c r="W185" i="16" s="1"/>
  <c r="W170" i="16" s="1"/>
  <c r="W187" i="15"/>
  <c r="W185" i="15" s="1"/>
  <c r="W170" i="15" s="1"/>
  <c r="AB55" i="16"/>
  <c r="AD55" i="16" s="1"/>
  <c r="AI55" i="16" s="1"/>
  <c r="AI55" i="15"/>
  <c r="L68" i="10"/>
  <c r="N68" i="10" s="1"/>
  <c r="N66" i="10" s="1"/>
  <c r="J66" i="10"/>
  <c r="AG115" i="10"/>
  <c r="L62" i="10"/>
  <c r="J60" i="10"/>
  <c r="Y179" i="13"/>
  <c r="AA176" i="12"/>
  <c r="AH179" i="12"/>
  <c r="AI159" i="14"/>
  <c r="AJ159" i="14"/>
  <c r="W72" i="16"/>
  <c r="W69" i="15"/>
  <c r="W65" i="15" s="1"/>
  <c r="X72" i="15"/>
  <c r="L56" i="10"/>
  <c r="N56" i="10" s="1"/>
  <c r="N54" i="10" s="1"/>
  <c r="J54" i="10"/>
  <c r="AD46" i="10"/>
  <c r="AB44" i="10"/>
  <c r="E62" i="16"/>
  <c r="E60" i="15"/>
  <c r="F62" i="15"/>
  <c r="E44" i="16"/>
  <c r="E42" i="15"/>
  <c r="F44" i="15"/>
  <c r="AG86" i="10"/>
  <c r="AD195" i="9"/>
  <c r="BP28" i="9"/>
  <c r="X223" i="15"/>
  <c r="W223" i="16"/>
  <c r="W222" i="15"/>
  <c r="AH59" i="14"/>
  <c r="X58" i="14"/>
  <c r="X57" i="14" s="1"/>
  <c r="AD100" i="10"/>
  <c r="AB96" i="10"/>
  <c r="AA190" i="12"/>
  <c r="Y187" i="12"/>
  <c r="Y185" i="12" s="1"/>
  <c r="Y170" i="12" s="1"/>
  <c r="AE30" i="16"/>
  <c r="AG30" i="16" s="1"/>
  <c r="AJ30" i="16" s="1"/>
  <c r="AJ30" i="15"/>
  <c r="W37" i="16"/>
  <c r="X37" i="15"/>
  <c r="AD92" i="10"/>
  <c r="AB91" i="10"/>
  <c r="AH75" i="13"/>
  <c r="AJ75" i="13"/>
  <c r="AE26" i="13"/>
  <c r="AG26" i="13" s="1"/>
  <c r="AJ26" i="12"/>
  <c r="Y173" i="13"/>
  <c r="AA172" i="12"/>
  <c r="AH173" i="12"/>
  <c r="AH229" i="14"/>
  <c r="AH198" i="14"/>
  <c r="BN26" i="14"/>
  <c r="AB188" i="11"/>
  <c r="AD187" i="10"/>
  <c r="AD185" i="10" s="1"/>
  <c r="L44" i="10"/>
  <c r="J42" i="10"/>
  <c r="AB181" i="16"/>
  <c r="AD181" i="16" s="1"/>
  <c r="AI181" i="16" s="1"/>
  <c r="AI181" i="15"/>
  <c r="W159" i="16"/>
  <c r="X159" i="15"/>
  <c r="W157" i="15"/>
  <c r="W155" i="15" s="1"/>
  <c r="W23" i="16"/>
  <c r="X23" i="15"/>
  <c r="AE143" i="11"/>
  <c r="AG141" i="10"/>
  <c r="AJ143" i="10"/>
  <c r="AU28" i="8"/>
  <c r="AI236" i="15"/>
  <c r="AB236" i="16"/>
  <c r="AU28" i="7"/>
  <c r="AY28" i="7"/>
  <c r="AD12" i="7"/>
  <c r="Y12" i="7"/>
  <c r="Y10" i="7" s="1"/>
  <c r="Y8" i="7" s="1"/>
  <c r="AH63" i="7"/>
  <c r="AI235" i="9"/>
  <c r="AI234" i="9" s="1"/>
  <c r="AH14" i="7"/>
  <c r="AG202" i="8"/>
  <c r="AE197" i="8"/>
  <c r="AE196" i="8" s="1"/>
  <c r="AE195" i="8" s="1"/>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G174" i="13"/>
  <c r="AE172" i="13"/>
  <c r="AE53" i="13"/>
  <c r="AG53" i="13" s="1"/>
  <c r="AJ53" i="12"/>
  <c r="Y70" i="13"/>
  <c r="AA70" i="13" s="1"/>
  <c r="AH70" i="12"/>
  <c r="Y28" i="13"/>
  <c r="AA28" i="13" s="1"/>
  <c r="AH28" i="12"/>
  <c r="AA37" i="8"/>
  <c r="Y35" i="8"/>
  <c r="AD180" i="8"/>
  <c r="AB176" i="8"/>
  <c r="AB170" i="8" s="1"/>
  <c r="N116" i="16"/>
  <c r="M116" i="16"/>
  <c r="AJ133" i="9"/>
  <c r="AI133" i="9"/>
  <c r="AI123" i="9" s="1"/>
  <c r="AG23" i="8"/>
  <c r="AE20" i="8"/>
  <c r="AE16" i="8" s="1"/>
  <c r="AG14" i="7"/>
  <c r="AS23" i="7"/>
  <c r="E8" i="9"/>
  <c r="BO12" i="7"/>
  <c r="AA14" i="7"/>
  <c r="L115" i="12"/>
  <c r="J113" i="12"/>
  <c r="W133" i="11"/>
  <c r="W123" i="10"/>
  <c r="W112" i="10" s="1"/>
  <c r="W110" i="10" s="1"/>
  <c r="X133" i="10"/>
  <c r="X123" i="10" s="1"/>
  <c r="AD167" i="8"/>
  <c r="AB157" i="8"/>
  <c r="AB155" i="8" s="1"/>
  <c r="AB145" i="8" s="1"/>
  <c r="AB110" i="8" s="1"/>
  <c r="N117" i="15"/>
  <c r="M117" i="15"/>
  <c r="AG52" i="8"/>
  <c r="AE49" i="8"/>
  <c r="AE43" i="8" s="1"/>
  <c r="I113" i="11"/>
  <c r="AR15" i="11" s="1"/>
  <c r="AW15" i="11" s="1"/>
  <c r="BD20" i="11"/>
  <c r="G115" i="12"/>
  <c r="M115" i="11"/>
  <c r="M113" i="11" s="1"/>
  <c r="AD39" i="8"/>
  <c r="AB35" i="8"/>
  <c r="AB14" i="8" s="1"/>
  <c r="AB12" i="8" s="1"/>
  <c r="N121" i="15"/>
  <c r="M121" i="15"/>
  <c r="F115" i="16"/>
  <c r="D113" i="16"/>
  <c r="AA27" i="8"/>
  <c r="Y20" i="8"/>
  <c r="Y16" i="8" s="1"/>
  <c r="AJ14" i="7"/>
  <c r="M117" i="16"/>
  <c r="N117" i="16"/>
  <c r="N119" i="15"/>
  <c r="M119" i="15"/>
  <c r="AG70" i="8"/>
  <c r="AE69" i="8"/>
  <c r="AE65" i="8" s="1"/>
  <c r="BN17" i="8"/>
  <c r="N121" i="16"/>
  <c r="M121" i="16"/>
  <c r="BC20" i="15"/>
  <c r="F113" i="15"/>
  <c r="AQ15" i="15" s="1"/>
  <c r="AR27" i="7"/>
  <c r="BP24" i="7"/>
  <c r="BP22" i="7" s="1"/>
  <c r="BJ11" i="7" s="1"/>
  <c r="AA71" i="8"/>
  <c r="Y69" i="8"/>
  <c r="Y65" i="8" s="1"/>
  <c r="N116" i="15"/>
  <c r="M116" i="15"/>
  <c r="BP17" i="7"/>
  <c r="BP15" i="7" s="1"/>
  <c r="BJ10" i="7" s="1"/>
  <c r="AD145" i="7"/>
  <c r="AD110" i="7" s="1"/>
  <c r="AR26" i="7" s="1"/>
  <c r="AW26" i="7" s="1"/>
  <c r="N119" i="16"/>
  <c r="M119" i="16"/>
  <c r="AS16" i="7"/>
  <c r="AX16" i="7" s="1"/>
  <c r="AR16" i="7"/>
  <c r="AW16" i="7" s="1"/>
  <c r="AY16" i="7" s="1"/>
  <c r="N98" i="16"/>
  <c r="M98" i="16"/>
  <c r="N108" i="16"/>
  <c r="M108" i="16"/>
  <c r="F86" i="16"/>
  <c r="D85" i="16"/>
  <c r="J25" i="20"/>
  <c r="BE22" i="9"/>
  <c r="N99" i="15"/>
  <c r="M99" i="15"/>
  <c r="X170" i="9"/>
  <c r="N96" i="15"/>
  <c r="M96" i="15"/>
  <c r="N88" i="16"/>
  <c r="AQ11" i="16"/>
  <c r="AD75" i="9"/>
  <c r="AB69" i="9"/>
  <c r="AB65" i="9" s="1"/>
  <c r="N111" i="15"/>
  <c r="M111" i="15"/>
  <c r="V177" i="12"/>
  <c r="V176" i="11"/>
  <c r="X177" i="11"/>
  <c r="AJ73" i="10"/>
  <c r="X69" i="10"/>
  <c r="X65" i="10" s="1"/>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AW29" i="8"/>
  <c r="AY29" i="8" s="1"/>
  <c r="BP27" i="8"/>
  <c r="BP25" i="8" s="1"/>
  <c r="BJ12" i="8" s="1"/>
  <c r="M96" i="16"/>
  <c r="N96" i="16"/>
  <c r="C19" i="20"/>
  <c r="AI228" i="10"/>
  <c r="AH228" i="10"/>
  <c r="AH227" i="10" s="1"/>
  <c r="AH220" i="10" s="1"/>
  <c r="X227" i="10"/>
  <c r="X220" i="10" s="1"/>
  <c r="BN30" i="10" s="1"/>
  <c r="BH14" i="10" s="1"/>
  <c r="N111" i="16"/>
  <c r="M111" i="16"/>
  <c r="AH207" i="14"/>
  <c r="AI207" i="14"/>
  <c r="V188" i="12"/>
  <c r="V187" i="11"/>
  <c r="V185" i="11" s="1"/>
  <c r="X188" i="11"/>
  <c r="N110" i="15"/>
  <c r="M110" i="15"/>
  <c r="BC19" i="15"/>
  <c r="V237" i="12"/>
  <c r="V235" i="11"/>
  <c r="V234" i="11" s="1"/>
  <c r="X237" i="11"/>
  <c r="I95" i="11"/>
  <c r="G94" i="11"/>
  <c r="AI174" i="10"/>
  <c r="AI172" i="10" s="1"/>
  <c r="X172" i="10"/>
  <c r="AH174" i="10"/>
  <c r="AH172" i="10" s="1"/>
  <c r="AJ174" i="10"/>
  <c r="AJ172" i="10" s="1"/>
  <c r="BN31" i="10"/>
  <c r="BH15" i="10" s="1"/>
  <c r="V135" i="12"/>
  <c r="X135" i="11"/>
  <c r="V123" i="11"/>
  <c r="F104" i="15"/>
  <c r="BN12" i="9"/>
  <c r="BN9" i="9" s="1"/>
  <c r="AQ23" i="9"/>
  <c r="F95" i="16"/>
  <c r="D94" i="16"/>
  <c r="AD216" i="9"/>
  <c r="AB211" i="9"/>
  <c r="AB210" i="9" s="1"/>
  <c r="AB209" i="9" s="1"/>
  <c r="AB193" i="9" s="1"/>
  <c r="J41" i="10"/>
  <c r="L41" i="10" s="1"/>
  <c r="M92" i="15"/>
  <c r="N92" i="15"/>
  <c r="AG80" i="9"/>
  <c r="V73" i="12"/>
  <c r="V69" i="11"/>
  <c r="V65" i="11" s="1"/>
  <c r="X73" i="11"/>
  <c r="AZ11" i="14"/>
  <c r="AV11" i="14"/>
  <c r="AG124" i="9"/>
  <c r="V170" i="10"/>
  <c r="F105" i="16"/>
  <c r="D104" i="16"/>
  <c r="M98" i="15"/>
  <c r="N98" i="15"/>
  <c r="M86" i="15"/>
  <c r="F85" i="15"/>
  <c r="BC18" i="15"/>
  <c r="F94" i="15"/>
  <c r="BE21" i="10"/>
  <c r="C128" i="10"/>
  <c r="H128" i="10"/>
  <c r="K128" i="10"/>
  <c r="K126" i="10" s="1"/>
  <c r="K130" i="10" s="1"/>
  <c r="P128" i="10"/>
  <c r="P126" i="10" s="1"/>
  <c r="P130" i="10" s="1"/>
  <c r="B24" i="11"/>
  <c r="Q128" i="10"/>
  <c r="Q126" i="10" s="1"/>
  <c r="Q130" i="10" s="1"/>
  <c r="N99" i="16"/>
  <c r="M99" i="16"/>
  <c r="C21" i="20"/>
  <c r="N88" i="15"/>
  <c r="AQ11" i="15"/>
  <c r="N92" i="16"/>
  <c r="M92" i="16"/>
  <c r="V228" i="12"/>
  <c r="V227" i="11"/>
  <c r="V220" i="11" s="1"/>
  <c r="X228" i="11"/>
  <c r="AR23" i="8"/>
  <c r="AW23" i="8" s="1"/>
  <c r="AY23" i="8" s="1"/>
  <c r="BP12" i="8"/>
  <c r="BP9" i="8" s="1"/>
  <c r="G41" i="10"/>
  <c r="I41" i="10" s="1"/>
  <c r="AG161" i="9"/>
  <c r="AI177" i="10"/>
  <c r="AH177" i="10"/>
  <c r="AH176" i="10" s="1"/>
  <c r="BN23" i="10"/>
  <c r="AJ177" i="10"/>
  <c r="X176" i="10"/>
  <c r="V207" i="16"/>
  <c r="X207" i="15"/>
  <c r="X187" i="10"/>
  <c r="X185" i="10" s="1"/>
  <c r="AH188" i="10"/>
  <c r="AH187" i="10" s="1"/>
  <c r="AH185" i="10" s="1"/>
  <c r="AI188" i="10"/>
  <c r="AI187" i="10" s="1"/>
  <c r="AI185" i="10" s="1"/>
  <c r="J95" i="12"/>
  <c r="L94" i="11"/>
  <c r="N95" i="11"/>
  <c r="N94" i="11" s="1"/>
  <c r="L86" i="11"/>
  <c r="J85" i="11"/>
  <c r="AH238" i="10"/>
  <c r="AI237" i="10"/>
  <c r="X235" i="10"/>
  <c r="X234" i="10" s="1"/>
  <c r="N102" i="15"/>
  <c r="M102" i="15"/>
  <c r="V174" i="12"/>
  <c r="V172" i="11"/>
  <c r="X174" i="11"/>
  <c r="Y161" i="13"/>
  <c r="AA161" i="13" s="1"/>
  <c r="AH161" i="12"/>
  <c r="N107" i="15"/>
  <c r="M107" i="15"/>
  <c r="AU16" i="7"/>
  <c r="G24" i="8"/>
  <c r="M24" i="7"/>
  <c r="M22" i="7" s="1"/>
  <c r="I22" i="7"/>
  <c r="AR7" i="7" s="1"/>
  <c r="AU7" i="7" s="1"/>
  <c r="AW7" i="7"/>
  <c r="L21" i="7"/>
  <c r="L19" i="7" s="1"/>
  <c r="L17" i="7" s="1"/>
  <c r="L8" i="7" s="1"/>
  <c r="L27" i="8"/>
  <c r="L128" i="8" s="1"/>
  <c r="J25" i="8"/>
  <c r="J21" i="8" s="1"/>
  <c r="J19" i="8" s="1"/>
  <c r="J17" i="8" s="1"/>
  <c r="G27" i="8"/>
  <c r="AW8" i="7"/>
  <c r="AY8" i="7" s="1"/>
  <c r="I25" i="7"/>
  <c r="M27" i="7"/>
  <c r="M25" i="7" s="1"/>
  <c r="G88" i="12"/>
  <c r="M88" i="11"/>
  <c r="M85" i="11" s="1"/>
  <c r="I85" i="11"/>
  <c r="AW11" i="11"/>
  <c r="AY11" i="11" s="1"/>
  <c r="AR11" i="11"/>
  <c r="AU11" i="11" s="1"/>
  <c r="L31" i="12"/>
  <c r="E37" i="14"/>
  <c r="E35" i="13"/>
  <c r="G50" i="12"/>
  <c r="I48" i="11"/>
  <c r="M50" i="11"/>
  <c r="J37" i="12"/>
  <c r="I44" i="13"/>
  <c r="G42" i="13"/>
  <c r="G62" i="10"/>
  <c r="I60" i="9"/>
  <c r="M62" i="9"/>
  <c r="M60" i="9" s="1"/>
  <c r="G80" i="11"/>
  <c r="N31" i="10"/>
  <c r="D13" i="12"/>
  <c r="F13" i="11"/>
  <c r="F57" i="10"/>
  <c r="M59" i="10"/>
  <c r="M57" i="10" s="1"/>
  <c r="J53" i="10"/>
  <c r="L51" i="9"/>
  <c r="J77" i="10"/>
  <c r="L75" i="9"/>
  <c r="J65" i="10"/>
  <c r="L63" i="9"/>
  <c r="E77" i="12"/>
  <c r="E75" i="11"/>
  <c r="F77" i="11"/>
  <c r="F66" i="10"/>
  <c r="E83" i="12"/>
  <c r="E81" i="11"/>
  <c r="F83" i="11"/>
  <c r="J47" i="10"/>
  <c r="L45" i="9"/>
  <c r="J33" i="10"/>
  <c r="L32" i="9"/>
  <c r="L28" i="9" s="1"/>
  <c r="AX9" i="9"/>
  <c r="N33" i="9"/>
  <c r="N32" i="9" s="1"/>
  <c r="F54" i="10"/>
  <c r="E14" i="12"/>
  <c r="E10" i="11"/>
  <c r="F14" i="11"/>
  <c r="E65" i="12"/>
  <c r="E63" i="11"/>
  <c r="F65" i="11"/>
  <c r="BC11" i="10"/>
  <c r="F25" i="10"/>
  <c r="AQ8" i="10" s="1"/>
  <c r="G68" i="10"/>
  <c r="I66" i="9"/>
  <c r="M68" i="9"/>
  <c r="M66" i="9" s="1"/>
  <c r="J59" i="10"/>
  <c r="L57" i="9"/>
  <c r="E71" i="12"/>
  <c r="E69" i="11"/>
  <c r="F45" i="10"/>
  <c r="M47" i="10"/>
  <c r="J83" i="10"/>
  <c r="L81" i="9"/>
  <c r="AX14" i="9" s="1"/>
  <c r="E33" i="13"/>
  <c r="E32" i="12"/>
  <c r="E28" i="12" s="1"/>
  <c r="F33" i="12"/>
  <c r="G46" i="10"/>
  <c r="I45" i="9"/>
  <c r="BD15" i="9"/>
  <c r="M46" i="9"/>
  <c r="M45" i="9" s="1"/>
  <c r="D37" i="12"/>
  <c r="F37" i="11"/>
  <c r="F51" i="10"/>
  <c r="M53" i="10"/>
  <c r="F69" i="10"/>
  <c r="M71" i="10"/>
  <c r="M69" i="10" s="1"/>
  <c r="J26" i="10"/>
  <c r="E47" i="12"/>
  <c r="E45" i="11"/>
  <c r="F47" i="11"/>
  <c r="G74" i="10"/>
  <c r="I72" i="9"/>
  <c r="M74" i="9"/>
  <c r="M72" i="9" s="1"/>
  <c r="D31" i="12"/>
  <c r="F31" i="11"/>
  <c r="M13" i="10"/>
  <c r="M33" i="11"/>
  <c r="M32" i="11" s="1"/>
  <c r="F32" i="11"/>
  <c r="E59" i="12"/>
  <c r="E57" i="11"/>
  <c r="F59" i="11"/>
  <c r="N37" i="10"/>
  <c r="J71" i="10"/>
  <c r="L69" i="9"/>
  <c r="E53" i="12"/>
  <c r="E51" i="11"/>
  <c r="F53" i="11"/>
  <c r="G52" i="10"/>
  <c r="I51" i="9"/>
  <c r="M52" i="9"/>
  <c r="M51" i="9" s="1"/>
  <c r="M77" i="10"/>
  <c r="G37" i="10"/>
  <c r="I35" i="9"/>
  <c r="D68" i="12"/>
  <c r="D66" i="11"/>
  <c r="F68" i="11"/>
  <c r="M83" i="10"/>
  <c r="M81" i="10" s="1"/>
  <c r="F81" i="10"/>
  <c r="D56" i="12"/>
  <c r="D54" i="11"/>
  <c r="F56" i="11"/>
  <c r="M14" i="10"/>
  <c r="N14" i="10"/>
  <c r="M65" i="10"/>
  <c r="E26" i="12"/>
  <c r="E25" i="11"/>
  <c r="F26" i="11"/>
  <c r="N77" i="9"/>
  <c r="F22" i="9"/>
  <c r="AQ7" i="9" s="1"/>
  <c r="F128" i="9"/>
  <c r="AZ7" i="7"/>
  <c r="AV7" i="7"/>
  <c r="J14" i="13"/>
  <c r="L14" i="13" s="1"/>
  <c r="D24" i="11"/>
  <c r="D22" i="10"/>
  <c r="F24" i="10"/>
  <c r="BC21" i="10" s="1"/>
  <c r="D128" i="10"/>
  <c r="J24" i="9"/>
  <c r="L22" i="8"/>
  <c r="AX7" i="8"/>
  <c r="AZ7" i="8" s="1"/>
  <c r="E24" i="11"/>
  <c r="E22" i="10"/>
  <c r="E21" i="10" s="1"/>
  <c r="E19" i="10" s="1"/>
  <c r="E17" i="10" s="1"/>
  <c r="E8" i="10" s="1"/>
  <c r="E128" i="10"/>
  <c r="N24" i="8"/>
  <c r="J15" i="11"/>
  <c r="L15" i="11" s="1"/>
  <c r="N15" i="10"/>
  <c r="AY7" i="7"/>
  <c r="L13" i="8"/>
  <c r="J10" i="8"/>
  <c r="BJ9" i="7"/>
  <c r="BP8" i="7"/>
  <c r="AB88" i="9"/>
  <c r="AD83" i="8"/>
  <c r="AI88" i="8"/>
  <c r="AI83" i="8" s="1"/>
  <c r="BP31" i="8"/>
  <c r="BJ15" i="8" s="1"/>
  <c r="Y237" i="9"/>
  <c r="AA235" i="8"/>
  <c r="AA234" i="8" s="1"/>
  <c r="AH237" i="8"/>
  <c r="AH235" i="8" s="1"/>
  <c r="AJ134" i="13"/>
  <c r="AI134" i="13"/>
  <c r="AH134" i="13"/>
  <c r="BP13" i="8"/>
  <c r="AR25" i="8"/>
  <c r="AA159" i="9"/>
  <c r="Y157" i="9"/>
  <c r="Y155" i="9" s="1"/>
  <c r="Y145" i="9" s="1"/>
  <c r="X222" i="13"/>
  <c r="AI225" i="13"/>
  <c r="AI245" i="10"/>
  <c r="AH245" i="10"/>
  <c r="AJ245" i="10"/>
  <c r="AD50" i="9"/>
  <c r="AB49" i="9"/>
  <c r="AB43" i="9" s="1"/>
  <c r="BO17" i="8"/>
  <c r="BO15" i="8" s="1"/>
  <c r="AA112" i="8"/>
  <c r="AA110" i="8" s="1"/>
  <c r="V134" i="15"/>
  <c r="X134" i="14"/>
  <c r="V225" i="15"/>
  <c r="V222" i="14"/>
  <c r="X225" i="14"/>
  <c r="I56" i="9"/>
  <c r="V245" i="12"/>
  <c r="X245" i="11"/>
  <c r="AA133" i="9"/>
  <c r="Y123" i="9"/>
  <c r="Y112" i="9" s="1"/>
  <c r="AD107" i="9"/>
  <c r="AB105" i="9"/>
  <c r="AB104" i="9" s="1"/>
  <c r="AG158" i="13"/>
  <c r="AG127" i="13"/>
  <c r="F38" i="12"/>
  <c r="D38" i="13"/>
  <c r="N40" i="12"/>
  <c r="M40" i="12"/>
  <c r="AI168" i="16"/>
  <c r="F39" i="13"/>
  <c r="D39" i="14"/>
  <c r="M39" i="12"/>
  <c r="N39" i="12"/>
  <c r="N38" i="11"/>
  <c r="M38" i="11"/>
  <c r="AD214" i="16"/>
  <c r="F40" i="13"/>
  <c r="D40" i="14"/>
  <c r="AE92" i="16"/>
  <c r="N67" i="16"/>
  <c r="AI74" i="16"/>
  <c r="AI212"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AE237" i="11"/>
  <c r="AG237" i="11" s="1"/>
  <c r="AJ237" i="10"/>
  <c r="AJ239" i="11"/>
  <c r="AE239" i="12"/>
  <c r="AG239" i="12" s="1"/>
  <c r="AE223" i="10"/>
  <c r="AJ223" i="9"/>
  <c r="AJ222" i="9" s="1"/>
  <c r="AG222" i="9"/>
  <c r="AJ251" i="11"/>
  <c r="AE251" i="12"/>
  <c r="AG251" i="12" s="1"/>
  <c r="AJ107" i="16"/>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AJ71" i="16"/>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206" i="9"/>
  <c r="AE205" i="9"/>
  <c r="AG186" i="9"/>
  <c r="AG198" i="9"/>
  <c r="AE228" i="10"/>
  <c r="AG227" i="9"/>
  <c r="AJ228" i="9"/>
  <c r="AJ227" i="9" s="1"/>
  <c r="AE191" i="12"/>
  <c r="AG191" i="12" s="1"/>
  <c r="AJ191" i="11"/>
  <c r="AG181" i="9"/>
  <c r="AJ247" i="14"/>
  <c r="AE247" i="15"/>
  <c r="AG247" i="15" s="1"/>
  <c r="AE201" i="12"/>
  <c r="AG201" i="12" s="1"/>
  <c r="AX27" i="7"/>
  <c r="K51" i="20" l="1"/>
  <c r="BQ25" i="10"/>
  <c r="AJ8" i="5"/>
  <c r="V63" i="9"/>
  <c r="V12" i="9" s="1"/>
  <c r="X145" i="9"/>
  <c r="AJ258" i="6"/>
  <c r="M78" i="10"/>
  <c r="AH110" i="8"/>
  <c r="AI63" i="8"/>
  <c r="AY26" i="7"/>
  <c r="AG90" i="7"/>
  <c r="F21" i="8"/>
  <c r="F19" i="8" s="1"/>
  <c r="AQ14" i="8" s="1"/>
  <c r="AZ14" i="8" s="1"/>
  <c r="AV16" i="7"/>
  <c r="V258" i="7"/>
  <c r="BN14" i="8"/>
  <c r="BH9" i="8" s="1"/>
  <c r="AH196" i="9"/>
  <c r="AH195" i="9" s="1"/>
  <c r="AH193" i="9" s="1"/>
  <c r="AH258" i="6"/>
  <c r="AI10" i="7"/>
  <c r="AI258" i="7" s="1"/>
  <c r="AI258" i="6"/>
  <c r="F72" i="10"/>
  <c r="M73" i="10"/>
  <c r="N73" i="10"/>
  <c r="AQ16" i="9"/>
  <c r="AJ90" i="7"/>
  <c r="AJ63" i="7" s="1"/>
  <c r="AJ12" i="7" s="1"/>
  <c r="AJ10" i="7" s="1"/>
  <c r="AJ258" i="7" s="1"/>
  <c r="D73" i="12"/>
  <c r="F73" i="11"/>
  <c r="D72" i="11"/>
  <c r="N72" i="10"/>
  <c r="M80" i="10"/>
  <c r="AA12" i="7"/>
  <c r="AA10" i="7" s="1"/>
  <c r="AA8" i="7" s="1"/>
  <c r="N28" i="8"/>
  <c r="X112" i="8"/>
  <c r="X110" i="8" s="1"/>
  <c r="AQ26" i="8" s="1"/>
  <c r="V196" i="10"/>
  <c r="V195" i="10" s="1"/>
  <c r="V193" i="10" s="1"/>
  <c r="BN15" i="8"/>
  <c r="BH10" i="8" s="1"/>
  <c r="V10" i="8"/>
  <c r="V8" i="8" s="1"/>
  <c r="D80" i="12"/>
  <c r="F80" i="11"/>
  <c r="AV28" i="7"/>
  <c r="BP33" i="6"/>
  <c r="BP7" i="7"/>
  <c r="Y14" i="8"/>
  <c r="X12" i="7"/>
  <c r="X10" i="7" s="1"/>
  <c r="X8" i="7" s="1"/>
  <c r="N61" i="10"/>
  <c r="F60" i="10"/>
  <c r="M61" i="10"/>
  <c r="D61" i="12"/>
  <c r="F61" i="11"/>
  <c r="D60" i="11"/>
  <c r="AX25" i="6"/>
  <c r="AZ25" i="6" s="1"/>
  <c r="AV25" i="6"/>
  <c r="AX23" i="7"/>
  <c r="AZ23" i="7" s="1"/>
  <c r="AV23" i="7"/>
  <c r="AW22" i="13"/>
  <c r="AY22" i="13" s="1"/>
  <c r="AU22" i="13"/>
  <c r="AW27" i="7"/>
  <c r="AY27" i="7" s="1"/>
  <c r="AU27" i="7"/>
  <c r="V110" i="9"/>
  <c r="W8" i="9"/>
  <c r="W14" i="10"/>
  <c r="W12" i="10" s="1"/>
  <c r="W10" i="10" s="1"/>
  <c r="X90" i="9"/>
  <c r="V145" i="10"/>
  <c r="AV9" i="8"/>
  <c r="M36" i="9"/>
  <c r="M35" i="9" s="1"/>
  <c r="N36" i="9"/>
  <c r="N35" i="9" s="1"/>
  <c r="F35" i="9"/>
  <c r="V150" i="16"/>
  <c r="X150" i="15"/>
  <c r="AJ150" i="15" s="1"/>
  <c r="BC10" i="8"/>
  <c r="BC9" i="8" s="1"/>
  <c r="BC8" i="8" s="1"/>
  <c r="BC22" i="8" s="1"/>
  <c r="AQ25" i="8"/>
  <c r="BN13" i="8"/>
  <c r="BH8" i="8" s="1"/>
  <c r="AH201" i="10"/>
  <c r="AH197" i="10" s="1"/>
  <c r="AI201" i="10"/>
  <c r="X197" i="10"/>
  <c r="AJ201" i="10"/>
  <c r="AI51" i="10"/>
  <c r="X49" i="10"/>
  <c r="AH51" i="10"/>
  <c r="AH49" i="10" s="1"/>
  <c r="AJ51" i="10"/>
  <c r="D43" i="12"/>
  <c r="D42" i="11"/>
  <c r="F43" i="11"/>
  <c r="AI158" i="10"/>
  <c r="AH158" i="10"/>
  <c r="AJ158" i="10"/>
  <c r="X157" i="10"/>
  <c r="X155" i="10" s="1"/>
  <c r="BN17" i="10" s="1"/>
  <c r="AE189" i="9"/>
  <c r="AG187" i="8"/>
  <c r="AG185" i="8" s="1"/>
  <c r="AJ189" i="8"/>
  <c r="AJ187" i="8" s="1"/>
  <c r="AJ185" i="8" s="1"/>
  <c r="AI206" i="10"/>
  <c r="AI205" i="10" s="1"/>
  <c r="X205" i="10"/>
  <c r="AH206" i="10"/>
  <c r="AH205" i="10" s="1"/>
  <c r="AG178" i="8"/>
  <c r="AE176" i="8"/>
  <c r="AE170" i="8" s="1"/>
  <c r="D74" i="16"/>
  <c r="G70" i="14"/>
  <c r="M70" i="13"/>
  <c r="I69" i="13"/>
  <c r="W50" i="16"/>
  <c r="AG94" i="8"/>
  <c r="AE91" i="8"/>
  <c r="G76" i="13"/>
  <c r="I75" i="12"/>
  <c r="V46" i="11"/>
  <c r="V44" i="10"/>
  <c r="V43" i="10" s="1"/>
  <c r="V14" i="10" s="1"/>
  <c r="X46" i="10"/>
  <c r="V213" i="16"/>
  <c r="X213" i="15"/>
  <c r="AI213" i="15" s="1"/>
  <c r="N34" i="14"/>
  <c r="M34" i="14"/>
  <c r="V142" i="12"/>
  <c r="V141" i="11"/>
  <c r="X142" i="11"/>
  <c r="AV24" i="7"/>
  <c r="AZ24" i="7"/>
  <c r="BC14" i="9"/>
  <c r="M64" i="9"/>
  <c r="M63" i="9" s="1"/>
  <c r="N64" i="9"/>
  <c r="N63" i="9" s="1"/>
  <c r="F63" i="9"/>
  <c r="V178" i="14"/>
  <c r="X178" i="13"/>
  <c r="AG99" i="8"/>
  <c r="AE96" i="8"/>
  <c r="D79" i="12"/>
  <c r="F79" i="11"/>
  <c r="D78" i="11"/>
  <c r="F78" i="11" s="1"/>
  <c r="BJ7" i="7"/>
  <c r="AU24" i="7"/>
  <c r="AE193" i="8"/>
  <c r="D36" i="11"/>
  <c r="F36" i="10"/>
  <c r="D35" i="10"/>
  <c r="AQ24" i="8"/>
  <c r="V118" i="11"/>
  <c r="V114" i="10"/>
  <c r="V112" i="10" s="1"/>
  <c r="X118" i="10"/>
  <c r="AG126" i="8"/>
  <c r="AE123" i="8"/>
  <c r="AE112" i="8" s="1"/>
  <c r="AE110" i="8" s="1"/>
  <c r="M43" i="10"/>
  <c r="M42" i="10" s="1"/>
  <c r="N43" i="10"/>
  <c r="BC16" i="10"/>
  <c r="F42" i="10"/>
  <c r="AQ10" i="10" s="1"/>
  <c r="AI21" i="10"/>
  <c r="X20" i="10"/>
  <c r="X16" i="10" s="1"/>
  <c r="AH21" i="10"/>
  <c r="AJ21" i="10"/>
  <c r="AJ92" i="10"/>
  <c r="AH92" i="10"/>
  <c r="AH91" i="10" s="1"/>
  <c r="X91" i="10"/>
  <c r="V85" i="11"/>
  <c r="V83" i="10"/>
  <c r="X85" i="10"/>
  <c r="V39" i="12"/>
  <c r="V35" i="11"/>
  <c r="X39" i="11"/>
  <c r="V214" i="12"/>
  <c r="X214" i="11"/>
  <c r="V211" i="11"/>
  <c r="V210" i="11" s="1"/>
  <c r="V209" i="11" s="1"/>
  <c r="D71" i="12"/>
  <c r="D69" i="11"/>
  <c r="D45" i="11"/>
  <c r="F46" i="11"/>
  <c r="D46" i="12"/>
  <c r="X14" i="8"/>
  <c r="X12" i="8" s="1"/>
  <c r="W46" i="12"/>
  <c r="W44" i="11"/>
  <c r="D34" i="16"/>
  <c r="F34" i="15"/>
  <c r="D32" i="15"/>
  <c r="N49" i="11"/>
  <c r="M49" i="11"/>
  <c r="M48" i="11" s="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AB10" i="8"/>
  <c r="N48" i="10"/>
  <c r="D83" i="13"/>
  <c r="D81" i="12"/>
  <c r="W94" i="16"/>
  <c r="W91" i="16" s="1"/>
  <c r="W91" i="15"/>
  <c r="W90" i="15" s="1"/>
  <c r="W63" i="15" s="1"/>
  <c r="V201" i="12"/>
  <c r="X201" i="11"/>
  <c r="V197" i="11"/>
  <c r="V51" i="12"/>
  <c r="X51" i="11"/>
  <c r="V49" i="11"/>
  <c r="AJ50" i="14"/>
  <c r="AH50" i="14"/>
  <c r="V158" i="12"/>
  <c r="X158" i="11"/>
  <c r="V157" i="11"/>
  <c r="V155" i="11" s="1"/>
  <c r="V90" i="10"/>
  <c r="AV29" i="8"/>
  <c r="AU29" i="8"/>
  <c r="V206" i="12"/>
  <c r="V205" i="11"/>
  <c r="X206" i="11"/>
  <c r="AI196" i="9"/>
  <c r="AI195" i="9" s="1"/>
  <c r="AZ26" i="7"/>
  <c r="AU26" i="7"/>
  <c r="AV26" i="7"/>
  <c r="AE87" i="9"/>
  <c r="AJ87" i="8"/>
  <c r="AJ83" i="8" s="1"/>
  <c r="AG83" i="8"/>
  <c r="AS24" i="8" s="1"/>
  <c r="AX24" i="8" s="1"/>
  <c r="AH46" i="9"/>
  <c r="AH44" i="9" s="1"/>
  <c r="AH43" i="9" s="1"/>
  <c r="AJ46" i="9"/>
  <c r="AJ44" i="9" s="1"/>
  <c r="X44" i="9"/>
  <c r="X43" i="9" s="1"/>
  <c r="AI46" i="9"/>
  <c r="AI44" i="9" s="1"/>
  <c r="AE116" i="9"/>
  <c r="AJ116" i="8"/>
  <c r="AJ114" i="8" s="1"/>
  <c r="AG114" i="8"/>
  <c r="F76" i="10"/>
  <c r="BC17" i="10" s="1"/>
  <c r="D76" i="11"/>
  <c r="D75" i="10"/>
  <c r="AQ9" i="7"/>
  <c r="F21" i="7"/>
  <c r="F19" i="7" s="1"/>
  <c r="X141" i="10"/>
  <c r="BN20" i="10" s="1"/>
  <c r="AJ142" i="10"/>
  <c r="AJ141" i="10" s="1"/>
  <c r="AH142" i="10"/>
  <c r="AH141" i="10" s="1"/>
  <c r="AI142" i="10"/>
  <c r="AI141" i="10" s="1"/>
  <c r="D64" i="11"/>
  <c r="D63" i="10"/>
  <c r="F64" i="10"/>
  <c r="AB174" i="14"/>
  <c r="AD172" i="13"/>
  <c r="BC13" i="9"/>
  <c r="N30" i="9"/>
  <c r="N29" i="9" s="1"/>
  <c r="N28" i="9" s="1"/>
  <c r="F29" i="9"/>
  <c r="F28" i="9" s="1"/>
  <c r="X196" i="9"/>
  <c r="BC12" i="9"/>
  <c r="BC10" i="9" s="1"/>
  <c r="BC9" i="9" s="1"/>
  <c r="BC8" i="9" s="1"/>
  <c r="N23" i="9"/>
  <c r="N79" i="10"/>
  <c r="M79" i="10"/>
  <c r="N12" i="9"/>
  <c r="W258" i="9"/>
  <c r="AQ29" i="9"/>
  <c r="BN27" i="9"/>
  <c r="AU25" i="7"/>
  <c r="AY25" i="7"/>
  <c r="AE160" i="9"/>
  <c r="AJ160" i="8"/>
  <c r="AJ157" i="8" s="1"/>
  <c r="AJ155" i="8" s="1"/>
  <c r="AJ145" i="8" s="1"/>
  <c r="AG157" i="8"/>
  <c r="AG155" i="8" s="1"/>
  <c r="AG145" i="8" s="1"/>
  <c r="W39" i="12"/>
  <c r="W35" i="11"/>
  <c r="AJ118" i="9"/>
  <c r="AH118" i="9"/>
  <c r="AH114" i="9" s="1"/>
  <c r="X114" i="9"/>
  <c r="AI118" i="9"/>
  <c r="AI114" i="9" s="1"/>
  <c r="AI112"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35" i="10"/>
  <c r="AJ39" i="10"/>
  <c r="AJ35" i="10" s="1"/>
  <c r="AH39" i="10"/>
  <c r="AH214" i="10"/>
  <c r="AH211" i="10" s="1"/>
  <c r="AH210" i="10" s="1"/>
  <c r="AH209" i="10" s="1"/>
  <c r="AI214" i="10"/>
  <c r="X211" i="10"/>
  <c r="X210" i="10" s="1"/>
  <c r="X209" i="10" s="1"/>
  <c r="AJ214" i="10"/>
  <c r="AV10" i="9"/>
  <c r="AU10" i="9"/>
  <c r="AY10" i="9"/>
  <c r="AD206" i="15"/>
  <c r="AB205" i="15"/>
  <c r="BC15" i="10"/>
  <c r="N46" i="10"/>
  <c r="G64" i="15"/>
  <c r="BD14" i="14"/>
  <c r="I63" i="14"/>
  <c r="M76" i="9"/>
  <c r="M75" i="9" s="1"/>
  <c r="N76" i="9"/>
  <c r="N75" i="9" s="1"/>
  <c r="F75" i="9"/>
  <c r="BH9" i="7"/>
  <c r="BH7" i="7" s="1"/>
  <c r="BH16" i="7" s="1"/>
  <c r="BN8" i="7"/>
  <c r="BN7" i="7" s="1"/>
  <c r="BN32" i="7" s="1"/>
  <c r="F49" i="12"/>
  <c r="D48" i="12"/>
  <c r="D49" i="13"/>
  <c r="D59" i="12"/>
  <c r="D57" i="11"/>
  <c r="AI178" i="12"/>
  <c r="AH178" i="12"/>
  <c r="D30" i="11"/>
  <c r="F30" i="10"/>
  <c r="N30" i="10" s="1"/>
  <c r="N29" i="10" s="1"/>
  <c r="D29" i="10"/>
  <c r="D28" i="10" s="1"/>
  <c r="AJ151" i="10"/>
  <c r="AH151" i="10"/>
  <c r="AH149" i="10" s="1"/>
  <c r="AH147" i="10" s="1"/>
  <c r="AI151" i="10"/>
  <c r="X149" i="10"/>
  <c r="X147" i="10" s="1"/>
  <c r="W51" i="12"/>
  <c r="W49" i="11"/>
  <c r="D23" i="11"/>
  <c r="F23" i="10"/>
  <c r="X96" i="10"/>
  <c r="X90" i="10" s="1"/>
  <c r="AI97" i="10"/>
  <c r="AH97" i="10"/>
  <c r="AH96" i="10" s="1"/>
  <c r="AJ97" i="10"/>
  <c r="BO29" i="7"/>
  <c r="BI13" i="7" s="1"/>
  <c r="AD10" i="7"/>
  <c r="AD8"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AA244" i="8"/>
  <c r="Y243" i="8"/>
  <c r="Y232" i="8" s="1"/>
  <c r="AF258" i="7"/>
  <c r="AE234" i="8"/>
  <c r="AE232" i="8" s="1"/>
  <c r="AR28" i="9"/>
  <c r="AW28" i="9" s="1"/>
  <c r="BP29" i="7"/>
  <c r="BJ13" i="7" s="1"/>
  <c r="AR30" i="7"/>
  <c r="AW30" i="7" s="1"/>
  <c r="AY30" i="7" s="1"/>
  <c r="AH58" i="14"/>
  <c r="G65" i="16"/>
  <c r="Y230" i="16"/>
  <c r="AA227" i="15"/>
  <c r="AH230" i="15"/>
  <c r="G83" i="16"/>
  <c r="I81" i="15"/>
  <c r="I34" i="16"/>
  <c r="G32" i="16"/>
  <c r="I77" i="16"/>
  <c r="G59" i="16"/>
  <c r="I57" i="15"/>
  <c r="G71" i="16"/>
  <c r="W145" i="15"/>
  <c r="W220" i="15"/>
  <c r="Y43" i="14"/>
  <c r="X87" i="16"/>
  <c r="AI116" i="15"/>
  <c r="AH116" i="15"/>
  <c r="AI160" i="16"/>
  <c r="AH160" i="16"/>
  <c r="AI87" i="15"/>
  <c r="AH87" i="15"/>
  <c r="AI99" i="16"/>
  <c r="AH99" i="16"/>
  <c r="AH94" i="15"/>
  <c r="AI94" i="15"/>
  <c r="AI86" i="15"/>
  <c r="AH86" i="15"/>
  <c r="X48" i="16"/>
  <c r="X60" i="16"/>
  <c r="AJ60" i="16" s="1"/>
  <c r="V58" i="16"/>
  <c r="V57" i="16" s="1"/>
  <c r="AD58" i="14"/>
  <c r="AD57" i="14" s="1"/>
  <c r="AB59" i="15"/>
  <c r="E72" i="16"/>
  <c r="AH106" i="15"/>
  <c r="X105" i="15"/>
  <c r="X104" i="15" s="1"/>
  <c r="AI106" i="15"/>
  <c r="AI59" i="14"/>
  <c r="AI58" i="14" s="1"/>
  <c r="AI57" i="14" s="1"/>
  <c r="AI79" i="14"/>
  <c r="AB79" i="15"/>
  <c r="AD79" i="15" s="1"/>
  <c r="X143" i="16"/>
  <c r="W141" i="16"/>
  <c r="X199" i="16"/>
  <c r="AI215" i="15"/>
  <c r="AH215" i="15"/>
  <c r="AB142" i="15"/>
  <c r="AD141" i="14"/>
  <c r="BP20" i="14" s="1"/>
  <c r="AH143" i="15"/>
  <c r="AI143" i="15"/>
  <c r="AH199" i="15"/>
  <c r="AI199" i="15"/>
  <c r="W83" i="16"/>
  <c r="X86" i="16"/>
  <c r="X116" i="16"/>
  <c r="Y51" i="15"/>
  <c r="AA49" i="14"/>
  <c r="E48" i="16"/>
  <c r="F50" i="16"/>
  <c r="AJ48" i="15"/>
  <c r="AH48" i="15"/>
  <c r="AI48" i="15"/>
  <c r="V105" i="16"/>
  <c r="V104" i="16" s="1"/>
  <c r="X106" i="16"/>
  <c r="AH60" i="15"/>
  <c r="AI60" i="15"/>
  <c r="AJ60" i="15"/>
  <c r="G61" i="15"/>
  <c r="I61" i="15" s="1"/>
  <c r="G61" i="16" s="1"/>
  <c r="I61" i="16" s="1"/>
  <c r="X215" i="16"/>
  <c r="W211" i="16"/>
  <c r="W210" i="16" s="1"/>
  <c r="W209" i="16" s="1"/>
  <c r="V170" i="11"/>
  <c r="BC22" i="9"/>
  <c r="AB90" i="10"/>
  <c r="AH23" i="15"/>
  <c r="AI23" i="15"/>
  <c r="J44" i="11"/>
  <c r="L42" i="10"/>
  <c r="AS10" i="10" s="1"/>
  <c r="AX10" i="10"/>
  <c r="N44" i="10"/>
  <c r="N42" i="10" s="1"/>
  <c r="AA173" i="13"/>
  <c r="Y172" i="13"/>
  <c r="AJ37" i="15"/>
  <c r="AI37" i="15"/>
  <c r="AB66" i="15"/>
  <c r="AD66" i="15" s="1"/>
  <c r="BP10" i="14"/>
  <c r="AR22" i="14"/>
  <c r="AI66" i="14"/>
  <c r="AB22" i="11"/>
  <c r="AD20" i="10"/>
  <c r="AD16" i="10" s="1"/>
  <c r="AI22" i="10"/>
  <c r="AI20" i="10" s="1"/>
  <c r="AI16" i="10" s="1"/>
  <c r="D21" i="10"/>
  <c r="D19" i="10" s="1"/>
  <c r="D17" i="10" s="1"/>
  <c r="W222" i="16"/>
  <c r="X223" i="16"/>
  <c r="AE86" i="11"/>
  <c r="AJ86" i="10"/>
  <c r="J56" i="11"/>
  <c r="L54" i="10"/>
  <c r="AG93" i="11"/>
  <c r="W96" i="16"/>
  <c r="X98" i="16"/>
  <c r="AE152" i="11"/>
  <c r="AG149" i="10"/>
  <c r="AG147" i="10" s="1"/>
  <c r="AJ152" i="10"/>
  <c r="W227" i="16"/>
  <c r="X229" i="16"/>
  <c r="AH229" i="16" s="1"/>
  <c r="L50" i="11"/>
  <c r="J48" i="11"/>
  <c r="AB98" i="16"/>
  <c r="AD127" i="11"/>
  <c r="AB123" i="11"/>
  <c r="AH75" i="14"/>
  <c r="AJ75" i="14"/>
  <c r="AH59" i="15"/>
  <c r="X58" i="15"/>
  <c r="X57" i="15" s="1"/>
  <c r="AG36" i="11"/>
  <c r="AE35" i="11"/>
  <c r="AJ26" i="13"/>
  <c r="AE26" i="14"/>
  <c r="AG26" i="14" s="1"/>
  <c r="AB100" i="11"/>
  <c r="AD96" i="10"/>
  <c r="AI100" i="10"/>
  <c r="AH223" i="15"/>
  <c r="AI72" i="15"/>
  <c r="AJ72" i="15"/>
  <c r="AH72" i="15"/>
  <c r="J62" i="11"/>
  <c r="L60" i="10"/>
  <c r="N62" i="10"/>
  <c r="N60" i="10" s="1"/>
  <c r="AB85" i="16"/>
  <c r="AD85" i="16" s="1"/>
  <c r="AH198" i="15"/>
  <c r="BN26" i="15"/>
  <c r="AJ129" i="13"/>
  <c r="AE129" i="14"/>
  <c r="AG129" i="14" s="1"/>
  <c r="L74" i="11"/>
  <c r="J72" i="11"/>
  <c r="Y225" i="13"/>
  <c r="AA222" i="12"/>
  <c r="AA220" i="12" s="1"/>
  <c r="BO30" i="12" s="1"/>
  <c r="BI14" i="12" s="1"/>
  <c r="AH225" i="12"/>
  <c r="AH222" i="12" s="1"/>
  <c r="AI227" i="10"/>
  <c r="AG143" i="11"/>
  <c r="AE141" i="11"/>
  <c r="X159" i="16"/>
  <c r="W157" i="16"/>
  <c r="W155" i="16" s="1"/>
  <c r="AB46" i="11"/>
  <c r="AD44" i="10"/>
  <c r="AI46" i="10"/>
  <c r="AI44" i="10" s="1"/>
  <c r="L80" i="11"/>
  <c r="J78" i="11"/>
  <c r="L78" i="11" s="1"/>
  <c r="AB150" i="11"/>
  <c r="AD149" i="10"/>
  <c r="AD147" i="10" s="1"/>
  <c r="AI150" i="10"/>
  <c r="AI149" i="10" s="1"/>
  <c r="AI147" i="10" s="1"/>
  <c r="AH98" i="15"/>
  <c r="AI98" i="15"/>
  <c r="AH229" i="15"/>
  <c r="BO27" i="12"/>
  <c r="Y100" i="13"/>
  <c r="AA96" i="12"/>
  <c r="AH100" i="12"/>
  <c r="AA246" i="13"/>
  <c r="AE59" i="11"/>
  <c r="AG58" i="10"/>
  <c r="AG57" i="10" s="1"/>
  <c r="AJ59" i="10"/>
  <c r="AJ58" i="10" s="1"/>
  <c r="AJ57" i="10" s="1"/>
  <c r="J30" i="11"/>
  <c r="L29" i="10"/>
  <c r="Y90" i="12"/>
  <c r="W58" i="16"/>
  <c r="W57" i="16" s="1"/>
  <c r="X59" i="16"/>
  <c r="AI159" i="15"/>
  <c r="AJ159" i="15"/>
  <c r="Y200" i="13"/>
  <c r="AA197" i="12"/>
  <c r="AA196" i="12" s="1"/>
  <c r="AH200" i="12"/>
  <c r="W149" i="16"/>
  <c r="W147" i="16" s="1"/>
  <c r="X152" i="16"/>
  <c r="Y46" i="15"/>
  <c r="AA44" i="14"/>
  <c r="AB117" i="11"/>
  <c r="AD114" i="10"/>
  <c r="AI117" i="10"/>
  <c r="AB238" i="11"/>
  <c r="AD235" i="10"/>
  <c r="AD234" i="10" s="1"/>
  <c r="AI238" i="10"/>
  <c r="AI235" i="10" s="1"/>
  <c r="AI234" i="10" s="1"/>
  <c r="X23" i="16"/>
  <c r="AD188" i="11"/>
  <c r="AI188" i="11" s="1"/>
  <c r="AI187" i="11" s="1"/>
  <c r="AI185" i="11" s="1"/>
  <c r="AB187" i="11"/>
  <c r="AB185" i="11" s="1"/>
  <c r="AB92" i="11"/>
  <c r="AD91" i="10"/>
  <c r="AI92" i="10"/>
  <c r="AI91" i="10" s="1"/>
  <c r="X37" i="16"/>
  <c r="Y190" i="13"/>
  <c r="AA187" i="12"/>
  <c r="AA185" i="12" s="1"/>
  <c r="AA170" i="12" s="1"/>
  <c r="BO24" i="12" s="1"/>
  <c r="BO22" i="12" s="1"/>
  <c r="BI11" i="12" s="1"/>
  <c r="AH190" i="12"/>
  <c r="E42" i="16"/>
  <c r="F44" i="16"/>
  <c r="E60" i="16"/>
  <c r="F62" i="16"/>
  <c r="W69" i="16"/>
  <c r="W65" i="16" s="1"/>
  <c r="X72" i="16"/>
  <c r="AA179" i="13"/>
  <c r="Y176" i="13"/>
  <c r="AE115" i="11"/>
  <c r="AJ115" i="10"/>
  <c r="J68" i="11"/>
  <c r="L66" i="10"/>
  <c r="AH152" i="15"/>
  <c r="AI152" i="15"/>
  <c r="AA117" i="13"/>
  <c r="Y114" i="13"/>
  <c r="AE47" i="11"/>
  <c r="AG44" i="10"/>
  <c r="AJ47" i="10"/>
  <c r="AB223" i="11"/>
  <c r="AD222" i="10"/>
  <c r="AD220" i="10" s="1"/>
  <c r="AI223" i="10"/>
  <c r="AI222" i="10" s="1"/>
  <c r="X198" i="16"/>
  <c r="W197" i="16"/>
  <c r="W196" i="16" s="1"/>
  <c r="W195" i="16" s="1"/>
  <c r="W193" i="16" s="1"/>
  <c r="AA213" i="13"/>
  <c r="Y211" i="13"/>
  <c r="Y210" i="13" s="1"/>
  <c r="Y209" i="13" s="1"/>
  <c r="Y150" i="13"/>
  <c r="AA149" i="12"/>
  <c r="AA147" i="12" s="1"/>
  <c r="BO16" i="12" s="1"/>
  <c r="AH150" i="12"/>
  <c r="AD229" i="11"/>
  <c r="AB227" i="11"/>
  <c r="AA107" i="13"/>
  <c r="Y105" i="13"/>
  <c r="Y104" i="13" s="1"/>
  <c r="AJ67" i="15"/>
  <c r="AE67" i="16"/>
  <c r="AG67" i="16" s="1"/>
  <c r="AJ67" i="16" s="1"/>
  <c r="X75" i="15"/>
  <c r="V75" i="16"/>
  <c r="X75" i="16" s="1"/>
  <c r="AB71" i="16"/>
  <c r="AD71" i="16" s="1"/>
  <c r="AI71" i="16" s="1"/>
  <c r="AI71" i="15"/>
  <c r="AB198" i="11"/>
  <c r="AD197" i="10"/>
  <c r="AD196" i="10" s="1"/>
  <c r="AI198" i="10"/>
  <c r="AI197" i="10" s="1"/>
  <c r="AI196" i="10" s="1"/>
  <c r="AI195" i="10" s="1"/>
  <c r="BP26" i="10"/>
  <c r="AE98" i="11"/>
  <c r="AJ98" i="10"/>
  <c r="Y95" i="13"/>
  <c r="AA91" i="12"/>
  <c r="AH95" i="12"/>
  <c r="J36" i="11"/>
  <c r="N36" i="10"/>
  <c r="N35" i="10" s="1"/>
  <c r="L35" i="10"/>
  <c r="AD236" i="16"/>
  <c r="AH170" i="10"/>
  <c r="AH12" i="7"/>
  <c r="AH10" i="7" s="1"/>
  <c r="AH258" i="7" s="1"/>
  <c r="Y63" i="8"/>
  <c r="AE212" i="9"/>
  <c r="AG211" i="8"/>
  <c r="AG210" i="8" s="1"/>
  <c r="AG209" i="8" s="1"/>
  <c r="AJ212" i="8"/>
  <c r="AJ211" i="8" s="1"/>
  <c r="AJ210" i="8" s="1"/>
  <c r="AJ209" i="8" s="1"/>
  <c r="Y85" i="9"/>
  <c r="AA83" i="8"/>
  <c r="AH85" i="8"/>
  <c r="AH83" i="8" s="1"/>
  <c r="AJ202" i="8"/>
  <c r="AJ197" i="8" s="1"/>
  <c r="AJ196" i="8" s="1"/>
  <c r="AJ195" i="8" s="1"/>
  <c r="AJ193" i="8" s="1"/>
  <c r="AE202" i="9"/>
  <c r="AG197" i="8"/>
  <c r="AG196" i="8" s="1"/>
  <c r="AG195" i="8" s="1"/>
  <c r="AG172" i="13"/>
  <c r="AE174" i="14"/>
  <c r="Y61" i="10"/>
  <c r="BO31" i="9"/>
  <c r="BI15" i="9" s="1"/>
  <c r="AA57" i="9"/>
  <c r="BO13" i="9" s="1"/>
  <c r="AH61" i="9"/>
  <c r="AH57" i="9" s="1"/>
  <c r="AE241" i="9"/>
  <c r="AJ241" i="8"/>
  <c r="AJ235" i="8" s="1"/>
  <c r="AG235" i="8"/>
  <c r="AG234" i="8" s="1"/>
  <c r="Y28" i="14"/>
  <c r="AA28" i="14" s="1"/>
  <c r="AH28" i="13"/>
  <c r="Y37" i="9"/>
  <c r="AA35" i="8"/>
  <c r="AH37" i="8"/>
  <c r="AH35" i="8" s="1"/>
  <c r="Y70" i="14"/>
  <c r="AA70" i="14" s="1"/>
  <c r="AH70" i="13"/>
  <c r="AE53" i="14"/>
  <c r="AG53" i="14" s="1"/>
  <c r="AJ53" i="13"/>
  <c r="AS14" i="7"/>
  <c r="AS17" i="7" s="1"/>
  <c r="I115" i="12"/>
  <c r="G113" i="12"/>
  <c r="AE52" i="9"/>
  <c r="AG49" i="8"/>
  <c r="AG43" i="8" s="1"/>
  <c r="AJ52" i="8"/>
  <c r="AJ49" i="8" s="1"/>
  <c r="AJ43" i="8" s="1"/>
  <c r="AB167" i="9"/>
  <c r="AD157" i="8"/>
  <c r="AD155" i="8" s="1"/>
  <c r="BP19" i="8"/>
  <c r="AI167" i="8"/>
  <c r="AI157" i="8" s="1"/>
  <c r="AI155" i="8" s="1"/>
  <c r="AI145" i="8" s="1"/>
  <c r="AI110" i="8" s="1"/>
  <c r="W133" i="12"/>
  <c r="W123" i="11"/>
  <c r="W112" i="11" s="1"/>
  <c r="W110" i="11" s="1"/>
  <c r="X133" i="11"/>
  <c r="BO9" i="7"/>
  <c r="Y71" i="9"/>
  <c r="AA69" i="8"/>
  <c r="AA65" i="8" s="1"/>
  <c r="AH71" i="8"/>
  <c r="AH69" i="8" s="1"/>
  <c r="AH65" i="8" s="1"/>
  <c r="AB180" i="9"/>
  <c r="AD176" i="8"/>
  <c r="AD170" i="8" s="1"/>
  <c r="AI180" i="8"/>
  <c r="AI176" i="8" s="1"/>
  <c r="AI170" i="8" s="1"/>
  <c r="F113" i="16"/>
  <c r="AQ15" i="16" s="1"/>
  <c r="BC20" i="16"/>
  <c r="AB39" i="9"/>
  <c r="AD35" i="8"/>
  <c r="AD14" i="8" s="1"/>
  <c r="AI39" i="8"/>
  <c r="AI35" i="8" s="1"/>
  <c r="AI14" i="8" s="1"/>
  <c r="AI133" i="10"/>
  <c r="AI123" i="10" s="1"/>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X69" i="11"/>
  <c r="X65"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X172" i="11"/>
  <c r="AJ174" i="11"/>
  <c r="AJ172" i="11" s="1"/>
  <c r="AI174" i="11"/>
  <c r="AI172" i="11" s="1"/>
  <c r="AH174" i="11"/>
  <c r="AH172" i="11" s="1"/>
  <c r="BN31" i="11"/>
  <c r="BH15" i="11" s="1"/>
  <c r="X170" i="10"/>
  <c r="X227" i="11"/>
  <c r="X220" i="11" s="1"/>
  <c r="BN30" i="11" s="1"/>
  <c r="BH14" i="11" s="1"/>
  <c r="AH228" i="11"/>
  <c r="AH227" i="11" s="1"/>
  <c r="AH220" i="11" s="1"/>
  <c r="AI228" i="11"/>
  <c r="K25" i="20"/>
  <c r="BE22" i="10"/>
  <c r="BF22" i="10" s="1"/>
  <c r="AE124" i="10"/>
  <c r="AJ124" i="9"/>
  <c r="AE80" i="10"/>
  <c r="AJ80" i="9"/>
  <c r="J41" i="11"/>
  <c r="L41" i="11" s="1"/>
  <c r="J41" i="12" s="1"/>
  <c r="L41" i="12" s="1"/>
  <c r="V237" i="13"/>
  <c r="V235" i="12"/>
  <c r="V234" i="12" s="1"/>
  <c r="X237" i="12"/>
  <c r="N12" i="10"/>
  <c r="J12" i="11"/>
  <c r="L12" i="11" s="1"/>
  <c r="AQ23" i="10"/>
  <c r="BN12" i="10"/>
  <c r="V177" i="13"/>
  <c r="X177" i="12"/>
  <c r="V176" i="12"/>
  <c r="M86" i="16"/>
  <c r="F85" i="16"/>
  <c r="AW25" i="8"/>
  <c r="AY25" i="8" s="1"/>
  <c r="AU25" i="8"/>
  <c r="L95" i="12"/>
  <c r="J94" i="12"/>
  <c r="AH207" i="15"/>
  <c r="AI207" i="15"/>
  <c r="G41" i="11"/>
  <c r="I41" i="11" s="1"/>
  <c r="AV11" i="15"/>
  <c r="AZ11" i="15"/>
  <c r="F104" i="16"/>
  <c r="BC19" i="16"/>
  <c r="C23" i="20" s="1"/>
  <c r="V73" i="13"/>
  <c r="V69" i="12"/>
  <c r="V65" i="12" s="1"/>
  <c r="X73" i="12"/>
  <c r="F94" i="16"/>
  <c r="C18" i="20"/>
  <c r="AJ135" i="11"/>
  <c r="AI135" i="11"/>
  <c r="AH135" i="11"/>
  <c r="X123" i="11"/>
  <c r="BD18" i="11"/>
  <c r="G95" i="12"/>
  <c r="I94" i="11"/>
  <c r="M95" i="11"/>
  <c r="M94" i="11" s="1"/>
  <c r="AH188" i="11"/>
  <c r="AH187" i="11" s="1"/>
  <c r="AH185" i="11" s="1"/>
  <c r="X187" i="11"/>
  <c r="X185" i="11" s="1"/>
  <c r="BC18" i="16"/>
  <c r="AU23" i="8"/>
  <c r="J105" i="12"/>
  <c r="L104" i="11"/>
  <c r="N105" i="11"/>
  <c r="N104" i="11" s="1"/>
  <c r="BF21" i="10"/>
  <c r="BN24" i="9"/>
  <c r="BN22" i="9" s="1"/>
  <c r="BH11" i="9" s="1"/>
  <c r="AQ27" i="9"/>
  <c r="V174" i="13"/>
  <c r="V172" i="12"/>
  <c r="X174" i="12"/>
  <c r="J86" i="12"/>
  <c r="L85" i="11"/>
  <c r="N86" i="11"/>
  <c r="N85" i="11" s="1"/>
  <c r="AE161" i="10"/>
  <c r="AJ161" i="9"/>
  <c r="V228" i="13"/>
  <c r="V227" i="12"/>
  <c r="V220" i="12" s="1"/>
  <c r="X228" i="12"/>
  <c r="V135" i="13"/>
  <c r="X135" i="12"/>
  <c r="V123" i="12"/>
  <c r="X235" i="11"/>
  <c r="X234" i="11" s="1"/>
  <c r="AI237" i="11"/>
  <c r="AH238" i="11"/>
  <c r="AI177" i="11"/>
  <c r="AH177" i="11"/>
  <c r="AH176" i="11" s="1"/>
  <c r="BN23" i="11"/>
  <c r="X176" i="11"/>
  <c r="AJ177" i="11"/>
  <c r="AB75" i="10"/>
  <c r="AD69" i="9"/>
  <c r="AD65" i="9" s="1"/>
  <c r="AI75" i="9"/>
  <c r="AI69" i="9" s="1"/>
  <c r="AI65" i="9" s="1"/>
  <c r="J8" i="8"/>
  <c r="I24" i="8"/>
  <c r="G22" i="8"/>
  <c r="J27" i="9"/>
  <c r="J128" i="9" s="1"/>
  <c r="N27" i="8"/>
  <c r="N25" i="8" s="1"/>
  <c r="L25" i="8"/>
  <c r="AS8" i="8" s="1"/>
  <c r="AV8" i="8" s="1"/>
  <c r="AX8" i="8"/>
  <c r="AZ8" i="8" s="1"/>
  <c r="I27" i="8"/>
  <c r="G25" i="8"/>
  <c r="AR8" i="7"/>
  <c r="AU8" i="7" s="1"/>
  <c r="I88" i="12"/>
  <c r="G85" i="12"/>
  <c r="L37" i="12"/>
  <c r="I50" i="12"/>
  <c r="G48" i="12"/>
  <c r="G44" i="14"/>
  <c r="AW10" i="13"/>
  <c r="I42" i="13"/>
  <c r="AR10" i="13" s="1"/>
  <c r="M44" i="13"/>
  <c r="E37" i="15"/>
  <c r="E35" i="14"/>
  <c r="J31" i="13"/>
  <c r="E26" i="13"/>
  <c r="E25" i="12"/>
  <c r="F26" i="12"/>
  <c r="F66" i="11"/>
  <c r="I37" i="10"/>
  <c r="G35" i="10"/>
  <c r="F51" i="11"/>
  <c r="M53" i="11"/>
  <c r="F57" i="11"/>
  <c r="M59" i="11"/>
  <c r="M57" i="11" s="1"/>
  <c r="N31" i="11"/>
  <c r="E14" i="13"/>
  <c r="E10" i="12"/>
  <c r="F14" i="12"/>
  <c r="E83" i="13"/>
  <c r="E81" i="12"/>
  <c r="F83" i="12"/>
  <c r="I74" i="10"/>
  <c r="G72" i="10"/>
  <c r="F32" i="12"/>
  <c r="M33" i="12"/>
  <c r="M32" i="12" s="1"/>
  <c r="L83" i="10"/>
  <c r="J81" i="10"/>
  <c r="F69" i="11"/>
  <c r="M71" i="11"/>
  <c r="M69" i="11" s="1"/>
  <c r="L59" i="10"/>
  <c r="J57" i="10"/>
  <c r="M65" i="11"/>
  <c r="AS9" i="9"/>
  <c r="L47" i="10"/>
  <c r="J45" i="10"/>
  <c r="M77" i="11"/>
  <c r="L65" i="10"/>
  <c r="J63" i="10"/>
  <c r="L53" i="10"/>
  <c r="J51" i="10"/>
  <c r="M13" i="11"/>
  <c r="D56" i="13"/>
  <c r="D54" i="12"/>
  <c r="F56" i="12"/>
  <c r="L71" i="10"/>
  <c r="J69" i="10"/>
  <c r="E47" i="13"/>
  <c r="E45" i="12"/>
  <c r="F47" i="12"/>
  <c r="D37" i="13"/>
  <c r="F37" i="12"/>
  <c r="I46" i="10"/>
  <c r="G45" i="10"/>
  <c r="I68" i="10"/>
  <c r="G66" i="10"/>
  <c r="BC11" i="11"/>
  <c r="F25" i="11"/>
  <c r="AQ8" i="11" s="1"/>
  <c r="F54" i="11"/>
  <c r="D68" i="13"/>
  <c r="D66" i="12"/>
  <c r="F68" i="12"/>
  <c r="E53" i="13"/>
  <c r="E51" i="12"/>
  <c r="F53" i="12"/>
  <c r="E59" i="13"/>
  <c r="E57" i="12"/>
  <c r="F59" i="12"/>
  <c r="D31" i="13"/>
  <c r="F31" i="12"/>
  <c r="F45" i="11"/>
  <c r="M47" i="11"/>
  <c r="N37" i="11"/>
  <c r="M14" i="11"/>
  <c r="N14" i="11"/>
  <c r="L33" i="10"/>
  <c r="J32" i="10"/>
  <c r="J28" i="10" s="1"/>
  <c r="M83" i="11"/>
  <c r="M81" i="11" s="1"/>
  <c r="F81" i="11"/>
  <c r="I62" i="10"/>
  <c r="G60" i="10"/>
  <c r="I52" i="10"/>
  <c r="G51" i="10"/>
  <c r="BC7" i="10"/>
  <c r="L26" i="10"/>
  <c r="E33" i="14"/>
  <c r="E32" i="13"/>
  <c r="E28" i="13" s="1"/>
  <c r="F33" i="13"/>
  <c r="E71" i="13"/>
  <c r="E69" i="12"/>
  <c r="F71" i="12"/>
  <c r="E65" i="13"/>
  <c r="E63" i="12"/>
  <c r="F65" i="12"/>
  <c r="E77" i="13"/>
  <c r="E75" i="12"/>
  <c r="F77" i="12"/>
  <c r="L77" i="10"/>
  <c r="J75" i="10"/>
  <c r="D13" i="13"/>
  <c r="F13" i="12"/>
  <c r="I80" i="11"/>
  <c r="G78" i="11"/>
  <c r="I78" i="11" s="1"/>
  <c r="M78" i="11" s="1"/>
  <c r="J15" i="12"/>
  <c r="L15" i="12" s="1"/>
  <c r="N15" i="11"/>
  <c r="N22" i="8"/>
  <c r="D24" i="12"/>
  <c r="D22" i="11"/>
  <c r="F24" i="11"/>
  <c r="BC21" i="11" s="1"/>
  <c r="D128" i="11"/>
  <c r="J13" i="9"/>
  <c r="N13" i="8"/>
  <c r="N10" i="8" s="1"/>
  <c r="L10" i="8"/>
  <c r="AS7" i="8"/>
  <c r="AV7" i="8" s="1"/>
  <c r="F22" i="10"/>
  <c r="AQ7" i="10" s="1"/>
  <c r="F128" i="10"/>
  <c r="J14" i="14"/>
  <c r="L14" i="14" s="1"/>
  <c r="E24" i="12"/>
  <c r="E22" i="11"/>
  <c r="E21" i="11" s="1"/>
  <c r="E19" i="11" s="1"/>
  <c r="E17" i="11" s="1"/>
  <c r="E8" i="11" s="1"/>
  <c r="E128" i="11"/>
  <c r="L24" i="9"/>
  <c r="J22" i="9"/>
  <c r="AD63" i="8"/>
  <c r="AD88" i="9"/>
  <c r="AB83" i="9"/>
  <c r="AB63" i="9" s="1"/>
  <c r="AA237" i="9"/>
  <c r="Y235" i="9"/>
  <c r="Y234" i="9" s="1"/>
  <c r="Y133" i="10"/>
  <c r="AA123" i="9"/>
  <c r="AA112" i="9" s="1"/>
  <c r="AH133" i="9"/>
  <c r="AH123" i="9" s="1"/>
  <c r="Y159" i="10"/>
  <c r="AA157" i="9"/>
  <c r="AA155" i="9" s="1"/>
  <c r="AH159" i="9"/>
  <c r="AH157" i="9" s="1"/>
  <c r="AH155" i="9" s="1"/>
  <c r="AH145" i="9" s="1"/>
  <c r="AB107" i="10"/>
  <c r="AD105" i="9"/>
  <c r="AD104" i="9" s="1"/>
  <c r="AI107" i="9"/>
  <c r="AI105" i="9" s="1"/>
  <c r="AI104" i="9" s="1"/>
  <c r="AI245" i="11"/>
  <c r="AH245" i="11"/>
  <c r="AJ245" i="11"/>
  <c r="G56" i="10"/>
  <c r="M56" i="9"/>
  <c r="V225" i="16"/>
  <c r="V222" i="15"/>
  <c r="X225" i="15"/>
  <c r="V134" i="16"/>
  <c r="X134" i="15"/>
  <c r="BI10" i="8"/>
  <c r="BJ8" i="8"/>
  <c r="V245" i="13"/>
  <c r="X245" i="12"/>
  <c r="X222" i="14"/>
  <c r="AI225" i="14"/>
  <c r="AH134" i="14"/>
  <c r="AJ134" i="14"/>
  <c r="AI134" i="14"/>
  <c r="AB50" i="10"/>
  <c r="AD49" i="9"/>
  <c r="AD43" i="9" s="1"/>
  <c r="AI50" i="9"/>
  <c r="AI49" i="9" s="1"/>
  <c r="AI43" i="9" s="1"/>
  <c r="Y110" i="9"/>
  <c r="L126" i="7"/>
  <c r="L130" i="7" s="1"/>
  <c r="AE158" i="14"/>
  <c r="AE127" i="14"/>
  <c r="AJ127" i="13"/>
  <c r="F40" i="14"/>
  <c r="D40" i="15"/>
  <c r="N39" i="13"/>
  <c r="M39" i="13"/>
  <c r="F38" i="13"/>
  <c r="D38" i="14"/>
  <c r="M40" i="13"/>
  <c r="N40" i="13"/>
  <c r="N38" i="12"/>
  <c r="M38" i="12"/>
  <c r="F39" i="14"/>
  <c r="D39" i="15"/>
  <c r="AI130" i="16"/>
  <c r="AG92" i="16"/>
  <c r="BH17" i="5"/>
  <c r="M126" i="5"/>
  <c r="M130" i="5" s="1"/>
  <c r="E126" i="6"/>
  <c r="E130" i="6" s="1"/>
  <c r="BQ33" i="5"/>
  <c r="N126" i="5"/>
  <c r="N130" i="5" s="1"/>
  <c r="D126" i="6"/>
  <c r="D130" i="6" s="1"/>
  <c r="D41" i="12"/>
  <c r="F41" i="11"/>
  <c r="M41" i="10"/>
  <c r="N41" i="10"/>
  <c r="B12" i="14"/>
  <c r="G12" i="9"/>
  <c r="I10" i="8"/>
  <c r="M12" i="8"/>
  <c r="AZ16" i="7"/>
  <c r="AX17" i="7"/>
  <c r="AW17" i="7"/>
  <c r="AZ2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20" i="9"/>
  <c r="AG236" i="10"/>
  <c r="AJ213" i="12"/>
  <c r="AE213" i="13"/>
  <c r="AG213" i="13" s="1"/>
  <c r="AV35" i="6"/>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AF211" i="13" l="1"/>
  <c r="AF210" i="13" s="1"/>
  <c r="AF209" i="13" s="1"/>
  <c r="BQ26" i="13"/>
  <c r="BK12" i="10"/>
  <c r="BQ32" i="10"/>
  <c r="K49" i="20"/>
  <c r="K56" i="20" s="1"/>
  <c r="F17" i="8"/>
  <c r="F8" i="8" s="1"/>
  <c r="AJ149" i="10"/>
  <c r="AJ147" i="10" s="1"/>
  <c r="AI12" i="8"/>
  <c r="AI10" i="8" s="1"/>
  <c r="X10" i="8"/>
  <c r="X8" i="8" s="1"/>
  <c r="AS25" i="7"/>
  <c r="AG63" i="7"/>
  <c r="AG12" i="7" s="1"/>
  <c r="AG10" i="7" s="1"/>
  <c r="AG258" i="7" s="1"/>
  <c r="AS31" i="7" s="1"/>
  <c r="BP14" i="8"/>
  <c r="BJ9" i="8" s="1"/>
  <c r="AY14" i="8"/>
  <c r="V110" i="10"/>
  <c r="AI8" i="7"/>
  <c r="AU30" i="7"/>
  <c r="BH7" i="8"/>
  <c r="BH16" i="8" s="1"/>
  <c r="N73" i="11"/>
  <c r="M73" i="11"/>
  <c r="F72" i="11"/>
  <c r="D73" i="13"/>
  <c r="F73" i="12"/>
  <c r="D72" i="12"/>
  <c r="AB8" i="8"/>
  <c r="AH112" i="9"/>
  <c r="AH110" i="9" s="1"/>
  <c r="V258" i="8"/>
  <c r="X145" i="10"/>
  <c r="AB258" i="8"/>
  <c r="V10" i="9"/>
  <c r="V258" i="9" s="1"/>
  <c r="AI96" i="10"/>
  <c r="AI90" i="10" s="1"/>
  <c r="D80" i="13"/>
  <c r="F80" i="12"/>
  <c r="AJ8" i="7"/>
  <c r="Y12" i="8"/>
  <c r="Y10" i="8" s="1"/>
  <c r="Y8" i="8" s="1"/>
  <c r="AH58" i="15"/>
  <c r="Y1" i="7"/>
  <c r="AR24" i="8"/>
  <c r="AU24" i="8" s="1"/>
  <c r="AD12" i="8"/>
  <c r="AD258" i="7"/>
  <c r="BP33" i="7" s="1"/>
  <c r="X63" i="9"/>
  <c r="U1" i="7"/>
  <c r="N128" i="8"/>
  <c r="BJ16" i="7"/>
  <c r="F61" i="12"/>
  <c r="D61" i="13"/>
  <c r="D60" i="12"/>
  <c r="X94" i="16"/>
  <c r="AH90" i="10"/>
  <c r="N61" i="11"/>
  <c r="F60" i="11"/>
  <c r="M61" i="11"/>
  <c r="AW22" i="14"/>
  <c r="AY22" i="14" s="1"/>
  <c r="AU22" i="14"/>
  <c r="AQ24" i="9"/>
  <c r="BN14" i="9"/>
  <c r="BH9" i="9" s="1"/>
  <c r="W8" i="10"/>
  <c r="W258" i="10"/>
  <c r="W43" i="11"/>
  <c r="F21" i="9"/>
  <c r="F19" i="9" s="1"/>
  <c r="F17" i="9" s="1"/>
  <c r="F8" i="9" s="1"/>
  <c r="V196" i="11"/>
  <c r="V195" i="11" s="1"/>
  <c r="V193" i="11" s="1"/>
  <c r="AQ25" i="9"/>
  <c r="BN13" i="9"/>
  <c r="X14" i="9"/>
  <c r="N78" i="11"/>
  <c r="N23" i="10"/>
  <c r="BC12" i="10"/>
  <c r="D57" i="12"/>
  <c r="D59" i="13"/>
  <c r="F59" i="13" s="1"/>
  <c r="AQ29" i="10"/>
  <c r="BN27" i="10"/>
  <c r="AI21" i="11"/>
  <c r="AH21" i="11"/>
  <c r="AJ21" i="11"/>
  <c r="X20" i="11"/>
  <c r="X16" i="11" s="1"/>
  <c r="AQ23" i="11" s="1"/>
  <c r="AJ50" i="15"/>
  <c r="AH50" i="15"/>
  <c r="F52" i="12"/>
  <c r="N52" i="12" s="1"/>
  <c r="D52" i="13"/>
  <c r="D51" i="12"/>
  <c r="W14" i="11"/>
  <c r="W12" i="11" s="1"/>
  <c r="W10" i="11" s="1"/>
  <c r="X195" i="9"/>
  <c r="BN28" i="9"/>
  <c r="BN25" i="9" s="1"/>
  <c r="BH12" i="9" s="1"/>
  <c r="V206" i="13"/>
  <c r="V205" i="12"/>
  <c r="X206" i="12"/>
  <c r="V145" i="11"/>
  <c r="V51" i="13"/>
  <c r="X51" i="12"/>
  <c r="V49" i="12"/>
  <c r="AJ97" i="11"/>
  <c r="AH97" i="11"/>
  <c r="AH96" i="11" s="1"/>
  <c r="AI97" i="11"/>
  <c r="X96" i="11"/>
  <c r="AI151" i="11"/>
  <c r="AJ151" i="11"/>
  <c r="AH151" i="11"/>
  <c r="AH149" i="11" s="1"/>
  <c r="AH147" i="11" s="1"/>
  <c r="X149" i="11"/>
  <c r="X147" i="11" s="1"/>
  <c r="F34" i="16"/>
  <c r="N34" i="16" s="1"/>
  <c r="D32" i="16"/>
  <c r="F46" i="12"/>
  <c r="D46" i="13"/>
  <c r="D45" i="12"/>
  <c r="D71" i="13"/>
  <c r="F71" i="13" s="1"/>
  <c r="D69" i="12"/>
  <c r="AJ39" i="11"/>
  <c r="X35" i="11"/>
  <c r="AH39" i="11"/>
  <c r="V63" i="10"/>
  <c r="V12" i="10" s="1"/>
  <c r="AJ118" i="10"/>
  <c r="AH118" i="10"/>
  <c r="AH114" i="10" s="1"/>
  <c r="X114" i="10"/>
  <c r="AI118" i="10"/>
  <c r="AI114" i="10" s="1"/>
  <c r="AI112" i="10" s="1"/>
  <c r="AE90" i="8"/>
  <c r="AE63" i="8" s="1"/>
  <c r="AE12" i="8" s="1"/>
  <c r="AE10" i="8" s="1"/>
  <c r="AE8" i="8" s="1"/>
  <c r="V178" i="15"/>
  <c r="X178" i="14"/>
  <c r="X44" i="10"/>
  <c r="X43" i="10" s="1"/>
  <c r="X14" i="10" s="1"/>
  <c r="AJ46" i="10"/>
  <c r="AJ44" i="10" s="1"/>
  <c r="AH46" i="10"/>
  <c r="AH44" i="10" s="1"/>
  <c r="AH43" i="10" s="1"/>
  <c r="I76" i="13"/>
  <c r="G75" i="13"/>
  <c r="F43" i="12"/>
  <c r="D43" i="13"/>
  <c r="D42" i="12"/>
  <c r="AH196" i="10"/>
  <c r="AH195" i="10" s="1"/>
  <c r="AH193" i="10" s="1"/>
  <c r="D23" i="12"/>
  <c r="F23" i="11"/>
  <c r="F22" i="11" s="1"/>
  <c r="AQ7" i="11" s="1"/>
  <c r="BC13" i="10"/>
  <c r="F29" i="10"/>
  <c r="F49" i="13"/>
  <c r="D48" i="13"/>
  <c r="D49" i="14"/>
  <c r="AH92" i="11"/>
  <c r="AH91" i="11" s="1"/>
  <c r="AJ92" i="11"/>
  <c r="X91" i="11"/>
  <c r="X50" i="16"/>
  <c r="W21" i="13"/>
  <c r="W20" i="12"/>
  <c r="W16" i="12" s="1"/>
  <c r="D64" i="12"/>
  <c r="D63" i="11"/>
  <c r="F64" i="11"/>
  <c r="D76" i="12"/>
  <c r="D75" i="11"/>
  <c r="F76" i="11"/>
  <c r="AG116" i="9"/>
  <c r="AE114" i="9"/>
  <c r="AG87" i="9"/>
  <c r="AE83" i="9"/>
  <c r="AH158" i="11"/>
  <c r="AI158" i="11"/>
  <c r="X157" i="11"/>
  <c r="X155" i="11" s="1"/>
  <c r="BN17" i="11" s="1"/>
  <c r="AJ158" i="11"/>
  <c r="V151" i="13"/>
  <c r="X151" i="12"/>
  <c r="V149" i="12"/>
  <c r="V147" i="12" s="1"/>
  <c r="BC15" i="11"/>
  <c r="N46" i="11"/>
  <c r="V85" i="12"/>
  <c r="X85" i="11"/>
  <c r="V83" i="11"/>
  <c r="AY10" i="10"/>
  <c r="AU10" i="10"/>
  <c r="AV10" i="10"/>
  <c r="M36" i="10"/>
  <c r="F35" i="10"/>
  <c r="AE99" i="9"/>
  <c r="AJ99" i="8"/>
  <c r="AJ96" i="8" s="1"/>
  <c r="AG96" i="8"/>
  <c r="V142" i="13"/>
  <c r="V141" i="12"/>
  <c r="X142" i="12"/>
  <c r="AG189" i="9"/>
  <c r="AE187" i="9"/>
  <c r="AE185" i="9" s="1"/>
  <c r="AI193" i="9"/>
  <c r="D30" i="12"/>
  <c r="F30" i="11"/>
  <c r="D29" i="11"/>
  <c r="V90" i="11"/>
  <c r="V21" i="13"/>
  <c r="X21" i="12"/>
  <c r="V20" i="12"/>
  <c r="V16" i="12" s="1"/>
  <c r="AG160" i="9"/>
  <c r="AE157" i="9"/>
  <c r="AE155" i="9" s="1"/>
  <c r="AE145" i="9" s="1"/>
  <c r="AQ9" i="9"/>
  <c r="AZ9" i="9" s="1"/>
  <c r="AB172" i="14"/>
  <c r="AD174" i="14"/>
  <c r="AQ14" i="7"/>
  <c r="F17" i="7"/>
  <c r="N76" i="10"/>
  <c r="M76" i="10"/>
  <c r="M75" i="10" s="1"/>
  <c r="F75" i="10"/>
  <c r="X205" i="11"/>
  <c r="AH206" i="11"/>
  <c r="AH205" i="11" s="1"/>
  <c r="AI206" i="11"/>
  <c r="AI205" i="11" s="1"/>
  <c r="V158" i="13"/>
  <c r="X158" i="12"/>
  <c r="V157" i="12"/>
  <c r="V155" i="12" s="1"/>
  <c r="AH201" i="11"/>
  <c r="AH197" i="11" s="1"/>
  <c r="AI201" i="11"/>
  <c r="X197" i="11"/>
  <c r="X196" i="11" s="1"/>
  <c r="AJ201" i="11"/>
  <c r="V97" i="13"/>
  <c r="X97" i="12"/>
  <c r="V96" i="12"/>
  <c r="D12" i="12"/>
  <c r="F12" i="11"/>
  <c r="F10" i="11" s="1"/>
  <c r="AQ16" i="11" s="1"/>
  <c r="D10" i="11"/>
  <c r="W46" i="13"/>
  <c r="W44" i="12"/>
  <c r="AH214" i="11"/>
  <c r="AH211" i="11" s="1"/>
  <c r="AH210" i="11" s="1"/>
  <c r="AH209" i="11" s="1"/>
  <c r="AI214" i="11"/>
  <c r="X211" i="11"/>
  <c r="X210" i="11" s="1"/>
  <c r="X209" i="11" s="1"/>
  <c r="AJ214" i="11"/>
  <c r="V39" i="13"/>
  <c r="X39" i="12"/>
  <c r="V35" i="12"/>
  <c r="AE126" i="9"/>
  <c r="AJ126" i="8"/>
  <c r="AJ123" i="8" s="1"/>
  <c r="AJ112" i="8" s="1"/>
  <c r="AJ110" i="8" s="1"/>
  <c r="AG123" i="8"/>
  <c r="AG112" i="8" s="1"/>
  <c r="AG110" i="8" s="1"/>
  <c r="AS26" i="8" s="1"/>
  <c r="V118" i="12"/>
  <c r="X118" i="11"/>
  <c r="V114" i="11"/>
  <c r="V112" i="11" s="1"/>
  <c r="D36" i="12"/>
  <c r="F36" i="11"/>
  <c r="D35" i="11"/>
  <c r="N79" i="11"/>
  <c r="M79" i="11"/>
  <c r="V46" i="12"/>
  <c r="V44" i="11"/>
  <c r="V43" i="11" s="1"/>
  <c r="V14" i="11" s="1"/>
  <c r="X46" i="11"/>
  <c r="AE94" i="9"/>
  <c r="AJ94" i="8"/>
  <c r="AJ91" i="8" s="1"/>
  <c r="AG91" i="8"/>
  <c r="F42" i="11"/>
  <c r="AQ10" i="11" s="1"/>
  <c r="BC16" i="11"/>
  <c r="M43" i="11"/>
  <c r="M42" i="11" s="1"/>
  <c r="N43" i="11"/>
  <c r="X196" i="10"/>
  <c r="X150" i="16"/>
  <c r="AJ150" i="16" s="1"/>
  <c r="W90" i="16"/>
  <c r="W63" i="16" s="1"/>
  <c r="AZ10" i="10"/>
  <c r="F74" i="16"/>
  <c r="W51" i="13"/>
  <c r="W49" i="12"/>
  <c r="N49" i="12"/>
  <c r="F48" i="12"/>
  <c r="M49" i="12"/>
  <c r="I64" i="15"/>
  <c r="G63" i="15"/>
  <c r="AD205" i="15"/>
  <c r="AB206" i="16"/>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J51" i="11"/>
  <c r="AI51" i="11"/>
  <c r="AH51" i="11"/>
  <c r="AH49" i="11" s="1"/>
  <c r="X49" i="11"/>
  <c r="V201" i="13"/>
  <c r="X201" i="12"/>
  <c r="V197" i="12"/>
  <c r="D83" i="14"/>
  <c r="D81" i="13"/>
  <c r="N34" i="15"/>
  <c r="M34" i="15"/>
  <c r="V214" i="13"/>
  <c r="X214" i="12"/>
  <c r="V211" i="12"/>
  <c r="V210" i="12" s="1"/>
  <c r="V209" i="12" s="1"/>
  <c r="AJ85" i="10"/>
  <c r="AI85" i="10"/>
  <c r="X83" i="10"/>
  <c r="X63" i="10" s="1"/>
  <c r="AV24" i="8"/>
  <c r="AZ24" i="8"/>
  <c r="D78" i="12"/>
  <c r="F78" i="12" s="1"/>
  <c r="D79" i="13"/>
  <c r="F79" i="12"/>
  <c r="AH178" i="13"/>
  <c r="AI178" i="13"/>
  <c r="AJ142" i="11"/>
  <c r="AI142" i="11"/>
  <c r="AI141" i="11" s="1"/>
  <c r="AH142" i="11"/>
  <c r="AH141" i="11" s="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G193" i="8"/>
  <c r="D8" i="10"/>
  <c r="AJ244" i="8"/>
  <c r="AJ243" i="8" s="1"/>
  <c r="AG243" i="8"/>
  <c r="AG232" i="8" s="1"/>
  <c r="AE244" i="9"/>
  <c r="AB244" i="9"/>
  <c r="AD243" i="8"/>
  <c r="AD232" i="8" s="1"/>
  <c r="AI244" i="8"/>
  <c r="AI243" i="8" s="1"/>
  <c r="AI232" i="8" s="1"/>
  <c r="BP32" i="7"/>
  <c r="AQ30" i="9"/>
  <c r="BN29" i="9"/>
  <c r="BH13" i="9" s="1"/>
  <c r="W243" i="11"/>
  <c r="W232" i="11" s="1"/>
  <c r="W244" i="12"/>
  <c r="AD193" i="9"/>
  <c r="Y244" i="9"/>
  <c r="AA243" i="8"/>
  <c r="AA232" i="8" s="1"/>
  <c r="BO29" i="8" s="1"/>
  <c r="BI13" i="8" s="1"/>
  <c r="AH244" i="8"/>
  <c r="AH243" i="8" s="1"/>
  <c r="AH232" i="8" s="1"/>
  <c r="AS30" i="7"/>
  <c r="X243" i="10"/>
  <c r="X232" i="10" s="1"/>
  <c r="T33" i="14"/>
  <c r="AA230" i="16"/>
  <c r="Y227" i="16"/>
  <c r="I71" i="16"/>
  <c r="I83" i="16"/>
  <c r="I81" i="16" s="1"/>
  <c r="G81" i="16"/>
  <c r="I65" i="16"/>
  <c r="I59" i="16"/>
  <c r="I57" i="16" s="1"/>
  <c r="G57" i="16"/>
  <c r="I32" i="16"/>
  <c r="AD142" i="15"/>
  <c r="AB141" i="15"/>
  <c r="AI143" i="16"/>
  <c r="AH143" i="16"/>
  <c r="AA43" i="14"/>
  <c r="AA51" i="15"/>
  <c r="Y49" i="15"/>
  <c r="AH199" i="16"/>
  <c r="AI199" i="16"/>
  <c r="AH87" i="16"/>
  <c r="AI87" i="16"/>
  <c r="AI215" i="16"/>
  <c r="AH215" i="16"/>
  <c r="AI79" i="15"/>
  <c r="AB79" i="16"/>
  <c r="AD79" i="16" s="1"/>
  <c r="AI79" i="16" s="1"/>
  <c r="AH94" i="16"/>
  <c r="AI94" i="16"/>
  <c r="AI106" i="16"/>
  <c r="AH106" i="16"/>
  <c r="X105" i="16"/>
  <c r="X104" i="16" s="1"/>
  <c r="AH116" i="16"/>
  <c r="AI116" i="16"/>
  <c r="AD59" i="15"/>
  <c r="AB58" i="15"/>
  <c r="AB57" i="15" s="1"/>
  <c r="AI60" i="16"/>
  <c r="AH60" i="16"/>
  <c r="AI86" i="16"/>
  <c r="AH86" i="16"/>
  <c r="AH48" i="16"/>
  <c r="AJ48" i="16"/>
  <c r="AI48" i="16"/>
  <c r="AA90" i="12"/>
  <c r="AD90" i="10"/>
  <c r="AA95" i="13"/>
  <c r="Y91" i="13"/>
  <c r="AJ75" i="16"/>
  <c r="AH75" i="16"/>
  <c r="AA150" i="13"/>
  <c r="Y149" i="13"/>
  <c r="Y147" i="13" s="1"/>
  <c r="AD117" i="11"/>
  <c r="AB114" i="11"/>
  <c r="AB112" i="11" s="1"/>
  <c r="Y246" i="14"/>
  <c r="AH246" i="13"/>
  <c r="AE129" i="15"/>
  <c r="AG129" i="15" s="1"/>
  <c r="AJ129" i="14"/>
  <c r="AH98" i="16"/>
  <c r="AG86" i="11"/>
  <c r="AI66" i="15"/>
  <c r="AR22" i="15"/>
  <c r="BP10" i="15"/>
  <c r="AB66" i="16"/>
  <c r="AD66" i="16" s="1"/>
  <c r="AG98" i="11"/>
  <c r="AD198" i="11"/>
  <c r="AB197" i="11"/>
  <c r="AB196" i="11" s="1"/>
  <c r="AB195" i="11" s="1"/>
  <c r="Y107" i="14"/>
  <c r="AA105" i="13"/>
  <c r="AA104" i="13" s="1"/>
  <c r="AH107" i="13"/>
  <c r="AH105" i="13" s="1"/>
  <c r="AH104" i="13" s="1"/>
  <c r="AD223" i="11"/>
  <c r="AB222" i="11"/>
  <c r="AB220" i="11" s="1"/>
  <c r="AG115" i="11"/>
  <c r="AB188" i="12"/>
  <c r="AD187" i="11"/>
  <c r="AD185" i="11" s="1"/>
  <c r="BP16" i="10"/>
  <c r="AD112" i="10"/>
  <c r="AA46" i="15"/>
  <c r="Y44" i="15"/>
  <c r="AA195" i="12"/>
  <c r="AA193" i="12" s="1"/>
  <c r="BO28" i="12"/>
  <c r="BO25" i="12" s="1"/>
  <c r="BI12" i="12" s="1"/>
  <c r="L30" i="11"/>
  <c r="J29" i="11"/>
  <c r="AA100" i="13"/>
  <c r="Y96" i="13"/>
  <c r="AD150" i="11"/>
  <c r="AB149" i="11"/>
  <c r="AB147" i="11" s="1"/>
  <c r="L62" i="11"/>
  <c r="J60" i="11"/>
  <c r="AD98" i="16"/>
  <c r="AI98" i="16" s="1"/>
  <c r="AG152" i="11"/>
  <c r="AE149" i="11"/>
  <c r="AE147" i="11" s="1"/>
  <c r="AE93" i="12"/>
  <c r="AJ93" i="11"/>
  <c r="Y173" i="14"/>
  <c r="AA172" i="13"/>
  <c r="AH173" i="13"/>
  <c r="L44" i="11"/>
  <c r="J42" i="11"/>
  <c r="AH198" i="16"/>
  <c r="BN26" i="16"/>
  <c r="C50" i="20" s="1"/>
  <c r="AA200" i="13"/>
  <c r="Y197" i="13"/>
  <c r="Y196" i="13" s="1"/>
  <c r="Y195" i="13" s="1"/>
  <c r="Y193" i="13" s="1"/>
  <c r="AE143" i="12"/>
  <c r="AG141" i="11"/>
  <c r="AJ143" i="11"/>
  <c r="L36" i="11"/>
  <c r="J35" i="11"/>
  <c r="AJ75" i="15"/>
  <c r="AH75" i="15"/>
  <c r="AB229" i="12"/>
  <c r="AD227" i="11"/>
  <c r="AI229" i="11"/>
  <c r="AI227" i="11" s="1"/>
  <c r="Y179" i="14"/>
  <c r="AA176" i="13"/>
  <c r="AH179" i="13"/>
  <c r="AI37" i="16"/>
  <c r="AJ37" i="16"/>
  <c r="AD92" i="11"/>
  <c r="AB91" i="11"/>
  <c r="AD238" i="11"/>
  <c r="AB235" i="11"/>
  <c r="AB234" i="11" s="1"/>
  <c r="AD46" i="11"/>
  <c r="AB44" i="11"/>
  <c r="W145" i="16"/>
  <c r="AI220" i="10"/>
  <c r="AD100" i="11"/>
  <c r="AB96" i="11"/>
  <c r="AB127" i="12"/>
  <c r="AD123" i="11"/>
  <c r="AI127" i="11"/>
  <c r="L56" i="11"/>
  <c r="J54" i="11"/>
  <c r="AH223" i="16"/>
  <c r="L68" i="11"/>
  <c r="J66" i="11"/>
  <c r="AA190" i="13"/>
  <c r="Y187" i="13"/>
  <c r="Y185" i="13" s="1"/>
  <c r="Y170" i="13" s="1"/>
  <c r="AH23" i="16"/>
  <c r="AI23" i="16"/>
  <c r="AH152" i="16"/>
  <c r="AI152" i="16"/>
  <c r="AA225" i="13"/>
  <c r="Y222" i="13"/>
  <c r="Y220" i="13" s="1"/>
  <c r="AD22" i="11"/>
  <c r="AB20" i="11"/>
  <c r="AB16" i="11" s="1"/>
  <c r="BP28" i="10"/>
  <c r="AD195" i="10"/>
  <c r="AR28" i="10" s="1"/>
  <c r="Y213" i="14"/>
  <c r="AA211" i="13"/>
  <c r="AA210" i="13" s="1"/>
  <c r="AA209" i="13" s="1"/>
  <c r="AH213" i="13"/>
  <c r="BP30" i="10"/>
  <c r="BJ14" i="10" s="1"/>
  <c r="AG47" i="11"/>
  <c r="AE44" i="11"/>
  <c r="Y117" i="14"/>
  <c r="AA114" i="13"/>
  <c r="AH117" i="13"/>
  <c r="AJ72" i="16"/>
  <c r="AI72" i="16"/>
  <c r="AH72" i="16"/>
  <c r="AH59" i="16"/>
  <c r="X58" i="16"/>
  <c r="X57" i="16" s="1"/>
  <c r="AG59" i="11"/>
  <c r="AE58" i="11"/>
  <c r="AE57" i="11" s="1"/>
  <c r="J80" i="12"/>
  <c r="N80" i="11"/>
  <c r="AI159" i="16"/>
  <c r="AJ159" i="16"/>
  <c r="J74" i="12"/>
  <c r="L72" i="11"/>
  <c r="N74" i="11"/>
  <c r="AE26" i="15"/>
  <c r="AG26" i="15" s="1"/>
  <c r="AJ26" i="14"/>
  <c r="AE36" i="12"/>
  <c r="AJ36" i="11"/>
  <c r="AJ35" i="11" s="1"/>
  <c r="AG35" i="11"/>
  <c r="J50" i="12"/>
  <c r="L48" i="11"/>
  <c r="N50" i="11"/>
  <c r="N48" i="11" s="1"/>
  <c r="W220" i="16"/>
  <c r="AI236" i="16"/>
  <c r="AH8" i="7"/>
  <c r="AJ14" i="8"/>
  <c r="AH14" i="8"/>
  <c r="AH63" i="8"/>
  <c r="BO14" i="8"/>
  <c r="BI9" i="8" s="1"/>
  <c r="AA63" i="8"/>
  <c r="AG241" i="9"/>
  <c r="AE235" i="9"/>
  <c r="AE234" i="9" s="1"/>
  <c r="AA61" i="10"/>
  <c r="Y57" i="10"/>
  <c r="AG174" i="14"/>
  <c r="AE172" i="14"/>
  <c r="AG212" i="9"/>
  <c r="AE211" i="9"/>
  <c r="AE210" i="9" s="1"/>
  <c r="AE209" i="9" s="1"/>
  <c r="AG202" i="9"/>
  <c r="AE197" i="9"/>
  <c r="AE196" i="9" s="1"/>
  <c r="AE195" i="9" s="1"/>
  <c r="AA85" i="9"/>
  <c r="Y83" i="9"/>
  <c r="AA37" i="9"/>
  <c r="Y35" i="9"/>
  <c r="V170" i="12"/>
  <c r="Y70" i="15"/>
  <c r="AA70" i="15" s="1"/>
  <c r="AH70" i="14"/>
  <c r="AE53" i="15"/>
  <c r="AG53" i="15" s="1"/>
  <c r="AJ53" i="14"/>
  <c r="Y28" i="15"/>
  <c r="AA28" i="15" s="1"/>
  <c r="AH28" i="14"/>
  <c r="AG70" i="9"/>
  <c r="AE69" i="9"/>
  <c r="AE65" i="9" s="1"/>
  <c r="AD39" i="9"/>
  <c r="AB35" i="9"/>
  <c r="AB14" i="9" s="1"/>
  <c r="AB12" i="9" s="1"/>
  <c r="AA71" i="9"/>
  <c r="Y69" i="9"/>
  <c r="Y65" i="9" s="1"/>
  <c r="AJ133" i="11"/>
  <c r="AI133" i="11"/>
  <c r="AG14" i="8"/>
  <c r="AS23" i="8"/>
  <c r="AA27" i="9"/>
  <c r="Y20" i="9"/>
  <c r="Y16" i="9" s="1"/>
  <c r="AR27" i="8"/>
  <c r="BP24" i="8"/>
  <c r="BP22" i="8" s="1"/>
  <c r="BJ11" i="8" s="1"/>
  <c r="BP17" i="8"/>
  <c r="BP15" i="8" s="1"/>
  <c r="BJ10" i="8" s="1"/>
  <c r="AD145" i="8"/>
  <c r="AD110" i="8" s="1"/>
  <c r="AR26" i="8" s="1"/>
  <c r="AG52" i="9"/>
  <c r="AE49" i="9"/>
  <c r="AE43" i="9" s="1"/>
  <c r="AG23" i="9"/>
  <c r="AE20" i="9"/>
  <c r="AE16" i="9" s="1"/>
  <c r="AD180" i="9"/>
  <c r="AB176" i="9"/>
  <c r="AB170" i="9" s="1"/>
  <c r="W133" i="13"/>
  <c r="W123" i="12"/>
  <c r="W112" i="12" s="1"/>
  <c r="W110" i="12" s="1"/>
  <c r="X133" i="12"/>
  <c r="X123" i="12" s="1"/>
  <c r="AD167" i="9"/>
  <c r="AB157" i="9"/>
  <c r="AB155" i="9" s="1"/>
  <c r="AB145" i="9" s="1"/>
  <c r="AB110"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V228" i="14"/>
  <c r="V227" i="13"/>
  <c r="V220" i="13" s="1"/>
  <c r="X228" i="13"/>
  <c r="L86" i="12"/>
  <c r="J85" i="12"/>
  <c r="I95" i="12"/>
  <c r="G94" i="12"/>
  <c r="V73" i="14"/>
  <c r="V69" i="13"/>
  <c r="V65" i="13" s="1"/>
  <c r="X73" i="13"/>
  <c r="BN23" i="12"/>
  <c r="AH177" i="12"/>
  <c r="AH176" i="12" s="1"/>
  <c r="AJ177" i="12"/>
  <c r="AI177" i="12"/>
  <c r="X176" i="12"/>
  <c r="AH170" i="11"/>
  <c r="AJ162" i="14"/>
  <c r="AE162" i="15"/>
  <c r="AG162" i="15" s="1"/>
  <c r="AD216" i="10"/>
  <c r="AB211" i="10"/>
  <c r="AB210" i="10" s="1"/>
  <c r="AB209" i="10" s="1"/>
  <c r="AB193" i="10" s="1"/>
  <c r="L25" i="20"/>
  <c r="BE22" i="11"/>
  <c r="Y161" i="15"/>
  <c r="AA161" i="15" s="1"/>
  <c r="AH161" i="14"/>
  <c r="BP12" i="9"/>
  <c r="BP9" i="9" s="1"/>
  <c r="AR23" i="9"/>
  <c r="AJ135" i="12"/>
  <c r="AI135" i="12"/>
  <c r="AH135" i="12"/>
  <c r="AI174" i="12"/>
  <c r="AI172" i="12" s="1"/>
  <c r="X172" i="12"/>
  <c r="AH174" i="12"/>
  <c r="AH172" i="12" s="1"/>
  <c r="AJ174" i="12"/>
  <c r="AJ172" i="12" s="1"/>
  <c r="BN31" i="12"/>
  <c r="BH15" i="12" s="1"/>
  <c r="V177" i="14"/>
  <c r="V176" i="13"/>
  <c r="X177" i="13"/>
  <c r="J12" i="12"/>
  <c r="L12" i="12" s="1"/>
  <c r="N12" i="11"/>
  <c r="V237" i="14"/>
  <c r="V235" i="13"/>
  <c r="V234" i="13" s="1"/>
  <c r="X237" i="13"/>
  <c r="BN24" i="10"/>
  <c r="AQ27" i="10"/>
  <c r="X187" i="12"/>
  <c r="X185" i="12" s="1"/>
  <c r="AH188" i="12"/>
  <c r="AH187" i="12" s="1"/>
  <c r="AH185" i="12" s="1"/>
  <c r="AI207" i="16"/>
  <c r="AH207" i="16"/>
  <c r="AD75" i="10"/>
  <c r="AB69" i="10"/>
  <c r="AB65" i="10" s="1"/>
  <c r="V135" i="14"/>
  <c r="X135" i="13"/>
  <c r="V123" i="13"/>
  <c r="AH228" i="12"/>
  <c r="AH227" i="12" s="1"/>
  <c r="AH220" i="12" s="1"/>
  <c r="X227" i="12"/>
  <c r="X220" i="12" s="1"/>
  <c r="BN30" i="12" s="1"/>
  <c r="BH14" i="12" s="1"/>
  <c r="AI228" i="12"/>
  <c r="L105" i="12"/>
  <c r="J104" i="12"/>
  <c r="AH73" i="12"/>
  <c r="X69" i="12"/>
  <c r="X65" i="12" s="1"/>
  <c r="AI73" i="12"/>
  <c r="AJ73" i="12"/>
  <c r="G41" i="12"/>
  <c r="I41" i="12" s="1"/>
  <c r="BN9" i="10"/>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P25" i="9" s="1"/>
  <c r="BJ12" i="9" s="1"/>
  <c r="BE21" i="12"/>
  <c r="B24" i="13"/>
  <c r="P128" i="12"/>
  <c r="P126" i="12" s="1"/>
  <c r="P130" i="12" s="1"/>
  <c r="C128" i="12"/>
  <c r="H128" i="12"/>
  <c r="Q128" i="12"/>
  <c r="Q126" i="12" s="1"/>
  <c r="Q130" i="12" s="1"/>
  <c r="K128" i="12"/>
  <c r="K126" i="12" s="1"/>
  <c r="K130" i="12" s="1"/>
  <c r="AV16" i="8"/>
  <c r="G24" i="9"/>
  <c r="M24" i="8"/>
  <c r="M22" i="8" s="1"/>
  <c r="I22" i="8"/>
  <c r="AR7" i="8" s="1"/>
  <c r="AU7" i="8" s="1"/>
  <c r="AW7" i="8"/>
  <c r="AY7" i="8" s="1"/>
  <c r="N21" i="8"/>
  <c r="N19" i="8" s="1"/>
  <c r="N17" i="8" s="1"/>
  <c r="N8" i="8" s="1"/>
  <c r="L21" i="8"/>
  <c r="L19" i="8" s="1"/>
  <c r="AS14" i="8" s="1"/>
  <c r="AV14" i="8" s="1"/>
  <c r="L27" i="9"/>
  <c r="L128" i="9" s="1"/>
  <c r="J25" i="9"/>
  <c r="J21" i="9" s="1"/>
  <c r="J19" i="9" s="1"/>
  <c r="J17" i="9" s="1"/>
  <c r="G27" i="9"/>
  <c r="I25" i="8"/>
  <c r="AW8" i="8"/>
  <c r="AY8" i="8" s="1"/>
  <c r="M27" i="8"/>
  <c r="M25" i="8" s="1"/>
  <c r="G88" i="13"/>
  <c r="M88" i="12"/>
  <c r="M85" i="12" s="1"/>
  <c r="I85" i="12"/>
  <c r="AW11" i="12"/>
  <c r="AY11" i="12" s="1"/>
  <c r="AR11" i="12"/>
  <c r="AU11" i="12" s="1"/>
  <c r="AQ14" i="9"/>
  <c r="I44" i="14"/>
  <c r="G42" i="14"/>
  <c r="E37" i="16"/>
  <c r="E35" i="16" s="1"/>
  <c r="E35" i="15"/>
  <c r="J37" i="13"/>
  <c r="L31" i="13"/>
  <c r="G50" i="13"/>
  <c r="I48" i="12"/>
  <c r="M50" i="12"/>
  <c r="M48" i="12" s="1"/>
  <c r="M71" i="12"/>
  <c r="M69" i="12" s="1"/>
  <c r="F69" i="12"/>
  <c r="J26" i="11"/>
  <c r="N26" i="10"/>
  <c r="F57" i="12"/>
  <c r="M59" i="12"/>
  <c r="M57" i="12" s="1"/>
  <c r="D68" i="14"/>
  <c r="D66" i="13"/>
  <c r="F68" i="13"/>
  <c r="N37" i="12"/>
  <c r="F54" i="12"/>
  <c r="G80" i="12"/>
  <c r="M80" i="11"/>
  <c r="E77" i="14"/>
  <c r="E75" i="13"/>
  <c r="F77" i="13"/>
  <c r="N31" i="12"/>
  <c r="E53" i="14"/>
  <c r="E51" i="13"/>
  <c r="F53" i="13"/>
  <c r="G68" i="11"/>
  <c r="I66" i="10"/>
  <c r="M68" i="10"/>
  <c r="M66" i="10" s="1"/>
  <c r="E47" i="14"/>
  <c r="E45" i="13"/>
  <c r="F47" i="13"/>
  <c r="J53" i="11"/>
  <c r="L51" i="10"/>
  <c r="N53" i="10"/>
  <c r="N51" i="10" s="1"/>
  <c r="J83" i="11"/>
  <c r="L81" i="10"/>
  <c r="AX14" i="10" s="1"/>
  <c r="N83" i="10"/>
  <c r="N81" i="10" s="1"/>
  <c r="F81" i="12"/>
  <c r="M83" i="12"/>
  <c r="M81" i="12" s="1"/>
  <c r="G37" i="11"/>
  <c r="I35" i="10"/>
  <c r="M37" i="10"/>
  <c r="M35" i="10" s="1"/>
  <c r="BC11" i="12"/>
  <c r="F25" i="12"/>
  <c r="AQ8" i="12" s="1"/>
  <c r="M13" i="12"/>
  <c r="J77" i="11"/>
  <c r="L75" i="10"/>
  <c r="N77" i="10"/>
  <c r="M65" i="12"/>
  <c r="E71" i="14"/>
  <c r="E69" i="13"/>
  <c r="E33" i="15"/>
  <c r="E32" i="14"/>
  <c r="E28" i="14" s="1"/>
  <c r="F33" i="14"/>
  <c r="E59" i="14"/>
  <c r="E57" i="13"/>
  <c r="F66" i="12"/>
  <c r="D37" i="14"/>
  <c r="F37" i="13"/>
  <c r="D56" i="14"/>
  <c r="D54" i="13"/>
  <c r="F56" i="13"/>
  <c r="BC7" i="11"/>
  <c r="J47" i="11"/>
  <c r="L45" i="10"/>
  <c r="N47" i="10"/>
  <c r="N45" i="10" s="1"/>
  <c r="G74" i="11"/>
  <c r="I72" i="10"/>
  <c r="M74" i="10"/>
  <c r="M72" i="10" s="1"/>
  <c r="E14" i="14"/>
  <c r="E10" i="13"/>
  <c r="F14" i="13"/>
  <c r="D13" i="14"/>
  <c r="F13" i="13"/>
  <c r="E65" i="14"/>
  <c r="E63" i="13"/>
  <c r="F65" i="13"/>
  <c r="F32" i="13"/>
  <c r="M33" i="13"/>
  <c r="M32" i="13" s="1"/>
  <c r="G52" i="11"/>
  <c r="I51" i="10"/>
  <c r="M52" i="10"/>
  <c r="M51" i="10" s="1"/>
  <c r="J33" i="11"/>
  <c r="L32" i="10"/>
  <c r="L28" i="10" s="1"/>
  <c r="AX9" i="10"/>
  <c r="N33" i="10"/>
  <c r="N32" i="10" s="1"/>
  <c r="N28" i="10" s="1"/>
  <c r="J59" i="11"/>
  <c r="L57" i="10"/>
  <c r="N59" i="10"/>
  <c r="N57" i="10" s="1"/>
  <c r="M14" i="12"/>
  <c r="N14" i="12"/>
  <c r="M77" i="12"/>
  <c r="G62" i="11"/>
  <c r="I60" i="10"/>
  <c r="M62" i="10"/>
  <c r="M60" i="10" s="1"/>
  <c r="D31" i="14"/>
  <c r="F31" i="13"/>
  <c r="F51" i="12"/>
  <c r="M53" i="12"/>
  <c r="G46" i="11"/>
  <c r="I45" i="10"/>
  <c r="BD15" i="10"/>
  <c r="M46" i="10"/>
  <c r="M45" i="10" s="1"/>
  <c r="M47" i="12"/>
  <c r="J71" i="11"/>
  <c r="L69" i="10"/>
  <c r="N71" i="10"/>
  <c r="N69" i="10" s="1"/>
  <c r="J65" i="11"/>
  <c r="L63" i="10"/>
  <c r="N65" i="10"/>
  <c r="N63" i="10" s="1"/>
  <c r="E83" i="14"/>
  <c r="F83" i="13"/>
  <c r="E81" i="13"/>
  <c r="E26" i="14"/>
  <c r="E25" i="13"/>
  <c r="F26" i="13"/>
  <c r="E24" i="13"/>
  <c r="E22" i="12"/>
  <c r="E21" i="12" s="1"/>
  <c r="E19" i="12" s="1"/>
  <c r="E17" i="12" s="1"/>
  <c r="E8" i="12" s="1"/>
  <c r="E128" i="12"/>
  <c r="M10" i="8"/>
  <c r="J24" i="10"/>
  <c r="AX7" i="9"/>
  <c r="AZ7" i="9" s="1"/>
  <c r="L22" i="9"/>
  <c r="N24" i="9"/>
  <c r="L13" i="9"/>
  <c r="J10" i="9"/>
  <c r="F128" i="11"/>
  <c r="J14" i="15"/>
  <c r="L14" i="15" s="1"/>
  <c r="D24" i="13"/>
  <c r="D22" i="12"/>
  <c r="F24" i="12"/>
  <c r="BC21" i="12" s="1"/>
  <c r="D128" i="12"/>
  <c r="J15" i="13"/>
  <c r="L15" i="13" s="1"/>
  <c r="N15" i="12"/>
  <c r="AB88" i="10"/>
  <c r="BP31" i="9"/>
  <c r="BJ15" i="9" s="1"/>
  <c r="AI88" i="9"/>
  <c r="AI83" i="9" s="1"/>
  <c r="AI63" i="9" s="1"/>
  <c r="AD83" i="9"/>
  <c r="AD63" i="9" s="1"/>
  <c r="Y237" i="10"/>
  <c r="AA235" i="9"/>
  <c r="AH237" i="9"/>
  <c r="AH235" i="9" s="1"/>
  <c r="AH234" i="9" s="1"/>
  <c r="AI245" i="12"/>
  <c r="AH245" i="12"/>
  <c r="AJ245" i="12"/>
  <c r="AH134" i="15"/>
  <c r="AI134" i="15"/>
  <c r="AJ134" i="15"/>
  <c r="I56" i="10"/>
  <c r="V222" i="16"/>
  <c r="X225" i="16"/>
  <c r="BO17" i="9"/>
  <c r="BO15" i="9" s="1"/>
  <c r="AA145" i="9"/>
  <c r="AA110" i="9" s="1"/>
  <c r="AR25" i="9"/>
  <c r="BP13" i="9"/>
  <c r="V245" i="14"/>
  <c r="X245" i="13"/>
  <c r="X134" i="16"/>
  <c r="AA159" i="10"/>
  <c r="Y157" i="10"/>
  <c r="Y155" i="10" s="1"/>
  <c r="Y145" i="10" s="1"/>
  <c r="AA133" i="10"/>
  <c r="Y123" i="10"/>
  <c r="Y112" i="10" s="1"/>
  <c r="AD50" i="10"/>
  <c r="AB49" i="10"/>
  <c r="AB43" i="10" s="1"/>
  <c r="AI225" i="15"/>
  <c r="X222" i="15"/>
  <c r="AD107" i="10"/>
  <c r="AB105" i="10"/>
  <c r="AB104" i="10" s="1"/>
  <c r="AG127" i="14"/>
  <c r="AG158" i="14"/>
  <c r="F38" i="14"/>
  <c r="D38" i="15"/>
  <c r="D39" i="16"/>
  <c r="F39" i="16" s="1"/>
  <c r="F39" i="15"/>
  <c r="N38" i="13"/>
  <c r="M38" i="13"/>
  <c r="M39" i="14"/>
  <c r="N39" i="14"/>
  <c r="D40" i="16"/>
  <c r="F40" i="16" s="1"/>
  <c r="F40" i="15"/>
  <c r="M40" i="14"/>
  <c r="N40" i="14"/>
  <c r="AE220" i="10"/>
  <c r="D126" i="7"/>
  <c r="D130" i="7" s="1"/>
  <c r="J126" i="8"/>
  <c r="J130" i="8" s="1"/>
  <c r="F126" i="5"/>
  <c r="F130" i="5" s="1"/>
  <c r="E126" i="7"/>
  <c r="E130" i="7" s="1"/>
  <c r="BC10" i="10"/>
  <c r="BC9" i="10" s="1"/>
  <c r="BC8" i="10" s="1"/>
  <c r="BC22" i="10"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05" i="10"/>
  <c r="AG206" i="10"/>
  <c r="AE214" i="14"/>
  <c r="AG214" i="14" s="1"/>
  <c r="AJ215" i="13"/>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AG186" i="10"/>
  <c r="G23" i="10"/>
  <c r="BD12" i="9"/>
  <c r="M23" i="9"/>
  <c r="AJ256" i="13"/>
  <c r="AE256" i="14"/>
  <c r="AG256" i="14" s="1"/>
  <c r="AJ213" i="13"/>
  <c r="AE213" i="14"/>
  <c r="AG213" i="14" s="1"/>
  <c r="AJ252" i="13"/>
  <c r="AE252" i="14"/>
  <c r="AG252" i="14" s="1"/>
  <c r="AE207" i="15"/>
  <c r="AG207" i="15" s="1"/>
  <c r="AJ207" i="14"/>
  <c r="AE190" i="14"/>
  <c r="AG190" i="14" s="1"/>
  <c r="AJ190" i="13"/>
  <c r="N50" i="20" l="1"/>
  <c r="R50" i="20" s="1"/>
  <c r="BR26" i="16"/>
  <c r="BQ27" i="13"/>
  <c r="BQ25" i="13" s="1"/>
  <c r="AF193" i="13"/>
  <c r="AF8" i="13" s="1"/>
  <c r="BK16" i="10"/>
  <c r="BL16" i="10" s="1"/>
  <c r="BL12" i="10"/>
  <c r="N72" i="11"/>
  <c r="BP8" i="8"/>
  <c r="M34" i="16"/>
  <c r="X258" i="8"/>
  <c r="BN12" i="11"/>
  <c r="BN9" i="11" s="1"/>
  <c r="V10" i="10"/>
  <c r="V8" i="10" s="1"/>
  <c r="V110" i="11"/>
  <c r="AG8" i="7"/>
  <c r="AC1" i="7" s="1"/>
  <c r="AX25" i="7"/>
  <c r="AZ25" i="7" s="1"/>
  <c r="AV25" i="7"/>
  <c r="N75" i="10"/>
  <c r="AW24" i="8"/>
  <c r="AY24" i="8" s="1"/>
  <c r="N73" i="12"/>
  <c r="M73" i="12"/>
  <c r="F72" i="12"/>
  <c r="F73" i="13"/>
  <c r="D73" i="14"/>
  <c r="D72" i="13"/>
  <c r="V8" i="9"/>
  <c r="AX30" i="7"/>
  <c r="AZ30" i="7" s="1"/>
  <c r="AV30" i="7"/>
  <c r="D80" i="14"/>
  <c r="F80" i="13"/>
  <c r="AU16" i="8"/>
  <c r="AR31" i="7"/>
  <c r="AR32" i="7" s="1"/>
  <c r="AV35" i="7" s="1"/>
  <c r="X12" i="9"/>
  <c r="X10" i="9" s="1"/>
  <c r="D61" i="14"/>
  <c r="D60" i="13"/>
  <c r="F61" i="13"/>
  <c r="AJ141" i="11"/>
  <c r="N61" i="12"/>
  <c r="F60" i="12"/>
  <c r="M61" i="12"/>
  <c r="AS17" i="8"/>
  <c r="AW27" i="8"/>
  <c r="AY27" i="8" s="1"/>
  <c r="AU27" i="8"/>
  <c r="AW22" i="15"/>
  <c r="AY22" i="15" s="1"/>
  <c r="AU22" i="15"/>
  <c r="AX26" i="8"/>
  <c r="AZ26" i="8" s="1"/>
  <c r="AV26" i="8"/>
  <c r="AW26" i="8"/>
  <c r="AY26" i="8" s="1"/>
  <c r="AU26" i="8"/>
  <c r="AX28" i="8"/>
  <c r="AZ28" i="8" s="1"/>
  <c r="AV28" i="8"/>
  <c r="V90" i="12"/>
  <c r="AX23" i="8"/>
  <c r="AZ23" i="8" s="1"/>
  <c r="AV23" i="8"/>
  <c r="AH90" i="11"/>
  <c r="AH196" i="11"/>
  <c r="AH195" i="11" s="1"/>
  <c r="AH193" i="11" s="1"/>
  <c r="AJ232" i="8"/>
  <c r="V63" i="11"/>
  <c r="V12" i="11" s="1"/>
  <c r="AJ90" i="8"/>
  <c r="AJ63" i="8" s="1"/>
  <c r="AJ12" i="8" s="1"/>
  <c r="AJ10" i="8" s="1"/>
  <c r="V145" i="12"/>
  <c r="D28" i="11"/>
  <c r="D21" i="11" s="1"/>
  <c r="D19" i="11" s="1"/>
  <c r="D17" i="11" s="1"/>
  <c r="D8" i="11" s="1"/>
  <c r="X12" i="10"/>
  <c r="V201" i="14"/>
  <c r="X201" i="13"/>
  <c r="V197" i="13"/>
  <c r="V92" i="14"/>
  <c r="X92" i="13"/>
  <c r="V91" i="13"/>
  <c r="AY14" i="7"/>
  <c r="AZ14" i="7"/>
  <c r="AV14" i="7"/>
  <c r="AI21" i="12"/>
  <c r="AH21" i="12"/>
  <c r="AJ21" i="12"/>
  <c r="X20" i="12"/>
  <c r="X16" i="12" s="1"/>
  <c r="AJ85" i="11"/>
  <c r="AI85" i="11"/>
  <c r="X83" i="11"/>
  <c r="AQ24" i="11" s="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J46" i="11"/>
  <c r="AH46" i="11"/>
  <c r="AH44" i="11" s="1"/>
  <c r="AH43" i="11" s="1"/>
  <c r="V39" i="14"/>
  <c r="X39" i="13"/>
  <c r="V35" i="13"/>
  <c r="AS32" i="7"/>
  <c r="D79" i="14"/>
  <c r="D78" i="13"/>
  <c r="F78" i="13" s="1"/>
  <c r="F79" i="13"/>
  <c r="AI201" i="12"/>
  <c r="AH201" i="12"/>
  <c r="AH197" i="12" s="1"/>
  <c r="X197" i="12"/>
  <c r="AJ201" i="12"/>
  <c r="AJ92" i="12"/>
  <c r="AH92" i="12"/>
  <c r="AH91" i="12" s="1"/>
  <c r="X91" i="12"/>
  <c r="V46" i="13"/>
  <c r="X46" i="12"/>
  <c r="V44" i="12"/>
  <c r="V43" i="12" s="1"/>
  <c r="V14" i="12" s="1"/>
  <c r="M36" i="11"/>
  <c r="F35" i="11"/>
  <c r="V118" i="13"/>
  <c r="X118" i="12"/>
  <c r="V114" i="12"/>
  <c r="V112" i="12" s="1"/>
  <c r="AQ29" i="11"/>
  <c r="BN27" i="11"/>
  <c r="W46" i="14"/>
  <c r="W44" i="13"/>
  <c r="X195" i="11"/>
  <c r="BN28" i="11"/>
  <c r="AH158" i="12"/>
  <c r="AI158" i="12"/>
  <c r="X157" i="12"/>
  <c r="X155" i="12" s="1"/>
  <c r="BN17" i="12" s="1"/>
  <c r="AJ158" i="12"/>
  <c r="X258" i="7"/>
  <c r="F8" i="7"/>
  <c r="AE189" i="10"/>
  <c r="AJ189" i="9"/>
  <c r="AJ187" i="9" s="1"/>
  <c r="AJ185" i="9" s="1"/>
  <c r="AG187" i="9"/>
  <c r="AG185" i="9" s="1"/>
  <c r="AG90" i="8"/>
  <c r="M76" i="11"/>
  <c r="M75" i="11" s="1"/>
  <c r="N76" i="11"/>
  <c r="F75" i="11"/>
  <c r="F49" i="14"/>
  <c r="D49" i="15"/>
  <c r="D48" i="14"/>
  <c r="F46" i="13"/>
  <c r="D46" i="14"/>
  <c r="D45" i="13"/>
  <c r="X145" i="11"/>
  <c r="X90" i="11"/>
  <c r="X205" i="12"/>
  <c r="AI206" i="12"/>
  <c r="AI205" i="12" s="1"/>
  <c r="AH206" i="12"/>
  <c r="AH205" i="12" s="1"/>
  <c r="AQ28" i="9"/>
  <c r="X193" i="9"/>
  <c r="AV9" i="9"/>
  <c r="W258" i="11"/>
  <c r="G70" i="15"/>
  <c r="M70" i="14"/>
  <c r="I69" i="14"/>
  <c r="V158" i="14"/>
  <c r="X158" i="13"/>
  <c r="V157" i="13"/>
  <c r="V155" i="13" s="1"/>
  <c r="AJ142" i="12"/>
  <c r="AH142" i="12"/>
  <c r="AH141" i="12" s="1"/>
  <c r="X141" i="12"/>
  <c r="BN20" i="12" s="1"/>
  <c r="AI142" i="12"/>
  <c r="AI141" i="12" s="1"/>
  <c r="AE87" i="10"/>
  <c r="AJ87" i="9"/>
  <c r="AJ83" i="9" s="1"/>
  <c r="AG83" i="9"/>
  <c r="AS24" i="9" s="1"/>
  <c r="AX24" i="9" s="1"/>
  <c r="AZ24" i="9" s="1"/>
  <c r="AJ50" i="16"/>
  <c r="AH50" i="16"/>
  <c r="AQ25" i="10"/>
  <c r="BN13" i="10"/>
  <c r="BH8" i="10" s="1"/>
  <c r="AJ51" i="12"/>
  <c r="AH51" i="12"/>
  <c r="AH49" i="12" s="1"/>
  <c r="AI51" i="12"/>
  <c r="X49" i="12"/>
  <c r="AV29" i="10"/>
  <c r="AU29" i="10"/>
  <c r="AX27" i="8"/>
  <c r="AZ27" i="8" s="1"/>
  <c r="AI214" i="12"/>
  <c r="AH214" i="12"/>
  <c r="AH211" i="12" s="1"/>
  <c r="AH210" i="12" s="1"/>
  <c r="AH209" i="12" s="1"/>
  <c r="X211" i="12"/>
  <c r="X210" i="12" s="1"/>
  <c r="X209" i="12" s="1"/>
  <c r="AJ214" i="12"/>
  <c r="AG94" i="9"/>
  <c r="AE91" i="9"/>
  <c r="D36" i="13"/>
  <c r="F36" i="12"/>
  <c r="D35" i="12"/>
  <c r="AJ39" i="12"/>
  <c r="AH39" i="12"/>
  <c r="X35" i="12"/>
  <c r="AH97" i="12"/>
  <c r="AH96" i="12" s="1"/>
  <c r="AI97" i="12"/>
  <c r="AJ97" i="12"/>
  <c r="X96" i="12"/>
  <c r="X90" i="12" s="1"/>
  <c r="BC12" i="11"/>
  <c r="N23" i="11"/>
  <c r="W39" i="14"/>
  <c r="W35" i="13"/>
  <c r="G64" i="16"/>
  <c r="BD14" i="15"/>
  <c r="I63" i="15"/>
  <c r="AV10" i="11"/>
  <c r="AY10" i="11"/>
  <c r="AU10" i="11"/>
  <c r="V97" i="14"/>
  <c r="X97" i="13"/>
  <c r="V96" i="13"/>
  <c r="AB174" i="15"/>
  <c r="AD172" i="14"/>
  <c r="V21" i="14"/>
  <c r="X21" i="13"/>
  <c r="V20" i="13"/>
  <c r="V16" i="13" s="1"/>
  <c r="BC13" i="11"/>
  <c r="F29" i="11"/>
  <c r="F28" i="11" s="1"/>
  <c r="AG99" i="9"/>
  <c r="AE96" i="9"/>
  <c r="AE90" i="9" s="1"/>
  <c r="AE63" i="9" s="1"/>
  <c r="V85" i="13"/>
  <c r="X85" i="12"/>
  <c r="V83" i="12"/>
  <c r="V63" i="12" s="1"/>
  <c r="AI151" i="12"/>
  <c r="AJ151" i="12"/>
  <c r="AH151" i="12"/>
  <c r="AH149" i="12" s="1"/>
  <c r="AH147" i="12" s="1"/>
  <c r="X149" i="12"/>
  <c r="X147" i="12" s="1"/>
  <c r="D76" i="13"/>
  <c r="F76" i="12"/>
  <c r="D75" i="12"/>
  <c r="AQ24" i="10"/>
  <c r="M49" i="13"/>
  <c r="N49" i="13"/>
  <c r="F48" i="13"/>
  <c r="D23" i="13"/>
  <c r="F23" i="12"/>
  <c r="F43" i="13"/>
  <c r="D43" i="14"/>
  <c r="D42" i="13"/>
  <c r="G76" i="14"/>
  <c r="I75" i="13"/>
  <c r="AI178" i="14"/>
  <c r="AH178" i="14"/>
  <c r="BN16" i="10"/>
  <c r="BN15" i="10" s="1"/>
  <c r="BH10" i="10" s="1"/>
  <c r="X112" i="10"/>
  <c r="X110" i="10" s="1"/>
  <c r="AQ26" i="10" s="1"/>
  <c r="D69" i="13"/>
  <c r="D71" i="14"/>
  <c r="V51" i="14"/>
  <c r="X51" i="13"/>
  <c r="V49" i="13"/>
  <c r="V206" i="14"/>
  <c r="V205" i="13"/>
  <c r="X206" i="13"/>
  <c r="D59" i="14"/>
  <c r="F59" i="14" s="1"/>
  <c r="D57" i="13"/>
  <c r="AE193" i="9"/>
  <c r="AI8" i="8"/>
  <c r="AG178" i="9"/>
  <c r="AE176" i="9"/>
  <c r="AE170" i="9" s="1"/>
  <c r="N79" i="12"/>
  <c r="M79" i="12"/>
  <c r="V196" i="12"/>
  <c r="V195" i="12" s="1"/>
  <c r="V193" i="12" s="1"/>
  <c r="AD206" i="16"/>
  <c r="AD205" i="16" s="1"/>
  <c r="AB205" i="16"/>
  <c r="W51" i="14"/>
  <c r="W49" i="13"/>
  <c r="AH118" i="11"/>
  <c r="AH114" i="11" s="1"/>
  <c r="AI118" i="11"/>
  <c r="AJ118" i="11"/>
  <c r="X114" i="11"/>
  <c r="AG126" i="9"/>
  <c r="AE123" i="9"/>
  <c r="AE112" i="9" s="1"/>
  <c r="AE110" i="9" s="1"/>
  <c r="W43" i="12"/>
  <c r="W14" i="12" s="1"/>
  <c r="W12" i="12" s="1"/>
  <c r="W10" i="12" s="1"/>
  <c r="D12" i="13"/>
  <c r="F12" i="12"/>
  <c r="F10" i="12" s="1"/>
  <c r="D10" i="12"/>
  <c r="AE160" i="10"/>
  <c r="AJ160" i="9"/>
  <c r="AJ157" i="9" s="1"/>
  <c r="AJ155" i="9" s="1"/>
  <c r="AJ145" i="9" s="1"/>
  <c r="AG157" i="9"/>
  <c r="AG155" i="9" s="1"/>
  <c r="AG145" i="9" s="1"/>
  <c r="D30" i="13"/>
  <c r="F30" i="12"/>
  <c r="D29" i="12"/>
  <c r="D28" i="12" s="1"/>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N43" i="12"/>
  <c r="M43" i="12"/>
  <c r="M42" i="12" s="1"/>
  <c r="V178" i="16"/>
  <c r="X178" i="16" s="1"/>
  <c r="X178" i="15"/>
  <c r="D51" i="13"/>
  <c r="F52" i="13"/>
  <c r="N52" i="13" s="1"/>
  <c r="D52" i="14"/>
  <c r="BN8" i="9"/>
  <c r="BN7" i="9" s="1"/>
  <c r="BN32" i="9" s="1"/>
  <c r="BH8" i="9"/>
  <c r="BH7" i="9" s="1"/>
  <c r="BH16" i="9" s="1"/>
  <c r="AQ30" i="10"/>
  <c r="BN29" i="10"/>
  <c r="BH13" i="10" s="1"/>
  <c r="AI258" i="8"/>
  <c r="AD244" i="9"/>
  <c r="AB243" i="9"/>
  <c r="AB232" i="9" s="1"/>
  <c r="X243" i="11"/>
  <c r="X232" i="11" s="1"/>
  <c r="AA234" i="9"/>
  <c r="AG244" i="9"/>
  <c r="AE243" i="9"/>
  <c r="AE232" i="9" s="1"/>
  <c r="V244" i="13"/>
  <c r="X244" i="12"/>
  <c r="V243" i="12"/>
  <c r="V232" i="12" s="1"/>
  <c r="G55" i="10"/>
  <c r="M55" i="9"/>
  <c r="M54" i="9" s="1"/>
  <c r="BD17" i="9"/>
  <c r="I54" i="9"/>
  <c r="AW14" i="9"/>
  <c r="AY14" i="9" s="1"/>
  <c r="AB10" i="9"/>
  <c r="AA244" i="9"/>
  <c r="Y243" i="9"/>
  <c r="Y232" i="9" s="1"/>
  <c r="W243" i="12"/>
  <c r="W232" i="12" s="1"/>
  <c r="W244" i="13"/>
  <c r="AF258" i="8"/>
  <c r="W8" i="11"/>
  <c r="T33" i="15"/>
  <c r="AD10" i="8"/>
  <c r="AD8" i="8" s="1"/>
  <c r="AR30" i="8"/>
  <c r="BP29" i="8"/>
  <c r="BJ13" i="8" s="1"/>
  <c r="AH230" i="16"/>
  <c r="AA227" i="16"/>
  <c r="Y43" i="15"/>
  <c r="AH58" i="16"/>
  <c r="AW28" i="10"/>
  <c r="AB59" i="16"/>
  <c r="AD58" i="15"/>
  <c r="AD57" i="15" s="1"/>
  <c r="AI59" i="15"/>
  <c r="AI58" i="15" s="1"/>
  <c r="AI57" i="15" s="1"/>
  <c r="Y51" i="16"/>
  <c r="AA49" i="15"/>
  <c r="AD141" i="15"/>
  <c r="BP20" i="15" s="1"/>
  <c r="AB142" i="16"/>
  <c r="Y63" i="9"/>
  <c r="AI123" i="11"/>
  <c r="AS30" i="8"/>
  <c r="AA117" i="14"/>
  <c r="Y114" i="14"/>
  <c r="Y190" i="14"/>
  <c r="AA187" i="13"/>
  <c r="AA185" i="13" s="1"/>
  <c r="AA170" i="13" s="1"/>
  <c r="BO24" i="13" s="1"/>
  <c r="AH190" i="13"/>
  <c r="J56" i="12"/>
  <c r="L54" i="11"/>
  <c r="N56" i="11"/>
  <c r="N54" i="11" s="1"/>
  <c r="AD229" i="12"/>
  <c r="AB227" i="12"/>
  <c r="AG143" i="12"/>
  <c r="AE141" i="12"/>
  <c r="AA173" i="14"/>
  <c r="Y172" i="14"/>
  <c r="AE98" i="12"/>
  <c r="AJ98" i="11"/>
  <c r="AJ26" i="15"/>
  <c r="AE26" i="16"/>
  <c r="AG26" i="16" s="1"/>
  <c r="AJ26" i="16" s="1"/>
  <c r="L80" i="12"/>
  <c r="J78" i="12"/>
  <c r="L78" i="12" s="1"/>
  <c r="N78" i="12" s="1"/>
  <c r="AA213" i="14"/>
  <c r="Y211" i="14"/>
  <c r="Y210" i="14" s="1"/>
  <c r="Y209" i="14" s="1"/>
  <c r="AB22" i="12"/>
  <c r="AD20" i="11"/>
  <c r="AD16" i="11" s="1"/>
  <c r="AI22" i="11"/>
  <c r="AI20" i="11" s="1"/>
  <c r="AI16" i="11" s="1"/>
  <c r="AD127" i="12"/>
  <c r="AB123" i="12"/>
  <c r="AB92" i="12"/>
  <c r="AD91" i="11"/>
  <c r="AI92" i="11"/>
  <c r="AI91" i="11" s="1"/>
  <c r="AE152" i="12"/>
  <c r="AJ152" i="11"/>
  <c r="AJ149" i="11" s="1"/>
  <c r="AJ147" i="11" s="1"/>
  <c r="AG149" i="11"/>
  <c r="AG147" i="11" s="1"/>
  <c r="J62" i="12"/>
  <c r="L60" i="11"/>
  <c r="N62" i="11"/>
  <c r="N60" i="11" s="1"/>
  <c r="Y100" i="14"/>
  <c r="AA96" i="13"/>
  <c r="AH100" i="13"/>
  <c r="AE115" i="12"/>
  <c r="AJ115" i="11"/>
  <c r="AE129" i="16"/>
  <c r="AG129" i="16" s="1"/>
  <c r="AJ129" i="16" s="1"/>
  <c r="AJ129" i="15"/>
  <c r="AB117" i="12"/>
  <c r="AD114" i="11"/>
  <c r="AI117" i="11"/>
  <c r="AI114" i="11" s="1"/>
  <c r="AG36" i="12"/>
  <c r="AE35" i="12"/>
  <c r="AE59" i="12"/>
  <c r="AG58" i="11"/>
  <c r="AG57" i="11" s="1"/>
  <c r="AJ59" i="11"/>
  <c r="AJ58" i="11" s="1"/>
  <c r="AJ57" i="11" s="1"/>
  <c r="Y225" i="14"/>
  <c r="AA222" i="13"/>
  <c r="AA220" i="13" s="1"/>
  <c r="BO30" i="13" s="1"/>
  <c r="AH225" i="13"/>
  <c r="AH222" i="13" s="1"/>
  <c r="AB100" i="12"/>
  <c r="AD96" i="11"/>
  <c r="AI100" i="11"/>
  <c r="AI96" i="11" s="1"/>
  <c r="AB238" i="12"/>
  <c r="AD235" i="11"/>
  <c r="AD234" i="11" s="1"/>
  <c r="AI238" i="11"/>
  <c r="AI235" i="11" s="1"/>
  <c r="AI234" i="11" s="1"/>
  <c r="AA179" i="14"/>
  <c r="Y176" i="14"/>
  <c r="J44" i="12"/>
  <c r="L42" i="11"/>
  <c r="AS10" i="11" s="1"/>
  <c r="AX10" i="11"/>
  <c r="AZ10" i="11" s="1"/>
  <c r="N44" i="11"/>
  <c r="N42" i="11" s="1"/>
  <c r="AG93" i="12"/>
  <c r="AB150" i="12"/>
  <c r="AD149" i="11"/>
  <c r="AD147" i="11" s="1"/>
  <c r="AI150" i="11"/>
  <c r="AI149" i="11" s="1"/>
  <c r="AI147" i="11" s="1"/>
  <c r="J30" i="12"/>
  <c r="N30" i="11"/>
  <c r="N29" i="11" s="1"/>
  <c r="L29" i="11"/>
  <c r="Y46" i="16"/>
  <c r="AA44" i="15"/>
  <c r="AD188" i="12"/>
  <c r="AB187" i="12"/>
  <c r="AB185" i="12" s="1"/>
  <c r="AB223" i="12"/>
  <c r="AD222" i="11"/>
  <c r="AD220" i="11" s="1"/>
  <c r="AI223" i="11"/>
  <c r="AI222" i="11" s="1"/>
  <c r="AI220" i="11" s="1"/>
  <c r="BP10" i="16"/>
  <c r="E34" i="20" s="1"/>
  <c r="AR22" i="16"/>
  <c r="AI66" i="16"/>
  <c r="Y90" i="13"/>
  <c r="J68" i="12"/>
  <c r="L66" i="11"/>
  <c r="N68" i="11"/>
  <c r="N66" i="11" s="1"/>
  <c r="J36" i="12"/>
  <c r="N36" i="11"/>
  <c r="N35" i="11" s="1"/>
  <c r="L35" i="11"/>
  <c r="AA107" i="14"/>
  <c r="Y105" i="14"/>
  <c r="Y104" i="14" s="1"/>
  <c r="L50" i="12"/>
  <c r="J48" i="12"/>
  <c r="L74" i="12"/>
  <c r="J72" i="12"/>
  <c r="AE47" i="12"/>
  <c r="AG44" i="11"/>
  <c r="AJ47" i="11"/>
  <c r="AJ44" i="11" s="1"/>
  <c r="BO27" i="13"/>
  <c r="AB46" i="12"/>
  <c r="AD44" i="11"/>
  <c r="AI46" i="11"/>
  <c r="AI44" i="11" s="1"/>
  <c r="AB90" i="11"/>
  <c r="Y200" i="14"/>
  <c r="AA197" i="13"/>
  <c r="AA196" i="13" s="1"/>
  <c r="AH200" i="13"/>
  <c r="AB198" i="12"/>
  <c r="AD197" i="11"/>
  <c r="AD196" i="11" s="1"/>
  <c r="BP26" i="11"/>
  <c r="AI198" i="11"/>
  <c r="AI197" i="11" s="1"/>
  <c r="AI196" i="11" s="1"/>
  <c r="AI195" i="11" s="1"/>
  <c r="AE86" i="12"/>
  <c r="AJ86" i="11"/>
  <c r="AA246" i="14"/>
  <c r="Y150" i="14"/>
  <c r="AA149" i="13"/>
  <c r="AA147" i="13" s="1"/>
  <c r="BO16" i="13" s="1"/>
  <c r="AH150" i="13"/>
  <c r="Y95" i="14"/>
  <c r="AA91" i="13"/>
  <c r="AH95" i="13"/>
  <c r="AH12" i="8"/>
  <c r="AH10" i="8" s="1"/>
  <c r="AH258" i="8" s="1"/>
  <c r="L17" i="8"/>
  <c r="BJ7" i="8"/>
  <c r="AA12" i="8"/>
  <c r="Y14" i="9"/>
  <c r="AH170" i="12"/>
  <c r="Y85" i="10"/>
  <c r="AA83" i="9"/>
  <c r="AH85" i="9"/>
  <c r="AH83" i="9" s="1"/>
  <c r="AE174" i="15"/>
  <c r="AG172" i="14"/>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H57" i="10" s="1"/>
  <c r="AA57" i="10"/>
  <c r="BO13" i="10" s="1"/>
  <c r="AE14" i="9"/>
  <c r="BP7" i="8"/>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W112" i="13" s="1"/>
  <c r="W110" i="13" s="1"/>
  <c r="X133" i="13"/>
  <c r="X123" i="13" s="1"/>
  <c r="Y27" i="10"/>
  <c r="AA20" i="9"/>
  <c r="AA16" i="9" s="1"/>
  <c r="AH27" i="9"/>
  <c r="AH20" i="9" s="1"/>
  <c r="AH16" i="9" s="1"/>
  <c r="AB39" i="10"/>
  <c r="AI39" i="9"/>
  <c r="AI35" i="9" s="1"/>
  <c r="AI14" i="9" s="1"/>
  <c r="AI12" i="9" s="1"/>
  <c r="AD35" i="9"/>
  <c r="AD14" i="9" s="1"/>
  <c r="AD12" i="9" s="1"/>
  <c r="BO8" i="8"/>
  <c r="BO7" i="8" s="1"/>
  <c r="BO32" i="8" s="1"/>
  <c r="BI8" i="8"/>
  <c r="BI7" i="8" s="1"/>
  <c r="BI16" i="8" s="1"/>
  <c r="AB167" i="10"/>
  <c r="AD157" i="9"/>
  <c r="AD155" i="9" s="1"/>
  <c r="AI167" i="9"/>
  <c r="AI157" i="9" s="1"/>
  <c r="AI155" i="9" s="1"/>
  <c r="AI145" i="9" s="1"/>
  <c r="AI110"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AI170" i="9" s="1"/>
  <c r="J8" i="9"/>
  <c r="AZ14" i="9"/>
  <c r="AQ16" i="12"/>
  <c r="M25" i="20"/>
  <c r="BE22" i="12"/>
  <c r="X187" i="13"/>
  <c r="X185" i="13" s="1"/>
  <c r="AH188" i="13"/>
  <c r="V238" i="15"/>
  <c r="X238" i="14"/>
  <c r="AJ238" i="14" s="1"/>
  <c r="V170" i="13"/>
  <c r="G41" i="13"/>
  <c r="I41" i="13" s="1"/>
  <c r="J105" i="13"/>
  <c r="L104" i="12"/>
  <c r="N105" i="12"/>
  <c r="N104" i="12" s="1"/>
  <c r="BN23" i="13"/>
  <c r="X176" i="13"/>
  <c r="AJ177" i="13"/>
  <c r="AI177" i="13"/>
  <c r="AH177" i="13"/>
  <c r="AH176" i="13" s="1"/>
  <c r="AJ73" i="13"/>
  <c r="AH73" i="13"/>
  <c r="X69" i="13"/>
  <c r="X65" i="13" s="1"/>
  <c r="AI73" i="13"/>
  <c r="BD18" i="12"/>
  <c r="G95" i="13"/>
  <c r="I94" i="12"/>
  <c r="M95" i="12"/>
  <c r="M94" i="12" s="1"/>
  <c r="V228" i="15"/>
  <c r="V227" i="14"/>
  <c r="V220" i="14" s="1"/>
  <c r="X228" i="14"/>
  <c r="AS9" i="10"/>
  <c r="V174" i="15"/>
  <c r="V172" i="14"/>
  <c r="X174" i="14"/>
  <c r="BN22" i="10"/>
  <c r="BH11" i="10" s="1"/>
  <c r="V237" i="15"/>
  <c r="V235" i="14"/>
  <c r="V234" i="14" s="1"/>
  <c r="X237" i="14"/>
  <c r="AB216" i="11"/>
  <c r="AD211" i="10"/>
  <c r="AD210" i="10" s="1"/>
  <c r="AD209" i="10" s="1"/>
  <c r="AI216" i="10"/>
  <c r="AI211" i="10" s="1"/>
  <c r="AI210" i="10" s="1"/>
  <c r="AI209" i="10" s="1"/>
  <c r="AI193" i="10" s="1"/>
  <c r="J86" i="13"/>
  <c r="L85" i="12"/>
  <c r="N86" i="12"/>
  <c r="N85" i="12" s="1"/>
  <c r="N41" i="12"/>
  <c r="BC17" i="12"/>
  <c r="AW25" i="9"/>
  <c r="AY25" i="9" s="1"/>
  <c r="AU25" i="9"/>
  <c r="V188" i="15"/>
  <c r="V187" i="14"/>
  <c r="V185" i="14" s="1"/>
  <c r="X188" i="14"/>
  <c r="AE80" i="11"/>
  <c r="AJ80" i="10"/>
  <c r="AQ27" i="11"/>
  <c r="BN24" i="11"/>
  <c r="BN22" i="11" s="1"/>
  <c r="BH11" i="11" s="1"/>
  <c r="AE124" i="11"/>
  <c r="AJ124" i="10"/>
  <c r="AJ135" i="13"/>
  <c r="AH135" i="13"/>
  <c r="AI135" i="13"/>
  <c r="AB75" i="11"/>
  <c r="AD69" i="10"/>
  <c r="AD65" i="10" s="1"/>
  <c r="AI75" i="10"/>
  <c r="AI69" i="10" s="1"/>
  <c r="AI65" i="10" s="1"/>
  <c r="V177" i="15"/>
  <c r="V176" i="14"/>
  <c r="X177" i="14"/>
  <c r="Y161" i="16"/>
  <c r="AA161" i="16" s="1"/>
  <c r="AH161" i="16" s="1"/>
  <c r="AH161" i="15"/>
  <c r="V73" i="15"/>
  <c r="V69" i="14"/>
  <c r="V65" i="14" s="1"/>
  <c r="X73" i="14"/>
  <c r="X227" i="13"/>
  <c r="X220" i="13" s="1"/>
  <c r="BN30" i="13" s="1"/>
  <c r="BH14" i="13" s="1"/>
  <c r="AI228" i="13"/>
  <c r="AH228" i="13"/>
  <c r="AH227" i="13" s="1"/>
  <c r="BE21" i="13"/>
  <c r="H128" i="13"/>
  <c r="H126" i="13" s="1"/>
  <c r="H130" i="13" s="1"/>
  <c r="B24" i="14"/>
  <c r="P128" i="13"/>
  <c r="K128" i="13"/>
  <c r="C128" i="13"/>
  <c r="Q128" i="13"/>
  <c r="Q126" i="13" s="1"/>
  <c r="Q130" i="13" s="1"/>
  <c r="AH238" i="13"/>
  <c r="L95" i="13"/>
  <c r="J94" i="13"/>
  <c r="AH174" i="13"/>
  <c r="AH172" i="13" s="1"/>
  <c r="X172" i="13"/>
  <c r="AI174" i="13"/>
  <c r="AI172" i="13" s="1"/>
  <c r="AJ174" i="13"/>
  <c r="AJ172" i="13" s="1"/>
  <c r="BN31" i="13"/>
  <c r="BH15" i="13" s="1"/>
  <c r="AE161" i="11"/>
  <c r="AJ161" i="10"/>
  <c r="V135" i="15"/>
  <c r="X135" i="14"/>
  <c r="V123" i="14"/>
  <c r="X235" i="13"/>
  <c r="X234" i="13" s="1"/>
  <c r="AI237" i="13"/>
  <c r="N12" i="12"/>
  <c r="J12" i="13"/>
  <c r="L12" i="13" s="1"/>
  <c r="AW23" i="9"/>
  <c r="AY23" i="9" s="1"/>
  <c r="AU23" i="9"/>
  <c r="AJ162" i="15"/>
  <c r="AE162" i="16"/>
  <c r="AG162" i="16" s="1"/>
  <c r="AJ162" i="16" s="1"/>
  <c r="I24" i="9"/>
  <c r="G22" i="9"/>
  <c r="J27" i="10"/>
  <c r="J128" i="10" s="1"/>
  <c r="N27" i="9"/>
  <c r="N25" i="9" s="1"/>
  <c r="L25" i="9"/>
  <c r="AS8" i="9" s="1"/>
  <c r="AV8" i="9" s="1"/>
  <c r="AX8" i="9"/>
  <c r="AZ8" i="9" s="1"/>
  <c r="I27" i="9"/>
  <c r="G25" i="9"/>
  <c r="AR8" i="8"/>
  <c r="AU8" i="8" s="1"/>
  <c r="I88" i="13"/>
  <c r="G85" i="13"/>
  <c r="G44" i="15"/>
  <c r="I42" i="14"/>
  <c r="AR10" i="14" s="1"/>
  <c r="AW10" i="14"/>
  <c r="M44" i="14"/>
  <c r="I50" i="13"/>
  <c r="G48" i="13"/>
  <c r="J31" i="14"/>
  <c r="L37" i="13"/>
  <c r="N37" i="13" s="1"/>
  <c r="L71" i="11"/>
  <c r="J69" i="11"/>
  <c r="I62" i="11"/>
  <c r="G60" i="11"/>
  <c r="L59" i="11"/>
  <c r="J57" i="11"/>
  <c r="M13" i="13"/>
  <c r="I74" i="11"/>
  <c r="G72" i="11"/>
  <c r="D56" i="15"/>
  <c r="D54" i="14"/>
  <c r="F56" i="14"/>
  <c r="E33" i="16"/>
  <c r="E32" i="15"/>
  <c r="E28" i="15" s="1"/>
  <c r="F33" i="15"/>
  <c r="I37" i="11"/>
  <c r="G35" i="11"/>
  <c r="L26" i="11"/>
  <c r="BC11" i="13"/>
  <c r="F25" i="13"/>
  <c r="AQ8" i="13" s="1"/>
  <c r="M83" i="13"/>
  <c r="M81" i="13" s="1"/>
  <c r="F81" i="13"/>
  <c r="L65" i="11"/>
  <c r="J63" i="11"/>
  <c r="D31" i="15"/>
  <c r="F31" i="14"/>
  <c r="L33" i="11"/>
  <c r="J32" i="11"/>
  <c r="J28" i="11" s="1"/>
  <c r="I52" i="11"/>
  <c r="G51" i="11"/>
  <c r="M65" i="13"/>
  <c r="E14" i="15"/>
  <c r="E10" i="14"/>
  <c r="F14" i="14"/>
  <c r="E59" i="15"/>
  <c r="E57" i="14"/>
  <c r="F69" i="13"/>
  <c r="M71" i="13"/>
  <c r="M69" i="13" s="1"/>
  <c r="L77" i="11"/>
  <c r="J75" i="11"/>
  <c r="F45" i="13"/>
  <c r="M47" i="13"/>
  <c r="E53" i="15"/>
  <c r="E51" i="14"/>
  <c r="F53" i="14"/>
  <c r="M77" i="13"/>
  <c r="I80" i="12"/>
  <c r="G78" i="12"/>
  <c r="I78" i="12" s="1"/>
  <c r="M78" i="12" s="1"/>
  <c r="D68" i="15"/>
  <c r="D66" i="14"/>
  <c r="F68" i="14"/>
  <c r="E83" i="15"/>
  <c r="E81" i="14"/>
  <c r="F83" i="14"/>
  <c r="D13" i="15"/>
  <c r="F13" i="14"/>
  <c r="F54" i="13"/>
  <c r="M33" i="14"/>
  <c r="M32" i="14" s="1"/>
  <c r="F32" i="14"/>
  <c r="BC7" i="12"/>
  <c r="L53" i="11"/>
  <c r="J51" i="11"/>
  <c r="I68" i="11"/>
  <c r="G66" i="11"/>
  <c r="E26" i="15"/>
  <c r="E25" i="14"/>
  <c r="F26" i="14"/>
  <c r="I46" i="11"/>
  <c r="G45" i="11"/>
  <c r="N31" i="13"/>
  <c r="E65" i="15"/>
  <c r="E63" i="14"/>
  <c r="F65" i="14"/>
  <c r="M14" i="13"/>
  <c r="N14" i="13"/>
  <c r="L47" i="11"/>
  <c r="J45" i="11"/>
  <c r="D37" i="15"/>
  <c r="F37" i="14"/>
  <c r="F57" i="13"/>
  <c r="M59" i="13"/>
  <c r="M57" i="13" s="1"/>
  <c r="E71" i="15"/>
  <c r="E69" i="14"/>
  <c r="F71" i="14"/>
  <c r="L83" i="11"/>
  <c r="J81" i="11"/>
  <c r="E47" i="15"/>
  <c r="E45" i="14"/>
  <c r="F47" i="14"/>
  <c r="M53" i="13"/>
  <c r="E77" i="15"/>
  <c r="E75" i="14"/>
  <c r="F77" i="14"/>
  <c r="F66" i="13"/>
  <c r="D24" i="14"/>
  <c r="D22" i="13"/>
  <c r="F24" i="13"/>
  <c r="BC21" i="13" s="1"/>
  <c r="D128" i="13"/>
  <c r="F22" i="12"/>
  <c r="AQ7" i="12" s="1"/>
  <c r="F128" i="12"/>
  <c r="J14" i="16"/>
  <c r="L14" i="16" s="1"/>
  <c r="J15" i="14"/>
  <c r="L15" i="14" s="1"/>
  <c r="N15" i="13"/>
  <c r="N22" i="9"/>
  <c r="L24" i="10"/>
  <c r="J22" i="10"/>
  <c r="J13" i="10"/>
  <c r="L10" i="9"/>
  <c r="N13" i="9"/>
  <c r="N10" i="9" s="1"/>
  <c r="E24" i="14"/>
  <c r="E22" i="13"/>
  <c r="E21" i="13" s="1"/>
  <c r="E19" i="13" s="1"/>
  <c r="E17" i="13" s="1"/>
  <c r="E8" i="13" s="1"/>
  <c r="E128" i="13"/>
  <c r="AS7" i="9"/>
  <c r="AV7" i="9" s="1"/>
  <c r="AD88" i="10"/>
  <c r="AB83" i="10"/>
  <c r="AB63" i="10" s="1"/>
  <c r="AA237" i="10"/>
  <c r="Y235" i="10"/>
  <c r="Y234" i="10" s="1"/>
  <c r="Y110" i="10"/>
  <c r="AH134" i="16"/>
  <c r="AI134" i="16"/>
  <c r="AJ134" i="16"/>
  <c r="Y133" i="11"/>
  <c r="AA123" i="10"/>
  <c r="AH133" i="10"/>
  <c r="AH123" i="10" s="1"/>
  <c r="AH112" i="10" s="1"/>
  <c r="AH245" i="13"/>
  <c r="AI245" i="13"/>
  <c r="AJ245" i="13"/>
  <c r="G56" i="11"/>
  <c r="M56" i="10"/>
  <c r="AB107" i="11"/>
  <c r="AD105" i="10"/>
  <c r="AD104" i="10" s="1"/>
  <c r="AI107" i="10"/>
  <c r="AI105" i="10" s="1"/>
  <c r="AI104" i="10" s="1"/>
  <c r="BJ8" i="9"/>
  <c r="BI10" i="9"/>
  <c r="AB50" i="11"/>
  <c r="AD49" i="10"/>
  <c r="AD43" i="10" s="1"/>
  <c r="AI50" i="10"/>
  <c r="AI49" i="10" s="1"/>
  <c r="AI43" i="10" s="1"/>
  <c r="Y159" i="11"/>
  <c r="AA157" i="10"/>
  <c r="AA155" i="10" s="1"/>
  <c r="AA145" i="10" s="1"/>
  <c r="AH159" i="10"/>
  <c r="AH157" i="10" s="1"/>
  <c r="AH155" i="10" s="1"/>
  <c r="AH145" i="10" s="1"/>
  <c r="V245" i="15"/>
  <c r="X245" i="14"/>
  <c r="AI225" i="16"/>
  <c r="X222" i="16"/>
  <c r="AJ127" i="14"/>
  <c r="AE127" i="15"/>
  <c r="AE158" i="15"/>
  <c r="M40" i="15"/>
  <c r="N40" i="15"/>
  <c r="N39" i="15"/>
  <c r="M39" i="15"/>
  <c r="N40" i="16"/>
  <c r="M40" i="16"/>
  <c r="N39" i="16"/>
  <c r="M39" i="16"/>
  <c r="F38" i="15"/>
  <c r="D38" i="16"/>
  <c r="M38" i="14"/>
  <c r="N38" i="14"/>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J229" i="13"/>
  <c r="AE229" i="14"/>
  <c r="AG229" i="14" s="1"/>
  <c r="AG236" i="11"/>
  <c r="AE201" i="15"/>
  <c r="AG201" i="15" s="1"/>
  <c r="N51" i="20" l="1"/>
  <c r="BR27" i="16"/>
  <c r="BR25" i="16" s="1"/>
  <c r="BL12" i="13"/>
  <c r="BL12" i="16" s="1"/>
  <c r="BK12" i="13"/>
  <c r="BK16" i="13" s="1"/>
  <c r="BL16" i="13" s="1"/>
  <c r="BL16" i="16" s="1"/>
  <c r="BQ32" i="13"/>
  <c r="F21" i="11"/>
  <c r="F19" i="11" s="1"/>
  <c r="F17" i="11" s="1"/>
  <c r="F8" i="11" s="1"/>
  <c r="V258" i="10"/>
  <c r="AQ9" i="11"/>
  <c r="BN8" i="10"/>
  <c r="BN7" i="10" s="1"/>
  <c r="BN32" i="10" s="1"/>
  <c r="V10" i="11"/>
  <c r="V8" i="11" s="1"/>
  <c r="D21" i="12"/>
  <c r="D19" i="12" s="1"/>
  <c r="D17" i="12" s="1"/>
  <c r="D8" i="12" s="1"/>
  <c r="N73" i="13"/>
  <c r="M73" i="13"/>
  <c r="F72" i="13"/>
  <c r="D73" i="15"/>
  <c r="F73" i="14"/>
  <c r="D72" i="14"/>
  <c r="BP14" i="9"/>
  <c r="BJ9" i="9" s="1"/>
  <c r="D80" i="15"/>
  <c r="F80" i="14"/>
  <c r="AX30" i="8"/>
  <c r="AZ30" i="8" s="1"/>
  <c r="AV30" i="8"/>
  <c r="AW30" i="8"/>
  <c r="AY30" i="8" s="1"/>
  <c r="AU30" i="8"/>
  <c r="AR24" i="9"/>
  <c r="AU24" i="9" s="1"/>
  <c r="X8" i="9"/>
  <c r="N61" i="13"/>
  <c r="F60" i="13"/>
  <c r="M61" i="13"/>
  <c r="D60" i="14"/>
  <c r="F61" i="14"/>
  <c r="D61" i="15"/>
  <c r="AV24" i="9"/>
  <c r="AW22" i="16"/>
  <c r="AY22" i="16" s="1"/>
  <c r="AU22" i="16"/>
  <c r="AJ8" i="8"/>
  <c r="AJ258" i="8"/>
  <c r="W258" i="12"/>
  <c r="V110" i="12"/>
  <c r="X258" i="9"/>
  <c r="X145" i="12"/>
  <c r="AH90" i="12"/>
  <c r="AH196" i="12"/>
  <c r="AH195" i="12" s="1"/>
  <c r="AH193" i="12" s="1"/>
  <c r="D71" i="15"/>
  <c r="D69" i="14"/>
  <c r="I76" i="14"/>
  <c r="G75" i="14"/>
  <c r="D75" i="13"/>
  <c r="F76" i="13"/>
  <c r="D76" i="14"/>
  <c r="AG87" i="10"/>
  <c r="AE83" i="10"/>
  <c r="D48" i="15"/>
  <c r="F49" i="15"/>
  <c r="D49" i="16"/>
  <c r="AH92" i="13"/>
  <c r="AJ92" i="13"/>
  <c r="X91" i="13"/>
  <c r="AQ23" i="12"/>
  <c r="W21" i="15"/>
  <c r="W20" i="14"/>
  <c r="W16" i="14" s="1"/>
  <c r="D30" i="14"/>
  <c r="F30" i="13"/>
  <c r="D29" i="13"/>
  <c r="D59" i="15"/>
  <c r="D57" i="14"/>
  <c r="D23" i="14"/>
  <c r="F23" i="13"/>
  <c r="V12" i="12"/>
  <c r="AE99" i="10"/>
  <c r="AJ99" i="9"/>
  <c r="AJ96" i="9" s="1"/>
  <c r="AG96" i="9"/>
  <c r="AJ21" i="13"/>
  <c r="AI21" i="13"/>
  <c r="AH21" i="13"/>
  <c r="X20" i="13"/>
  <c r="X16" i="13" s="1"/>
  <c r="BN12" i="13" s="1"/>
  <c r="I64" i="16"/>
  <c r="G63" i="16"/>
  <c r="V145" i="13"/>
  <c r="D46" i="15"/>
  <c r="D45" i="14"/>
  <c r="F46" i="14"/>
  <c r="F48" i="14"/>
  <c r="M49" i="14"/>
  <c r="N49" i="14"/>
  <c r="AG189" i="10"/>
  <c r="AE187" i="10"/>
  <c r="AE185" i="10" s="1"/>
  <c r="BN25" i="11"/>
  <c r="BH12" i="11" s="1"/>
  <c r="V118" i="14"/>
  <c r="X118" i="13"/>
  <c r="V114" i="13"/>
  <c r="V112" i="13" s="1"/>
  <c r="AH46" i="12"/>
  <c r="AH44" i="12" s="1"/>
  <c r="AH43" i="12" s="1"/>
  <c r="AJ46" i="12"/>
  <c r="X44" i="12"/>
  <c r="X43" i="12" s="1"/>
  <c r="BN14" i="11"/>
  <c r="X63" i="11"/>
  <c r="X12" i="11" s="1"/>
  <c r="V92" i="15"/>
  <c r="X92" i="14"/>
  <c r="V91" i="14"/>
  <c r="X10" i="10"/>
  <c r="AG116" i="10"/>
  <c r="AE114" i="10"/>
  <c r="AG160" i="10"/>
  <c r="AE157" i="10"/>
  <c r="AE155" i="10" s="1"/>
  <c r="AE145" i="10" s="1"/>
  <c r="W51" i="15"/>
  <c r="W49" i="14"/>
  <c r="AB172" i="15"/>
  <c r="AD174" i="15"/>
  <c r="D36" i="14"/>
  <c r="F36" i="13"/>
  <c r="D35" i="13"/>
  <c r="AI118" i="12"/>
  <c r="AH118" i="12"/>
  <c r="AH114" i="12" s="1"/>
  <c r="AJ118" i="12"/>
  <c r="X114" i="12"/>
  <c r="V214" i="15"/>
  <c r="X214" i="14"/>
  <c r="V211" i="14"/>
  <c r="V210" i="14" s="1"/>
  <c r="V209" i="14" s="1"/>
  <c r="BC17" i="13"/>
  <c r="F51" i="13"/>
  <c r="BN12" i="12"/>
  <c r="BN9" i="12" s="1"/>
  <c r="BP32" i="8"/>
  <c r="BJ16" i="8"/>
  <c r="AB8" i="9"/>
  <c r="AQ9" i="10"/>
  <c r="AZ9" i="10" s="1"/>
  <c r="F21" i="10"/>
  <c r="F19" i="10" s="1"/>
  <c r="AH151" i="13"/>
  <c r="AH149" i="13" s="1"/>
  <c r="AH147" i="13" s="1"/>
  <c r="AJ151" i="13"/>
  <c r="AI151" i="13"/>
  <c r="X149" i="13"/>
  <c r="X147" i="13" s="1"/>
  <c r="V142" i="15"/>
  <c r="X142" i="14"/>
  <c r="V141" i="14"/>
  <c r="AE126" i="10"/>
  <c r="AJ126" i="9"/>
  <c r="AJ123" i="9" s="1"/>
  <c r="AJ112" i="9" s="1"/>
  <c r="AJ110" i="9" s="1"/>
  <c r="AG123" i="9"/>
  <c r="AG112" i="9" s="1"/>
  <c r="AG110" i="9" s="1"/>
  <c r="AS26" i="9" s="1"/>
  <c r="AH206" i="13"/>
  <c r="AH205" i="13" s="1"/>
  <c r="AI206" i="13"/>
  <c r="AI205" i="13" s="1"/>
  <c r="X205" i="13"/>
  <c r="AJ51" i="13"/>
  <c r="AI51" i="13"/>
  <c r="AH51" i="13"/>
  <c r="AH49" i="13" s="1"/>
  <c r="X49" i="13"/>
  <c r="D43" i="15"/>
  <c r="D42" i="14"/>
  <c r="F43" i="14"/>
  <c r="AJ85" i="12"/>
  <c r="X83" i="12"/>
  <c r="X63" i="12" s="1"/>
  <c r="AI85" i="12"/>
  <c r="V21" i="15"/>
  <c r="X21" i="14"/>
  <c r="V20" i="14"/>
  <c r="V16" i="14" s="1"/>
  <c r="AI97" i="13"/>
  <c r="AH97" i="13"/>
  <c r="AH96" i="13" s="1"/>
  <c r="AJ97" i="13"/>
  <c r="X96" i="13"/>
  <c r="BC10" i="11"/>
  <c r="BC9" i="11" s="1"/>
  <c r="BC8" i="11" s="1"/>
  <c r="BC22" i="11" s="1"/>
  <c r="AE94" i="10"/>
  <c r="AJ94" i="9"/>
  <c r="AJ91" i="9" s="1"/>
  <c r="AG91" i="9"/>
  <c r="AH158" i="13"/>
  <c r="AI158" i="13"/>
  <c r="X157" i="13"/>
  <c r="X155" i="13" s="1"/>
  <c r="BN17" i="13" s="1"/>
  <c r="AJ158" i="13"/>
  <c r="I70" i="15"/>
  <c r="G69" i="15"/>
  <c r="AU28" i="9"/>
  <c r="AY28" i="9"/>
  <c r="BC15" i="13"/>
  <c r="N46" i="13"/>
  <c r="AG63" i="8"/>
  <c r="AG12" i="8" s="1"/>
  <c r="AG10" i="8" s="1"/>
  <c r="AS25" i="8"/>
  <c r="X193" i="11"/>
  <c r="AQ28" i="11"/>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AJ142" i="13"/>
  <c r="AH142" i="13"/>
  <c r="AH141" i="13" s="1"/>
  <c r="X141" i="13"/>
  <c r="BN20" i="13" s="1"/>
  <c r="AI142" i="13"/>
  <c r="AI141" i="13" s="1"/>
  <c r="BC13" i="12"/>
  <c r="F29" i="12"/>
  <c r="V206" i="15"/>
  <c r="V205" i="14"/>
  <c r="X206" i="14"/>
  <c r="N23" i="12"/>
  <c r="BC12" i="12"/>
  <c r="AQ29" i="12"/>
  <c r="BN27" i="12"/>
  <c r="W46" i="15"/>
  <c r="W44" i="14"/>
  <c r="F79" i="14"/>
  <c r="D79" i="15"/>
  <c r="D78" i="14"/>
  <c r="F78" i="14" s="1"/>
  <c r="AQ28" i="10"/>
  <c r="AU28" i="10" s="1"/>
  <c r="X193" i="10"/>
  <c r="D83" i="16"/>
  <c r="D81" i="16" s="1"/>
  <c r="D81" i="15"/>
  <c r="F64" i="13"/>
  <c r="D64" i="14"/>
  <c r="D63" i="13"/>
  <c r="V201" i="15"/>
  <c r="X201" i="14"/>
  <c r="V197" i="14"/>
  <c r="V196" i="14" s="1"/>
  <c r="V195" i="14" s="1"/>
  <c r="AE12" i="9"/>
  <c r="AE10" i="9" s="1"/>
  <c r="AE8" i="9" s="1"/>
  <c r="AH91" i="13"/>
  <c r="W8" i="12"/>
  <c r="D52" i="15"/>
  <c r="D51" i="14"/>
  <c r="F52" i="14"/>
  <c r="N52" i="14" s="1"/>
  <c r="AI178" i="15"/>
  <c r="AH178" i="15"/>
  <c r="AY10" i="12"/>
  <c r="AV10" i="12"/>
  <c r="AU10" i="12"/>
  <c r="V151" i="15"/>
  <c r="X151" i="14"/>
  <c r="V149" i="14"/>
  <c r="V147" i="14" s="1"/>
  <c r="D12" i="14"/>
  <c r="F12" i="13"/>
  <c r="F10" i="13" s="1"/>
  <c r="D10" i="13"/>
  <c r="BN16" i="11"/>
  <c r="BN15" i="11" s="1"/>
  <c r="BH10" i="11" s="1"/>
  <c r="X112" i="11"/>
  <c r="X110" i="11" s="1"/>
  <c r="AQ26" i="11" s="1"/>
  <c r="AE178" i="10"/>
  <c r="AJ178" i="9"/>
  <c r="AJ176" i="9" s="1"/>
  <c r="AJ170" i="9" s="1"/>
  <c r="AG176" i="9"/>
  <c r="AG170" i="9" s="1"/>
  <c r="AS27" i="9" s="1"/>
  <c r="AV27" i="9" s="1"/>
  <c r="V51" i="15"/>
  <c r="X51" i="14"/>
  <c r="V49" i="14"/>
  <c r="M43" i="13"/>
  <c r="M42" i="13" s="1"/>
  <c r="N43" i="13"/>
  <c r="BC16" i="13"/>
  <c r="F42" i="13"/>
  <c r="AQ10" i="13" s="1"/>
  <c r="N76" i="12"/>
  <c r="M76" i="12"/>
  <c r="M75" i="12" s="1"/>
  <c r="F75" i="12"/>
  <c r="V85" i="14"/>
  <c r="X85" i="13"/>
  <c r="V83" i="13"/>
  <c r="V97" i="15"/>
  <c r="X97" i="14"/>
  <c r="V96" i="14"/>
  <c r="W39" i="15"/>
  <c r="W35" i="14"/>
  <c r="M36" i="12"/>
  <c r="F35" i="12"/>
  <c r="V158" i="15"/>
  <c r="X158" i="14"/>
  <c r="V157" i="14"/>
  <c r="V155" i="14" s="1"/>
  <c r="W43" i="13"/>
  <c r="W14" i="13" s="1"/>
  <c r="W12" i="13" s="1"/>
  <c r="W10" i="13" s="1"/>
  <c r="X196" i="12"/>
  <c r="V39" i="15"/>
  <c r="X39" i="14"/>
  <c r="V35" i="14"/>
  <c r="AG106" i="10"/>
  <c r="AE105" i="10"/>
  <c r="AE104" i="10" s="1"/>
  <c r="AH214" i="13"/>
  <c r="AH211" i="13" s="1"/>
  <c r="AH210" i="13" s="1"/>
  <c r="AH209" i="13" s="1"/>
  <c r="AI214" i="13"/>
  <c r="X211" i="13"/>
  <c r="X210" i="13" s="1"/>
  <c r="X209" i="13" s="1"/>
  <c r="AJ214" i="13"/>
  <c r="V90" i="13"/>
  <c r="AI201" i="13"/>
  <c r="AH201" i="13"/>
  <c r="AH197" i="13" s="1"/>
  <c r="X197" i="13"/>
  <c r="X196" i="13" s="1"/>
  <c r="AJ201" i="13"/>
  <c r="AS28" i="9"/>
  <c r="AG193" i="9"/>
  <c r="L8" i="8"/>
  <c r="L126" i="8" s="1"/>
  <c r="L130" i="8" s="1"/>
  <c r="AD258" i="8"/>
  <c r="BP33" i="8" s="1"/>
  <c r="T33" i="16"/>
  <c r="X243" i="12"/>
  <c r="X232" i="12" s="1"/>
  <c r="BN29" i="12" s="1"/>
  <c r="BH13" i="12" s="1"/>
  <c r="AJ244" i="9"/>
  <c r="AJ243" i="9" s="1"/>
  <c r="AJ232" i="9" s="1"/>
  <c r="AE244" i="10"/>
  <c r="AG243" i="9"/>
  <c r="AB258" i="9"/>
  <c r="AD193" i="10"/>
  <c r="AR29" i="10"/>
  <c r="AI10" i="9"/>
  <c r="AJ193" i="9"/>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W243" i="13"/>
  <c r="W232" i="13" s="1"/>
  <c r="W244" i="14"/>
  <c r="AQ30" i="11"/>
  <c r="BN29" i="11"/>
  <c r="BH13" i="11" s="1"/>
  <c r="AA90" i="13"/>
  <c r="AA43" i="15"/>
  <c r="AI112" i="11"/>
  <c r="AH187" i="13"/>
  <c r="AH185" i="13" s="1"/>
  <c r="AH170" i="13" s="1"/>
  <c r="AA51" i="16"/>
  <c r="Y49" i="16"/>
  <c r="AD59" i="16"/>
  <c r="AB58" i="16"/>
  <c r="AB57" i="16" s="1"/>
  <c r="AB141" i="16"/>
  <c r="AD142" i="16"/>
  <c r="Y12" i="9"/>
  <c r="Y10" i="9" s="1"/>
  <c r="Y8" i="9" s="1"/>
  <c r="AX29" i="9"/>
  <c r="AZ29" i="9" s="1"/>
  <c r="AH220" i="13"/>
  <c r="Y246" i="15"/>
  <c r="AH246" i="14"/>
  <c r="L68" i="12"/>
  <c r="J66" i="12"/>
  <c r="BP30" i="11"/>
  <c r="BJ14" i="11" s="1"/>
  <c r="AD150" i="12"/>
  <c r="AB149" i="12"/>
  <c r="AB147" i="12" s="1"/>
  <c r="AD117" i="12"/>
  <c r="AB114" i="12"/>
  <c r="AB112" i="12" s="1"/>
  <c r="L62" i="12"/>
  <c r="J60" i="12"/>
  <c r="AD92" i="12"/>
  <c r="AB91" i="12"/>
  <c r="AD22" i="12"/>
  <c r="AB20" i="12"/>
  <c r="AB16" i="12" s="1"/>
  <c r="AG98" i="12"/>
  <c r="AE143" i="13"/>
  <c r="AG141" i="12"/>
  <c r="AJ143" i="12"/>
  <c r="AJ141" i="12" s="1"/>
  <c r="AA190" i="14"/>
  <c r="Y187" i="14"/>
  <c r="Y185" i="14" s="1"/>
  <c r="Y170" i="14" s="1"/>
  <c r="AG47" i="12"/>
  <c r="AE44" i="12"/>
  <c r="J50" i="13"/>
  <c r="L48" i="12"/>
  <c r="N50" i="12"/>
  <c r="N48" i="12" s="1"/>
  <c r="L36" i="12"/>
  <c r="J35" i="12"/>
  <c r="AD223" i="12"/>
  <c r="AB222" i="12"/>
  <c r="AB220" i="12" s="1"/>
  <c r="L30" i="12"/>
  <c r="J29" i="12"/>
  <c r="BI14" i="13"/>
  <c r="AG59" i="12"/>
  <c r="AE58" i="12"/>
  <c r="AE57" i="12" s="1"/>
  <c r="AA100" i="14"/>
  <c r="Y96" i="14"/>
  <c r="BO22" i="13"/>
  <c r="BI11" i="13" s="1"/>
  <c r="L56" i="12"/>
  <c r="J54" i="12"/>
  <c r="AA150" i="14"/>
  <c r="Y149" i="14"/>
  <c r="Y147" i="14" s="1"/>
  <c r="AD195" i="11"/>
  <c r="BP28" i="11"/>
  <c r="BO28" i="13"/>
  <c r="AA195" i="13"/>
  <c r="AA193" i="13" s="1"/>
  <c r="Y107" i="15"/>
  <c r="AA105" i="14"/>
  <c r="AA104" i="14" s="1"/>
  <c r="AH107" i="14"/>
  <c r="AH105" i="14" s="1"/>
  <c r="AH104" i="14" s="1"/>
  <c r="AA46" i="16"/>
  <c r="Y44" i="16"/>
  <c r="Y179" i="15"/>
  <c r="AA176" i="14"/>
  <c r="AH179" i="14"/>
  <c r="AD100" i="12"/>
  <c r="AB96" i="12"/>
  <c r="AA225" i="14"/>
  <c r="Y222" i="14"/>
  <c r="Y220" i="14" s="1"/>
  <c r="AG115" i="12"/>
  <c r="AI90" i="11"/>
  <c r="AB127" i="13"/>
  <c r="AD123" i="12"/>
  <c r="AI127" i="12"/>
  <c r="AI123" i="12" s="1"/>
  <c r="Y213" i="15"/>
  <c r="AA211" i="14"/>
  <c r="AA210" i="14" s="1"/>
  <c r="AA209" i="14" s="1"/>
  <c r="AH213" i="14"/>
  <c r="Y173" i="15"/>
  <c r="AA172" i="14"/>
  <c r="AH173" i="14"/>
  <c r="AD227" i="12"/>
  <c r="AB229" i="13"/>
  <c r="AI229" i="12"/>
  <c r="AI227" i="12" s="1"/>
  <c r="Y117" i="15"/>
  <c r="AA114" i="14"/>
  <c r="AH117" i="14"/>
  <c r="AA95" i="14"/>
  <c r="Y91" i="14"/>
  <c r="AG86" i="12"/>
  <c r="AD198" i="12"/>
  <c r="AB197" i="12"/>
  <c r="AB196" i="12" s="1"/>
  <c r="AB195" i="12" s="1"/>
  <c r="AA200" i="14"/>
  <c r="Y197" i="14"/>
  <c r="Y196" i="14" s="1"/>
  <c r="Y195" i="14" s="1"/>
  <c r="Y193" i="14" s="1"/>
  <c r="AD46" i="12"/>
  <c r="AB44" i="12"/>
  <c r="J74" i="13"/>
  <c r="L72" i="12"/>
  <c r="N74" i="12"/>
  <c r="N72" i="12" s="1"/>
  <c r="AB188" i="13"/>
  <c r="AD187" i="12"/>
  <c r="AD185" i="12" s="1"/>
  <c r="AI188" i="12"/>
  <c r="AI187" i="12" s="1"/>
  <c r="AI185" i="12" s="1"/>
  <c r="AE93" i="13"/>
  <c r="AJ93" i="12"/>
  <c r="L44" i="12"/>
  <c r="J42" i="12"/>
  <c r="AD238" i="12"/>
  <c r="AB235" i="12"/>
  <c r="AB234" i="12" s="1"/>
  <c r="AE36" i="13"/>
  <c r="AJ36" i="12"/>
  <c r="AJ35" i="12" s="1"/>
  <c r="AG35" i="12"/>
  <c r="BP16" i="11"/>
  <c r="AD112" i="11"/>
  <c r="AE149" i="12"/>
  <c r="AE147" i="12" s="1"/>
  <c r="AG152" i="12"/>
  <c r="AD90" i="11"/>
  <c r="J80" i="13"/>
  <c r="N80" i="12"/>
  <c r="BN24" i="12"/>
  <c r="BN22" i="12" s="1"/>
  <c r="BH11" i="12" s="1"/>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E196" i="10" s="1"/>
  <c r="AE195" i="10" s="1"/>
  <c r="AA85" i="10"/>
  <c r="Y83" i="10"/>
  <c r="BI15" i="10"/>
  <c r="AG212" i="10"/>
  <c r="AE211" i="10"/>
  <c r="AE210" i="10" s="1"/>
  <c r="AE209" i="10" s="1"/>
  <c r="AG174" i="15"/>
  <c r="AE172" i="15"/>
  <c r="AA61" i="11"/>
  <c r="Y57" i="11"/>
  <c r="AG241" i="10"/>
  <c r="AE235" i="10"/>
  <c r="AE234" i="10" s="1"/>
  <c r="AH14" i="9"/>
  <c r="AA37" i="10"/>
  <c r="Y35" i="10"/>
  <c r="AG52" i="10"/>
  <c r="AE49" i="10"/>
  <c r="AE43" i="10" s="1"/>
  <c r="AD145" i="9"/>
  <c r="AD110" i="9" s="1"/>
  <c r="AR26" i="9" s="1"/>
  <c r="BP17" i="9"/>
  <c r="BP15" i="9" s="1"/>
  <c r="BJ10" i="9" s="1"/>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B145" i="10" s="1"/>
  <c r="AB110" i="10" s="1"/>
  <c r="AD39" i="10"/>
  <c r="AB35" i="10"/>
  <c r="AB14" i="10" s="1"/>
  <c r="AB12" i="10" s="1"/>
  <c r="W133" i="15"/>
  <c r="X133" i="14"/>
  <c r="X123" i="14" s="1"/>
  <c r="W123" i="14"/>
  <c r="W112" i="14" s="1"/>
  <c r="W110" i="14" s="1"/>
  <c r="AD180" i="10"/>
  <c r="AB176" i="10"/>
  <c r="AB170" i="10" s="1"/>
  <c r="AG14" i="9"/>
  <c r="AS23" i="9"/>
  <c r="AG23" i="10"/>
  <c r="AE20" i="10"/>
  <c r="AE16" i="10" s="1"/>
  <c r="AG70" i="10"/>
  <c r="AE69" i="10"/>
  <c r="AE65" i="10" s="1"/>
  <c r="AA14" i="9"/>
  <c r="BO12" i="9"/>
  <c r="BO9" i="9" s="1"/>
  <c r="AJ133" i="13"/>
  <c r="AI133" i="13"/>
  <c r="X170" i="13"/>
  <c r="AQ27" i="13" s="1"/>
  <c r="AR16" i="9"/>
  <c r="AW16" i="9" s="1"/>
  <c r="AY16" i="9" s="1"/>
  <c r="AS16" i="9"/>
  <c r="AX16" i="9" s="1"/>
  <c r="AQ16" i="13"/>
  <c r="J95" i="14"/>
  <c r="L94" i="13"/>
  <c r="N95" i="13"/>
  <c r="N94" i="13" s="1"/>
  <c r="AI73" i="14"/>
  <c r="AJ73" i="14"/>
  <c r="X69" i="14"/>
  <c r="X65" i="14" s="1"/>
  <c r="AH73" i="14"/>
  <c r="AG124" i="11"/>
  <c r="AG80" i="11"/>
  <c r="V170" i="14"/>
  <c r="V228" i="16"/>
  <c r="V227" i="15"/>
  <c r="V220" i="15" s="1"/>
  <c r="X228" i="15"/>
  <c r="AH238" i="14"/>
  <c r="AG161" i="11"/>
  <c r="K126" i="13"/>
  <c r="K130" i="13" s="1"/>
  <c r="N25" i="20"/>
  <c r="BE22" i="13"/>
  <c r="BF22" i="13" s="1"/>
  <c r="BF21" i="13"/>
  <c r="V177" i="16"/>
  <c r="V176" i="15"/>
  <c r="X177" i="15"/>
  <c r="BP12" i="10"/>
  <c r="AR23" i="10"/>
  <c r="AH188" i="14"/>
  <c r="X187" i="14"/>
  <c r="X185" i="14" s="1"/>
  <c r="AW29" i="10"/>
  <c r="AY29" i="10" s="1"/>
  <c r="BP27" i="10"/>
  <c r="BP25" i="10" s="1"/>
  <c r="BJ12" i="10" s="1"/>
  <c r="AI237" i="14"/>
  <c r="X235" i="14"/>
  <c r="X234" i="14" s="1"/>
  <c r="V174" i="16"/>
  <c r="V172" i="15"/>
  <c r="X174" i="15"/>
  <c r="G41" i="14"/>
  <c r="I41" i="14" s="1"/>
  <c r="V238" i="16"/>
  <c r="X238" i="16" s="1"/>
  <c r="X238" i="15"/>
  <c r="AH135" i="14"/>
  <c r="AI135" i="14"/>
  <c r="AJ135" i="14"/>
  <c r="P126" i="13"/>
  <c r="P130" i="13" s="1"/>
  <c r="V73" i="16"/>
  <c r="V69" i="15"/>
  <c r="V65" i="15" s="1"/>
  <c r="X73" i="15"/>
  <c r="AD75" i="11"/>
  <c r="AB69" i="11"/>
  <c r="AB65" i="11" s="1"/>
  <c r="AD216" i="11"/>
  <c r="AB211" i="11"/>
  <c r="AB210" i="11" s="1"/>
  <c r="AB209" i="11" s="1"/>
  <c r="AB193" i="11" s="1"/>
  <c r="X227" i="14"/>
  <c r="X220" i="14" s="1"/>
  <c r="BN30" i="14" s="1"/>
  <c r="BH14" i="14" s="1"/>
  <c r="AH228" i="14"/>
  <c r="AH227" i="14" s="1"/>
  <c r="AI228" i="14"/>
  <c r="J12" i="14"/>
  <c r="L12" i="14" s="1"/>
  <c r="N12" i="13"/>
  <c r="V135" i="16"/>
  <c r="X135" i="15"/>
  <c r="V123" i="15"/>
  <c r="BE21" i="14"/>
  <c r="P128" i="14"/>
  <c r="P126" i="14" s="1"/>
  <c r="P130" i="14" s="1"/>
  <c r="C128" i="14"/>
  <c r="H128" i="14"/>
  <c r="H126" i="14" s="1"/>
  <c r="H130" i="14" s="1"/>
  <c r="Q128" i="14"/>
  <c r="Q126" i="14" s="1"/>
  <c r="Q130" i="14" s="1"/>
  <c r="B24" i="15"/>
  <c r="K128" i="14"/>
  <c r="K126" i="14" s="1"/>
  <c r="K130" i="14" s="1"/>
  <c r="AH177" i="14"/>
  <c r="BN23" i="14"/>
  <c r="X176" i="14"/>
  <c r="AI177" i="14"/>
  <c r="AJ177" i="14"/>
  <c r="V188" i="16"/>
  <c r="V187" i="15"/>
  <c r="V185" i="15" s="1"/>
  <c r="X188" i="15"/>
  <c r="L86" i="13"/>
  <c r="J85" i="13"/>
  <c r="V237" i="16"/>
  <c r="V235" i="15"/>
  <c r="V234" i="15" s="1"/>
  <c r="X237" i="15"/>
  <c r="AH174" i="14"/>
  <c r="X172" i="14"/>
  <c r="AI174" i="14"/>
  <c r="AI172" i="14" s="1"/>
  <c r="AJ174" i="14"/>
  <c r="AJ172" i="14" s="1"/>
  <c r="BN31" i="14"/>
  <c r="BH15" i="14" s="1"/>
  <c r="I95" i="13"/>
  <c r="G94" i="13"/>
  <c r="L105" i="13"/>
  <c r="J104" i="13"/>
  <c r="G24" i="10"/>
  <c r="M24" i="9"/>
  <c r="M22" i="9" s="1"/>
  <c r="I22" i="9"/>
  <c r="AR7" i="9" s="1"/>
  <c r="AU7" i="9" s="1"/>
  <c r="AW7" i="9"/>
  <c r="AY7" i="9" s="1"/>
  <c r="E126" i="13"/>
  <c r="N128" i="9"/>
  <c r="N21" i="9"/>
  <c r="N19" i="9" s="1"/>
  <c r="N17" i="9" s="1"/>
  <c r="N8" i="9" s="1"/>
  <c r="L21" i="9"/>
  <c r="L19" i="9" s="1"/>
  <c r="AS14" i="9" s="1"/>
  <c r="AV14" i="9" s="1"/>
  <c r="L27" i="10"/>
  <c r="L128" i="10" s="1"/>
  <c r="J25" i="10"/>
  <c r="J21" i="10" s="1"/>
  <c r="J19" i="10" s="1"/>
  <c r="J17" i="10" s="1"/>
  <c r="G27" i="10"/>
  <c r="AW8" i="9"/>
  <c r="AY8" i="9" s="1"/>
  <c r="I25" i="9"/>
  <c r="AR8" i="9" s="1"/>
  <c r="AU8" i="9" s="1"/>
  <c r="M27" i="9"/>
  <c r="M25" i="9" s="1"/>
  <c r="G88" i="14"/>
  <c r="M88" i="13"/>
  <c r="M85" i="13" s="1"/>
  <c r="I85" i="13"/>
  <c r="AW11" i="13"/>
  <c r="AY11" i="13" s="1"/>
  <c r="AR11" i="13"/>
  <c r="AU11" i="13" s="1"/>
  <c r="L31" i="14"/>
  <c r="G50" i="14"/>
  <c r="I48" i="13"/>
  <c r="M50" i="13"/>
  <c r="M48" i="13" s="1"/>
  <c r="I44" i="15"/>
  <c r="G42" i="15"/>
  <c r="J37" i="14"/>
  <c r="G68" i="12"/>
  <c r="I66" i="11"/>
  <c r="M68" i="11"/>
  <c r="M66" i="11" s="1"/>
  <c r="M77" i="14"/>
  <c r="E47" i="16"/>
  <c r="E45" i="15"/>
  <c r="F47" i="15"/>
  <c r="M65" i="14"/>
  <c r="BC11" i="14"/>
  <c r="F25" i="14"/>
  <c r="AQ8" i="14" s="1"/>
  <c r="D13" i="16"/>
  <c r="F13" i="15"/>
  <c r="D68" i="16"/>
  <c r="D66" i="15"/>
  <c r="F68" i="15"/>
  <c r="E53" i="16"/>
  <c r="E51" i="15"/>
  <c r="F53" i="15"/>
  <c r="J33" i="12"/>
  <c r="L32" i="11"/>
  <c r="L28" i="11" s="1"/>
  <c r="AX9" i="11"/>
  <c r="AZ9" i="11" s="1"/>
  <c r="N33" i="11"/>
  <c r="N32" i="11" s="1"/>
  <c r="N28" i="11" s="1"/>
  <c r="D56" i="16"/>
  <c r="D54" i="15"/>
  <c r="F56" i="15"/>
  <c r="E77" i="16"/>
  <c r="E75" i="15"/>
  <c r="F77" i="15"/>
  <c r="F45" i="14"/>
  <c r="M47" i="14"/>
  <c r="J83" i="12"/>
  <c r="L81" i="11"/>
  <c r="AX14" i="11" s="1"/>
  <c r="N83" i="11"/>
  <c r="N81" i="11" s="1"/>
  <c r="E65" i="16"/>
  <c r="E63" i="15"/>
  <c r="F65" i="15"/>
  <c r="E26" i="16"/>
  <c r="E25" i="15"/>
  <c r="F26" i="15"/>
  <c r="M13" i="14"/>
  <c r="F66" i="14"/>
  <c r="G80" i="13"/>
  <c r="M80" i="12"/>
  <c r="M53" i="14"/>
  <c r="F51" i="14"/>
  <c r="G52" i="12"/>
  <c r="I51" i="11"/>
  <c r="M52" i="11"/>
  <c r="M51" i="11" s="1"/>
  <c r="J65" i="12"/>
  <c r="L63" i="11"/>
  <c r="N65" i="11"/>
  <c r="N63" i="11" s="1"/>
  <c r="G37" i="12"/>
  <c r="I35" i="11"/>
  <c r="M37" i="11"/>
  <c r="M35" i="11" s="1"/>
  <c r="F54" i="14"/>
  <c r="E71" i="16"/>
  <c r="E69" i="15"/>
  <c r="F71" i="15"/>
  <c r="J47" i="12"/>
  <c r="L45" i="11"/>
  <c r="N47" i="11"/>
  <c r="N45" i="11" s="1"/>
  <c r="E83" i="16"/>
  <c r="E81" i="15"/>
  <c r="F83" i="15"/>
  <c r="J77" i="12"/>
  <c r="L75" i="11"/>
  <c r="N77" i="11"/>
  <c r="N75" i="11" s="1"/>
  <c r="F57" i="14"/>
  <c r="M59" i="14"/>
  <c r="M57" i="14" s="1"/>
  <c r="E14" i="16"/>
  <c r="E10" i="15"/>
  <c r="F14" i="15"/>
  <c r="E32" i="16"/>
  <c r="E28" i="16" s="1"/>
  <c r="F33" i="16"/>
  <c r="G74" i="12"/>
  <c r="M74" i="11"/>
  <c r="M72" i="11" s="1"/>
  <c r="I72" i="11"/>
  <c r="J59" i="12"/>
  <c r="L57" i="11"/>
  <c r="N59" i="11"/>
  <c r="N57" i="11" s="1"/>
  <c r="F69" i="14"/>
  <c r="M71" i="14"/>
  <c r="M69" i="14" s="1"/>
  <c r="D37" i="16"/>
  <c r="F37" i="15"/>
  <c r="G46" i="12"/>
  <c r="I45" i="11"/>
  <c r="M46" i="11"/>
  <c r="M45" i="11" s="1"/>
  <c r="BD15" i="11"/>
  <c r="J53" i="12"/>
  <c r="L51" i="11"/>
  <c r="N53" i="11"/>
  <c r="N51" i="11" s="1"/>
  <c r="F81" i="14"/>
  <c r="M83" i="14"/>
  <c r="M81" i="14" s="1"/>
  <c r="E59" i="16"/>
  <c r="E57" i="15"/>
  <c r="F59" i="15"/>
  <c r="M14" i="14"/>
  <c r="N14" i="14"/>
  <c r="D31" i="16"/>
  <c r="F31" i="15"/>
  <c r="J26" i="12"/>
  <c r="N26" i="11"/>
  <c r="F32" i="15"/>
  <c r="M33" i="15"/>
  <c r="M32" i="15" s="1"/>
  <c r="BC7" i="13"/>
  <c r="G62" i="12"/>
  <c r="I60" i="11"/>
  <c r="M62" i="11"/>
  <c r="M60" i="11" s="1"/>
  <c r="J71" i="12"/>
  <c r="L69" i="11"/>
  <c r="N71" i="11"/>
  <c r="N69" i="11" s="1"/>
  <c r="J24" i="11"/>
  <c r="AX7" i="10"/>
  <c r="AZ7" i="10" s="1"/>
  <c r="L22" i="10"/>
  <c r="N24" i="10"/>
  <c r="F22" i="13"/>
  <c r="AQ7" i="13" s="1"/>
  <c r="F128" i="13"/>
  <c r="M10" i="9"/>
  <c r="L13" i="10"/>
  <c r="J10" i="10"/>
  <c r="J15" i="15"/>
  <c r="L15" i="15" s="1"/>
  <c r="N15" i="14"/>
  <c r="E24" i="15"/>
  <c r="E22" i="14"/>
  <c r="E21" i="14" s="1"/>
  <c r="E19" i="14" s="1"/>
  <c r="E17" i="14" s="1"/>
  <c r="E8" i="14" s="1"/>
  <c r="E128" i="14"/>
  <c r="D24" i="15"/>
  <c r="D22" i="14"/>
  <c r="F24" i="14"/>
  <c r="BC21" i="14" s="1"/>
  <c r="D128" i="14"/>
  <c r="AB88" i="11"/>
  <c r="BP31" i="10"/>
  <c r="AD83" i="10"/>
  <c r="AD63" i="10" s="1"/>
  <c r="AI88" i="10"/>
  <c r="AI83" i="10" s="1"/>
  <c r="AI63" i="10" s="1"/>
  <c r="Y237" i="11"/>
  <c r="AA235" i="10"/>
  <c r="AH237" i="10"/>
  <c r="AH235" i="10" s="1"/>
  <c r="AH234" i="10" s="1"/>
  <c r="V245" i="16"/>
  <c r="X245" i="15"/>
  <c r="AD50" i="11"/>
  <c r="AB49" i="11"/>
  <c r="AB43" i="11" s="1"/>
  <c r="BO17" i="10"/>
  <c r="BO15" i="10" s="1"/>
  <c r="AA112" i="10"/>
  <c r="AA110" i="10" s="1"/>
  <c r="AA159" i="11"/>
  <c r="Y157" i="11"/>
  <c r="Y155" i="11" s="1"/>
  <c r="Y145" i="11" s="1"/>
  <c r="AA133" i="11"/>
  <c r="Y123" i="11"/>
  <c r="Y112" i="11" s="1"/>
  <c r="AH245" i="14"/>
  <c r="AI245" i="14"/>
  <c r="AJ245" i="14"/>
  <c r="AD107" i="11"/>
  <c r="AB105" i="11"/>
  <c r="AB104" i="11" s="1"/>
  <c r="I56" i="11"/>
  <c r="AR25" i="10"/>
  <c r="BP13" i="10"/>
  <c r="AH110" i="10"/>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AE238" i="16"/>
  <c r="AG238" i="16" s="1"/>
  <c r="AJ238" i="15"/>
  <c r="AE188" i="12"/>
  <c r="AJ188" i="11"/>
  <c r="AE229" i="15"/>
  <c r="AG229" i="15" s="1"/>
  <c r="AJ229" i="14"/>
  <c r="AJ216" i="15"/>
  <c r="AE216" i="16"/>
  <c r="AG216" i="16" s="1"/>
  <c r="AJ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J215" i="15"/>
  <c r="AE215" i="16"/>
  <c r="AG215" i="16" s="1"/>
  <c r="AJ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N49" i="20" l="1"/>
  <c r="N56" i="20" s="1"/>
  <c r="R51" i="20"/>
  <c r="R49" i="20" s="1"/>
  <c r="R56" i="20" s="1"/>
  <c r="V110" i="13"/>
  <c r="AQ14" i="11"/>
  <c r="AZ14" i="11" s="1"/>
  <c r="AX27" i="9"/>
  <c r="AZ27" i="9" s="1"/>
  <c r="AQ23" i="13"/>
  <c r="V258" i="11"/>
  <c r="AV16" i="9"/>
  <c r="BP8" i="9"/>
  <c r="BP7" i="9" s="1"/>
  <c r="Y1" i="8"/>
  <c r="F73" i="15"/>
  <c r="D73" i="16"/>
  <c r="D72" i="15"/>
  <c r="M73" i="14"/>
  <c r="N73" i="14"/>
  <c r="F72" i="14"/>
  <c r="V145" i="14"/>
  <c r="BN14" i="12"/>
  <c r="BH9" i="12" s="1"/>
  <c r="V10" i="12"/>
  <c r="AQ24" i="12"/>
  <c r="D80" i="16"/>
  <c r="F80" i="16" s="1"/>
  <c r="F80" i="15"/>
  <c r="AU16" i="9"/>
  <c r="AW24" i="9"/>
  <c r="AY24" i="9" s="1"/>
  <c r="AR31" i="8"/>
  <c r="AR32" i="8" s="1"/>
  <c r="AV35" i="8" s="1"/>
  <c r="W43" i="14"/>
  <c r="W14" i="14" s="1"/>
  <c r="W12" i="14" s="1"/>
  <c r="W10" i="14" s="1"/>
  <c r="AH196" i="13"/>
  <c r="AH195" i="13" s="1"/>
  <c r="AH193" i="13" s="1"/>
  <c r="AV9" i="10"/>
  <c r="D60" i="15"/>
  <c r="D61" i="16"/>
  <c r="F61" i="15"/>
  <c r="N61" i="14"/>
  <c r="F60" i="14"/>
  <c r="M61" i="14"/>
  <c r="AX28" i="9"/>
  <c r="AZ28" i="9" s="1"/>
  <c r="AV28" i="9"/>
  <c r="AW27" i="9"/>
  <c r="AY27" i="9" s="1"/>
  <c r="AU27" i="9"/>
  <c r="AW26" i="9"/>
  <c r="AY26" i="9" s="1"/>
  <c r="AU26" i="9"/>
  <c r="AX25" i="8"/>
  <c r="AZ25" i="8" s="1"/>
  <c r="AV25" i="8"/>
  <c r="AX26" i="9"/>
  <c r="AZ26" i="9" s="1"/>
  <c r="AV26" i="9"/>
  <c r="AX23" i="9"/>
  <c r="AZ23" i="9" s="1"/>
  <c r="AV23" i="9"/>
  <c r="AG90" i="9"/>
  <c r="D28" i="13"/>
  <c r="D21" i="13" s="1"/>
  <c r="D19" i="13" s="1"/>
  <c r="D17" i="13" s="1"/>
  <c r="AY28" i="10"/>
  <c r="X8" i="10"/>
  <c r="AQ30" i="12"/>
  <c r="W258" i="13"/>
  <c r="AH90" i="13"/>
  <c r="X145" i="13"/>
  <c r="V63" i="13"/>
  <c r="V12" i="13" s="1"/>
  <c r="V10" i="13" s="1"/>
  <c r="V8" i="13" s="1"/>
  <c r="X195" i="13"/>
  <c r="BN28" i="13"/>
  <c r="V39" i="16"/>
  <c r="X39" i="15"/>
  <c r="V35" i="15"/>
  <c r="AH158" i="14"/>
  <c r="AI158" i="14"/>
  <c r="X157" i="14"/>
  <c r="X155" i="14" s="1"/>
  <c r="BN17" i="14" s="1"/>
  <c r="AJ158" i="14"/>
  <c r="W39" i="16"/>
  <c r="W35" i="16" s="1"/>
  <c r="W35" i="15"/>
  <c r="V51" i="16"/>
  <c r="X51" i="15"/>
  <c r="V49" i="15"/>
  <c r="D12" i="15"/>
  <c r="F12" i="14"/>
  <c r="F10" i="14" s="1"/>
  <c r="D10" i="14"/>
  <c r="F52" i="15"/>
  <c r="N52" i="15" s="1"/>
  <c r="D51" i="15"/>
  <c r="D52" i="16"/>
  <c r="F79" i="15"/>
  <c r="D78" i="15"/>
  <c r="F78" i="15" s="1"/>
  <c r="D79" i="16"/>
  <c r="X205" i="14"/>
  <c r="AH206" i="14"/>
  <c r="AH205" i="14" s="1"/>
  <c r="AI206" i="14"/>
  <c r="AI205" i="14" s="1"/>
  <c r="AJ46" i="13"/>
  <c r="X44" i="13"/>
  <c r="X43" i="13" s="1"/>
  <c r="X14" i="13" s="1"/>
  <c r="AH46" i="13"/>
  <c r="AH44" i="13" s="1"/>
  <c r="AH43" i="13" s="1"/>
  <c r="AG94" i="10"/>
  <c r="AE91" i="10"/>
  <c r="V21" i="16"/>
  <c r="X21" i="15"/>
  <c r="V20" i="15"/>
  <c r="V16" i="15" s="1"/>
  <c r="M43" i="14"/>
  <c r="M42" i="14" s="1"/>
  <c r="BC16" i="14"/>
  <c r="N43" i="14"/>
  <c r="F42" i="14"/>
  <c r="AQ10" i="14" s="1"/>
  <c r="AG126" i="10"/>
  <c r="AE123" i="10"/>
  <c r="AE112" i="10" s="1"/>
  <c r="AE110" i="10" s="1"/>
  <c r="F17" i="10"/>
  <c r="AQ14" i="10"/>
  <c r="AZ14" i="10" s="1"/>
  <c r="M36" i="13"/>
  <c r="F35" i="13"/>
  <c r="AE160" i="11"/>
  <c r="AJ160" i="10"/>
  <c r="AJ157" i="10" s="1"/>
  <c r="AJ155" i="10" s="1"/>
  <c r="AJ145" i="10" s="1"/>
  <c r="AG157" i="10"/>
  <c r="AG155" i="10" s="1"/>
  <c r="AG145" i="10" s="1"/>
  <c r="X10" i="11"/>
  <c r="D45" i="15"/>
  <c r="D46" i="16"/>
  <c r="F46" i="15"/>
  <c r="BC12" i="13"/>
  <c r="N23" i="13"/>
  <c r="W21" i="16"/>
  <c r="W20" i="16" s="1"/>
  <c r="W16" i="16" s="1"/>
  <c r="W20" i="15"/>
  <c r="W16" i="15" s="1"/>
  <c r="N49" i="15"/>
  <c r="M49" i="15"/>
  <c r="F48" i="15"/>
  <c r="F76" i="14"/>
  <c r="D76" i="15"/>
  <c r="D75" i="14"/>
  <c r="G76" i="15"/>
  <c r="I75" i="14"/>
  <c r="W8" i="13"/>
  <c r="AQ29" i="13"/>
  <c r="BN27" i="13"/>
  <c r="AE106" i="11"/>
  <c r="AJ106" i="10"/>
  <c r="AJ105" i="10" s="1"/>
  <c r="AJ104" i="10" s="1"/>
  <c r="AG105" i="10"/>
  <c r="AG104" i="10" s="1"/>
  <c r="BN28" i="12"/>
  <c r="BN25" i="12" s="1"/>
  <c r="BH12" i="12" s="1"/>
  <c r="X195" i="12"/>
  <c r="V158" i="16"/>
  <c r="X158" i="15"/>
  <c r="V157" i="15"/>
  <c r="V155" i="15" s="1"/>
  <c r="AJ85" i="13"/>
  <c r="X83" i="13"/>
  <c r="AI85" i="13"/>
  <c r="V193" i="14"/>
  <c r="F64" i="14"/>
  <c r="D64" i="15"/>
  <c r="D63" i="14"/>
  <c r="N79" i="14"/>
  <c r="M79" i="14"/>
  <c r="AU29" i="12"/>
  <c r="AV29" i="12"/>
  <c r="V46" i="15"/>
  <c r="X46" i="14"/>
  <c r="V44" i="14"/>
  <c r="V43" i="14" s="1"/>
  <c r="V14" i="14" s="1"/>
  <c r="G70" i="16"/>
  <c r="M70" i="15"/>
  <c r="I69" i="15"/>
  <c r="AH214" i="14"/>
  <c r="AH211" i="14" s="1"/>
  <c r="AH210" i="14" s="1"/>
  <c r="AH209" i="14" s="1"/>
  <c r="AI214" i="14"/>
  <c r="X211" i="14"/>
  <c r="X210" i="14" s="1"/>
  <c r="X209" i="14" s="1"/>
  <c r="AJ214" i="14"/>
  <c r="D36" i="15"/>
  <c r="F36" i="14"/>
  <c r="D35" i="14"/>
  <c r="V90" i="14"/>
  <c r="BH9" i="11"/>
  <c r="BH7" i="11" s="1"/>
  <c r="BH16" i="11" s="1"/>
  <c r="BN8" i="11"/>
  <c r="BN7" i="11" s="1"/>
  <c r="BN32" i="11" s="1"/>
  <c r="AJ90" i="9"/>
  <c r="AJ63" i="9" s="1"/>
  <c r="AJ12" i="9" s="1"/>
  <c r="AJ10" i="9" s="1"/>
  <c r="D23" i="15"/>
  <c r="F23" i="14"/>
  <c r="BC13" i="13"/>
  <c r="F29" i="13"/>
  <c r="F28" i="13" s="1"/>
  <c r="N76" i="13"/>
  <c r="M76" i="13"/>
  <c r="M75" i="13" s="1"/>
  <c r="F75" i="13"/>
  <c r="AJ97" i="14"/>
  <c r="AH97" i="14"/>
  <c r="AI97" i="14"/>
  <c r="X96" i="14"/>
  <c r="V85" i="15"/>
  <c r="X85" i="14"/>
  <c r="V83" i="14"/>
  <c r="AU10" i="13"/>
  <c r="AV10" i="13"/>
  <c r="AY10" i="13"/>
  <c r="AH151" i="14"/>
  <c r="AI151" i="14"/>
  <c r="AJ151" i="14"/>
  <c r="X149" i="14"/>
  <c r="X147" i="14" s="1"/>
  <c r="AH201" i="14"/>
  <c r="AI201" i="14"/>
  <c r="X197" i="14"/>
  <c r="X196" i="14" s="1"/>
  <c r="AJ201" i="14"/>
  <c r="N64" i="13"/>
  <c r="M64" i="13"/>
  <c r="M63" i="13" s="1"/>
  <c r="BC14" i="13"/>
  <c r="F63" i="13"/>
  <c r="BC10" i="12"/>
  <c r="BC9" i="12" s="1"/>
  <c r="BC8" i="12" s="1"/>
  <c r="BC22" i="12" s="1"/>
  <c r="V206" i="16"/>
  <c r="V205" i="15"/>
  <c r="X206" i="15"/>
  <c r="AQ24" i="13"/>
  <c r="D42" i="15"/>
  <c r="D43" i="16"/>
  <c r="F43" i="15"/>
  <c r="AH142" i="14"/>
  <c r="AH141" i="14" s="1"/>
  <c r="AJ142" i="14"/>
  <c r="X141" i="14"/>
  <c r="BN20" i="14" s="1"/>
  <c r="AI142" i="14"/>
  <c r="AI141" i="14" s="1"/>
  <c r="V214" i="16"/>
  <c r="X214" i="15"/>
  <c r="V211" i="15"/>
  <c r="V210" i="15" s="1"/>
  <c r="V209" i="15" s="1"/>
  <c r="AB174" i="16"/>
  <c r="AD172" i="15"/>
  <c r="W51" i="16"/>
  <c r="W49" i="16" s="1"/>
  <c r="W49" i="15"/>
  <c r="AE116" i="11"/>
  <c r="AJ116" i="10"/>
  <c r="AJ114" i="10" s="1"/>
  <c r="AG114" i="10"/>
  <c r="AH92" i="14"/>
  <c r="AJ92" i="14"/>
  <c r="X91" i="14"/>
  <c r="AQ25" i="12"/>
  <c r="BN13" i="12"/>
  <c r="AI118" i="13"/>
  <c r="AH118" i="13"/>
  <c r="AH114" i="13" s="1"/>
  <c r="AJ118" i="13"/>
  <c r="X114" i="13"/>
  <c r="AJ189" i="10"/>
  <c r="AJ187" i="10" s="1"/>
  <c r="AJ185" i="10" s="1"/>
  <c r="AE189" i="11"/>
  <c r="AG187" i="10"/>
  <c r="AG185" i="10" s="1"/>
  <c r="BC15" i="14"/>
  <c r="N46" i="14"/>
  <c r="AG99" i="10"/>
  <c r="AE96" i="10"/>
  <c r="D30" i="15"/>
  <c r="F30" i="14"/>
  <c r="D29" i="14"/>
  <c r="X14" i="12"/>
  <c r="X12" i="12" s="1"/>
  <c r="D71" i="16"/>
  <c r="D69" i="16" s="1"/>
  <c r="D69" i="15"/>
  <c r="AG232" i="9"/>
  <c r="AS30" i="9" s="1"/>
  <c r="AJ39" i="14"/>
  <c r="AH39" i="14"/>
  <c r="X35" i="14"/>
  <c r="V97" i="16"/>
  <c r="X97" i="15"/>
  <c r="V96" i="15"/>
  <c r="AI51" i="14"/>
  <c r="AJ51" i="14"/>
  <c r="X49" i="14"/>
  <c r="AH51" i="14"/>
  <c r="AH49" i="14" s="1"/>
  <c r="AG178" i="10"/>
  <c r="AE176" i="10"/>
  <c r="AE170" i="10" s="1"/>
  <c r="V151" i="16"/>
  <c r="X151" i="15"/>
  <c r="V149" i="15"/>
  <c r="V147" i="15" s="1"/>
  <c r="V201" i="16"/>
  <c r="X201" i="15"/>
  <c r="V197" i="15"/>
  <c r="W46" i="16"/>
  <c r="W44" i="16" s="1"/>
  <c r="W44" i="15"/>
  <c r="F28" i="12"/>
  <c r="AG258" i="8"/>
  <c r="AS31" i="8" s="1"/>
  <c r="AS32" i="8" s="1"/>
  <c r="AG8" i="8"/>
  <c r="AC1" i="8" s="1"/>
  <c r="AH21" i="14"/>
  <c r="AI21" i="14"/>
  <c r="AJ21" i="14"/>
  <c r="X20" i="14"/>
  <c r="X16"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X90" i="13"/>
  <c r="BN13" i="13" s="1"/>
  <c r="D48" i="16"/>
  <c r="F49" i="16"/>
  <c r="AE87" i="11"/>
  <c r="AJ87" i="10"/>
  <c r="AJ83" i="10" s="1"/>
  <c r="AG83" i="10"/>
  <c r="AS24" i="10" s="1"/>
  <c r="AF258" i="9"/>
  <c r="BP29" i="9"/>
  <c r="BJ13" i="9" s="1"/>
  <c r="AR30" i="9"/>
  <c r="AE243" i="10"/>
  <c r="AG244" i="10"/>
  <c r="AD244" i="10"/>
  <c r="AB243" i="10"/>
  <c r="AB232" i="10" s="1"/>
  <c r="X243" i="13"/>
  <c r="X232" i="13" s="1"/>
  <c r="AD10" i="9"/>
  <c r="AD8" i="9" s="1"/>
  <c r="AA244" i="10"/>
  <c r="Y243" i="10"/>
  <c r="Y232" i="10" s="1"/>
  <c r="V244" i="15"/>
  <c r="X244" i="14"/>
  <c r="V243" i="14"/>
  <c r="V232" i="14" s="1"/>
  <c r="AA234" i="10"/>
  <c r="AE232" i="10"/>
  <c r="AR28" i="11"/>
  <c r="AU28" i="11" s="1"/>
  <c r="W244" i="15"/>
  <c r="W243" i="14"/>
  <c r="W232" i="14" s="1"/>
  <c r="G55" i="11"/>
  <c r="M55" i="10"/>
  <c r="M54" i="10" s="1"/>
  <c r="BD17" i="10"/>
  <c r="I54" i="10"/>
  <c r="AI8" i="9"/>
  <c r="AI258" i="9"/>
  <c r="AH176" i="14"/>
  <c r="AE193" i="10"/>
  <c r="AB10" i="10"/>
  <c r="Y14" i="10"/>
  <c r="Y43" i="16"/>
  <c r="AD141" i="16"/>
  <c r="BP20" i="16" s="1"/>
  <c r="E44" i="20" s="1"/>
  <c r="AD58" i="16"/>
  <c r="AD57" i="16" s="1"/>
  <c r="AI59" i="16"/>
  <c r="AI58" i="16" s="1"/>
  <c r="AI57" i="16" s="1"/>
  <c r="AA49" i="16"/>
  <c r="Y90" i="14"/>
  <c r="X170" i="14"/>
  <c r="AQ27" i="14" s="1"/>
  <c r="AH172" i="14"/>
  <c r="Y63" i="10"/>
  <c r="AE152" i="13"/>
  <c r="AG149" i="12"/>
  <c r="AG147" i="12" s="1"/>
  <c r="AJ152" i="12"/>
  <c r="AJ149" i="12" s="1"/>
  <c r="AJ147" i="12" s="1"/>
  <c r="AB238" i="13"/>
  <c r="AD235" i="12"/>
  <c r="AD234" i="12" s="1"/>
  <c r="AI238" i="12"/>
  <c r="AI235" i="12" s="1"/>
  <c r="AI234" i="12" s="1"/>
  <c r="AD188" i="13"/>
  <c r="AB187" i="13"/>
  <c r="AB185" i="13" s="1"/>
  <c r="AE115" i="13"/>
  <c r="AJ115" i="12"/>
  <c r="AB100" i="13"/>
  <c r="AD96" i="12"/>
  <c r="AI100" i="12"/>
  <c r="AI96" i="12" s="1"/>
  <c r="AA179" i="15"/>
  <c r="Y176" i="15"/>
  <c r="AE47" i="13"/>
  <c r="AJ47" i="12"/>
  <c r="AJ44" i="12" s="1"/>
  <c r="AG44" i="12"/>
  <c r="L74" i="13"/>
  <c r="J72" i="13"/>
  <c r="Y200" i="15"/>
  <c r="AA197" i="14"/>
  <c r="AA196" i="14" s="1"/>
  <c r="AH200" i="14"/>
  <c r="AE86" i="13"/>
  <c r="AJ86" i="12"/>
  <c r="AB227" i="13"/>
  <c r="AD229" i="13"/>
  <c r="AA173" i="15"/>
  <c r="Y172" i="15"/>
  <c r="AA44" i="16"/>
  <c r="AE59" i="13"/>
  <c r="AG58" i="12"/>
  <c r="AG57" i="12" s="1"/>
  <c r="AJ59" i="12"/>
  <c r="AJ58" i="12" s="1"/>
  <c r="AJ57" i="12" s="1"/>
  <c r="J30" i="13"/>
  <c r="N30" i="12"/>
  <c r="N29" i="12" s="1"/>
  <c r="L29" i="12"/>
  <c r="J36" i="13"/>
  <c r="N36" i="12"/>
  <c r="N35" i="12" s="1"/>
  <c r="L35" i="12"/>
  <c r="AE98" i="13"/>
  <c r="AJ98" i="12"/>
  <c r="AB92" i="13"/>
  <c r="AD91" i="12"/>
  <c r="AI92" i="12"/>
  <c r="AI91" i="12" s="1"/>
  <c r="AB117" i="13"/>
  <c r="AD114" i="12"/>
  <c r="AI117" i="12"/>
  <c r="AI114" i="12" s="1"/>
  <c r="AI112" i="12" s="1"/>
  <c r="AB150" i="13"/>
  <c r="AD149" i="12"/>
  <c r="AD147" i="12" s="1"/>
  <c r="AI150" i="12"/>
  <c r="AI149" i="12" s="1"/>
  <c r="AI147" i="12" s="1"/>
  <c r="J68" i="13"/>
  <c r="L66" i="12"/>
  <c r="N68" i="12"/>
  <c r="N66" i="12" s="1"/>
  <c r="AG93" i="13"/>
  <c r="AB46" i="13"/>
  <c r="AD44" i="12"/>
  <c r="AI46" i="12"/>
  <c r="AI44" i="12" s="1"/>
  <c r="AB198" i="13"/>
  <c r="AD197" i="12"/>
  <c r="AD196" i="12" s="1"/>
  <c r="BP26" i="12"/>
  <c r="AI198" i="12"/>
  <c r="AI197" i="12" s="1"/>
  <c r="AI196" i="12" s="1"/>
  <c r="AI195" i="12" s="1"/>
  <c r="Y95" i="15"/>
  <c r="AA91" i="14"/>
  <c r="AH95" i="14"/>
  <c r="AA117" i="15"/>
  <c r="Y114" i="15"/>
  <c r="BO27" i="14"/>
  <c r="AD127" i="13"/>
  <c r="AB123" i="13"/>
  <c r="BO25" i="13"/>
  <c r="BI12" i="13" s="1"/>
  <c r="Y150" i="15"/>
  <c r="AH150" i="14"/>
  <c r="AA149" i="14"/>
  <c r="AA147" i="14" s="1"/>
  <c r="BO16" i="14" s="1"/>
  <c r="Y100" i="15"/>
  <c r="AA96" i="14"/>
  <c r="AH100" i="14"/>
  <c r="AH96" i="14" s="1"/>
  <c r="AB223" i="13"/>
  <c r="AD222" i="12"/>
  <c r="AD220" i="12" s="1"/>
  <c r="BP30" i="12" s="1"/>
  <c r="BJ14" i="12" s="1"/>
  <c r="AI223" i="12"/>
  <c r="AI222" i="12" s="1"/>
  <c r="AI220" i="12" s="1"/>
  <c r="AG143" i="13"/>
  <c r="AE141" i="13"/>
  <c r="AB22" i="13"/>
  <c r="AD20" i="12"/>
  <c r="AD16" i="12" s="1"/>
  <c r="AI22" i="12"/>
  <c r="AI20" i="12" s="1"/>
  <c r="AI16" i="12" s="1"/>
  <c r="J62" i="13"/>
  <c r="L60" i="12"/>
  <c r="N62" i="12"/>
  <c r="N60" i="12" s="1"/>
  <c r="AJ238" i="16"/>
  <c r="L80" i="13"/>
  <c r="J78" i="13"/>
  <c r="L78" i="13" s="1"/>
  <c r="N78" i="13" s="1"/>
  <c r="AE35" i="13"/>
  <c r="AG36" i="13"/>
  <c r="J44" i="13"/>
  <c r="L42" i="12"/>
  <c r="AS10" i="12" s="1"/>
  <c r="AX10" i="12"/>
  <c r="AZ10" i="12" s="1"/>
  <c r="N44" i="12"/>
  <c r="N42" i="12" s="1"/>
  <c r="AA213" i="15"/>
  <c r="Y211" i="15"/>
  <c r="Y210" i="15" s="1"/>
  <c r="Y209" i="15" s="1"/>
  <c r="Y225" i="15"/>
  <c r="AA222" i="14"/>
  <c r="AA220" i="14" s="1"/>
  <c r="BO30" i="14" s="1"/>
  <c r="BI14" i="14" s="1"/>
  <c r="AH225" i="14"/>
  <c r="AH222" i="14" s="1"/>
  <c r="AH220" i="14" s="1"/>
  <c r="AA107" i="15"/>
  <c r="Y105" i="15"/>
  <c r="Y104" i="15" s="1"/>
  <c r="J56" i="13"/>
  <c r="L54" i="12"/>
  <c r="N56" i="12"/>
  <c r="N54" i="12" s="1"/>
  <c r="L50" i="13"/>
  <c r="J48" i="13"/>
  <c r="Y190" i="15"/>
  <c r="AA187" i="14"/>
  <c r="AA185" i="14" s="1"/>
  <c r="AA170" i="14" s="1"/>
  <c r="BO24" i="14" s="1"/>
  <c r="BO22" i="14" s="1"/>
  <c r="BI11" i="14" s="1"/>
  <c r="AH190" i="14"/>
  <c r="AH187" i="14" s="1"/>
  <c r="AH185" i="14" s="1"/>
  <c r="AB90" i="12"/>
  <c r="AA246" i="15"/>
  <c r="AA12" i="9"/>
  <c r="BJ7" i="9"/>
  <c r="BJ16" i="9" s="1"/>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H57" i="11" s="1"/>
  <c r="AA57" i="11"/>
  <c r="BO13" i="11" s="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G172" i="15"/>
  <c r="AE174" i="16"/>
  <c r="Y37" i="11"/>
  <c r="AA35" i="10"/>
  <c r="AH37" i="10"/>
  <c r="AH35" i="10" s="1"/>
  <c r="AS17" i="9"/>
  <c r="AI133" i="14"/>
  <c r="AJ133" i="14"/>
  <c r="AE70" i="11"/>
  <c r="AJ70" i="10"/>
  <c r="AJ69" i="10" s="1"/>
  <c r="AJ65" i="10" s="1"/>
  <c r="AG69" i="10"/>
  <c r="AG65" i="10" s="1"/>
  <c r="W133" i="16"/>
  <c r="X133" i="15"/>
  <c r="X123" i="15" s="1"/>
  <c r="W123" i="15"/>
  <c r="W112" i="15" s="1"/>
  <c r="W110" i="15" s="1"/>
  <c r="AB167" i="11"/>
  <c r="AD157" i="10"/>
  <c r="AD155" i="10" s="1"/>
  <c r="BP19" i="10"/>
  <c r="AI167" i="10"/>
  <c r="AI157" i="10" s="1"/>
  <c r="AI155" i="10" s="1"/>
  <c r="AI145" i="10" s="1"/>
  <c r="AI110" i="10" s="1"/>
  <c r="Y71" i="11"/>
  <c r="AA69" i="10"/>
  <c r="AA65" i="10" s="1"/>
  <c r="AH71" i="10"/>
  <c r="AH69" i="10" s="1"/>
  <c r="AH65" i="10" s="1"/>
  <c r="Y27" i="11"/>
  <c r="AA20" i="10"/>
  <c r="AA16" i="10" s="1"/>
  <c r="AH27" i="10"/>
  <c r="AH20" i="10" s="1"/>
  <c r="AH16" i="10" s="1"/>
  <c r="BO8" i="9"/>
  <c r="BO7" i="9" s="1"/>
  <c r="BO32" i="9" s="1"/>
  <c r="BI8" i="9"/>
  <c r="BI7" i="9" s="1"/>
  <c r="BI16" i="9" s="1"/>
  <c r="G113" i="14"/>
  <c r="I115" i="14"/>
  <c r="AE52" i="11"/>
  <c r="AG49" i="10"/>
  <c r="AG43" i="10" s="1"/>
  <c r="AJ52" i="10"/>
  <c r="AJ49" i="10" s="1"/>
  <c r="AJ43" i="10" s="1"/>
  <c r="AE23" i="11"/>
  <c r="AG20" i="10"/>
  <c r="AG16" i="10" s="1"/>
  <c r="AJ23" i="10"/>
  <c r="AJ20" i="10" s="1"/>
  <c r="AJ16" i="10" s="1"/>
  <c r="AB180" i="11"/>
  <c r="AD176" i="10"/>
  <c r="AD170" i="10" s="1"/>
  <c r="AI180" i="10"/>
  <c r="AI176" i="10" s="1"/>
  <c r="AI170" i="10" s="1"/>
  <c r="AB39" i="11"/>
  <c r="AD35" i="10"/>
  <c r="AD14" i="10" s="1"/>
  <c r="AD12" i="10" s="1"/>
  <c r="AI39" i="10"/>
  <c r="AI35" i="10" s="1"/>
  <c r="AI14" i="10" s="1"/>
  <c r="AI12" i="10" s="1"/>
  <c r="J115" i="15"/>
  <c r="L113" i="14"/>
  <c r="AS15" i="14" s="1"/>
  <c r="AX15" i="14" s="1"/>
  <c r="N115" i="14"/>
  <c r="N113" i="14" s="1"/>
  <c r="BN24" i="13"/>
  <c r="BN22" i="13" s="1"/>
  <c r="BH11" i="13" s="1"/>
  <c r="AQ16" i="14"/>
  <c r="AW25" i="10"/>
  <c r="AY25" i="10" s="1"/>
  <c r="AU25" i="10"/>
  <c r="X188" i="16"/>
  <c r="V187" i="16"/>
  <c r="V185" i="16" s="1"/>
  <c r="AB75" i="12"/>
  <c r="AD69" i="11"/>
  <c r="AD65" i="11" s="1"/>
  <c r="AI75" i="11"/>
  <c r="AI69" i="11" s="1"/>
  <c r="AI65" i="11" s="1"/>
  <c r="BP9" i="10"/>
  <c r="BJ8" i="10" s="1"/>
  <c r="AE161" i="12"/>
  <c r="AJ161" i="11"/>
  <c r="AH228" i="15"/>
  <c r="AH227" i="15" s="1"/>
  <c r="X227" i="15"/>
  <c r="X220" i="15" s="1"/>
  <c r="BN30" i="15" s="1"/>
  <c r="BH14" i="15" s="1"/>
  <c r="AI228" i="15"/>
  <c r="J105" i="14"/>
  <c r="L104" i="13"/>
  <c r="N105" i="13"/>
  <c r="N104" i="13" s="1"/>
  <c r="AI237" i="15"/>
  <c r="X235" i="15"/>
  <c r="X234" i="15" s="1"/>
  <c r="J86" i="14"/>
  <c r="L85" i="13"/>
  <c r="N86" i="13"/>
  <c r="N85" i="13" s="1"/>
  <c r="AI135" i="15"/>
  <c r="AH135" i="15"/>
  <c r="AJ135" i="15"/>
  <c r="X69" i="15"/>
  <c r="X65" i="15" s="1"/>
  <c r="AI73" i="15"/>
  <c r="AH73" i="15"/>
  <c r="AJ73" i="15"/>
  <c r="G41" i="15"/>
  <c r="I41" i="15" s="1"/>
  <c r="AH174" i="15"/>
  <c r="AI174" i="15"/>
  <c r="AI172" i="15" s="1"/>
  <c r="X172" i="15"/>
  <c r="AJ174" i="15"/>
  <c r="AJ172" i="15" s="1"/>
  <c r="BN31" i="15"/>
  <c r="BH15" i="15" s="1"/>
  <c r="AH177" i="15"/>
  <c r="BN23" i="15"/>
  <c r="X176" i="15"/>
  <c r="AI177" i="15"/>
  <c r="AJ177" i="15"/>
  <c r="X187" i="15"/>
  <c r="X185" i="15" s="1"/>
  <c r="AH188" i="15"/>
  <c r="BE21" i="15"/>
  <c r="H128" i="15"/>
  <c r="H126" i="15" s="1"/>
  <c r="H130" i="15" s="1"/>
  <c r="B24" i="16"/>
  <c r="Q128" i="15"/>
  <c r="Q126" i="15" s="1"/>
  <c r="Q130" i="15" s="1"/>
  <c r="K128" i="15"/>
  <c r="K126" i="15" s="1"/>
  <c r="K130" i="15" s="1"/>
  <c r="C128" i="15"/>
  <c r="P128" i="15"/>
  <c r="P126" i="15" s="1"/>
  <c r="P130" i="15" s="1"/>
  <c r="X135" i="16"/>
  <c r="V123" i="16"/>
  <c r="J12" i="15"/>
  <c r="L12" i="15" s="1"/>
  <c r="N12" i="14"/>
  <c r="BN9" i="13"/>
  <c r="AB216" i="12"/>
  <c r="AD211" i="11"/>
  <c r="AD210" i="11" s="1"/>
  <c r="AD209" i="11" s="1"/>
  <c r="AR29" i="11" s="1"/>
  <c r="AI216" i="11"/>
  <c r="AI211" i="11" s="1"/>
  <c r="AI210" i="11" s="1"/>
  <c r="AI209" i="11" s="1"/>
  <c r="AI193" i="11" s="1"/>
  <c r="AH238" i="15"/>
  <c r="V170" i="15"/>
  <c r="V227" i="16"/>
  <c r="V220" i="16" s="1"/>
  <c r="X228" i="16"/>
  <c r="AE80" i="12"/>
  <c r="AJ80" i="11"/>
  <c r="BN12" i="14"/>
  <c r="BN9" i="14" s="1"/>
  <c r="AQ23" i="14"/>
  <c r="BD18" i="13"/>
  <c r="G95" i="14"/>
  <c r="I94" i="13"/>
  <c r="M95" i="13"/>
  <c r="M94" i="13" s="1"/>
  <c r="V235" i="16"/>
  <c r="V234" i="16" s="1"/>
  <c r="X237" i="16"/>
  <c r="O25" i="20"/>
  <c r="BE22" i="14"/>
  <c r="V69" i="16"/>
  <c r="V65" i="16" s="1"/>
  <c r="X73" i="16"/>
  <c r="AH238" i="16"/>
  <c r="V172" i="16"/>
  <c r="X174" i="16"/>
  <c r="AW23" i="10"/>
  <c r="AY23" i="10" s="1"/>
  <c r="AU23" i="10"/>
  <c r="V176" i="16"/>
  <c r="X177" i="16"/>
  <c r="AE124" i="12"/>
  <c r="AJ124" i="11"/>
  <c r="L95" i="14"/>
  <c r="J94" i="14"/>
  <c r="J8" i="10"/>
  <c r="I24" i="10"/>
  <c r="G22" i="10"/>
  <c r="L17" i="9"/>
  <c r="J27" i="11"/>
  <c r="J128" i="11" s="1"/>
  <c r="N27" i="10"/>
  <c r="N25" i="10" s="1"/>
  <c r="AX8" i="10"/>
  <c r="AZ8" i="10" s="1"/>
  <c r="L25" i="10"/>
  <c r="AS8" i="10" s="1"/>
  <c r="AV8" i="10" s="1"/>
  <c r="I27" i="10"/>
  <c r="G25" i="10"/>
  <c r="I88" i="14"/>
  <c r="G85" i="14"/>
  <c r="J31" i="15"/>
  <c r="G44" i="16"/>
  <c r="I42" i="15"/>
  <c r="AR10" i="15" s="1"/>
  <c r="AW10" i="15"/>
  <c r="M44" i="15"/>
  <c r="I50" i="14"/>
  <c r="G48" i="14"/>
  <c r="N31" i="14"/>
  <c r="L37" i="14"/>
  <c r="AS9" i="11"/>
  <c r="AV9" i="11" s="1"/>
  <c r="L26" i="12"/>
  <c r="E10" i="16"/>
  <c r="F14" i="16"/>
  <c r="L47" i="12"/>
  <c r="J45" i="12"/>
  <c r="I37" i="12"/>
  <c r="G35" i="12"/>
  <c r="I52" i="12"/>
  <c r="G51" i="12"/>
  <c r="M65" i="15"/>
  <c r="F54" i="15"/>
  <c r="M53" i="15"/>
  <c r="F51" i="15"/>
  <c r="F13" i="16"/>
  <c r="L53" i="12"/>
  <c r="J51" i="12"/>
  <c r="I46" i="12"/>
  <c r="G45" i="12"/>
  <c r="E81" i="16"/>
  <c r="F83" i="16"/>
  <c r="M71" i="15"/>
  <c r="F69" i="15"/>
  <c r="I80" i="13"/>
  <c r="G78" i="13"/>
  <c r="I78" i="13" s="1"/>
  <c r="M78" i="13" s="1"/>
  <c r="F25" i="15"/>
  <c r="AQ8" i="15" s="1"/>
  <c r="BC11" i="15"/>
  <c r="L83" i="12"/>
  <c r="J81" i="12"/>
  <c r="M77" i="15"/>
  <c r="D66" i="16"/>
  <c r="F68" i="16"/>
  <c r="F45" i="15"/>
  <c r="M47" i="15"/>
  <c r="M59" i="15"/>
  <c r="M57" i="15" s="1"/>
  <c r="F57" i="15"/>
  <c r="I74" i="12"/>
  <c r="G72" i="12"/>
  <c r="M14" i="15"/>
  <c r="N14" i="15"/>
  <c r="L77" i="12"/>
  <c r="J75" i="12"/>
  <c r="E63" i="16"/>
  <c r="F65" i="16"/>
  <c r="D54" i="16"/>
  <c r="F56" i="16"/>
  <c r="E51" i="16"/>
  <c r="F53" i="16"/>
  <c r="M13" i="15"/>
  <c r="I68" i="12"/>
  <c r="G66" i="12"/>
  <c r="L71" i="12"/>
  <c r="J69" i="12"/>
  <c r="E57" i="16"/>
  <c r="F59" i="16"/>
  <c r="F37" i="16"/>
  <c r="I62" i="12"/>
  <c r="G60" i="12"/>
  <c r="F31" i="16"/>
  <c r="L59" i="12"/>
  <c r="J57" i="12"/>
  <c r="M33" i="16"/>
  <c r="M32" i="16" s="1"/>
  <c r="F32" i="16"/>
  <c r="M83" i="15"/>
  <c r="M81" i="15" s="1"/>
  <c r="F81" i="15"/>
  <c r="E69" i="16"/>
  <c r="L65" i="12"/>
  <c r="J63" i="12"/>
  <c r="BC7" i="14"/>
  <c r="E25" i="16"/>
  <c r="F26" i="16"/>
  <c r="E75" i="16"/>
  <c r="F77" i="16"/>
  <c r="L33" i="12"/>
  <c r="J32" i="12"/>
  <c r="J28" i="12" s="1"/>
  <c r="F66" i="15"/>
  <c r="E45" i="16"/>
  <c r="F47" i="16"/>
  <c r="J13" i="11"/>
  <c r="L10" i="10"/>
  <c r="N13" i="10"/>
  <c r="N10" i="10" s="1"/>
  <c r="F22" i="14"/>
  <c r="AQ7" i="14" s="1"/>
  <c r="F128" i="14"/>
  <c r="AS7" i="10"/>
  <c r="AV7" i="10" s="1"/>
  <c r="E24" i="16"/>
  <c r="E22" i="15"/>
  <c r="E21" i="15" s="1"/>
  <c r="E19" i="15" s="1"/>
  <c r="E17" i="15" s="1"/>
  <c r="E8" i="15" s="1"/>
  <c r="E128" i="15"/>
  <c r="J15" i="16"/>
  <c r="L15" i="16" s="1"/>
  <c r="N15" i="16" s="1"/>
  <c r="N15" i="15"/>
  <c r="D24" i="16"/>
  <c r="D22" i="15"/>
  <c r="F24" i="15"/>
  <c r="BC21" i="15" s="1"/>
  <c r="D128" i="15"/>
  <c r="N22" i="10"/>
  <c r="L24" i="11"/>
  <c r="J22" i="11"/>
  <c r="BJ15" i="10"/>
  <c r="AD88" i="11"/>
  <c r="AB83" i="11"/>
  <c r="AB63" i="11" s="1"/>
  <c r="AA237" i="11"/>
  <c r="Y235" i="11"/>
  <c r="Y234" i="11" s="1"/>
  <c r="AB107" i="12"/>
  <c r="AI107" i="11"/>
  <c r="AI105" i="11" s="1"/>
  <c r="AI104" i="11" s="1"/>
  <c r="AD105" i="11"/>
  <c r="AD104" i="11" s="1"/>
  <c r="AB50" i="12"/>
  <c r="AD49" i="11"/>
  <c r="AD43" i="11" s="1"/>
  <c r="AI50" i="11"/>
  <c r="AI49" i="11" s="1"/>
  <c r="AI43" i="11" s="1"/>
  <c r="X245" i="16"/>
  <c r="Y110" i="11"/>
  <c r="BI10" i="10"/>
  <c r="AJ220" i="11"/>
  <c r="G56" i="12"/>
  <c r="M56" i="11"/>
  <c r="Y133" i="12"/>
  <c r="AA123" i="11"/>
  <c r="AH133" i="11"/>
  <c r="AH123" i="11" s="1"/>
  <c r="AH112" i="11" s="1"/>
  <c r="Y159" i="12"/>
  <c r="AA157" i="11"/>
  <c r="AA155" i="11" s="1"/>
  <c r="AA145" i="11" s="1"/>
  <c r="AH159" i="11"/>
  <c r="AH157" i="11" s="1"/>
  <c r="AH155" i="11" s="1"/>
  <c r="AH145" i="11" s="1"/>
  <c r="AH245" i="15"/>
  <c r="AI245" i="15"/>
  <c r="AJ245" i="15"/>
  <c r="AJ158" i="15"/>
  <c r="AE158" i="16"/>
  <c r="AE127" i="16"/>
  <c r="AJ127" i="15"/>
  <c r="AG220" i="11"/>
  <c r="N38" i="16"/>
  <c r="M38" i="16"/>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R13" i="15"/>
  <c r="AU13" i="15" s="1"/>
  <c r="AW13" i="15"/>
  <c r="AY13" i="15" s="1"/>
  <c r="I23" i="11"/>
  <c r="AJ229" i="15"/>
  <c r="AE229" i="16"/>
  <c r="AG229" i="16" s="1"/>
  <c r="AJ229" i="16" s="1"/>
  <c r="AE227" i="12"/>
  <c r="AG228" i="12"/>
  <c r="AG180" i="15"/>
  <c r="AJ198" i="11"/>
  <c r="AE198" i="12"/>
  <c r="AJ237" i="15"/>
  <c r="AE237" i="16"/>
  <c r="AG237" i="16" s="1"/>
  <c r="AJ206" i="11"/>
  <c r="AJ205" i="11" s="1"/>
  <c r="AE206" i="12"/>
  <c r="AG205" i="11"/>
  <c r="AG188" i="12"/>
  <c r="AG236" i="12"/>
  <c r="AJ181" i="11"/>
  <c r="AE181" i="12"/>
  <c r="AZ13" i="10"/>
  <c r="AJ193" i="10" l="1"/>
  <c r="AH197" i="14"/>
  <c r="AH196" i="14" s="1"/>
  <c r="AH195" i="14" s="1"/>
  <c r="AH193" i="14" s="1"/>
  <c r="X145" i="14"/>
  <c r="BC10" i="13"/>
  <c r="BC9" i="13" s="1"/>
  <c r="BC8" i="13" s="1"/>
  <c r="BC22" i="13" s="1"/>
  <c r="BN24" i="14"/>
  <c r="BN22" i="14" s="1"/>
  <c r="BH11" i="14" s="1"/>
  <c r="BP32" i="9"/>
  <c r="V110" i="14"/>
  <c r="F21" i="13"/>
  <c r="F19" i="13" s="1"/>
  <c r="F17" i="13" s="1"/>
  <c r="F8" i="13" s="1"/>
  <c r="F126" i="13" s="1"/>
  <c r="F73" i="16"/>
  <c r="D72" i="16"/>
  <c r="N73" i="15"/>
  <c r="M73" i="15"/>
  <c r="F72" i="15"/>
  <c r="V8" i="12"/>
  <c r="V258" i="12"/>
  <c r="AW30" i="9"/>
  <c r="AY30" i="9" s="1"/>
  <c r="AU30" i="9"/>
  <c r="AX30" i="9"/>
  <c r="AZ30" i="9" s="1"/>
  <c r="AV30" i="9"/>
  <c r="F71" i="16"/>
  <c r="M71" i="16" s="1"/>
  <c r="AB8" i="10"/>
  <c r="N61" i="15"/>
  <c r="F60" i="15"/>
  <c r="M61" i="15"/>
  <c r="D60" i="16"/>
  <c r="F61" i="16"/>
  <c r="M69" i="15"/>
  <c r="AW28" i="11"/>
  <c r="AY28" i="11" s="1"/>
  <c r="AX24" i="10"/>
  <c r="AZ24" i="10" s="1"/>
  <c r="AV24" i="10"/>
  <c r="AE90" i="10"/>
  <c r="AE63" i="10" s="1"/>
  <c r="AE12" i="10" s="1"/>
  <c r="AE10" i="10" s="1"/>
  <c r="AE8" i="10" s="1"/>
  <c r="AD258" i="9"/>
  <c r="BP33" i="9" s="1"/>
  <c r="D28" i="14"/>
  <c r="D21" i="14" s="1"/>
  <c r="D19" i="14" s="1"/>
  <c r="D17" i="14" s="1"/>
  <c r="D8" i="13"/>
  <c r="D126" i="13" s="1"/>
  <c r="V258" i="13"/>
  <c r="AS25" i="9"/>
  <c r="AG63" i="9"/>
  <c r="AG12" i="9" s="1"/>
  <c r="AG10" i="9" s="1"/>
  <c r="W8" i="14"/>
  <c r="V63" i="14"/>
  <c r="V12" i="14" s="1"/>
  <c r="AQ9" i="13"/>
  <c r="V196" i="15"/>
  <c r="V195" i="15" s="1"/>
  <c r="V193" i="15" s="1"/>
  <c r="X10" i="12"/>
  <c r="X63" i="13"/>
  <c r="X12" i="13" s="1"/>
  <c r="AJ8" i="9"/>
  <c r="AJ258" i="9"/>
  <c r="AH149" i="14"/>
  <c r="AH147" i="14" s="1"/>
  <c r="AH91" i="14"/>
  <c r="AB258" i="10"/>
  <c r="AG87" i="11"/>
  <c r="AE83" i="11"/>
  <c r="V90" i="15"/>
  <c r="W43" i="16"/>
  <c r="W14" i="16" s="1"/>
  <c r="W12" i="16" s="1"/>
  <c r="AE178" i="11"/>
  <c r="AJ178" i="10"/>
  <c r="AJ176" i="10" s="1"/>
  <c r="AJ170" i="10" s="1"/>
  <c r="AG176" i="10"/>
  <c r="AG170" i="10" s="1"/>
  <c r="AS27" i="10" s="1"/>
  <c r="AV27" i="10" s="1"/>
  <c r="BC13" i="14"/>
  <c r="F29" i="14"/>
  <c r="AG116" i="11"/>
  <c r="AE114" i="11"/>
  <c r="AB172" i="16"/>
  <c r="AD174" i="16"/>
  <c r="AD172" i="16" s="1"/>
  <c r="N43" i="15"/>
  <c r="M43" i="15"/>
  <c r="F42" i="15"/>
  <c r="AQ10" i="15" s="1"/>
  <c r="AV10" i="15" s="1"/>
  <c r="BC16" i="15"/>
  <c r="BN28" i="14"/>
  <c r="X195" i="14"/>
  <c r="V85" i="16"/>
  <c r="X85" i="15"/>
  <c r="V83" i="15"/>
  <c r="M36" i="14"/>
  <c r="F35" i="14"/>
  <c r="I70" i="16"/>
  <c r="G69" i="16"/>
  <c r="AH158" i="15"/>
  <c r="AI158" i="15"/>
  <c r="X157" i="15"/>
  <c r="X155" i="15" s="1"/>
  <c r="BN17" i="15" s="1"/>
  <c r="AV29" i="13"/>
  <c r="AU29" i="13"/>
  <c r="I76" i="15"/>
  <c r="G75" i="15"/>
  <c r="BC15" i="15"/>
  <c r="N46" i="15"/>
  <c r="AE126" i="11"/>
  <c r="AJ126" i="10"/>
  <c r="AJ123" i="10" s="1"/>
  <c r="AJ112" i="10" s="1"/>
  <c r="AJ110" i="10" s="1"/>
  <c r="AG123" i="10"/>
  <c r="AG112" i="10" s="1"/>
  <c r="AG110" i="10" s="1"/>
  <c r="AS26" i="10" s="1"/>
  <c r="F79" i="16"/>
  <c r="D78" i="16"/>
  <c r="F78" i="16" s="1"/>
  <c r="D12" i="16"/>
  <c r="F12" i="15"/>
  <c r="F10" i="15" s="1"/>
  <c r="AQ16" i="15" s="1"/>
  <c r="D10" i="15"/>
  <c r="X39" i="16"/>
  <c r="V35" i="16"/>
  <c r="N49" i="16"/>
  <c r="M49" i="16"/>
  <c r="F48" i="16"/>
  <c r="AH92" i="15"/>
  <c r="AJ92" i="15"/>
  <c r="X91" i="15"/>
  <c r="AI15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AV10" i="14"/>
  <c r="AY10" i="14"/>
  <c r="AU10" i="14"/>
  <c r="AE94" i="11"/>
  <c r="AJ94" i="10"/>
  <c r="AJ91" i="10" s="1"/>
  <c r="AG91" i="10"/>
  <c r="AH118" i="14"/>
  <c r="AH114" i="14" s="1"/>
  <c r="AI118" i="14"/>
  <c r="AJ118" i="14"/>
  <c r="X114" i="14"/>
  <c r="X92" i="16"/>
  <c r="V91" i="16"/>
  <c r="AH142" i="15"/>
  <c r="AH141" i="15" s="1"/>
  <c r="AJ142" i="15"/>
  <c r="X141" i="15"/>
  <c r="BN20" i="15" s="1"/>
  <c r="AI142" i="15"/>
  <c r="AI141" i="15" s="1"/>
  <c r="AQ9" i="12"/>
  <c r="F21" i="12"/>
  <c r="F19" i="12" s="1"/>
  <c r="AH201" i="15"/>
  <c r="AI201" i="15"/>
  <c r="X197" i="15"/>
  <c r="AJ201" i="15"/>
  <c r="X151" i="16"/>
  <c r="V149" i="16"/>
  <c r="V147" i="16" s="1"/>
  <c r="AI97" i="15"/>
  <c r="AH97" i="15"/>
  <c r="AJ97" i="15"/>
  <c r="X96" i="15"/>
  <c r="AH214" i="15"/>
  <c r="AI214" i="15"/>
  <c r="X211" i="15"/>
  <c r="X210" i="15" s="1"/>
  <c r="X209" i="15" s="1"/>
  <c r="AJ214" i="15"/>
  <c r="BN14" i="13"/>
  <c r="BN8" i="13" s="1"/>
  <c r="D23" i="16"/>
  <c r="F23" i="16" s="1"/>
  <c r="F23" i="15"/>
  <c r="AJ46" i="14"/>
  <c r="X44" i="14"/>
  <c r="X43" i="14" s="1"/>
  <c r="AH46" i="14"/>
  <c r="AH44" i="14" s="1"/>
  <c r="AH43" i="14" s="1"/>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AQ23" i="15" s="1"/>
  <c r="M79" i="15"/>
  <c r="N79" i="15"/>
  <c r="AI51" i="15"/>
  <c r="AJ51" i="15"/>
  <c r="X49" i="15"/>
  <c r="AH51" i="15"/>
  <c r="AH49" i="15" s="1"/>
  <c r="X193" i="13"/>
  <c r="AQ28" i="13"/>
  <c r="M42" i="15"/>
  <c r="V118" i="16"/>
  <c r="X118" i="15"/>
  <c r="V114" i="15"/>
  <c r="V112" i="15" s="1"/>
  <c r="X142" i="16"/>
  <c r="V141" i="16"/>
  <c r="W43" i="15"/>
  <c r="W14" i="15" s="1"/>
  <c r="W12" i="15" s="1"/>
  <c r="W10" i="15" s="1"/>
  <c r="X201" i="16"/>
  <c r="V197" i="16"/>
  <c r="V196" i="16" s="1"/>
  <c r="V195" i="16" s="1"/>
  <c r="X97" i="16"/>
  <c r="V96" i="16"/>
  <c r="AE99" i="11"/>
  <c r="AJ99" i="10"/>
  <c r="AJ96" i="10" s="1"/>
  <c r="AG96" i="10"/>
  <c r="AG189" i="11"/>
  <c r="AE187" i="11"/>
  <c r="AE185" i="11" s="1"/>
  <c r="X90" i="14"/>
  <c r="X214" i="16"/>
  <c r="V211" i="16"/>
  <c r="V210" i="16" s="1"/>
  <c r="V209" i="16" s="1"/>
  <c r="AH206" i="15"/>
  <c r="AH205" i="15" s="1"/>
  <c r="AI206" i="15"/>
  <c r="AI205" i="15" s="1"/>
  <c r="X205" i="15"/>
  <c r="AJ85" i="14"/>
  <c r="AI85" i="14"/>
  <c r="X83" i="14"/>
  <c r="X63" i="14" s="1"/>
  <c r="AQ29" i="14"/>
  <c r="BN27" i="14"/>
  <c r="V46" i="16"/>
  <c r="X46" i="15"/>
  <c r="V44" i="15"/>
  <c r="V43" i="15" s="1"/>
  <c r="V14" i="15" s="1"/>
  <c r="V145" i="15"/>
  <c r="BN25" i="13"/>
  <c r="BH12" i="13" s="1"/>
  <c r="M76" i="14"/>
  <c r="M75" i="14"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W258" i="14"/>
  <c r="AD193" i="1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Y1" i="9" s="1"/>
  <c r="V244" i="16"/>
  <c r="X244" i="15"/>
  <c r="V243" i="15"/>
  <c r="V232" i="15" s="1"/>
  <c r="AS29" i="10"/>
  <c r="AX29" i="10" s="1"/>
  <c r="AZ29" i="10" s="1"/>
  <c r="W243" i="15"/>
  <c r="W232" i="15" s="1"/>
  <c r="W244" i="16"/>
  <c r="W243" i="16" s="1"/>
  <c r="W232" i="16" s="1"/>
  <c r="AG234" i="10"/>
  <c r="AG232" i="10" s="1"/>
  <c r="AS30" i="10" s="1"/>
  <c r="I55" i="11"/>
  <c r="G54" i="11"/>
  <c r="AB244" i="11"/>
  <c r="AD243" i="10"/>
  <c r="AD232" i="10" s="1"/>
  <c r="AI244" i="10"/>
  <c r="AI243" i="10" s="1"/>
  <c r="AI232" i="10" s="1"/>
  <c r="AA43" i="16"/>
  <c r="BP14" i="10"/>
  <c r="BP8" i="10" s="1"/>
  <c r="AR24" i="10"/>
  <c r="AW24" i="10" s="1"/>
  <c r="AY24" i="10" s="1"/>
  <c r="AX28" i="10"/>
  <c r="AZ28" i="10" s="1"/>
  <c r="AG193" i="10"/>
  <c r="Y12" i="10"/>
  <c r="Y10" i="10" s="1"/>
  <c r="Y8" i="10" s="1"/>
  <c r="AI10" i="10"/>
  <c r="AI90" i="12"/>
  <c r="N128" i="10"/>
  <c r="AH170" i="14"/>
  <c r="AA90" i="14"/>
  <c r="L56" i="13"/>
  <c r="J54" i="13"/>
  <c r="AH90" i="14"/>
  <c r="L68" i="13"/>
  <c r="J66" i="13"/>
  <c r="AG98" i="13"/>
  <c r="AA195" i="14"/>
  <c r="AA193" i="14" s="1"/>
  <c r="BO28" i="14"/>
  <c r="BO25" i="14" s="1"/>
  <c r="BI12" i="14" s="1"/>
  <c r="AG47" i="13"/>
  <c r="AE44" i="13"/>
  <c r="AD90" i="12"/>
  <c r="AG115" i="13"/>
  <c r="J50" i="14"/>
  <c r="L48" i="13"/>
  <c r="N50" i="13"/>
  <c r="N48" i="13" s="1"/>
  <c r="AA225" i="15"/>
  <c r="Y222" i="15"/>
  <c r="Y220" i="15" s="1"/>
  <c r="L44" i="13"/>
  <c r="J42" i="13"/>
  <c r="J80" i="14"/>
  <c r="N80" i="13"/>
  <c r="AD22" i="13"/>
  <c r="AB20" i="13"/>
  <c r="AB16" i="13" s="1"/>
  <c r="AA100" i="15"/>
  <c r="Y96" i="15"/>
  <c r="AD195" i="12"/>
  <c r="BP28" i="12"/>
  <c r="AD46" i="13"/>
  <c r="AB44" i="13"/>
  <c r="BP16" i="12"/>
  <c r="AD112" i="12"/>
  <c r="AD92" i="13"/>
  <c r="AB91" i="13"/>
  <c r="AG59" i="13"/>
  <c r="AE58" i="13"/>
  <c r="AE57" i="13" s="1"/>
  <c r="Y173" i="16"/>
  <c r="AH173" i="15"/>
  <c r="AH172" i="15" s="1"/>
  <c r="AA172" i="15"/>
  <c r="AA200" i="15"/>
  <c r="Y197" i="15"/>
  <c r="Y196" i="15" s="1"/>
  <c r="Y195" i="15" s="1"/>
  <c r="Y193" i="15" s="1"/>
  <c r="AD100" i="13"/>
  <c r="AB96" i="13"/>
  <c r="Y107" i="16"/>
  <c r="AA105" i="15"/>
  <c r="AA104" i="15" s="1"/>
  <c r="AH107" i="15"/>
  <c r="AH105" i="15" s="1"/>
  <c r="AH104" i="15" s="1"/>
  <c r="AE36" i="14"/>
  <c r="AJ36" i="13"/>
  <c r="AJ35" i="13" s="1"/>
  <c r="AG35" i="13"/>
  <c r="L62" i="13"/>
  <c r="J60" i="13"/>
  <c r="AD223" i="13"/>
  <c r="AB222" i="13"/>
  <c r="AB220" i="13" s="1"/>
  <c r="AA95" i="15"/>
  <c r="Y91" i="15"/>
  <c r="AD198" i="13"/>
  <c r="AB197" i="13"/>
  <c r="AB196" i="13" s="1"/>
  <c r="AB195" i="13" s="1"/>
  <c r="AD117" i="13"/>
  <c r="AB114" i="13"/>
  <c r="AB112" i="13" s="1"/>
  <c r="L30" i="13"/>
  <c r="J29" i="13"/>
  <c r="AB229" i="14"/>
  <c r="AD227" i="13"/>
  <c r="AI229" i="13"/>
  <c r="AI227" i="13" s="1"/>
  <c r="AG86" i="13"/>
  <c r="Y179" i="16"/>
  <c r="AA176" i="15"/>
  <c r="AH179" i="15"/>
  <c r="AH176" i="15" s="1"/>
  <c r="AD238" i="13"/>
  <c r="AB235" i="13"/>
  <c r="AB234" i="13" s="1"/>
  <c r="AG152" i="13"/>
  <c r="AE149" i="13"/>
  <c r="AE147" i="13" s="1"/>
  <c r="Y246" i="16"/>
  <c r="AH246" i="15"/>
  <c r="AA190" i="15"/>
  <c r="Y187" i="15"/>
  <c r="Y185" i="15" s="1"/>
  <c r="Y170" i="15" s="1"/>
  <c r="Y213" i="16"/>
  <c r="AA211" i="15"/>
  <c r="AA210" i="15" s="1"/>
  <c r="AA209" i="15" s="1"/>
  <c r="AH213" i="15"/>
  <c r="AE143" i="14"/>
  <c r="AG141" i="13"/>
  <c r="AJ143" i="13"/>
  <c r="AJ141" i="13" s="1"/>
  <c r="AA150" i="15"/>
  <c r="Y149" i="15"/>
  <c r="Y147" i="15" s="1"/>
  <c r="AB127" i="14"/>
  <c r="AD123" i="13"/>
  <c r="AI127" i="13"/>
  <c r="AI123" i="13" s="1"/>
  <c r="Y117" i="16"/>
  <c r="AA114" i="15"/>
  <c r="AH117" i="15"/>
  <c r="AJ93" i="13"/>
  <c r="AE93" i="14"/>
  <c r="AD150" i="13"/>
  <c r="AB149" i="13"/>
  <c r="AB147" i="13" s="1"/>
  <c r="L36" i="13"/>
  <c r="J35" i="13"/>
  <c r="J74" i="14"/>
  <c r="N74" i="13"/>
  <c r="N72" i="13" s="1"/>
  <c r="L72" i="13"/>
  <c r="AB188" i="14"/>
  <c r="AD187" i="13"/>
  <c r="AD185" i="13" s="1"/>
  <c r="AI188" i="13"/>
  <c r="AI187" i="13" s="1"/>
  <c r="AI185" i="13" s="1"/>
  <c r="AJ14" i="10"/>
  <c r="AJ237" i="16"/>
  <c r="AA63" i="10"/>
  <c r="AG174" i="16"/>
  <c r="AG172" i="16" s="1"/>
  <c r="AE172" i="16"/>
  <c r="AE211" i="11"/>
  <c r="AE210" i="11" s="1"/>
  <c r="AE209" i="11" s="1"/>
  <c r="AG212" i="11"/>
  <c r="AG202" i="11"/>
  <c r="AE197" i="11"/>
  <c r="AE196" i="11" s="1"/>
  <c r="AE195" i="11" s="1"/>
  <c r="AH14" i="10"/>
  <c r="AH63" i="10"/>
  <c r="BO14" i="10"/>
  <c r="BI9" i="10" s="1"/>
  <c r="AG241" i="11"/>
  <c r="AE235" i="11"/>
  <c r="AE234" i="11" s="1"/>
  <c r="AA61" i="12"/>
  <c r="Y57" i="12"/>
  <c r="AA85" i="11"/>
  <c r="Y83" i="11"/>
  <c r="AA37" i="11"/>
  <c r="Y35" i="11"/>
  <c r="L8" i="9"/>
  <c r="L126" i="9" s="1"/>
  <c r="L130" i="9" s="1"/>
  <c r="AD39" i="11"/>
  <c r="AB35" i="11"/>
  <c r="AB14" i="11" s="1"/>
  <c r="AB12" i="11" s="1"/>
  <c r="G115" i="15"/>
  <c r="I113" i="14"/>
  <c r="AR15" i="14" s="1"/>
  <c r="AW15" i="14" s="1"/>
  <c r="BD20" i="14"/>
  <c r="M115" i="14"/>
  <c r="M113" i="14" s="1"/>
  <c r="AI133" i="15"/>
  <c r="AJ133" i="15"/>
  <c r="AG70" i="11"/>
  <c r="AE69" i="11"/>
  <c r="AE65" i="11" s="1"/>
  <c r="L115" i="15"/>
  <c r="J113" i="15"/>
  <c r="AA14" i="10"/>
  <c r="BO12" i="10"/>
  <c r="BP17" i="10"/>
  <c r="AD145" i="10"/>
  <c r="AD110" i="10" s="1"/>
  <c r="AR26" i="10" s="1"/>
  <c r="X133" i="16"/>
  <c r="X123" i="16" s="1"/>
  <c r="W123" i="16"/>
  <c r="W112" i="16" s="1"/>
  <c r="W110" i="16" s="1"/>
  <c r="BP24" i="10"/>
  <c r="AR27" i="10"/>
  <c r="AG14" i="10"/>
  <c r="AS23" i="10"/>
  <c r="AA27" i="11"/>
  <c r="Y20" i="11"/>
  <c r="Y16" i="11" s="1"/>
  <c r="AA71" i="11"/>
  <c r="Y69" i="11"/>
  <c r="Y65" i="11" s="1"/>
  <c r="AD167" i="11"/>
  <c r="AB157" i="11"/>
  <c r="AB155" i="11" s="1"/>
  <c r="AB145" i="11" s="1"/>
  <c r="AB110" i="11" s="1"/>
  <c r="AD180" i="11"/>
  <c r="AB176" i="11"/>
  <c r="AB170" i="11" s="1"/>
  <c r="AG23" i="11"/>
  <c r="AE20" i="11"/>
  <c r="AE16" i="11" s="1"/>
  <c r="AG52" i="11"/>
  <c r="AE49" i="11"/>
  <c r="AE43" i="11" s="1"/>
  <c r="AS16" i="10"/>
  <c r="AX16" i="10" s="1"/>
  <c r="AR16" i="10"/>
  <c r="AW16" i="10" s="1"/>
  <c r="AY16" i="10" s="1"/>
  <c r="AD216" i="12"/>
  <c r="AB211" i="12"/>
  <c r="AB210" i="12" s="1"/>
  <c r="AB209" i="12" s="1"/>
  <c r="AB193" i="12" s="1"/>
  <c r="J12" i="16"/>
  <c r="L12" i="16" s="1"/>
  <c r="N12" i="15"/>
  <c r="X170" i="15"/>
  <c r="G41" i="16"/>
  <c r="I41" i="16" s="1"/>
  <c r="L105" i="14"/>
  <c r="J104" i="14"/>
  <c r="BP12" i="11"/>
  <c r="BP9" i="11" s="1"/>
  <c r="AR23" i="11"/>
  <c r="AH73" i="16"/>
  <c r="AI73" i="16"/>
  <c r="X69" i="16"/>
  <c r="X65" i="16" s="1"/>
  <c r="AJ73" i="16"/>
  <c r="AG80" i="12"/>
  <c r="P25" i="20"/>
  <c r="BE22" i="15"/>
  <c r="AD75" i="12"/>
  <c r="AB69" i="12"/>
  <c r="AB65" i="12" s="1"/>
  <c r="V170" i="16"/>
  <c r="L21" i="10"/>
  <c r="L19" i="10" s="1"/>
  <c r="L17" i="10" s="1"/>
  <c r="L8" i="10" s="1"/>
  <c r="L126" i="10" s="1"/>
  <c r="L130" i="10" s="1"/>
  <c r="J95" i="15"/>
  <c r="L94" i="14"/>
  <c r="N95" i="14"/>
  <c r="N94" i="14" s="1"/>
  <c r="AG124" i="12"/>
  <c r="I95" i="14"/>
  <c r="G94" i="14"/>
  <c r="AH228" i="16"/>
  <c r="AH227" i="16" s="1"/>
  <c r="X227" i="16"/>
  <c r="X220" i="16" s="1"/>
  <c r="BN30" i="16" s="1"/>
  <c r="AI228" i="16"/>
  <c r="BH8" i="13"/>
  <c r="AI135" i="16"/>
  <c r="AH135" i="16"/>
  <c r="AJ135" i="16"/>
  <c r="AH188" i="16"/>
  <c r="X187" i="16"/>
  <c r="X185" i="16" s="1"/>
  <c r="AH177" i="16"/>
  <c r="BN23" i="16"/>
  <c r="C47" i="20" s="1"/>
  <c r="X176" i="16"/>
  <c r="AI177" i="16"/>
  <c r="AJ177" i="16"/>
  <c r="X172" i="16"/>
  <c r="AH174" i="16"/>
  <c r="AI174" i="16"/>
  <c r="AI172" i="16" s="1"/>
  <c r="BN31" i="16"/>
  <c r="AI237" i="16"/>
  <c r="X235" i="16"/>
  <c r="X234" i="16" s="1"/>
  <c r="AW29" i="11"/>
  <c r="AY29" i="11" s="1"/>
  <c r="BP27" i="11"/>
  <c r="BP25" i="11" s="1"/>
  <c r="BJ12" i="11" s="1"/>
  <c r="BE21" i="16"/>
  <c r="Q128" i="16"/>
  <c r="Q126" i="16" s="1"/>
  <c r="Q130" i="16" s="1"/>
  <c r="C128" i="16"/>
  <c r="K128" i="16"/>
  <c r="K126" i="16" s="1"/>
  <c r="K130" i="16" s="1"/>
  <c r="P128" i="16"/>
  <c r="P126" i="16" s="1"/>
  <c r="P130" i="16" s="1"/>
  <c r="L86" i="14"/>
  <c r="J85" i="14"/>
  <c r="AG161" i="12"/>
  <c r="AU16" i="10"/>
  <c r="G24" i="11"/>
  <c r="M24" i="10"/>
  <c r="M22" i="10" s="1"/>
  <c r="AW7" i="10"/>
  <c r="AY7" i="10" s="1"/>
  <c r="I22" i="10"/>
  <c r="AR7" i="10" s="1"/>
  <c r="AU7" i="10" s="1"/>
  <c r="N21" i="10"/>
  <c r="N19" i="10" s="1"/>
  <c r="N17" i="10" s="1"/>
  <c r="N8" i="10" s="1"/>
  <c r="L27" i="11"/>
  <c r="L128" i="11" s="1"/>
  <c r="J25" i="11"/>
  <c r="J21" i="11" s="1"/>
  <c r="J19" i="11" s="1"/>
  <c r="J17" i="11" s="1"/>
  <c r="G27" i="11"/>
  <c r="M27" i="10"/>
  <c r="G88" i="15"/>
  <c r="M88" i="14"/>
  <c r="M85" i="14" s="1"/>
  <c r="I85" i="14"/>
  <c r="AR11" i="14"/>
  <c r="AU11" i="14" s="1"/>
  <c r="AW11" i="14"/>
  <c r="AY11" i="14" s="1"/>
  <c r="G50" i="15"/>
  <c r="I48" i="14"/>
  <c r="M50" i="14"/>
  <c r="M48" i="14" s="1"/>
  <c r="I44" i="16"/>
  <c r="G42" i="16"/>
  <c r="J37" i="15"/>
  <c r="N37" i="14"/>
  <c r="L31" i="15"/>
  <c r="J33" i="13"/>
  <c r="L32" i="12"/>
  <c r="L28" i="12" s="1"/>
  <c r="AX9" i="12"/>
  <c r="AZ9" i="12" s="1"/>
  <c r="N33" i="12"/>
  <c r="N32" i="12" s="1"/>
  <c r="N28" i="12" s="1"/>
  <c r="J65" i="13"/>
  <c r="L63" i="12"/>
  <c r="N65" i="12"/>
  <c r="N63" i="12" s="1"/>
  <c r="J71" i="13"/>
  <c r="L69" i="12"/>
  <c r="N71" i="12"/>
  <c r="N69" i="12" s="1"/>
  <c r="J77" i="13"/>
  <c r="L75" i="12"/>
  <c r="N77" i="12"/>
  <c r="N75" i="12" s="1"/>
  <c r="G74" i="13"/>
  <c r="I72" i="12"/>
  <c r="M74" i="12"/>
  <c r="M72" i="12" s="1"/>
  <c r="F66" i="16"/>
  <c r="G80" i="14"/>
  <c r="M80" i="13"/>
  <c r="F81" i="16"/>
  <c r="M83" i="16"/>
  <c r="M81" i="16" s="1"/>
  <c r="M13" i="16"/>
  <c r="M14" i="16"/>
  <c r="N14" i="16"/>
  <c r="M77" i="16"/>
  <c r="M53" i="16"/>
  <c r="F45" i="16"/>
  <c r="M47" i="16"/>
  <c r="J59" i="13"/>
  <c r="L57" i="12"/>
  <c r="N59" i="12"/>
  <c r="N57" i="12" s="1"/>
  <c r="G62" i="13"/>
  <c r="I60" i="12"/>
  <c r="M62" i="12"/>
  <c r="M60" i="12" s="1"/>
  <c r="G68" i="13"/>
  <c r="I66" i="12"/>
  <c r="M68" i="12"/>
  <c r="M66" i="12" s="1"/>
  <c r="J83" i="13"/>
  <c r="L81" i="12"/>
  <c r="N83" i="12"/>
  <c r="N81" i="12" s="1"/>
  <c r="F57" i="16"/>
  <c r="M59" i="16"/>
  <c r="M57" i="16" s="1"/>
  <c r="M65" i="16"/>
  <c r="J53" i="13"/>
  <c r="L51" i="12"/>
  <c r="N53" i="12"/>
  <c r="N51" i="12" s="1"/>
  <c r="G37" i="13"/>
  <c r="I35" i="12"/>
  <c r="M37" i="12"/>
  <c r="M35" i="12" s="1"/>
  <c r="BC11" i="16"/>
  <c r="C11" i="20" s="1"/>
  <c r="F25" i="16"/>
  <c r="AQ8" i="16" s="1"/>
  <c r="BC7" i="15"/>
  <c r="F54" i="16"/>
  <c r="G46" i="13"/>
  <c r="I45" i="12"/>
  <c r="BD15" i="12"/>
  <c r="M46" i="12"/>
  <c r="M45" i="12" s="1"/>
  <c r="G52" i="13"/>
  <c r="I51" i="12"/>
  <c r="M52" i="12"/>
  <c r="M51" i="12" s="1"/>
  <c r="J47" i="13"/>
  <c r="L45" i="12"/>
  <c r="N47" i="12"/>
  <c r="N45" i="12" s="1"/>
  <c r="J26" i="13"/>
  <c r="N26" i="12"/>
  <c r="M10" i="10"/>
  <c r="J24" i="12"/>
  <c r="L22" i="11"/>
  <c r="AX7" i="11"/>
  <c r="AZ7" i="11" s="1"/>
  <c r="N24" i="11"/>
  <c r="F22" i="15"/>
  <c r="AQ7" i="15" s="1"/>
  <c r="F128" i="15"/>
  <c r="E22" i="16"/>
  <c r="E21" i="16" s="1"/>
  <c r="E19" i="16" s="1"/>
  <c r="E17" i="16" s="1"/>
  <c r="E8" i="16" s="1"/>
  <c r="E128" i="16"/>
  <c r="D22" i="16"/>
  <c r="F24" i="16"/>
  <c r="BC21" i="16" s="1"/>
  <c r="C25" i="20" s="1"/>
  <c r="D128" i="16"/>
  <c r="L13" i="11"/>
  <c r="J10" i="11"/>
  <c r="AB88" i="12"/>
  <c r="AD83" i="11"/>
  <c r="AD63" i="11" s="1"/>
  <c r="BP31" i="11"/>
  <c r="BJ15" i="11" s="1"/>
  <c r="AI88" i="11"/>
  <c r="AI83" i="11" s="1"/>
  <c r="AI63" i="11" s="1"/>
  <c r="Y237" i="12"/>
  <c r="AA235" i="11"/>
  <c r="AH237" i="11"/>
  <c r="AH235" i="11" s="1"/>
  <c r="AH234" i="11" s="1"/>
  <c r="AH110" i="11"/>
  <c r="BO17" i="11"/>
  <c r="BO15" i="11" s="1"/>
  <c r="AA112" i="11"/>
  <c r="AA110" i="11" s="1"/>
  <c r="AD107" i="12"/>
  <c r="AB105" i="12"/>
  <c r="AB104" i="12" s="1"/>
  <c r="AA133" i="12"/>
  <c r="Y123" i="12"/>
  <c r="Y112" i="12" s="1"/>
  <c r="AR25" i="11"/>
  <c r="BP13" i="11"/>
  <c r="AA159" i="12"/>
  <c r="Y157" i="12"/>
  <c r="Y155" i="12" s="1"/>
  <c r="Y145" i="12" s="1"/>
  <c r="I56" i="12"/>
  <c r="AH245" i="16"/>
  <c r="AI245" i="16"/>
  <c r="AJ245" i="16"/>
  <c r="AD50" i="12"/>
  <c r="AB49" i="12"/>
  <c r="AB43" i="12" s="1"/>
  <c r="AG158" i="16"/>
  <c r="AG127" i="16"/>
  <c r="T15" i="8"/>
  <c r="J126" i="10"/>
  <c r="J130" i="10" s="1"/>
  <c r="E126" i="11"/>
  <c r="E130" i="11" s="1"/>
  <c r="D126" i="11"/>
  <c r="D130" i="11" s="1"/>
  <c r="AZ35" i="5"/>
  <c r="AY35" i="5"/>
  <c r="M41" i="15"/>
  <c r="F41" i="16"/>
  <c r="J41" i="15"/>
  <c r="N41" i="14"/>
  <c r="I12" i="11"/>
  <c r="G10" i="11"/>
  <c r="BD7" i="10"/>
  <c r="AE220" i="12"/>
  <c r="AE223" i="13"/>
  <c r="AJ223" i="12"/>
  <c r="AJ222" i="12" s="1"/>
  <c r="AG222" i="12"/>
  <c r="AE236" i="13"/>
  <c r="AJ236" i="12"/>
  <c r="AE188" i="13"/>
  <c r="AJ188" i="12"/>
  <c r="AE205" i="12"/>
  <c r="AG206" i="12"/>
  <c r="AS13" i="11"/>
  <c r="AV13" i="11" s="1"/>
  <c r="AX13" i="11"/>
  <c r="G23" i="12"/>
  <c r="M23" i="11"/>
  <c r="BD12" i="11"/>
  <c r="AG198" i="12"/>
  <c r="AW13" i="16"/>
  <c r="AY13" i="16" s="1"/>
  <c r="AR13" i="16"/>
  <c r="AU13" i="16" s="1"/>
  <c r="AG181" i="12"/>
  <c r="AJ180" i="15"/>
  <c r="AE180" i="16"/>
  <c r="AE228" i="13"/>
  <c r="AJ228" i="12"/>
  <c r="AJ227" i="12" s="1"/>
  <c r="AG227" i="12"/>
  <c r="AG186" i="12"/>
  <c r="BN12" i="15" l="1"/>
  <c r="BN9" i="15" s="1"/>
  <c r="F69" i="16"/>
  <c r="AX27" i="10"/>
  <c r="AZ27" i="10" s="1"/>
  <c r="AI8" i="10"/>
  <c r="X145" i="15"/>
  <c r="X8" i="12"/>
  <c r="AQ14" i="13"/>
  <c r="V10" i="14"/>
  <c r="V8" i="14" s="1"/>
  <c r="BN13" i="14"/>
  <c r="BH8" i="14" s="1"/>
  <c r="M73" i="16"/>
  <c r="N73" i="16"/>
  <c r="F72" i="16"/>
  <c r="AX30" i="10"/>
  <c r="AZ30" i="10" s="1"/>
  <c r="AV30" i="10"/>
  <c r="AV16" i="10"/>
  <c r="BN7" i="13"/>
  <c r="BN32" i="13" s="1"/>
  <c r="AU24" i="10"/>
  <c r="N61" i="16"/>
  <c r="M61" i="16"/>
  <c r="F60" i="16"/>
  <c r="AS14" i="10"/>
  <c r="AV14" i="10" s="1"/>
  <c r="D8" i="14"/>
  <c r="AX25" i="9"/>
  <c r="AZ25" i="9" s="1"/>
  <c r="AV25" i="9"/>
  <c r="F51" i="16"/>
  <c r="AX23" i="10"/>
  <c r="AZ23" i="10" s="1"/>
  <c r="AV23" i="10"/>
  <c r="W10" i="16"/>
  <c r="W8" i="16" s="1"/>
  <c r="AG90" i="10"/>
  <c r="AG63" i="10" s="1"/>
  <c r="AG12" i="10" s="1"/>
  <c r="AG10" i="10" s="1"/>
  <c r="AG8" i="10" s="1"/>
  <c r="AJ90" i="10"/>
  <c r="AJ63" i="10" s="1"/>
  <c r="AJ12" i="10" s="1"/>
  <c r="AJ10" i="10" s="1"/>
  <c r="AW27" i="10"/>
  <c r="AY27" i="10" s="1"/>
  <c r="AU27" i="10"/>
  <c r="AW26" i="10"/>
  <c r="AY26" i="10" s="1"/>
  <c r="AU26" i="10"/>
  <c r="AH211" i="15"/>
  <c r="AH210" i="15" s="1"/>
  <c r="AH209" i="15" s="1"/>
  <c r="AX26" i="10"/>
  <c r="AZ26" i="10" s="1"/>
  <c r="AV26" i="10"/>
  <c r="W8" i="15"/>
  <c r="V110" i="15"/>
  <c r="AG8" i="9"/>
  <c r="AC1" i="9" s="1"/>
  <c r="AG258" i="9"/>
  <c r="AS31" i="9" s="1"/>
  <c r="AS32" i="9" s="1"/>
  <c r="V193" i="16"/>
  <c r="W258" i="15"/>
  <c r="X90" i="15"/>
  <c r="X10" i="13"/>
  <c r="X196" i="15"/>
  <c r="X195" i="15" s="1"/>
  <c r="AJ46" i="15"/>
  <c r="X44" i="15"/>
  <c r="X43" i="15" s="1"/>
  <c r="BN13" i="15" s="1"/>
  <c r="AH46" i="15"/>
  <c r="AH44" i="15" s="1"/>
  <c r="AH43" i="15" s="1"/>
  <c r="AH142" i="16"/>
  <c r="AH141" i="16" s="1"/>
  <c r="AJ142" i="16"/>
  <c r="X141" i="16"/>
  <c r="BN20" i="16" s="1"/>
  <c r="C44" i="20" s="1"/>
  <c r="AI142" i="16"/>
  <c r="AI141" i="16" s="1"/>
  <c r="D75" i="16"/>
  <c r="F76" i="16"/>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BC22" i="14" s="1"/>
  <c r="M79" i="16"/>
  <c r="N79" i="16"/>
  <c r="G76" i="16"/>
  <c r="I75" i="15"/>
  <c r="X85" i="16"/>
  <c r="V83" i="16"/>
  <c r="AE193" i="11"/>
  <c r="AI51" i="16"/>
  <c r="AJ51" i="16"/>
  <c r="X49" i="16"/>
  <c r="AH51" i="16"/>
  <c r="AH49" i="16" s="1"/>
  <c r="X46" i="16"/>
  <c r="V44" i="16"/>
  <c r="V43" i="16" s="1"/>
  <c r="V14" i="16" s="1"/>
  <c r="AG99" i="11"/>
  <c r="AE96" i="11"/>
  <c r="AH201" i="16"/>
  <c r="AI201" i="16"/>
  <c r="X197" i="16"/>
  <c r="AJ201" i="16"/>
  <c r="N76" i="15"/>
  <c r="M76" i="15"/>
  <c r="M75" i="15" s="1"/>
  <c r="F75" i="15"/>
  <c r="BH9" i="13"/>
  <c r="BH7" i="13" s="1"/>
  <c r="BH16" i="13" s="1"/>
  <c r="BC15" i="16"/>
  <c r="C15" i="20" s="1"/>
  <c r="N46" i="16"/>
  <c r="BC14" i="15"/>
  <c r="M64" i="15"/>
  <c r="M63" i="15" s="1"/>
  <c r="N64" i="15"/>
  <c r="F63" i="15"/>
  <c r="M36" i="15"/>
  <c r="F35" i="15"/>
  <c r="AI206" i="16"/>
  <c r="AI205" i="16" s="1"/>
  <c r="X205" i="16"/>
  <c r="AH206" i="16"/>
  <c r="AH205" i="16" s="1"/>
  <c r="D28" i="15"/>
  <c r="D21" i="15" s="1"/>
  <c r="D19" i="15" s="1"/>
  <c r="D17" i="15" s="1"/>
  <c r="D8" i="15" s="1"/>
  <c r="AU10" i="15"/>
  <c r="X193" i="14"/>
  <c r="AQ28" i="14"/>
  <c r="AQ24" i="14"/>
  <c r="AG178" i="11"/>
  <c r="AE176" i="11"/>
  <c r="AE170" i="11" s="1"/>
  <c r="AY10" i="15"/>
  <c r="AI21" i="16"/>
  <c r="AH21" i="16"/>
  <c r="AJ21" i="16"/>
  <c r="X20" i="16"/>
  <c r="X16" i="16" s="1"/>
  <c r="BN12" i="16" s="1"/>
  <c r="AE189" i="12"/>
  <c r="AJ189" i="11"/>
  <c r="AJ187" i="11" s="1"/>
  <c r="AJ185" i="11" s="1"/>
  <c r="AG187" i="11"/>
  <c r="AG185" i="11" s="1"/>
  <c r="AJ118" i="15"/>
  <c r="AH118" i="15"/>
  <c r="AH114" i="15" s="1"/>
  <c r="AI118" i="15"/>
  <c r="X114" i="15"/>
  <c r="BC17" i="15"/>
  <c r="AE160" i="12"/>
  <c r="AJ160" i="11"/>
  <c r="AJ157" i="11" s="1"/>
  <c r="AJ155" i="11" s="1"/>
  <c r="AJ145" i="11" s="1"/>
  <c r="AG157" i="11"/>
  <c r="AG155" i="11" s="1"/>
  <c r="AG145" i="11" s="1"/>
  <c r="BC12" i="15"/>
  <c r="N23" i="15"/>
  <c r="V90" i="16"/>
  <c r="F36" i="16"/>
  <c r="D35" i="16"/>
  <c r="BC13" i="15"/>
  <c r="F29" i="15"/>
  <c r="F12" i="16"/>
  <c r="F10" i="16" s="1"/>
  <c r="AQ16" i="16" s="1"/>
  <c r="D10" i="16"/>
  <c r="V63" i="15"/>
  <c r="V12" i="15" s="1"/>
  <c r="BN25" i="14"/>
  <c r="BH12" i="14" s="1"/>
  <c r="AE116" i="12"/>
  <c r="AJ116" i="11"/>
  <c r="AJ114" i="11" s="1"/>
  <c r="AG114" i="11"/>
  <c r="BN14" i="14"/>
  <c r="AE87" i="12"/>
  <c r="AJ87" i="11"/>
  <c r="AJ83" i="11" s="1"/>
  <c r="AG83" i="11"/>
  <c r="AS24" i="11" s="1"/>
  <c r="BC17" i="16"/>
  <c r="AU29" i="14"/>
  <c r="AV29" i="14"/>
  <c r="AH214" i="16"/>
  <c r="AI214" i="16"/>
  <c r="X211" i="16"/>
  <c r="X210" i="16" s="1"/>
  <c r="X209" i="16" s="1"/>
  <c r="AJ214" i="16"/>
  <c r="AH97" i="16"/>
  <c r="AI97" i="16"/>
  <c r="AJ97" i="16"/>
  <c r="X96" i="16"/>
  <c r="X118" i="16"/>
  <c r="V114" i="16"/>
  <c r="V112" i="16" s="1"/>
  <c r="BC12" i="16"/>
  <c r="C12" i="20" s="1"/>
  <c r="N23" i="16"/>
  <c r="AQ29" i="15"/>
  <c r="BN27" i="15"/>
  <c r="AH151" i="16"/>
  <c r="AI151" i="16"/>
  <c r="AJ151" i="16"/>
  <c r="X149" i="16"/>
  <c r="X147" i="16" s="1"/>
  <c r="AH92" i="16"/>
  <c r="X91" i="16"/>
  <c r="AJ92" i="16"/>
  <c r="V145" i="16"/>
  <c r="F64" i="16"/>
  <c r="D63" i="16"/>
  <c r="BC16" i="16"/>
  <c r="C16" i="20" s="1"/>
  <c r="F42" i="16"/>
  <c r="AQ10" i="16" s="1"/>
  <c r="AV10" i="16" s="1"/>
  <c r="M43" i="16"/>
  <c r="N43" i="16"/>
  <c r="F30" i="16"/>
  <c r="D29" i="16"/>
  <c r="AJ39" i="16"/>
  <c r="AH39" i="16"/>
  <c r="X35" i="16"/>
  <c r="AG126" i="11"/>
  <c r="AE123" i="11"/>
  <c r="AE112" i="11" s="1"/>
  <c r="AE110" i="11" s="1"/>
  <c r="M70" i="16"/>
  <c r="M69" i="16" s="1"/>
  <c r="I69" i="16"/>
  <c r="AJ85" i="15"/>
  <c r="X83" i="15"/>
  <c r="AI85" i="15"/>
  <c r="F28" i="14"/>
  <c r="X14" i="14"/>
  <c r="X12" i="14" s="1"/>
  <c r="X243" i="15"/>
  <c r="X232" i="15" s="1"/>
  <c r="AQ30" i="15" s="1"/>
  <c r="X244" i="16"/>
  <c r="V243" i="16"/>
  <c r="V232" i="16" s="1"/>
  <c r="U1" i="9"/>
  <c r="AF258" i="10"/>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AA234" i="11"/>
  <c r="AR28" i="12"/>
  <c r="AW28" i="12" s="1"/>
  <c r="AY28" i="12" s="1"/>
  <c r="BP29" i="10"/>
  <c r="BJ13" i="10" s="1"/>
  <c r="AR30" i="10"/>
  <c r="G55" i="12"/>
  <c r="M55" i="11"/>
  <c r="M54" i="11" s="1"/>
  <c r="BD17" i="11"/>
  <c r="I54" i="11"/>
  <c r="BN29" i="14"/>
  <c r="BH13" i="14" s="1"/>
  <c r="AQ30" i="14"/>
  <c r="AB10" i="11"/>
  <c r="AI258" i="10"/>
  <c r="AD244" i="11"/>
  <c r="AB243" i="11"/>
  <c r="AB232" i="11" s="1"/>
  <c r="AE243" i="11"/>
  <c r="AE232" i="11" s="1"/>
  <c r="AG244" i="11"/>
  <c r="BN29" i="15"/>
  <c r="BH13" i="15" s="1"/>
  <c r="AB90" i="13"/>
  <c r="AD10" i="10"/>
  <c r="AD8" i="10" s="1"/>
  <c r="AR31" i="9"/>
  <c r="AR32" i="9" s="1"/>
  <c r="AV35" i="9" s="1"/>
  <c r="Y90" i="15"/>
  <c r="AJ174" i="16"/>
  <c r="AJ172" i="16" s="1"/>
  <c r="AD127" i="14"/>
  <c r="AB123" i="14"/>
  <c r="AA213" i="16"/>
  <c r="Y211" i="16"/>
  <c r="Y210" i="16" s="1"/>
  <c r="Y209" i="16" s="1"/>
  <c r="AA179" i="16"/>
  <c r="Y176" i="16"/>
  <c r="AB198" i="14"/>
  <c r="AD197" i="13"/>
  <c r="AD196" i="13" s="1"/>
  <c r="BP26" i="13"/>
  <c r="AI198" i="13"/>
  <c r="AI197" i="13" s="1"/>
  <c r="AI196" i="13" s="1"/>
  <c r="AI195" i="13" s="1"/>
  <c r="AB223" i="14"/>
  <c r="AD222" i="13"/>
  <c r="AD220" i="13" s="1"/>
  <c r="AI223" i="13"/>
  <c r="AI222" i="13" s="1"/>
  <c r="AI220" i="13" s="1"/>
  <c r="AA107" i="16"/>
  <c r="Y105" i="16"/>
  <c r="Y104" i="16" s="1"/>
  <c r="AA173" i="16"/>
  <c r="Y172" i="16"/>
  <c r="AB92" i="14"/>
  <c r="AD91" i="13"/>
  <c r="AI92" i="13"/>
  <c r="AI91" i="13" s="1"/>
  <c r="AB46" i="14"/>
  <c r="AD44" i="13"/>
  <c r="AI46" i="13"/>
  <c r="AI44" i="13" s="1"/>
  <c r="Y100" i="16"/>
  <c r="AA96" i="15"/>
  <c r="AH100" i="15"/>
  <c r="AH96" i="15" s="1"/>
  <c r="L80" i="14"/>
  <c r="J78" i="14"/>
  <c r="L78" i="14" s="1"/>
  <c r="N78" i="14" s="1"/>
  <c r="Y225" i="16"/>
  <c r="AA222" i="15"/>
  <c r="AA220" i="15" s="1"/>
  <c r="BO30" i="15" s="1"/>
  <c r="BI14" i="15" s="1"/>
  <c r="AH225" i="15"/>
  <c r="AH222" i="15" s="1"/>
  <c r="AH220" i="15" s="1"/>
  <c r="J68" i="14"/>
  <c r="L66" i="13"/>
  <c r="N68" i="13"/>
  <c r="N66" i="13" s="1"/>
  <c r="J36" i="14"/>
  <c r="N36" i="13"/>
  <c r="N35" i="13" s="1"/>
  <c r="L35" i="13"/>
  <c r="AA117" i="16"/>
  <c r="Y114" i="16"/>
  <c r="AG143" i="14"/>
  <c r="AE141" i="14"/>
  <c r="AA246" i="16"/>
  <c r="AB238" i="14"/>
  <c r="AD235" i="13"/>
  <c r="AD234" i="13" s="1"/>
  <c r="AI238" i="13"/>
  <c r="AI235" i="13" s="1"/>
  <c r="AI234" i="13" s="1"/>
  <c r="AB117" i="14"/>
  <c r="AD114" i="13"/>
  <c r="AI117" i="13"/>
  <c r="AI114" i="13" s="1"/>
  <c r="AI112" i="13" s="1"/>
  <c r="Y200" i="16"/>
  <c r="AA197" i="15"/>
  <c r="AA196" i="15" s="1"/>
  <c r="AH200" i="15"/>
  <c r="AH197" i="15" s="1"/>
  <c r="AH196" i="15" s="1"/>
  <c r="AH195" i="15" s="1"/>
  <c r="AH193" i="15" s="1"/>
  <c r="AG93" i="14"/>
  <c r="AD229" i="14"/>
  <c r="AB227" i="14"/>
  <c r="AG36" i="14"/>
  <c r="AE35" i="14"/>
  <c r="AE47" i="14"/>
  <c r="AJ47" i="13"/>
  <c r="AJ44" i="13" s="1"/>
  <c r="AG44" i="13"/>
  <c r="J56" i="14"/>
  <c r="L54" i="13"/>
  <c r="N56" i="13"/>
  <c r="N54" i="13" s="1"/>
  <c r="J72" i="14"/>
  <c r="L74" i="14"/>
  <c r="Y150" i="16"/>
  <c r="AH150" i="15"/>
  <c r="AH149" i="15" s="1"/>
  <c r="AH147" i="15" s="1"/>
  <c r="AA149" i="15"/>
  <c r="AA147" i="15" s="1"/>
  <c r="BO16" i="15" s="1"/>
  <c r="Y190" i="16"/>
  <c r="AA187" i="15"/>
  <c r="AA185" i="15" s="1"/>
  <c r="AA170" i="15" s="1"/>
  <c r="BO24" i="15" s="1"/>
  <c r="BO22" i="15" s="1"/>
  <c r="BI11" i="15" s="1"/>
  <c r="AH190" i="15"/>
  <c r="AH187" i="15" s="1"/>
  <c r="AH185" i="15" s="1"/>
  <c r="AH170" i="15" s="1"/>
  <c r="AJ86" i="13"/>
  <c r="AE86" i="14"/>
  <c r="Y95" i="16"/>
  <c r="AH95" i="15"/>
  <c r="AH91" i="15" s="1"/>
  <c r="AA91" i="15"/>
  <c r="J62" i="14"/>
  <c r="L60" i="13"/>
  <c r="N62" i="13"/>
  <c r="N60" i="13" s="1"/>
  <c r="AE59" i="14"/>
  <c r="AG58" i="13"/>
  <c r="AG57" i="13" s="1"/>
  <c r="AJ59" i="13"/>
  <c r="AJ58" i="13" s="1"/>
  <c r="AJ57" i="13" s="1"/>
  <c r="AB22" i="14"/>
  <c r="AD20" i="13"/>
  <c r="AD16" i="13" s="1"/>
  <c r="AI22" i="13"/>
  <c r="AI20" i="13" s="1"/>
  <c r="AI16" i="13" s="1"/>
  <c r="J44" i="14"/>
  <c r="AX10" i="13"/>
  <c r="AZ10" i="13" s="1"/>
  <c r="L42" i="13"/>
  <c r="AS10" i="13" s="1"/>
  <c r="N44" i="13"/>
  <c r="N42" i="13" s="1"/>
  <c r="AE115" i="14"/>
  <c r="AJ115" i="13"/>
  <c r="AE98" i="14"/>
  <c r="AJ98" i="13"/>
  <c r="AD188" i="14"/>
  <c r="AB187" i="14"/>
  <c r="AB185" i="14" s="1"/>
  <c r="AB150" i="14"/>
  <c r="AD149" i="13"/>
  <c r="AD147" i="13" s="1"/>
  <c r="AI150" i="13"/>
  <c r="AI149" i="13" s="1"/>
  <c r="AI147" i="13" s="1"/>
  <c r="BO27" i="15"/>
  <c r="AG149" i="13"/>
  <c r="AG147" i="13" s="1"/>
  <c r="AE152" i="14"/>
  <c r="AJ152" i="13"/>
  <c r="AJ149" i="13" s="1"/>
  <c r="AJ147" i="13" s="1"/>
  <c r="J30" i="14"/>
  <c r="N30" i="13"/>
  <c r="N29" i="13" s="1"/>
  <c r="L29" i="13"/>
  <c r="AB100" i="14"/>
  <c r="AI100" i="13"/>
  <c r="AI96" i="13" s="1"/>
  <c r="AD96" i="13"/>
  <c r="L50" i="14"/>
  <c r="J48" i="14"/>
  <c r="AA12" i="10"/>
  <c r="AH12" i="10"/>
  <c r="Y63" i="11"/>
  <c r="Y61" i="13"/>
  <c r="AH61" i="12"/>
  <c r="AH57" i="12" s="1"/>
  <c r="BO31" i="12"/>
  <c r="BI15" i="12" s="1"/>
  <c r="AA57" i="12"/>
  <c r="BO13" i="12" s="1"/>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G197" i="11"/>
  <c r="AG196" i="11" s="1"/>
  <c r="AG195" i="11" s="1"/>
  <c r="Y14" i="1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D14" i="11" s="1"/>
  <c r="AD12" i="11" s="1"/>
  <c r="AI39" i="11"/>
  <c r="AI35" i="11" s="1"/>
  <c r="AI14" i="11" s="1"/>
  <c r="AI12" i="11" s="1"/>
  <c r="AB167" i="12"/>
  <c r="AD157" i="11"/>
  <c r="AD155" i="11" s="1"/>
  <c r="BP19" i="11"/>
  <c r="AI167" i="11"/>
  <c r="AI157" i="11" s="1"/>
  <c r="AI155" i="11" s="1"/>
  <c r="AI145" i="11" s="1"/>
  <c r="AI110" i="11" s="1"/>
  <c r="Y27" i="12"/>
  <c r="AA20" i="11"/>
  <c r="AA16" i="11" s="1"/>
  <c r="AH27" i="11"/>
  <c r="AH20" i="11" s="1"/>
  <c r="AH16" i="11" s="1"/>
  <c r="BO9" i="10"/>
  <c r="J115" i="16"/>
  <c r="L113" i="15"/>
  <c r="AS15" i="15" s="1"/>
  <c r="AX15" i="15" s="1"/>
  <c r="N115" i="15"/>
  <c r="N113" i="15" s="1"/>
  <c r="AE23" i="12"/>
  <c r="AG20" i="11"/>
  <c r="AG16" i="11" s="1"/>
  <c r="AJ23" i="11"/>
  <c r="AJ20" i="11" s="1"/>
  <c r="AJ16" i="11" s="1"/>
  <c r="BP22" i="10"/>
  <c r="BJ11" i="10" s="1"/>
  <c r="AI133" i="16"/>
  <c r="AJ133" i="16"/>
  <c r="AE70" i="12"/>
  <c r="AJ70" i="11"/>
  <c r="AJ69" i="11" s="1"/>
  <c r="AJ65" i="11" s="1"/>
  <c r="AG69" i="11"/>
  <c r="AG65" i="11" s="1"/>
  <c r="I115" i="15"/>
  <c r="G113" i="15"/>
  <c r="AX14" i="12"/>
  <c r="J86" i="15"/>
  <c r="L85" i="14"/>
  <c r="N86" i="14"/>
  <c r="N85" i="14" s="1"/>
  <c r="BD18" i="14"/>
  <c r="G95" i="15"/>
  <c r="I94" i="14"/>
  <c r="M95" i="14"/>
  <c r="M94" i="14" s="1"/>
  <c r="L95" i="15"/>
  <c r="J94" i="15"/>
  <c r="BH14" i="16"/>
  <c r="C54" i="20"/>
  <c r="AE124" i="13"/>
  <c r="AJ124" i="12"/>
  <c r="AW25" i="11"/>
  <c r="AY25" i="11" s="1"/>
  <c r="AU25" i="11"/>
  <c r="AE161" i="13"/>
  <c r="AJ161" i="12"/>
  <c r="BH15" i="16"/>
  <c r="C55"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AI193" i="12" s="1"/>
  <c r="Q25" i="20"/>
  <c r="R25" i="20" s="1"/>
  <c r="BE22" i="16"/>
  <c r="BF22" i="16" s="1"/>
  <c r="BF21" i="16"/>
  <c r="AB75" i="13"/>
  <c r="AD69" i="12"/>
  <c r="AD65" i="12" s="1"/>
  <c r="AI75" i="12"/>
  <c r="AI69" i="12" s="1"/>
  <c r="AI65" i="12" s="1"/>
  <c r="AW23" i="11"/>
  <c r="AY23" i="11" s="1"/>
  <c r="AU23" i="11"/>
  <c r="J8" i="11"/>
  <c r="I24" i="11"/>
  <c r="G22" i="11"/>
  <c r="J27" i="12"/>
  <c r="J128" i="12" s="1"/>
  <c r="N27" i="11"/>
  <c r="N25" i="11" s="1"/>
  <c r="AX8" i="11"/>
  <c r="AZ8" i="11" s="1"/>
  <c r="L25" i="11"/>
  <c r="AS8" i="11" s="1"/>
  <c r="AV8" i="11" s="1"/>
  <c r="I27" i="11"/>
  <c r="I88" i="15"/>
  <c r="G85" i="15"/>
  <c r="AW10" i="16"/>
  <c r="I42" i="16"/>
  <c r="AR10" i="16" s="1"/>
  <c r="M44" i="16"/>
  <c r="J31" i="16"/>
  <c r="N31" i="15"/>
  <c r="L37" i="15"/>
  <c r="I50" i="15"/>
  <c r="G48" i="15"/>
  <c r="AS9" i="12"/>
  <c r="AV9" i="12" s="1"/>
  <c r="I68" i="13"/>
  <c r="G66" i="13"/>
  <c r="I74" i="13"/>
  <c r="G72" i="13"/>
  <c r="L83" i="13"/>
  <c r="J81" i="13"/>
  <c r="L65" i="13"/>
  <c r="J63" i="13"/>
  <c r="L33" i="13"/>
  <c r="J32" i="13"/>
  <c r="J28" i="13" s="1"/>
  <c r="L47" i="13"/>
  <c r="J45" i="13"/>
  <c r="I52" i="13"/>
  <c r="G51" i="13"/>
  <c r="I46" i="13"/>
  <c r="G45" i="13"/>
  <c r="L53" i="13"/>
  <c r="J51" i="13"/>
  <c r="L59" i="13"/>
  <c r="J57" i="13"/>
  <c r="I80" i="14"/>
  <c r="G78" i="14"/>
  <c r="I78" i="14" s="1"/>
  <c r="M78" i="14" s="1"/>
  <c r="L71" i="13"/>
  <c r="J69" i="13"/>
  <c r="L26" i="13"/>
  <c r="I37" i="13"/>
  <c r="G35" i="13"/>
  <c r="I62" i="13"/>
  <c r="G60" i="13"/>
  <c r="L77" i="13"/>
  <c r="J75" i="13"/>
  <c r="J13" i="12"/>
  <c r="L10" i="11"/>
  <c r="N13" i="11"/>
  <c r="N10" i="11" s="1"/>
  <c r="F22" i="16"/>
  <c r="AQ7" i="16" s="1"/>
  <c r="F128" i="16"/>
  <c r="AS7" i="11"/>
  <c r="AV7" i="11" s="1"/>
  <c r="N22" i="11"/>
  <c r="L24" i="12"/>
  <c r="J22" i="12"/>
  <c r="AD88" i="12"/>
  <c r="AB83" i="12"/>
  <c r="AB63" i="12" s="1"/>
  <c r="AA237" i="12"/>
  <c r="Y235" i="12"/>
  <c r="Y234" i="12" s="1"/>
  <c r="G56" i="13"/>
  <c r="M56" i="12"/>
  <c r="Y110" i="12"/>
  <c r="Y159" i="13"/>
  <c r="AA157" i="12"/>
  <c r="AA155" i="12" s="1"/>
  <c r="AA145" i="12" s="1"/>
  <c r="AH159" i="12"/>
  <c r="AH157" i="12" s="1"/>
  <c r="AH155" i="12" s="1"/>
  <c r="AH145" i="12" s="1"/>
  <c r="BI10" i="11"/>
  <c r="AB50" i="13"/>
  <c r="AD49" i="12"/>
  <c r="AD43" i="12" s="1"/>
  <c r="AI50" i="12"/>
  <c r="AI49" i="12" s="1"/>
  <c r="AI43" i="12" s="1"/>
  <c r="Y133" i="13"/>
  <c r="AA123" i="12"/>
  <c r="AH133" i="12"/>
  <c r="AH123" i="12" s="1"/>
  <c r="AH112" i="12" s="1"/>
  <c r="AB107" i="13"/>
  <c r="AD105" i="12"/>
  <c r="AD104" i="12" s="1"/>
  <c r="AI107" i="12"/>
  <c r="AI105" i="12" s="1"/>
  <c r="AI104" i="12" s="1"/>
  <c r="BJ8" i="11"/>
  <c r="AJ127" i="16"/>
  <c r="AJ158" i="16"/>
  <c r="AJ220" i="12"/>
  <c r="E126" i="12"/>
  <c r="E130" i="12" s="1"/>
  <c r="D126" i="12"/>
  <c r="D130" i="12" s="1"/>
  <c r="T15" i="9"/>
  <c r="M41" i="16"/>
  <c r="L41" i="15"/>
  <c r="AZ16" i="10"/>
  <c r="AX17" i="10"/>
  <c r="AW17" i="10"/>
  <c r="G12" i="12"/>
  <c r="I10" i="11"/>
  <c r="M12" i="11"/>
  <c r="AG205" i="12"/>
  <c r="AJ206" i="12"/>
  <c r="AJ205" i="12" s="1"/>
  <c r="AE206" i="13"/>
  <c r="AE186" i="13"/>
  <c r="AJ186" i="12"/>
  <c r="AG228" i="13"/>
  <c r="AE227" i="13"/>
  <c r="I23" i="12"/>
  <c r="AZ13" i="11"/>
  <c r="AG188" i="13"/>
  <c r="AG220" i="12"/>
  <c r="AG180" i="16"/>
  <c r="AJ181" i="12"/>
  <c r="AE181" i="13"/>
  <c r="AG236" i="13"/>
  <c r="AG223" i="13"/>
  <c r="AE222" i="13"/>
  <c r="AE198" i="13"/>
  <c r="AJ198" i="12"/>
  <c r="H72" i="16" l="1"/>
  <c r="H21" i="16" s="1"/>
  <c r="H19" i="16" s="1"/>
  <c r="H17" i="16" s="1"/>
  <c r="H128" i="16"/>
  <c r="BH8" i="15"/>
  <c r="BC7" i="16"/>
  <c r="C8" i="20"/>
  <c r="X63" i="15"/>
  <c r="X14" i="15"/>
  <c r="W258" i="16"/>
  <c r="BN28" i="15"/>
  <c r="BN25" i="15" s="1"/>
  <c r="BH12" i="15" s="1"/>
  <c r="AS17" i="10"/>
  <c r="V258" i="14"/>
  <c r="X145" i="16"/>
  <c r="AW30" i="10"/>
  <c r="AY30" i="10" s="1"/>
  <c r="AU30" i="10"/>
  <c r="F28" i="15"/>
  <c r="AQ9" i="15" s="1"/>
  <c r="AS25" i="10"/>
  <c r="AX25" i="10" s="1"/>
  <c r="AZ25" i="10" s="1"/>
  <c r="X10" i="14"/>
  <c r="X8" i="14" s="1"/>
  <c r="D28" i="16"/>
  <c r="D21" i="16" s="1"/>
  <c r="D19" i="16" s="1"/>
  <c r="D17" i="16" s="1"/>
  <c r="D8" i="16" s="1"/>
  <c r="AJ8" i="10"/>
  <c r="AJ258" i="10"/>
  <c r="AU28" i="12"/>
  <c r="AX24" i="11"/>
  <c r="AZ24" i="11" s="1"/>
  <c r="AV24" i="11"/>
  <c r="V10" i="15"/>
  <c r="V8" i="15" s="1"/>
  <c r="AI10" i="11"/>
  <c r="AQ25" i="15"/>
  <c r="V63" i="16"/>
  <c r="V12" i="16" s="1"/>
  <c r="AJ193" i="11"/>
  <c r="X258" i="13"/>
  <c r="X8" i="13"/>
  <c r="AU10" i="16"/>
  <c r="AY10" i="16"/>
  <c r="AG258" i="10"/>
  <c r="AS31" i="10" s="1"/>
  <c r="N12" i="16"/>
  <c r="BC14" i="16"/>
  <c r="C14" i="20" s="1"/>
  <c r="N64" i="16"/>
  <c r="M64" i="16"/>
  <c r="M63" i="16" s="1"/>
  <c r="F63" i="16"/>
  <c r="AG160" i="12"/>
  <c r="AE157" i="12"/>
  <c r="AE155" i="12" s="1"/>
  <c r="AE145" i="12" s="1"/>
  <c r="AG189" i="12"/>
  <c r="AE187" i="12"/>
  <c r="AE185" i="12" s="1"/>
  <c r="AJ46" i="16"/>
  <c r="X44" i="16"/>
  <c r="X43" i="16" s="1"/>
  <c r="AH46" i="16"/>
  <c r="AH44" i="16" s="1"/>
  <c r="AH43" i="16" s="1"/>
  <c r="I76" i="16"/>
  <c r="I75" i="16" s="1"/>
  <c r="G75"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Z14" i="12"/>
  <c r="AQ9" i="14"/>
  <c r="F21" i="14"/>
  <c r="F19" i="14" s="1"/>
  <c r="BC13" i="16"/>
  <c r="C13" i="20" s="1"/>
  <c r="F29" i="16"/>
  <c r="AU29" i="15"/>
  <c r="AV29" i="15"/>
  <c r="V110" i="16"/>
  <c r="AG87" i="12"/>
  <c r="AE83" i="12"/>
  <c r="AG116" i="12"/>
  <c r="AE114" i="12"/>
  <c r="M36" i="16"/>
  <c r="F35" i="16"/>
  <c r="BN16" i="15"/>
  <c r="BN15" i="15" s="1"/>
  <c r="BH10" i="15" s="1"/>
  <c r="X112" i="15"/>
  <c r="X110" i="15" s="1"/>
  <c r="AQ26" i="15" s="1"/>
  <c r="X193" i="15"/>
  <c r="AQ28" i="15"/>
  <c r="X196" i="16"/>
  <c r="AE99" i="12"/>
  <c r="AJ99" i="11"/>
  <c r="AJ96" i="11" s="1"/>
  <c r="AG96" i="11"/>
  <c r="AG90" i="11" s="1"/>
  <c r="AS25" i="11" s="1"/>
  <c r="AQ24" i="15"/>
  <c r="AJ85" i="16"/>
  <c r="X83" i="16"/>
  <c r="BN14" i="16" s="1"/>
  <c r="AI85" i="16"/>
  <c r="N76" i="16"/>
  <c r="F75" i="16"/>
  <c r="M42" i="16"/>
  <c r="X90" i="16"/>
  <c r="AH118" i="16"/>
  <c r="AJ118" i="16"/>
  <c r="AI118" i="16"/>
  <c r="X114" i="16"/>
  <c r="BH9" i="14"/>
  <c r="BH7" i="14" s="1"/>
  <c r="BH16" i="14" s="1"/>
  <c r="BN8" i="14"/>
  <c r="BN7" i="14" s="1"/>
  <c r="BN32" i="14" s="1"/>
  <c r="BN14" i="15"/>
  <c r="AS29" i="11"/>
  <c r="AX29" i="11" s="1"/>
  <c r="AZ29" i="11" s="1"/>
  <c r="AB8" i="11"/>
  <c r="AB258" i="11"/>
  <c r="Y244" i="12"/>
  <c r="AA243" i="11"/>
  <c r="AA232" i="11" s="1"/>
  <c r="BO29" i="11" s="1"/>
  <c r="BI13" i="11" s="1"/>
  <c r="AH244" i="11"/>
  <c r="AH243" i="11" s="1"/>
  <c r="AH232" i="11" s="1"/>
  <c r="X243" i="16"/>
  <c r="X232" i="16" s="1"/>
  <c r="AG234" i="11"/>
  <c r="I55" i="12"/>
  <c r="G54" i="12"/>
  <c r="AD258" i="10"/>
  <c r="BP33" i="10" s="1"/>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D193" i="12"/>
  <c r="AS28" i="11"/>
  <c r="AG193" i="11"/>
  <c r="AD243" i="11"/>
  <c r="AD232" i="11" s="1"/>
  <c r="AB244" i="12"/>
  <c r="AI244" i="11"/>
  <c r="AI243" i="11" s="1"/>
  <c r="AI232" i="11" s="1"/>
  <c r="AH10" i="10"/>
  <c r="AH8" i="10" s="1"/>
  <c r="AA10" i="10"/>
  <c r="AA8" i="10" s="1"/>
  <c r="AH90" i="15"/>
  <c r="AA90" i="15"/>
  <c r="AD90" i="13"/>
  <c r="BP30" i="13"/>
  <c r="L48" i="14"/>
  <c r="J50" i="15"/>
  <c r="N50" i="14"/>
  <c r="N48" i="14" s="1"/>
  <c r="AD150" i="14"/>
  <c r="AB149" i="14"/>
  <c r="AB147" i="14" s="1"/>
  <c r="AG115" i="14"/>
  <c r="L44" i="14"/>
  <c r="J42" i="14"/>
  <c r="J74" i="15"/>
  <c r="L72" i="14"/>
  <c r="N74" i="14"/>
  <c r="N72" i="14" s="1"/>
  <c r="AE36" i="15"/>
  <c r="AJ36" i="14"/>
  <c r="AJ35" i="14" s="1"/>
  <c r="AG35" i="14"/>
  <c r="AE93" i="15"/>
  <c r="AJ93" i="14"/>
  <c r="AA200" i="16"/>
  <c r="Y197" i="16"/>
  <c r="Y196" i="16" s="1"/>
  <c r="Y195" i="16" s="1"/>
  <c r="Y193" i="16" s="1"/>
  <c r="AH246" i="16"/>
  <c r="AA114" i="16"/>
  <c r="AH117" i="16"/>
  <c r="AH114" i="16" s="1"/>
  <c r="AD92" i="14"/>
  <c r="AB91" i="14"/>
  <c r="AA105" i="16"/>
  <c r="AA104" i="16" s="1"/>
  <c r="AH107" i="16"/>
  <c r="AH105" i="16" s="1"/>
  <c r="AH104" i="16" s="1"/>
  <c r="AA211" i="16"/>
  <c r="AA210" i="16" s="1"/>
  <c r="AA209" i="16" s="1"/>
  <c r="AH213" i="16"/>
  <c r="AH211" i="16" s="1"/>
  <c r="AH210" i="16" s="1"/>
  <c r="AH209" i="16" s="1"/>
  <c r="AG98" i="14"/>
  <c r="AA95" i="16"/>
  <c r="Y91" i="16"/>
  <c r="AA225" i="16"/>
  <c r="Y222" i="16"/>
  <c r="Y220" i="16" s="1"/>
  <c r="AD46" i="14"/>
  <c r="AB44" i="14"/>
  <c r="AG152" i="14"/>
  <c r="AE149" i="14"/>
  <c r="AE147" i="14" s="1"/>
  <c r="AD187" i="14"/>
  <c r="AD185" i="14" s="1"/>
  <c r="AB188" i="15"/>
  <c r="AI188" i="14"/>
  <c r="AI187" i="14" s="1"/>
  <c r="AI185" i="14" s="1"/>
  <c r="AG59" i="14"/>
  <c r="AE58" i="14"/>
  <c r="AE57" i="14" s="1"/>
  <c r="L62" i="14"/>
  <c r="J60" i="14"/>
  <c r="AA150" i="16"/>
  <c r="Y149" i="16"/>
  <c r="Y147" i="16" s="1"/>
  <c r="AG47" i="14"/>
  <c r="AE44" i="14"/>
  <c r="AB229" i="15"/>
  <c r="AD227" i="14"/>
  <c r="AI229" i="14"/>
  <c r="AI227" i="14" s="1"/>
  <c r="BP16" i="13"/>
  <c r="AD112" i="13"/>
  <c r="AD238" i="14"/>
  <c r="AB235" i="14"/>
  <c r="AB234" i="14" s="1"/>
  <c r="AE143" i="15"/>
  <c r="AG141" i="14"/>
  <c r="AJ143" i="14"/>
  <c r="AJ141" i="14" s="1"/>
  <c r="L68" i="14"/>
  <c r="J66" i="14"/>
  <c r="AA100" i="16"/>
  <c r="Y96" i="16"/>
  <c r="AI90" i="13"/>
  <c r="AH173" i="16"/>
  <c r="AH172" i="16" s="1"/>
  <c r="AA172" i="16"/>
  <c r="AD195" i="13"/>
  <c r="BP28" i="13"/>
  <c r="AA176" i="16"/>
  <c r="AH179" i="16"/>
  <c r="AH176" i="16" s="1"/>
  <c r="AB127" i="15"/>
  <c r="AI127" i="14"/>
  <c r="AI123" i="14" s="1"/>
  <c r="AD123" i="14"/>
  <c r="AD100" i="14"/>
  <c r="AB96" i="14"/>
  <c r="L30" i="14"/>
  <c r="J29" i="14"/>
  <c r="AD22" i="14"/>
  <c r="AB20" i="14"/>
  <c r="AB16" i="14" s="1"/>
  <c r="AG86" i="14"/>
  <c r="AA190" i="16"/>
  <c r="Y187" i="16"/>
  <c r="Y185" i="16" s="1"/>
  <c r="Y170" i="16" s="1"/>
  <c r="L56" i="14"/>
  <c r="J54" i="14"/>
  <c r="BO28" i="15"/>
  <c r="BO25" i="15" s="1"/>
  <c r="BI12" i="15" s="1"/>
  <c r="AA195" i="15"/>
  <c r="AA193" i="15" s="1"/>
  <c r="AD117" i="14"/>
  <c r="AB114" i="14"/>
  <c r="AB112" i="14" s="1"/>
  <c r="L36" i="14"/>
  <c r="J35" i="14"/>
  <c r="J80" i="15"/>
  <c r="N80" i="14"/>
  <c r="AB222" i="14"/>
  <c r="AB220" i="14" s="1"/>
  <c r="AD223" i="14"/>
  <c r="AD198" i="14"/>
  <c r="AB197" i="14"/>
  <c r="AB196" i="14" s="1"/>
  <c r="AB195" i="14" s="1"/>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Y57" i="13"/>
  <c r="AG202" i="12"/>
  <c r="AE197" i="12"/>
  <c r="AE196" i="12" s="1"/>
  <c r="AE195" i="12" s="1"/>
  <c r="AA37" i="12"/>
  <c r="Y35" i="12"/>
  <c r="N128" i="11"/>
  <c r="BO12" i="11"/>
  <c r="BO9" i="11" s="1"/>
  <c r="AA14" i="11"/>
  <c r="BP17" i="11"/>
  <c r="BP15" i="11" s="1"/>
  <c r="BJ10" i="11" s="1"/>
  <c r="AD145" i="11"/>
  <c r="AD110" i="11" s="1"/>
  <c r="AR26" i="11" s="1"/>
  <c r="BJ10" i="10"/>
  <c r="BJ7" i="10" s="1"/>
  <c r="BJ16" i="10" s="1"/>
  <c r="BP7" i="10"/>
  <c r="BP32" i="10" s="1"/>
  <c r="AD180" i="12"/>
  <c r="AB176" i="12"/>
  <c r="AB170" i="12" s="1"/>
  <c r="BI8" i="10"/>
  <c r="BI7" i="10" s="1"/>
  <c r="BI16" i="10" s="1"/>
  <c r="BO8" i="10"/>
  <c r="BO7" i="10" s="1"/>
  <c r="BO32" i="10" s="1"/>
  <c r="AA27" i="12"/>
  <c r="Y20" i="12"/>
  <c r="Y16" i="12" s="1"/>
  <c r="AD167" i="12"/>
  <c r="AB157" i="12"/>
  <c r="AB155" i="12" s="1"/>
  <c r="AB145" i="12" s="1"/>
  <c r="AB110" i="12" s="1"/>
  <c r="I113" i="15"/>
  <c r="AR15" i="15" s="1"/>
  <c r="AW15" i="15" s="1"/>
  <c r="BD20" i="15"/>
  <c r="G115" i="16"/>
  <c r="M115" i="15"/>
  <c r="M113" i="15" s="1"/>
  <c r="AG14" i="11"/>
  <c r="AS23" i="11"/>
  <c r="AD39" i="12"/>
  <c r="AB35" i="12"/>
  <c r="AB14" i="12" s="1"/>
  <c r="AB12" i="12" s="1"/>
  <c r="AA71" i="12"/>
  <c r="Y69" i="12"/>
  <c r="Y65" i="12" s="1"/>
  <c r="AC1" i="10"/>
  <c r="AG70" i="12"/>
  <c r="AE69" i="12"/>
  <c r="AE65" i="12" s="1"/>
  <c r="AG23" i="12"/>
  <c r="AE20" i="12"/>
  <c r="AE16" i="12" s="1"/>
  <c r="L115" i="16"/>
  <c r="J113" i="16"/>
  <c r="AR27" i="11"/>
  <c r="BP24" i="11"/>
  <c r="BP22" i="11" s="1"/>
  <c r="BJ11" i="11" s="1"/>
  <c r="AG52" i="12"/>
  <c r="AE49" i="12"/>
  <c r="AE43" i="12" s="1"/>
  <c r="N21" i="11"/>
  <c r="N19" i="11" s="1"/>
  <c r="N17" i="11" s="1"/>
  <c r="AF258" i="11" s="1"/>
  <c r="AR16" i="11"/>
  <c r="AW16" i="11" s="1"/>
  <c r="AY16" i="11" s="1"/>
  <c r="AS16" i="11"/>
  <c r="AX16" i="11" s="1"/>
  <c r="AG80" i="13"/>
  <c r="AG161" i="13"/>
  <c r="L86" i="15"/>
  <c r="J85" i="15"/>
  <c r="BP27" i="12"/>
  <c r="BP25" i="12" s="1"/>
  <c r="BJ12" i="12" s="1"/>
  <c r="AW29" i="12"/>
  <c r="AY29" i="12" s="1"/>
  <c r="AG124" i="13"/>
  <c r="L21" i="11"/>
  <c r="L19" i="11" s="1"/>
  <c r="L17" i="11" s="1"/>
  <c r="AR23" i="12"/>
  <c r="BP12" i="12"/>
  <c r="BP9" i="12" s="1"/>
  <c r="AD216" i="13"/>
  <c r="AB211" i="13"/>
  <c r="AB210" i="13" s="1"/>
  <c r="AB209" i="13" s="1"/>
  <c r="AB193" i="13" s="1"/>
  <c r="L105" i="15"/>
  <c r="J104" i="15"/>
  <c r="C41" i="20"/>
  <c r="AD75" i="13"/>
  <c r="AB69" i="13"/>
  <c r="AB65" i="13" s="1"/>
  <c r="BN9" i="16"/>
  <c r="C36" i="20"/>
  <c r="C33" i="20" s="1"/>
  <c r="BN24" i="16"/>
  <c r="AQ27" i="16"/>
  <c r="J95" i="16"/>
  <c r="L94" i="15"/>
  <c r="N95" i="15"/>
  <c r="N94" i="15" s="1"/>
  <c r="I95" i="15"/>
  <c r="G94" i="15"/>
  <c r="G24" i="12"/>
  <c r="M24" i="11"/>
  <c r="M22" i="11" s="1"/>
  <c r="I22" i="11"/>
  <c r="AR7" i="11" s="1"/>
  <c r="AU7" i="11" s="1"/>
  <c r="AW7" i="11"/>
  <c r="AY7" i="11" s="1"/>
  <c r="L27" i="12"/>
  <c r="L128" i="12" s="1"/>
  <c r="J25" i="12"/>
  <c r="J21" i="12" s="1"/>
  <c r="J19" i="12" s="1"/>
  <c r="J17" i="12" s="1"/>
  <c r="G27" i="12"/>
  <c r="M27" i="11"/>
  <c r="G88" i="16"/>
  <c r="M88" i="15"/>
  <c r="M85" i="15" s="1"/>
  <c r="I85" i="15"/>
  <c r="AR11" i="15"/>
  <c r="AU11" i="15" s="1"/>
  <c r="AW11" i="15"/>
  <c r="AY11" i="15" s="1"/>
  <c r="J37" i="16"/>
  <c r="N37" i="15"/>
  <c r="G50" i="16"/>
  <c r="I48" i="15"/>
  <c r="M50" i="15"/>
  <c r="M48" i="15" s="1"/>
  <c r="L31" i="16"/>
  <c r="G62" i="14"/>
  <c r="I60" i="13"/>
  <c r="M62" i="13"/>
  <c r="M60" i="13" s="1"/>
  <c r="G52" i="14"/>
  <c r="I51" i="13"/>
  <c r="M52" i="13"/>
  <c r="M51" i="13" s="1"/>
  <c r="G74" i="14"/>
  <c r="I72" i="13"/>
  <c r="M74" i="13"/>
  <c r="M72" i="13" s="1"/>
  <c r="J71" i="14"/>
  <c r="L69" i="13"/>
  <c r="N71" i="13"/>
  <c r="N69" i="13" s="1"/>
  <c r="J59" i="14"/>
  <c r="L57" i="13"/>
  <c r="N59" i="13"/>
  <c r="N57" i="13" s="1"/>
  <c r="J33" i="14"/>
  <c r="L32" i="13"/>
  <c r="L28" i="13" s="1"/>
  <c r="AX9" i="13"/>
  <c r="AZ9" i="13" s="1"/>
  <c r="N33" i="13"/>
  <c r="N32" i="13" s="1"/>
  <c r="N28" i="13" s="1"/>
  <c r="G37" i="14"/>
  <c r="I35" i="13"/>
  <c r="M37" i="13"/>
  <c r="M35" i="13" s="1"/>
  <c r="I45" i="13"/>
  <c r="M46" i="13"/>
  <c r="M45" i="13" s="1"/>
  <c r="G46" i="14"/>
  <c r="BD15" i="13"/>
  <c r="J47" i="14"/>
  <c r="L45" i="13"/>
  <c r="N47" i="13"/>
  <c r="N45" i="13" s="1"/>
  <c r="G68" i="14"/>
  <c r="I66" i="13"/>
  <c r="M68" i="13"/>
  <c r="M66" i="13" s="1"/>
  <c r="J77" i="14"/>
  <c r="L75" i="13"/>
  <c r="N77" i="13"/>
  <c r="N75" i="13" s="1"/>
  <c r="J26" i="14"/>
  <c r="N26" i="13"/>
  <c r="G80" i="15"/>
  <c r="M80" i="14"/>
  <c r="J53" i="14"/>
  <c r="L51" i="13"/>
  <c r="N53" i="13"/>
  <c r="N51" i="13" s="1"/>
  <c r="J65" i="14"/>
  <c r="L63" i="13"/>
  <c r="N65" i="13"/>
  <c r="N63" i="13" s="1"/>
  <c r="J83" i="14"/>
  <c r="L81" i="13"/>
  <c r="N83" i="13"/>
  <c r="N81" i="13" s="1"/>
  <c r="L13" i="12"/>
  <c r="J10" i="12"/>
  <c r="M10" i="11"/>
  <c r="J24" i="13"/>
  <c r="AX7" i="12"/>
  <c r="AZ7" i="12" s="1"/>
  <c r="L22" i="12"/>
  <c r="N24" i="12"/>
  <c r="AB88" i="13"/>
  <c r="BP31" i="12"/>
  <c r="BJ15" i="12" s="1"/>
  <c r="AD83" i="12"/>
  <c r="AD63" i="12" s="1"/>
  <c r="AI88" i="12"/>
  <c r="AI83" i="12" s="1"/>
  <c r="AI63" i="12" s="1"/>
  <c r="Y237" i="13"/>
  <c r="AA235" i="12"/>
  <c r="AH237" i="12"/>
  <c r="AH235" i="12" s="1"/>
  <c r="AH234" i="12" s="1"/>
  <c r="AH110" i="12"/>
  <c r="BO17" i="12"/>
  <c r="BO15" i="12" s="1"/>
  <c r="AA112" i="12"/>
  <c r="AA110" i="12" s="1"/>
  <c r="AA159" i="13"/>
  <c r="Y157" i="13"/>
  <c r="Y155" i="13" s="1"/>
  <c r="Y145" i="13" s="1"/>
  <c r="AA133" i="13"/>
  <c r="Y123" i="13"/>
  <c r="Y112" i="13" s="1"/>
  <c r="BP13" i="12"/>
  <c r="AR25" i="12"/>
  <c r="AD107" i="13"/>
  <c r="AB105" i="13"/>
  <c r="AB104" i="13" s="1"/>
  <c r="AD50" i="13"/>
  <c r="AB49" i="13"/>
  <c r="AB43" i="13" s="1"/>
  <c r="I56" i="13"/>
  <c r="AE220" i="13"/>
  <c r="E130" i="13"/>
  <c r="T15" i="10"/>
  <c r="J126" i="11"/>
  <c r="J130" i="11" s="1"/>
  <c r="D130" i="13"/>
  <c r="C17" i="20"/>
  <c r="J41" i="16"/>
  <c r="N41" i="15"/>
  <c r="BD7" i="11"/>
  <c r="I12" i="12"/>
  <c r="G10" i="12"/>
  <c r="AG198" i="13"/>
  <c r="AX13" i="12"/>
  <c r="AS13" i="12"/>
  <c r="AV13" i="12" s="1"/>
  <c r="AJ236" i="13"/>
  <c r="AE236" i="14"/>
  <c r="AJ180" i="16"/>
  <c r="G23" i="13"/>
  <c r="BD12" i="12"/>
  <c r="M23" i="12"/>
  <c r="AG222" i="13"/>
  <c r="AE223" i="14"/>
  <c r="AJ223" i="13"/>
  <c r="AJ222" i="13" s="1"/>
  <c r="AG186" i="13"/>
  <c r="AG181" i="13"/>
  <c r="AJ188" i="13"/>
  <c r="AE188" i="14"/>
  <c r="AJ228" i="13"/>
  <c r="AJ227" i="13" s="1"/>
  <c r="AG227" i="13"/>
  <c r="AE228" i="14"/>
  <c r="AG206" i="13"/>
  <c r="AE205" i="13"/>
  <c r="H8" i="16" l="1"/>
  <c r="H126" i="16" s="1"/>
  <c r="H130" i="16" s="1"/>
  <c r="Z258" i="16"/>
  <c r="X12" i="15"/>
  <c r="X10" i="15" s="1"/>
  <c r="X8" i="15" s="1"/>
  <c r="BC10" i="16"/>
  <c r="BC9" i="16" s="1"/>
  <c r="BC8" i="16" s="1"/>
  <c r="AI8" i="11"/>
  <c r="AG63" i="11"/>
  <c r="AG12" i="11" s="1"/>
  <c r="AG10" i="11" s="1"/>
  <c r="M76" i="16"/>
  <c r="M75" i="16" s="1"/>
  <c r="AU24" i="11"/>
  <c r="V258" i="15"/>
  <c r="F21" i="15"/>
  <c r="F19" i="15" s="1"/>
  <c r="AV16" i="11"/>
  <c r="AU16" i="11"/>
  <c r="AV25" i="10"/>
  <c r="AS32" i="10"/>
  <c r="AW27" i="11"/>
  <c r="AY27" i="11" s="1"/>
  <c r="AU27" i="11"/>
  <c r="AX23" i="11"/>
  <c r="AZ23" i="11" s="1"/>
  <c r="AV23" i="11"/>
  <c r="AX25" i="11"/>
  <c r="AZ25" i="11" s="1"/>
  <c r="AV25" i="11"/>
  <c r="AX28" i="11"/>
  <c r="AZ28" i="11" s="1"/>
  <c r="AV28" i="11"/>
  <c r="AX26" i="11"/>
  <c r="AZ26" i="11" s="1"/>
  <c r="AV26" i="11"/>
  <c r="AW26" i="11"/>
  <c r="AY26" i="11" s="1"/>
  <c r="AU26" i="11"/>
  <c r="AQ24" i="16"/>
  <c r="BN13" i="16"/>
  <c r="C37" i="20" s="1"/>
  <c r="C32" i="20" s="1"/>
  <c r="X14" i="16"/>
  <c r="BH9" i="15"/>
  <c r="BH7" i="15" s="1"/>
  <c r="BH16" i="15" s="1"/>
  <c r="BN8" i="15"/>
  <c r="BN7" i="15" s="1"/>
  <c r="BN32" i="15" s="1"/>
  <c r="BN28" i="16"/>
  <c r="C52" i="20" s="1"/>
  <c r="X195" i="16"/>
  <c r="AE116" i="13"/>
  <c r="AJ116" i="12"/>
  <c r="AJ114" i="12" s="1"/>
  <c r="AG114" i="12"/>
  <c r="AU29" i="16"/>
  <c r="AV29" i="16"/>
  <c r="BH9" i="16"/>
  <c r="C38" i="20"/>
  <c r="AE106" i="13"/>
  <c r="AG105" i="12"/>
  <c r="AG104" i="12" s="1"/>
  <c r="AJ106" i="12"/>
  <c r="AJ105" i="12" s="1"/>
  <c r="AJ104" i="12" s="1"/>
  <c r="AV27" i="11"/>
  <c r="AX27" i="11"/>
  <c r="AZ27" i="11" s="1"/>
  <c r="AE160" i="13"/>
  <c r="AJ160" i="12"/>
  <c r="AJ157" i="12" s="1"/>
  <c r="AJ155" i="12" s="1"/>
  <c r="AJ145" i="12" s="1"/>
  <c r="AG157" i="12"/>
  <c r="AG155" i="12" s="1"/>
  <c r="AG145" i="12" s="1"/>
  <c r="C10" i="20"/>
  <c r="C9" i="20" s="1"/>
  <c r="X63" i="16"/>
  <c r="AJ90" i="11"/>
  <c r="AJ63" i="11" s="1"/>
  <c r="AJ12" i="11" s="1"/>
  <c r="AJ10" i="11" s="1"/>
  <c r="AE87" i="13"/>
  <c r="AJ87" i="12"/>
  <c r="AJ83" i="12" s="1"/>
  <c r="AG83" i="12"/>
  <c r="AS24" i="12" s="1"/>
  <c r="F28" i="16"/>
  <c r="AQ14" i="14"/>
  <c r="F17" i="14"/>
  <c r="AG94" i="12"/>
  <c r="AE91" i="12"/>
  <c r="AB10" i="12"/>
  <c r="AE193" i="12"/>
  <c r="BN16" i="16"/>
  <c r="X112" i="16"/>
  <c r="X110" i="16" s="1"/>
  <c r="AQ26" i="16" s="1"/>
  <c r="AQ25" i="16"/>
  <c r="AG99" i="12"/>
  <c r="AE96" i="12"/>
  <c r="V10" i="16"/>
  <c r="V8" i="16" s="1"/>
  <c r="AG178" i="12"/>
  <c r="AE176" i="12"/>
  <c r="AE170" i="12" s="1"/>
  <c r="C51" i="20"/>
  <c r="AG126" i="12"/>
  <c r="AE123" i="12"/>
  <c r="AE112" i="12" s="1"/>
  <c r="AE110" i="12" s="1"/>
  <c r="AE189" i="13"/>
  <c r="AJ189" i="12"/>
  <c r="AJ187" i="12" s="1"/>
  <c r="AJ185" i="12" s="1"/>
  <c r="AG187" i="12"/>
  <c r="AG185" i="12" s="1"/>
  <c r="BP29" i="11"/>
  <c r="BJ13" i="11" s="1"/>
  <c r="AR30" i="11"/>
  <c r="AG232" i="11"/>
  <c r="AQ30" i="16"/>
  <c r="BN29" i="16"/>
  <c r="AA244" i="12"/>
  <c r="Y243" i="12"/>
  <c r="Y232" i="12" s="1"/>
  <c r="AA234" i="12"/>
  <c r="AR28" i="13"/>
  <c r="Y1" i="10"/>
  <c r="G55" i="13"/>
  <c r="M55" i="12"/>
  <c r="M54" i="12" s="1"/>
  <c r="BD17" i="12"/>
  <c r="I54" i="12"/>
  <c r="AD10" i="11"/>
  <c r="AD258" i="11" s="1"/>
  <c r="AI258" i="11"/>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12" i="11"/>
  <c r="AH12" i="11"/>
  <c r="AH10" i="11" s="1"/>
  <c r="AH258" i="11" s="1"/>
  <c r="U1" i="10"/>
  <c r="BP8" i="11"/>
  <c r="BP7" i="11" s="1"/>
  <c r="BP32" i="11" s="1"/>
  <c r="J36" i="15"/>
  <c r="N36" i="14"/>
  <c r="N35" i="14" s="1"/>
  <c r="L35" i="14"/>
  <c r="AB90" i="14"/>
  <c r="J68" i="15"/>
  <c r="L66" i="14"/>
  <c r="N68" i="14"/>
  <c r="N66" i="14" s="1"/>
  <c r="AE47" i="15"/>
  <c r="AJ47" i="14"/>
  <c r="AJ44" i="14" s="1"/>
  <c r="AG44" i="14"/>
  <c r="J62" i="15"/>
  <c r="L60" i="14"/>
  <c r="N62" i="14"/>
  <c r="N60" i="14" s="1"/>
  <c r="AD188" i="15"/>
  <c r="AB187" i="15"/>
  <c r="AB185" i="15" s="1"/>
  <c r="BO27" i="16"/>
  <c r="AI92" i="14"/>
  <c r="AI91" i="14" s="1"/>
  <c r="AB92" i="15"/>
  <c r="AD91" i="14"/>
  <c r="L74" i="15"/>
  <c r="J72" i="15"/>
  <c r="AE115" i="15"/>
  <c r="AJ115" i="14"/>
  <c r="L50" i="15"/>
  <c r="J48" i="15"/>
  <c r="AA187" i="16"/>
  <c r="AA185" i="16" s="1"/>
  <c r="AA170" i="16" s="1"/>
  <c r="BO24" i="16" s="1"/>
  <c r="AH190" i="16"/>
  <c r="AH187" i="16" s="1"/>
  <c r="AH185" i="16" s="1"/>
  <c r="AH170" i="16" s="1"/>
  <c r="AB22" i="15"/>
  <c r="AD20" i="14"/>
  <c r="AD16" i="14" s="1"/>
  <c r="AI22" i="14"/>
  <c r="AI20" i="14" s="1"/>
  <c r="AI16" i="14" s="1"/>
  <c r="AB100" i="15"/>
  <c r="AI100" i="14"/>
  <c r="AI96" i="14" s="1"/>
  <c r="AD96" i="14"/>
  <c r="AD127" i="15"/>
  <c r="AB123" i="15"/>
  <c r="AB238" i="15"/>
  <c r="AD235" i="14"/>
  <c r="AD234" i="14" s="1"/>
  <c r="AI238" i="14"/>
  <c r="AI235" i="14" s="1"/>
  <c r="AI234" i="14" s="1"/>
  <c r="AB46" i="15"/>
  <c r="AD44" i="14"/>
  <c r="AI46" i="14"/>
  <c r="AI44" i="14" s="1"/>
  <c r="AE98" i="15"/>
  <c r="AJ98" i="14"/>
  <c r="AG36" i="15"/>
  <c r="AE35" i="15"/>
  <c r="AD197" i="14"/>
  <c r="AD196" i="14" s="1"/>
  <c r="BP26" i="14"/>
  <c r="AB198" i="15"/>
  <c r="AI198" i="14"/>
  <c r="AI197" i="14" s="1"/>
  <c r="AI196" i="14" s="1"/>
  <c r="AI195" i="14" s="1"/>
  <c r="L80" i="15"/>
  <c r="J78" i="15"/>
  <c r="L78" i="15" s="1"/>
  <c r="N78" i="15" s="1"/>
  <c r="AB117" i="15"/>
  <c r="AD114" i="14"/>
  <c r="AI117" i="14"/>
  <c r="AI114" i="14" s="1"/>
  <c r="AI112" i="14" s="1"/>
  <c r="AA96" i="16"/>
  <c r="AH100" i="16"/>
  <c r="AH96" i="16" s="1"/>
  <c r="AD229" i="15"/>
  <c r="AB227" i="15"/>
  <c r="AH150" i="16"/>
  <c r="AH149" i="16" s="1"/>
  <c r="AH147" i="16" s="1"/>
  <c r="AA149" i="16"/>
  <c r="AA147" i="16" s="1"/>
  <c r="BO16" i="16" s="1"/>
  <c r="D40" i="20" s="1"/>
  <c r="AJ59" i="14"/>
  <c r="AJ58" i="14" s="1"/>
  <c r="AJ57" i="14" s="1"/>
  <c r="AE59" i="15"/>
  <c r="AG58" i="14"/>
  <c r="AG57" i="14" s="1"/>
  <c r="Y90" i="16"/>
  <c r="AG93" i="15"/>
  <c r="J44" i="15"/>
  <c r="L42" i="14"/>
  <c r="AS10" i="14" s="1"/>
  <c r="AX10" i="14"/>
  <c r="AZ10" i="14" s="1"/>
  <c r="N44" i="14"/>
  <c r="N42" i="14" s="1"/>
  <c r="AB150" i="15"/>
  <c r="AD149" i="14"/>
  <c r="AD147" i="14" s="1"/>
  <c r="AI150" i="14"/>
  <c r="AI149" i="14" s="1"/>
  <c r="AI147" i="14" s="1"/>
  <c r="AD222" i="14"/>
  <c r="AD220" i="14" s="1"/>
  <c r="AB223" i="15"/>
  <c r="AI223" i="14"/>
  <c r="AI222" i="14" s="1"/>
  <c r="AI220" i="14" s="1"/>
  <c r="J56" i="15"/>
  <c r="L54" i="14"/>
  <c r="N56" i="14"/>
  <c r="N54" i="14" s="1"/>
  <c r="AE86" i="15"/>
  <c r="AJ86" i="14"/>
  <c r="J30" i="15"/>
  <c r="N30" i="14"/>
  <c r="N29" i="14" s="1"/>
  <c r="L29" i="14"/>
  <c r="AG143" i="15"/>
  <c r="AE141" i="15"/>
  <c r="AG149" i="14"/>
  <c r="AG147" i="14" s="1"/>
  <c r="AE152" i="15"/>
  <c r="AJ152" i="14"/>
  <c r="AJ149" i="14" s="1"/>
  <c r="AJ147" i="14" s="1"/>
  <c r="AA222" i="16"/>
  <c r="AA220" i="16" s="1"/>
  <c r="BO30" i="16" s="1"/>
  <c r="AH225" i="16"/>
  <c r="AH222" i="16" s="1"/>
  <c r="AH220" i="16" s="1"/>
  <c r="AH95" i="16"/>
  <c r="AH91" i="16" s="1"/>
  <c r="AA91" i="16"/>
  <c r="AA197" i="16"/>
  <c r="AA196" i="16" s="1"/>
  <c r="AH200" i="16"/>
  <c r="AH197" i="16" s="1"/>
  <c r="AH196" i="16" s="1"/>
  <c r="AH195" i="16" s="1"/>
  <c r="AH193" i="16" s="1"/>
  <c r="BJ14" i="13"/>
  <c r="BJ7" i="11"/>
  <c r="BJ16" i="11" s="1"/>
  <c r="AR31" i="10"/>
  <c r="AR32" i="10" s="1"/>
  <c r="AV35" i="10" s="1"/>
  <c r="AS14" i="11"/>
  <c r="AV14" i="11" s="1"/>
  <c r="Y14" i="12"/>
  <c r="AE241" i="13"/>
  <c r="AJ241" i="12"/>
  <c r="AJ235" i="12" s="1"/>
  <c r="AJ234" i="12" s="1"/>
  <c r="AG235" i="12"/>
  <c r="Y61" i="14"/>
  <c r="AH61" i="13"/>
  <c r="AH57" i="13" s="1"/>
  <c r="BO31" i="13"/>
  <c r="AA57" i="13"/>
  <c r="BO13" i="13" s="1"/>
  <c r="Y85" i="13"/>
  <c r="AA83" i="12"/>
  <c r="AH85" i="12"/>
  <c r="AH83" i="12" s="1"/>
  <c r="N8" i="11"/>
  <c r="Y63" i="12"/>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L8" i="11"/>
  <c r="L126" i="11" s="1"/>
  <c r="L130" i="11"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AI145" i="12" s="1"/>
  <c r="AI110" i="12" s="1"/>
  <c r="BI8" i="11"/>
  <c r="BI7" i="11" s="1"/>
  <c r="BI16" i="11" s="1"/>
  <c r="BO8" i="11"/>
  <c r="BO7" i="11" s="1"/>
  <c r="BO32" i="11" s="1"/>
  <c r="AB39" i="13"/>
  <c r="AD35" i="12"/>
  <c r="AD14" i="12" s="1"/>
  <c r="AD12" i="12" s="1"/>
  <c r="AI39" i="12"/>
  <c r="AI35" i="12" s="1"/>
  <c r="AI14" i="12" s="1"/>
  <c r="AI12" i="12" s="1"/>
  <c r="AE23" i="13"/>
  <c r="AG20" i="12"/>
  <c r="AG16" i="12" s="1"/>
  <c r="AJ23" i="12"/>
  <c r="AJ20" i="12" s="1"/>
  <c r="AJ16" i="12" s="1"/>
  <c r="Y27" i="13"/>
  <c r="AA20" i="12"/>
  <c r="AA16" i="12" s="1"/>
  <c r="AH27" i="12"/>
  <c r="AH20" i="12" s="1"/>
  <c r="AH16" i="12" s="1"/>
  <c r="AB180" i="13"/>
  <c r="AD176" i="12"/>
  <c r="AD170" i="12" s="1"/>
  <c r="AI180" i="12"/>
  <c r="AI176" i="12" s="1"/>
  <c r="AI170" i="12" s="1"/>
  <c r="AE14" i="12"/>
  <c r="Y71" i="13"/>
  <c r="AA69" i="12"/>
  <c r="AA65" i="12" s="1"/>
  <c r="AH71" i="12"/>
  <c r="AH69" i="12" s="1"/>
  <c r="AH65" i="12" s="1"/>
  <c r="I115" i="16"/>
  <c r="G113" i="16"/>
  <c r="L95" i="16"/>
  <c r="J94" i="16"/>
  <c r="BN22" i="16"/>
  <c r="BH11" i="16" s="1"/>
  <c r="C48" i="20"/>
  <c r="C46" i="20" s="1"/>
  <c r="AB216" i="14"/>
  <c r="AI216" i="13"/>
  <c r="AI211" i="13" s="1"/>
  <c r="AI210" i="13" s="1"/>
  <c r="AI209" i="13" s="1"/>
  <c r="AI193" i="13" s="1"/>
  <c r="AD211" i="13"/>
  <c r="AD210" i="13" s="1"/>
  <c r="AD209" i="13" s="1"/>
  <c r="AR29" i="13" s="1"/>
  <c r="AE124" i="14"/>
  <c r="AJ124" i="13"/>
  <c r="AX14" i="13"/>
  <c r="AZ14" i="13" s="1"/>
  <c r="BD18" i="15"/>
  <c r="G95" i="16"/>
  <c r="I94" i="15"/>
  <c r="M95" i="15"/>
  <c r="M94" i="15" s="1"/>
  <c r="AB75" i="14"/>
  <c r="AD69" i="13"/>
  <c r="AD65" i="13" s="1"/>
  <c r="AI75" i="13"/>
  <c r="AI69" i="13" s="1"/>
  <c r="AI65" i="13" s="1"/>
  <c r="AE161" i="14"/>
  <c r="AJ161" i="13"/>
  <c r="AW25" i="12"/>
  <c r="AY25" i="12" s="1"/>
  <c r="AU25" i="12"/>
  <c r="J105" i="16"/>
  <c r="L104" i="15"/>
  <c r="N105" i="15"/>
  <c r="N104" i="15" s="1"/>
  <c r="AW23" i="12"/>
  <c r="AY23" i="12" s="1"/>
  <c r="AU23" i="12"/>
  <c r="J86" i="16"/>
  <c r="L85" i="15"/>
  <c r="N86" i="15"/>
  <c r="N85" i="15" s="1"/>
  <c r="AE80" i="14"/>
  <c r="AJ80" i="13"/>
  <c r="J8" i="12"/>
  <c r="I24" i="12"/>
  <c r="G22" i="12"/>
  <c r="BC22" i="16"/>
  <c r="J27" i="13"/>
  <c r="J128" i="13" s="1"/>
  <c r="N27" i="12"/>
  <c r="N25" i="12" s="1"/>
  <c r="AX8" i="12"/>
  <c r="AZ8" i="12" s="1"/>
  <c r="L25" i="12"/>
  <c r="AS8" i="12" s="1"/>
  <c r="AV8" i="12" s="1"/>
  <c r="I27" i="12"/>
  <c r="I88" i="16"/>
  <c r="G85" i="16"/>
  <c r="I50" i="16"/>
  <c r="G48" i="16"/>
  <c r="N31" i="16"/>
  <c r="AS9" i="13"/>
  <c r="AV9" i="13" s="1"/>
  <c r="L37" i="16"/>
  <c r="L65" i="14"/>
  <c r="J63" i="14"/>
  <c r="L77" i="14"/>
  <c r="J75" i="14"/>
  <c r="G45" i="14"/>
  <c r="I46" i="14"/>
  <c r="L59" i="14"/>
  <c r="J57" i="14"/>
  <c r="I62" i="14"/>
  <c r="G60" i="14"/>
  <c r="L83" i="14"/>
  <c r="J81" i="14"/>
  <c r="I80" i="15"/>
  <c r="G78" i="15"/>
  <c r="I78" i="15" s="1"/>
  <c r="M78" i="15" s="1"/>
  <c r="L26" i="14"/>
  <c r="I37" i="14"/>
  <c r="G35" i="14"/>
  <c r="L33" i="14"/>
  <c r="J32" i="14"/>
  <c r="J28" i="14" s="1"/>
  <c r="L47" i="14"/>
  <c r="J45" i="14"/>
  <c r="L53" i="14"/>
  <c r="J51" i="14"/>
  <c r="I68" i="14"/>
  <c r="G66" i="14"/>
  <c r="L71" i="14"/>
  <c r="J69" i="14"/>
  <c r="I74" i="14"/>
  <c r="G72" i="14"/>
  <c r="I52" i="14"/>
  <c r="G51" i="14"/>
  <c r="N22" i="12"/>
  <c r="L24" i="13"/>
  <c r="J22" i="13"/>
  <c r="J13" i="13"/>
  <c r="L10" i="12"/>
  <c r="N13" i="12"/>
  <c r="N10" i="12" s="1"/>
  <c r="AS7" i="12"/>
  <c r="AV7" i="12" s="1"/>
  <c r="AD88" i="13"/>
  <c r="AB83" i="13"/>
  <c r="AB63" i="13" s="1"/>
  <c r="AA237" i="13"/>
  <c r="Y235" i="13"/>
  <c r="Y234" i="13" s="1"/>
  <c r="BJ8" i="12"/>
  <c r="AB50" i="14"/>
  <c r="AD49" i="13"/>
  <c r="AD43" i="13" s="1"/>
  <c r="AI50" i="13"/>
  <c r="AI49" i="13" s="1"/>
  <c r="AI43" i="13" s="1"/>
  <c r="BI10" i="12"/>
  <c r="AB107" i="14"/>
  <c r="AD105" i="13"/>
  <c r="AD104" i="13" s="1"/>
  <c r="AI107" i="13"/>
  <c r="AI105" i="13" s="1"/>
  <c r="AI104" i="13" s="1"/>
  <c r="Y110" i="13"/>
  <c r="Y159" i="14"/>
  <c r="AA157" i="13"/>
  <c r="AA155" i="13" s="1"/>
  <c r="AA145" i="13" s="1"/>
  <c r="AH159" i="13"/>
  <c r="AH157" i="13" s="1"/>
  <c r="AH155" i="13" s="1"/>
  <c r="AH145" i="13" s="1"/>
  <c r="G56" i="14"/>
  <c r="M56" i="13"/>
  <c r="Y133" i="14"/>
  <c r="AA123" i="13"/>
  <c r="AH133" i="13"/>
  <c r="AH123" i="13" s="1"/>
  <c r="AH112" i="13" s="1"/>
  <c r="AJ220" i="13"/>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E222" i="14"/>
  <c r="AG223" i="14"/>
  <c r="AG188" i="14"/>
  <c r="AE181" i="14"/>
  <c r="AJ181" i="13"/>
  <c r="AJ186" i="13"/>
  <c r="AE186" i="14"/>
  <c r="AG220" i="13"/>
  <c r="I23" i="13"/>
  <c r="BN8" i="16" l="1"/>
  <c r="Y12" i="12"/>
  <c r="Y10" i="12" s="1"/>
  <c r="Y8" i="12" s="1"/>
  <c r="BN25" i="16"/>
  <c r="BH12" i="16" s="1"/>
  <c r="AG258" i="11"/>
  <c r="AS31" i="11" s="1"/>
  <c r="X12" i="16"/>
  <c r="X10" i="16" s="1"/>
  <c r="AW30" i="11"/>
  <c r="AY30" i="11" s="1"/>
  <c r="AU30" i="11"/>
  <c r="AE90" i="12"/>
  <c r="AE63" i="12" s="1"/>
  <c r="AE12" i="12" s="1"/>
  <c r="AE10" i="12" s="1"/>
  <c r="AE8" i="12" s="1"/>
  <c r="F17" i="15"/>
  <c r="F8" i="15" s="1"/>
  <c r="AQ14" i="15"/>
  <c r="AB258" i="12"/>
  <c r="BH8" i="16"/>
  <c r="AW28" i="13"/>
  <c r="AY28" i="13" s="1"/>
  <c r="AU28" i="13"/>
  <c r="AX24" i="12"/>
  <c r="AZ24" i="12" s="1"/>
  <c r="AV24" i="12"/>
  <c r="C31" i="20"/>
  <c r="AJ8" i="11"/>
  <c r="AJ258" i="11"/>
  <c r="AI10" i="12"/>
  <c r="AE99" i="13"/>
  <c r="AJ99" i="12"/>
  <c r="AJ96" i="12" s="1"/>
  <c r="AG96" i="12"/>
  <c r="AE94" i="13"/>
  <c r="AJ94" i="12"/>
  <c r="AJ91" i="12" s="1"/>
  <c r="AG91" i="12"/>
  <c r="AG160" i="13"/>
  <c r="AE157" i="13"/>
  <c r="AE155" i="13" s="1"/>
  <c r="AE145" i="13" s="1"/>
  <c r="C49" i="20"/>
  <c r="AD8" i="11"/>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V258" i="16"/>
  <c r="AG87" i="13"/>
  <c r="AE83" i="13"/>
  <c r="AG116" i="13"/>
  <c r="AE114" i="13"/>
  <c r="AG189" i="13"/>
  <c r="AE187" i="13"/>
  <c r="AE185" i="13" s="1"/>
  <c r="C40" i="20"/>
  <c r="C39" i="20" s="1"/>
  <c r="BN15" i="16"/>
  <c r="BH10" i="16" s="1"/>
  <c r="AQ9" i="16"/>
  <c r="F21" i="16"/>
  <c r="F19" i="16" s="1"/>
  <c r="X193" i="16"/>
  <c r="AQ28" i="16"/>
  <c r="AJ193" i="12"/>
  <c r="AD243" i="12"/>
  <c r="AD232" i="12" s="1"/>
  <c r="AI244" i="12"/>
  <c r="AI243" i="12" s="1"/>
  <c r="AI232" i="12" s="1"/>
  <c r="AB244" i="13"/>
  <c r="I55" i="13"/>
  <c r="G54" i="13"/>
  <c r="C53" i="20"/>
  <c r="BH13" i="16"/>
  <c r="AI262" i="11"/>
  <c r="AI260" i="11" s="1"/>
  <c r="AI264" i="11" s="1"/>
  <c r="AH262" i="11"/>
  <c r="AJ262" i="11"/>
  <c r="AC262" i="11"/>
  <c r="AC260" i="11" s="1"/>
  <c r="AC264" i="11" s="1"/>
  <c r="AE262" i="11"/>
  <c r="AE260" i="11" s="1"/>
  <c r="AE264" i="11" s="1"/>
  <c r="AD262" i="11"/>
  <c r="AD260" i="11" s="1"/>
  <c r="AD264" i="11" s="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D193" i="13"/>
  <c r="AB8" i="12"/>
  <c r="AG193" i="12"/>
  <c r="AS28" i="12"/>
  <c r="AG234" i="12"/>
  <c r="AA10" i="11"/>
  <c r="AA8" i="11" s="1"/>
  <c r="U1" i="11" s="1"/>
  <c r="AE244" i="13"/>
  <c r="AG243" i="12"/>
  <c r="AJ244" i="12"/>
  <c r="AJ243" i="12" s="1"/>
  <c r="AJ232" i="12" s="1"/>
  <c r="AH8" i="11"/>
  <c r="AG8" i="11"/>
  <c r="AS30" i="11"/>
  <c r="Y244" i="13"/>
  <c r="AA243" i="12"/>
  <c r="AA232" i="12" s="1"/>
  <c r="AH244" i="12"/>
  <c r="AH243" i="12" s="1"/>
  <c r="AH232" i="12" s="1"/>
  <c r="AS17" i="11"/>
  <c r="AH90" i="16"/>
  <c r="AA90" i="16"/>
  <c r="BO14" i="12"/>
  <c r="BI9" i="12" s="1"/>
  <c r="AA63" i="12"/>
  <c r="BP30" i="14"/>
  <c r="BJ14" i="14" s="1"/>
  <c r="L56" i="15"/>
  <c r="J54" i="15"/>
  <c r="AD150" i="15"/>
  <c r="AB149" i="15"/>
  <c r="AB147" i="15" s="1"/>
  <c r="L44" i="15"/>
  <c r="J42" i="15"/>
  <c r="AD117" i="15"/>
  <c r="AB114" i="15"/>
  <c r="AB112" i="15" s="1"/>
  <c r="AD198" i="15"/>
  <c r="AB197" i="15"/>
  <c r="AB196" i="15" s="1"/>
  <c r="AB195" i="15" s="1"/>
  <c r="AD46" i="15"/>
  <c r="AB44" i="15"/>
  <c r="AD100" i="15"/>
  <c r="AB96" i="15"/>
  <c r="L72" i="15"/>
  <c r="J74" i="16"/>
  <c r="N74" i="15"/>
  <c r="N72" i="15" s="1"/>
  <c r="AI90" i="14"/>
  <c r="AG47" i="15"/>
  <c r="AE44" i="15"/>
  <c r="L68" i="15"/>
  <c r="J66" i="15"/>
  <c r="AA195" i="16"/>
  <c r="AA193" i="16" s="1"/>
  <c r="BO28" i="16"/>
  <c r="D52" i="20" s="1"/>
  <c r="BI14" i="16"/>
  <c r="D54" i="20"/>
  <c r="AG86" i="15"/>
  <c r="AG59" i="15"/>
  <c r="AE58" i="15"/>
  <c r="AE57" i="15" s="1"/>
  <c r="BO22" i="16"/>
  <c r="BI11" i="16" s="1"/>
  <c r="D48" i="20"/>
  <c r="D46" i="20" s="1"/>
  <c r="AE36" i="16"/>
  <c r="AJ36" i="15"/>
  <c r="AJ35" i="15" s="1"/>
  <c r="AG35" i="15"/>
  <c r="AG98" i="15"/>
  <c r="AB127" i="16"/>
  <c r="AI127" i="15"/>
  <c r="AI123" i="15" s="1"/>
  <c r="AD123" i="15"/>
  <c r="L62" i="15"/>
  <c r="J60" i="15"/>
  <c r="AE143" i="16"/>
  <c r="AG141" i="15"/>
  <c r="AJ143" i="15"/>
  <c r="AJ141" i="15" s="1"/>
  <c r="L30" i="15"/>
  <c r="J29" i="15"/>
  <c r="AD223" i="15"/>
  <c r="AB222" i="15"/>
  <c r="AB220" i="15" s="1"/>
  <c r="AE93" i="16"/>
  <c r="AJ93" i="15"/>
  <c r="AB229" i="16"/>
  <c r="AD227" i="15"/>
  <c r="AI229" i="15"/>
  <c r="AI227" i="15" s="1"/>
  <c r="J80" i="16"/>
  <c r="N80" i="15"/>
  <c r="AD195" i="14"/>
  <c r="BP28" i="14"/>
  <c r="AG115" i="15"/>
  <c r="AD90" i="14"/>
  <c r="D51" i="20"/>
  <c r="AB188" i="16"/>
  <c r="AD187" i="15"/>
  <c r="AD185" i="15" s="1"/>
  <c r="AI188" i="15"/>
  <c r="AI187" i="15" s="1"/>
  <c r="AI185" i="15" s="1"/>
  <c r="L36" i="15"/>
  <c r="J35" i="15"/>
  <c r="AG152" i="15"/>
  <c r="AE149" i="15"/>
  <c r="AE147" i="15" s="1"/>
  <c r="BP16" i="14"/>
  <c r="AD112" i="14"/>
  <c r="AD238" i="15"/>
  <c r="AB235" i="15"/>
  <c r="AB234" i="15" s="1"/>
  <c r="AD22" i="15"/>
  <c r="AB20" i="15"/>
  <c r="AB16" i="15" s="1"/>
  <c r="L48" i="15"/>
  <c r="J50" i="16"/>
  <c r="N50" i="15"/>
  <c r="N48" i="15" s="1"/>
  <c r="AD92" i="15"/>
  <c r="AB91" i="15"/>
  <c r="BP14" i="12"/>
  <c r="BJ9" i="12" s="1"/>
  <c r="AR24" i="12"/>
  <c r="AW24" i="12" s="1"/>
  <c r="AY24" i="12" s="1"/>
  <c r="L21" i="12"/>
  <c r="L19" i="12" s="1"/>
  <c r="AS14" i="12" s="1"/>
  <c r="AJ14" i="12"/>
  <c r="AH63" i="12"/>
  <c r="N128" i="12"/>
  <c r="AE211" i="13"/>
  <c r="AE210" i="13" s="1"/>
  <c r="AE209" i="13" s="1"/>
  <c r="AG212" i="13"/>
  <c r="AG202" i="13"/>
  <c r="AE197" i="13"/>
  <c r="AE196" i="13" s="1"/>
  <c r="AE195" i="13" s="1"/>
  <c r="AE193" i="13" s="1"/>
  <c r="BI15" i="13"/>
  <c r="AA85" i="13"/>
  <c r="Y83" i="13"/>
  <c r="AA61" i="14"/>
  <c r="Y57" i="14"/>
  <c r="AG241" i="13"/>
  <c r="AE235" i="13"/>
  <c r="AE234" i="13" s="1"/>
  <c r="AH14" i="12"/>
  <c r="AS23" i="12"/>
  <c r="AA37" i="13"/>
  <c r="Y35" i="13"/>
  <c r="I113" i="16"/>
  <c r="AR15" i="16" s="1"/>
  <c r="AW15" i="16" s="1"/>
  <c r="M115" i="16"/>
  <c r="M113" i="16" s="1"/>
  <c r="BD20" i="16"/>
  <c r="AD180" i="13"/>
  <c r="AB176" i="13"/>
  <c r="AB170" i="13" s="1"/>
  <c r="AD167" i="13"/>
  <c r="AB157" i="13"/>
  <c r="AB155" i="13" s="1"/>
  <c r="AB145" i="13" s="1"/>
  <c r="AB110" i="13" s="1"/>
  <c r="AG70" i="13"/>
  <c r="AE69" i="13"/>
  <c r="AE65" i="13" s="1"/>
  <c r="AG14" i="12"/>
  <c r="AG52" i="13"/>
  <c r="AE49" i="13"/>
  <c r="AE43" i="13" s="1"/>
  <c r="AA14" i="12"/>
  <c r="BO12" i="12"/>
  <c r="BO9" i="12" s="1"/>
  <c r="AG23" i="13"/>
  <c r="AE20" i="13"/>
  <c r="AE16" i="13" s="1"/>
  <c r="AA71" i="13"/>
  <c r="Y69" i="13"/>
  <c r="Y65" i="13" s="1"/>
  <c r="AR27" i="12"/>
  <c r="BP24" i="12"/>
  <c r="BP22" i="12" s="1"/>
  <c r="BJ11" i="12" s="1"/>
  <c r="AA27" i="13"/>
  <c r="Y20" i="13"/>
  <c r="Y16" i="13" s="1"/>
  <c r="AD39" i="13"/>
  <c r="AB35" i="13"/>
  <c r="AB14" i="13" s="1"/>
  <c r="AB12" i="13" s="1"/>
  <c r="AD145" i="12"/>
  <c r="AD110" i="12" s="1"/>
  <c r="AR26" i="12" s="1"/>
  <c r="BP17" i="12"/>
  <c r="BP15" i="12" s="1"/>
  <c r="BJ10" i="12" s="1"/>
  <c r="AS16" i="12"/>
  <c r="AX16" i="12" s="1"/>
  <c r="AR16" i="12"/>
  <c r="AW16" i="12" s="1"/>
  <c r="AY16" i="12" s="1"/>
  <c r="AR23" i="13"/>
  <c r="BP12" i="13"/>
  <c r="I95" i="16"/>
  <c r="G94" i="16"/>
  <c r="AG124" i="14"/>
  <c r="L86" i="16"/>
  <c r="J85" i="16"/>
  <c r="AD75" i="14"/>
  <c r="AB69" i="14"/>
  <c r="AB65" i="14" s="1"/>
  <c r="AW29" i="13"/>
  <c r="AY29" i="13" s="1"/>
  <c r="BP27" i="13"/>
  <c r="BP25" i="13" s="1"/>
  <c r="BJ12" i="13" s="1"/>
  <c r="L105" i="16"/>
  <c r="J104" i="16"/>
  <c r="AG161" i="14"/>
  <c r="L94" i="16"/>
  <c r="N95" i="16"/>
  <c r="N94" i="16" s="1"/>
  <c r="AG80" i="14"/>
  <c r="AD216" i="14"/>
  <c r="AB211" i="14"/>
  <c r="AB210" i="14" s="1"/>
  <c r="AB209" i="14" s="1"/>
  <c r="AB193" i="14" s="1"/>
  <c r="AU16" i="12"/>
  <c r="G24" i="13"/>
  <c r="M24" i="12"/>
  <c r="M22" i="12" s="1"/>
  <c r="I22" i="12"/>
  <c r="AR7" i="12" s="1"/>
  <c r="AU7" i="12" s="1"/>
  <c r="AW7" i="12"/>
  <c r="AY7" i="12" s="1"/>
  <c r="N21" i="12"/>
  <c r="N19" i="12" s="1"/>
  <c r="N17" i="12" s="1"/>
  <c r="N8" i="12" s="1"/>
  <c r="L27" i="13"/>
  <c r="L128" i="13" s="1"/>
  <c r="J25" i="13"/>
  <c r="J21" i="13" s="1"/>
  <c r="J19" i="13" s="1"/>
  <c r="J17" i="13" s="1"/>
  <c r="G27" i="13"/>
  <c r="M27" i="12"/>
  <c r="M88" i="16"/>
  <c r="M85" i="16" s="1"/>
  <c r="I85" i="16"/>
  <c r="AW11" i="16"/>
  <c r="AY11" i="16" s="1"/>
  <c r="AR11" i="16"/>
  <c r="AU11" i="16" s="1"/>
  <c r="N37" i="16"/>
  <c r="M50" i="16"/>
  <c r="M48" i="16" s="1"/>
  <c r="I48" i="16"/>
  <c r="J59" i="15"/>
  <c r="L57" i="14"/>
  <c r="N59" i="14"/>
  <c r="N57" i="14" s="1"/>
  <c r="J77" i="15"/>
  <c r="L75" i="14"/>
  <c r="N77" i="14"/>
  <c r="N75" i="14" s="1"/>
  <c r="G74" i="15"/>
  <c r="I72" i="14"/>
  <c r="M74" i="14"/>
  <c r="M72" i="14" s="1"/>
  <c r="G68" i="15"/>
  <c r="I66" i="14"/>
  <c r="M68" i="14"/>
  <c r="M66" i="14" s="1"/>
  <c r="J47" i="15"/>
  <c r="L45" i="14"/>
  <c r="N47" i="14"/>
  <c r="N45" i="14" s="1"/>
  <c r="G37" i="15"/>
  <c r="I35" i="14"/>
  <c r="M37" i="14"/>
  <c r="M35" i="14" s="1"/>
  <c r="G80" i="16"/>
  <c r="M80" i="15"/>
  <c r="G46" i="15"/>
  <c r="I45" i="14"/>
  <c r="M46" i="14"/>
  <c r="M45" i="14" s="1"/>
  <c r="BD15" i="14"/>
  <c r="M52" i="14"/>
  <c r="M51" i="14" s="1"/>
  <c r="G52" i="15"/>
  <c r="I51" i="14"/>
  <c r="L69" i="14"/>
  <c r="J71" i="15"/>
  <c r="N71" i="14"/>
  <c r="N69" i="14" s="1"/>
  <c r="L51" i="14"/>
  <c r="J53" i="15"/>
  <c r="N53" i="14"/>
  <c r="N51" i="14" s="1"/>
  <c r="J33" i="15"/>
  <c r="AX9" i="14"/>
  <c r="AZ9" i="14" s="1"/>
  <c r="L32" i="14"/>
  <c r="L28" i="14" s="1"/>
  <c r="N33" i="14"/>
  <c r="N32" i="14" s="1"/>
  <c r="N28" i="14" s="1"/>
  <c r="J26" i="15"/>
  <c r="N26" i="14"/>
  <c r="J83" i="15"/>
  <c r="L81" i="14"/>
  <c r="N83" i="14"/>
  <c r="N81" i="14" s="1"/>
  <c r="G62" i="15"/>
  <c r="I60" i="14"/>
  <c r="M62" i="14"/>
  <c r="M60" i="14" s="1"/>
  <c r="J65" i="15"/>
  <c r="L63" i="14"/>
  <c r="N65" i="14"/>
  <c r="N63" i="14" s="1"/>
  <c r="J24" i="14"/>
  <c r="L22" i="13"/>
  <c r="AX7" i="13"/>
  <c r="AZ7" i="13" s="1"/>
  <c r="N24" i="13"/>
  <c r="L13" i="13"/>
  <c r="J10" i="13"/>
  <c r="M10" i="12"/>
  <c r="AB88" i="14"/>
  <c r="AD83" i="13"/>
  <c r="BP31" i="13"/>
  <c r="AI88" i="13"/>
  <c r="AI83" i="13" s="1"/>
  <c r="AI63" i="13" s="1"/>
  <c r="Y237" i="14"/>
  <c r="AA235" i="13"/>
  <c r="AH237" i="13"/>
  <c r="AH235" i="13" s="1"/>
  <c r="AH234" i="13" s="1"/>
  <c r="AH110" i="13"/>
  <c r="AA159" i="14"/>
  <c r="Y157" i="14"/>
  <c r="Y155" i="14" s="1"/>
  <c r="Y145" i="14" s="1"/>
  <c r="AD107" i="14"/>
  <c r="AB105" i="14"/>
  <c r="AB104" i="14" s="1"/>
  <c r="BP13" i="13"/>
  <c r="AR25" i="13"/>
  <c r="BO17" i="13"/>
  <c r="BO15" i="13" s="1"/>
  <c r="AA112" i="13"/>
  <c r="AA110" i="13" s="1"/>
  <c r="I56" i="14"/>
  <c r="AD50" i="14"/>
  <c r="AB49" i="14"/>
  <c r="AB43" i="14" s="1"/>
  <c r="AA133" i="14"/>
  <c r="Y123" i="14"/>
  <c r="Y112" i="14" s="1"/>
  <c r="T15" i="12"/>
  <c r="E126" i="15"/>
  <c r="E130" i="15" s="1"/>
  <c r="J126" i="12"/>
  <c r="J130" i="12"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23" i="14"/>
  <c r="M23" i="13"/>
  <c r="BD12" i="13"/>
  <c r="AJ188" i="14"/>
  <c r="AE188" i="15"/>
  <c r="AJ260" i="11" l="1"/>
  <c r="AJ264" i="11" s="1"/>
  <c r="AU24" i="12"/>
  <c r="BH7" i="16"/>
  <c r="BH16" i="16" s="1"/>
  <c r="AA12" i="12"/>
  <c r="X258" i="15"/>
  <c r="AV16" i="12"/>
  <c r="BN7" i="16"/>
  <c r="BN32" i="16" s="1"/>
  <c r="AX30" i="11"/>
  <c r="AZ30" i="11" s="1"/>
  <c r="AV30" i="11"/>
  <c r="AH260" i="11"/>
  <c r="AH264" i="11" s="1"/>
  <c r="AX28" i="12"/>
  <c r="AZ28" i="12" s="1"/>
  <c r="AV28" i="12"/>
  <c r="AW26" i="12"/>
  <c r="AY26" i="12" s="1"/>
  <c r="AU26" i="12"/>
  <c r="AW27" i="12"/>
  <c r="AY27" i="12" s="1"/>
  <c r="AU27" i="12"/>
  <c r="AX23" i="12"/>
  <c r="AZ23" i="12" s="1"/>
  <c r="AV23" i="12"/>
  <c r="C30" i="20"/>
  <c r="C56" i="20" s="1"/>
  <c r="AX26" i="12"/>
  <c r="AZ26" i="12" s="1"/>
  <c r="AV26" i="12"/>
  <c r="AI8" i="12"/>
  <c r="AJ90" i="12"/>
  <c r="AJ63" i="12" s="1"/>
  <c r="AJ12" i="12" s="1"/>
  <c r="AJ10" i="12" s="1"/>
  <c r="AG260" i="11"/>
  <c r="AG264" i="11" s="1"/>
  <c r="AB10" i="13"/>
  <c r="AC1" i="11"/>
  <c r="X8" i="16"/>
  <c r="AE87" i="14"/>
  <c r="AJ87" i="13"/>
  <c r="AJ83" i="13" s="1"/>
  <c r="AG83" i="13"/>
  <c r="AS24" i="13" s="1"/>
  <c r="AG126" i="13"/>
  <c r="AE123" i="13"/>
  <c r="AE112" i="13" s="1"/>
  <c r="AE110" i="13" s="1"/>
  <c r="AG90" i="12"/>
  <c r="AI258" i="12"/>
  <c r="A10" i="18"/>
  <c r="AQ14" i="16"/>
  <c r="F17" i="16"/>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AB260" i="12" s="1"/>
  <c r="AB264" i="12" s="1"/>
  <c r="Z262" i="12"/>
  <c r="Z260" i="12" s="1"/>
  <c r="Z264" i="12" s="1"/>
  <c r="W262" i="12"/>
  <c r="W260" i="12" s="1"/>
  <c r="W264" i="12" s="1"/>
  <c r="BO29" i="12"/>
  <c r="BI13" i="12" s="1"/>
  <c r="AS32" i="11"/>
  <c r="AR28" i="14"/>
  <c r="AE243" i="13"/>
  <c r="AE232" i="13" s="1"/>
  <c r="AG244" i="13"/>
  <c r="BP29" i="12"/>
  <c r="BJ13" i="12" s="1"/>
  <c r="AR30" i="12"/>
  <c r="AA10" i="12"/>
  <c r="AA8" i="12" s="1"/>
  <c r="AA260" i="11"/>
  <c r="AA264" i="11" s="1"/>
  <c r="Y1" i="11"/>
  <c r="AD10" i="12"/>
  <c r="AD8" i="12" s="1"/>
  <c r="AF258" i="12"/>
  <c r="G55" i="14"/>
  <c r="M55" i="13"/>
  <c r="M54" i="13" s="1"/>
  <c r="BD17" i="13"/>
  <c r="I54" i="13"/>
  <c r="AA244" i="13"/>
  <c r="Y243" i="13"/>
  <c r="Y232" i="13" s="1"/>
  <c r="AD244" i="13"/>
  <c r="AB243" i="13"/>
  <c r="AB232" i="13" s="1"/>
  <c r="L17" i="12"/>
  <c r="BP8" i="12"/>
  <c r="BP7" i="12" s="1"/>
  <c r="AB90" i="15"/>
  <c r="D49" i="20"/>
  <c r="AB92" i="16"/>
  <c r="AI92" i="15"/>
  <c r="AI91" i="15" s="1"/>
  <c r="AD91" i="15"/>
  <c r="BO25" i="16"/>
  <c r="BI12" i="16" s="1"/>
  <c r="J78" i="16"/>
  <c r="L78" i="16" s="1"/>
  <c r="N78" i="16" s="1"/>
  <c r="L80" i="16"/>
  <c r="N80" i="16" s="1"/>
  <c r="AB223" i="16"/>
  <c r="AD222" i="15"/>
  <c r="AD220" i="15" s="1"/>
  <c r="AI223" i="15"/>
  <c r="AI222" i="15" s="1"/>
  <c r="AI220" i="15" s="1"/>
  <c r="AJ98" i="15"/>
  <c r="AE98" i="16"/>
  <c r="AB22" i="16"/>
  <c r="AD20" i="15"/>
  <c r="AD16" i="15" s="1"/>
  <c r="AI22" i="15"/>
  <c r="AI20" i="15" s="1"/>
  <c r="AI16" i="15" s="1"/>
  <c r="AE152" i="16"/>
  <c r="AG149" i="15"/>
  <c r="AG147" i="15" s="1"/>
  <c r="AJ152" i="15"/>
  <c r="AJ149" i="15" s="1"/>
  <c r="AJ147" i="15" s="1"/>
  <c r="AG143" i="16"/>
  <c r="AE141" i="16"/>
  <c r="J68" i="16"/>
  <c r="L66" i="15"/>
  <c r="N68" i="15"/>
  <c r="N66" i="15" s="1"/>
  <c r="AB100" i="16"/>
  <c r="AI100" i="15"/>
  <c r="AI96" i="15" s="1"/>
  <c r="AD96" i="15"/>
  <c r="AB198" i="16"/>
  <c r="BP26" i="15"/>
  <c r="AD197" i="15"/>
  <c r="AD196" i="15" s="1"/>
  <c r="AI198" i="15"/>
  <c r="AI197" i="15" s="1"/>
  <c r="AI196" i="15" s="1"/>
  <c r="AI195" i="15" s="1"/>
  <c r="J44" i="16"/>
  <c r="L42" i="15"/>
  <c r="AS10" i="15" s="1"/>
  <c r="AX10" i="15"/>
  <c r="AZ10" i="15" s="1"/>
  <c r="N44" i="15"/>
  <c r="N42" i="15" s="1"/>
  <c r="J56" i="16"/>
  <c r="L54" i="15"/>
  <c r="N56" i="15"/>
  <c r="N54" i="15" s="1"/>
  <c r="L50" i="16"/>
  <c r="J48" i="16"/>
  <c r="AD188" i="16"/>
  <c r="AB187" i="16"/>
  <c r="AB185" i="16" s="1"/>
  <c r="AE115" i="16"/>
  <c r="AJ115" i="15"/>
  <c r="AG93" i="16"/>
  <c r="J30" i="16"/>
  <c r="N30" i="15"/>
  <c r="N29" i="15" s="1"/>
  <c r="L29" i="15"/>
  <c r="AD127" i="16"/>
  <c r="AB123" i="16"/>
  <c r="AE86" i="16"/>
  <c r="AJ86" i="15"/>
  <c r="L74" i="16"/>
  <c r="J72" i="16"/>
  <c r="AB238" i="16"/>
  <c r="AD235" i="15"/>
  <c r="AD234" i="15" s="1"/>
  <c r="AI238" i="15"/>
  <c r="AI235" i="15" s="1"/>
  <c r="AI234" i="15" s="1"/>
  <c r="J36" i="16"/>
  <c r="N36" i="15"/>
  <c r="N35" i="15" s="1"/>
  <c r="L35" i="15"/>
  <c r="AD229" i="16"/>
  <c r="AB227" i="16"/>
  <c r="J62" i="16"/>
  <c r="L60" i="15"/>
  <c r="N62" i="15"/>
  <c r="N60" i="15" s="1"/>
  <c r="AG36" i="16"/>
  <c r="AE35" i="16"/>
  <c r="AJ59" i="15"/>
  <c r="AJ58" i="15" s="1"/>
  <c r="AJ57" i="15" s="1"/>
  <c r="AE59" i="16"/>
  <c r="AG58" i="15"/>
  <c r="AG57" i="15" s="1"/>
  <c r="AJ47" i="15"/>
  <c r="AJ44" i="15" s="1"/>
  <c r="AE47" i="16"/>
  <c r="AG44" i="15"/>
  <c r="AB46" i="16"/>
  <c r="AD44" i="15"/>
  <c r="AI46" i="15"/>
  <c r="AI44" i="15" s="1"/>
  <c r="AB117" i="16"/>
  <c r="AI117" i="15"/>
  <c r="AI114" i="15" s="1"/>
  <c r="AI112" i="15" s="1"/>
  <c r="AD114" i="15"/>
  <c r="AI150" i="15"/>
  <c r="AI149" i="15" s="1"/>
  <c r="AI147" i="15" s="1"/>
  <c r="AB150" i="16"/>
  <c r="AD149" i="15"/>
  <c r="AD147" i="15" s="1"/>
  <c r="Y63" i="13"/>
  <c r="AH12" i="12"/>
  <c r="AH10" i="12" s="1"/>
  <c r="AV14" i="12"/>
  <c r="AS17" i="12"/>
  <c r="BJ7" i="12"/>
  <c r="Y14" i="13"/>
  <c r="AE14" i="13"/>
  <c r="Y85" i="14"/>
  <c r="AA83" i="13"/>
  <c r="AH85" i="13"/>
  <c r="AH83" i="13" s="1"/>
  <c r="AJ202" i="13"/>
  <c r="AJ197" i="13" s="1"/>
  <c r="AJ196" i="13" s="1"/>
  <c r="AJ195" i="13" s="1"/>
  <c r="AE202" i="14"/>
  <c r="AG197" i="13"/>
  <c r="AG196" i="13" s="1"/>
  <c r="AG195" i="13" s="1"/>
  <c r="AE241" i="14"/>
  <c r="AJ241" i="13"/>
  <c r="AJ235" i="13" s="1"/>
  <c r="AJ234" i="13" s="1"/>
  <c r="AG235" i="13"/>
  <c r="AE212" i="14"/>
  <c r="AJ212" i="13"/>
  <c r="AJ211" i="13" s="1"/>
  <c r="AJ210" i="13" s="1"/>
  <c r="AJ209" i="13" s="1"/>
  <c r="AG211" i="13"/>
  <c r="AG210" i="13" s="1"/>
  <c r="AG209" i="13" s="1"/>
  <c r="Y61" i="15"/>
  <c r="BO31" i="14"/>
  <c r="BI15" i="14" s="1"/>
  <c r="AA57" i="14"/>
  <c r="BO13" i="14" s="1"/>
  <c r="AH61" i="14"/>
  <c r="AH57" i="14" s="1"/>
  <c r="Y37" i="14"/>
  <c r="AA35" i="13"/>
  <c r="AH37" i="13"/>
  <c r="AH35" i="13" s="1"/>
  <c r="BP33" i="11"/>
  <c r="AR31" i="11"/>
  <c r="AR32" i="11" s="1"/>
  <c r="AV35" i="11" s="1"/>
  <c r="BO8" i="12"/>
  <c r="BO7" i="12" s="1"/>
  <c r="BI8" i="12"/>
  <c r="BI7" i="12" s="1"/>
  <c r="Y27" i="14"/>
  <c r="AA20" i="13"/>
  <c r="AA16" i="13" s="1"/>
  <c r="AH27" i="13"/>
  <c r="AH20" i="13" s="1"/>
  <c r="AH16" i="13" s="1"/>
  <c r="Y71" i="14"/>
  <c r="AA69" i="13"/>
  <c r="AA65" i="13" s="1"/>
  <c r="AH71" i="13"/>
  <c r="AH69" i="13" s="1"/>
  <c r="AH65" i="13" s="1"/>
  <c r="AB167" i="14"/>
  <c r="AD157" i="13"/>
  <c r="AD155" i="13" s="1"/>
  <c r="BP19" i="13"/>
  <c r="AI167" i="13"/>
  <c r="AI157" i="13" s="1"/>
  <c r="AI155" i="13" s="1"/>
  <c r="AI145" i="13" s="1"/>
  <c r="AI110" i="13" s="1"/>
  <c r="AB39" i="14"/>
  <c r="AD35" i="13"/>
  <c r="AD14" i="13" s="1"/>
  <c r="AI39" i="13"/>
  <c r="AI35" i="13" s="1"/>
  <c r="AI14" i="13" s="1"/>
  <c r="AI12"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AS9" i="14"/>
  <c r="AV9" i="14" s="1"/>
  <c r="BD18" i="16"/>
  <c r="I94" i="16"/>
  <c r="M95" i="16"/>
  <c r="M94" i="16" s="1"/>
  <c r="D18" i="20"/>
  <c r="L104" i="16"/>
  <c r="N105" i="16"/>
  <c r="N104" i="16" s="1"/>
  <c r="AB75" i="15"/>
  <c r="AD69" i="14"/>
  <c r="AD65" i="14" s="1"/>
  <c r="AI75" i="14"/>
  <c r="AI69" i="14" s="1"/>
  <c r="AI65" i="14" s="1"/>
  <c r="BP9" i="13"/>
  <c r="BJ8" i="13" s="1"/>
  <c r="AB216" i="15"/>
  <c r="AI216" i="14"/>
  <c r="AI211" i="14" s="1"/>
  <c r="AI210" i="14" s="1"/>
  <c r="AI209" i="14" s="1"/>
  <c r="AI193" i="14" s="1"/>
  <c r="AD211" i="14"/>
  <c r="AD210" i="14" s="1"/>
  <c r="AD209" i="14" s="1"/>
  <c r="AR29" i="14" s="1"/>
  <c r="AE80" i="15"/>
  <c r="AJ80" i="14"/>
  <c r="AE124" i="15"/>
  <c r="AJ124" i="14"/>
  <c r="AW23" i="13"/>
  <c r="AY23" i="13" s="1"/>
  <c r="AU23" i="13"/>
  <c r="AW25" i="13"/>
  <c r="AY25" i="13" s="1"/>
  <c r="AU25" i="13"/>
  <c r="AX14" i="14"/>
  <c r="AZ14" i="14" s="1"/>
  <c r="AE161" i="15"/>
  <c r="AJ161" i="14"/>
  <c r="L85" i="16"/>
  <c r="N86" i="16"/>
  <c r="N85" i="16" s="1"/>
  <c r="J8" i="13"/>
  <c r="J126" i="13" s="1"/>
  <c r="I24" i="13"/>
  <c r="G22" i="13"/>
  <c r="J27" i="14"/>
  <c r="J128" i="14" s="1"/>
  <c r="N27" i="13"/>
  <c r="N25" i="13" s="1"/>
  <c r="L25" i="13"/>
  <c r="AS8" i="13" s="1"/>
  <c r="AV8" i="13" s="1"/>
  <c r="AX8" i="13"/>
  <c r="AZ8" i="13" s="1"/>
  <c r="I27" i="13"/>
  <c r="I62" i="15"/>
  <c r="G60" i="15"/>
  <c r="L83" i="15"/>
  <c r="J81" i="15"/>
  <c r="L26" i="15"/>
  <c r="L33" i="15"/>
  <c r="J32" i="15"/>
  <c r="J28" i="15" s="1"/>
  <c r="I80" i="16"/>
  <c r="M80" i="16" s="1"/>
  <c r="G78" i="16"/>
  <c r="I78" i="16" s="1"/>
  <c r="M78" i="16" s="1"/>
  <c r="I74" i="15"/>
  <c r="G72" i="15"/>
  <c r="L65" i="15"/>
  <c r="J63" i="15"/>
  <c r="L71" i="15"/>
  <c r="J69" i="15"/>
  <c r="I52" i="15"/>
  <c r="G51" i="15"/>
  <c r="I68" i="15"/>
  <c r="G66" i="15"/>
  <c r="L53" i="15"/>
  <c r="J51" i="15"/>
  <c r="G45" i="15"/>
  <c r="I46" i="15"/>
  <c r="L47" i="15"/>
  <c r="J45" i="15"/>
  <c r="L59" i="15"/>
  <c r="J57" i="15"/>
  <c r="I37" i="15"/>
  <c r="G35" i="15"/>
  <c r="L77" i="15"/>
  <c r="J75" i="15"/>
  <c r="N22" i="13"/>
  <c r="L24" i="14"/>
  <c r="J22" i="14"/>
  <c r="J13" i="14"/>
  <c r="L10" i="13"/>
  <c r="N13" i="13"/>
  <c r="N10" i="13" s="1"/>
  <c r="AS7" i="13"/>
  <c r="AV7" i="13" s="1"/>
  <c r="BJ15" i="13"/>
  <c r="AD63" i="13"/>
  <c r="AD88" i="14"/>
  <c r="AB83" i="14"/>
  <c r="AB63" i="14" s="1"/>
  <c r="AA237" i="14"/>
  <c r="Y235" i="14"/>
  <c r="Y234" i="14" s="1"/>
  <c r="Y110" i="14"/>
  <c r="AB107" i="15"/>
  <c r="AD105" i="14"/>
  <c r="AD104" i="14" s="1"/>
  <c r="AI107" i="14"/>
  <c r="AI105" i="14" s="1"/>
  <c r="AI104" i="14" s="1"/>
  <c r="Y133" i="15"/>
  <c r="AA123" i="14"/>
  <c r="AH133" i="14"/>
  <c r="AH123" i="14" s="1"/>
  <c r="AH112" i="14" s="1"/>
  <c r="G56" i="15"/>
  <c r="M56" i="14"/>
  <c r="Y159" i="15"/>
  <c r="AA157" i="14"/>
  <c r="AA155" i="14" s="1"/>
  <c r="AA145" i="14" s="1"/>
  <c r="AH159" i="14"/>
  <c r="AH157" i="14" s="1"/>
  <c r="AH155" i="14" s="1"/>
  <c r="AH145" i="14" s="1"/>
  <c r="AJ220" i="14"/>
  <c r="AB50" i="15"/>
  <c r="AD49" i="14"/>
  <c r="AD43" i="14" s="1"/>
  <c r="AI50" i="14"/>
  <c r="AI49" i="14" s="1"/>
  <c r="AI43" i="14" s="1"/>
  <c r="BI10" i="13"/>
  <c r="AG220" i="14"/>
  <c r="D126" i="16"/>
  <c r="D130" i="16" s="1"/>
  <c r="T15" i="13"/>
  <c r="G12" i="14"/>
  <c r="M12" i="13"/>
  <c r="I10" i="13"/>
  <c r="AZ16" i="12"/>
  <c r="AW17" i="12"/>
  <c r="AX17" i="12"/>
  <c r="AE206" i="15"/>
  <c r="AG205" i="14"/>
  <c r="AJ206" i="14"/>
  <c r="AJ205" i="14" s="1"/>
  <c r="AE227" i="15"/>
  <c r="AG228" i="15"/>
  <c r="AJ186" i="14"/>
  <c r="AE186" i="15"/>
  <c r="AG188" i="15"/>
  <c r="AG236" i="15"/>
  <c r="AG223" i="15"/>
  <c r="AE222" i="15"/>
  <c r="AJ181" i="14"/>
  <c r="AE181" i="15"/>
  <c r="I23" i="14"/>
  <c r="AE198" i="15"/>
  <c r="AJ198" i="14"/>
  <c r="AZ13" i="13"/>
  <c r="AJ193" i="13" l="1"/>
  <c r="AI260" i="12"/>
  <c r="AI264" i="12" s="1"/>
  <c r="BP32" i="12"/>
  <c r="BJ16" i="12"/>
  <c r="AX30" i="12"/>
  <c r="AZ30" i="12" s="1"/>
  <c r="AV30" i="12"/>
  <c r="AW30" i="12"/>
  <c r="AY30" i="12" s="1"/>
  <c r="AU30" i="12"/>
  <c r="BI16" i="12"/>
  <c r="AW28" i="14"/>
  <c r="AY28" i="14" s="1"/>
  <c r="AU28" i="14"/>
  <c r="AX24" i="13"/>
  <c r="AZ24" i="13" s="1"/>
  <c r="AV24" i="13"/>
  <c r="BO32" i="12"/>
  <c r="AB258" i="13"/>
  <c r="AJ8" i="12"/>
  <c r="AJ260" i="12" s="1"/>
  <c r="AJ264" i="12" s="1"/>
  <c r="AJ258" i="12"/>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A260" i="12"/>
  <c r="AA264" i="12" s="1"/>
  <c r="U1" i="12"/>
  <c r="AD260" i="12"/>
  <c r="AD264" i="12" s="1"/>
  <c r="Y1" i="12"/>
  <c r="AG234" i="13"/>
  <c r="AD243" i="13"/>
  <c r="AD232" i="13" s="1"/>
  <c r="AI244" i="13"/>
  <c r="AI243" i="13" s="1"/>
  <c r="AI232" i="13" s="1"/>
  <c r="AB244" i="14"/>
  <c r="I55" i="14"/>
  <c r="G54" i="14"/>
  <c r="AD193" i="14"/>
  <c r="AE244" i="14"/>
  <c r="AJ244" i="13"/>
  <c r="AJ243" i="13" s="1"/>
  <c r="AG243" i="13"/>
  <c r="AB8" i="13"/>
  <c r="L8" i="12"/>
  <c r="L126" i="12" s="1"/>
  <c r="L130" i="12" s="1"/>
  <c r="AD258" i="12"/>
  <c r="BP33"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J232" i="13"/>
  <c r="AI10" i="13"/>
  <c r="AS28" i="13"/>
  <c r="AG193" i="13"/>
  <c r="AH8" i="12"/>
  <c r="AH260" i="12" s="1"/>
  <c r="AH264" i="12" s="1"/>
  <c r="AH258" i="12"/>
  <c r="Y244" i="14"/>
  <c r="AA243" i="13"/>
  <c r="AA232" i="13" s="1"/>
  <c r="BO29" i="13" s="1"/>
  <c r="BI13" i="13" s="1"/>
  <c r="AH244" i="13"/>
  <c r="AH243" i="13" s="1"/>
  <c r="AH232" i="13" s="1"/>
  <c r="AI90" i="15"/>
  <c r="BP16" i="15"/>
  <c r="AD112" i="15"/>
  <c r="L62" i="16"/>
  <c r="J60" i="16"/>
  <c r="AD238" i="16"/>
  <c r="AB235" i="16"/>
  <c r="AB234" i="16" s="1"/>
  <c r="AI127" i="16"/>
  <c r="AI123" i="16" s="1"/>
  <c r="AD123" i="16"/>
  <c r="AG115" i="16"/>
  <c r="AD100" i="16"/>
  <c r="AB96" i="16"/>
  <c r="AG152" i="16"/>
  <c r="AE149" i="16"/>
  <c r="AE147" i="16" s="1"/>
  <c r="AG98" i="16"/>
  <c r="AD223" i="16"/>
  <c r="AB222" i="16"/>
  <c r="AB220" i="16" s="1"/>
  <c r="AD46" i="16"/>
  <c r="AB44" i="16"/>
  <c r="AJ36" i="16"/>
  <c r="AJ35" i="16" s="1"/>
  <c r="AG35" i="16"/>
  <c r="L36" i="16"/>
  <c r="J35" i="16"/>
  <c r="AJ93" i="16"/>
  <c r="L48" i="16"/>
  <c r="N50" i="16"/>
  <c r="N48" i="16" s="1"/>
  <c r="L56" i="16"/>
  <c r="J54" i="16"/>
  <c r="L44" i="16"/>
  <c r="J42" i="16"/>
  <c r="AD198" i="16"/>
  <c r="AB197" i="16"/>
  <c r="AB196" i="16" s="1"/>
  <c r="AB195" i="16" s="1"/>
  <c r="AD150" i="16"/>
  <c r="AB149" i="16"/>
  <c r="AB147" i="16" s="1"/>
  <c r="AD117" i="16"/>
  <c r="AB114" i="16"/>
  <c r="AB112" i="16" s="1"/>
  <c r="AG59" i="16"/>
  <c r="AE58" i="16"/>
  <c r="AE57" i="16" s="1"/>
  <c r="AI229" i="16"/>
  <c r="AI227" i="16" s="1"/>
  <c r="AD227" i="16"/>
  <c r="AG86" i="16"/>
  <c r="BP30" i="15"/>
  <c r="BJ14" i="15" s="1"/>
  <c r="AD90" i="15"/>
  <c r="AD22" i="16"/>
  <c r="AB20" i="16"/>
  <c r="AB16" i="16" s="1"/>
  <c r="AA63" i="13"/>
  <c r="AG47" i="16"/>
  <c r="AE44" i="16"/>
  <c r="L72" i="16"/>
  <c r="N74" i="16"/>
  <c r="N72" i="16" s="1"/>
  <c r="L30" i="16"/>
  <c r="J29" i="16"/>
  <c r="AD187" i="16"/>
  <c r="AD185" i="16" s="1"/>
  <c r="AI188" i="16"/>
  <c r="AI187" i="16" s="1"/>
  <c r="AI185" i="16" s="1"/>
  <c r="AD195" i="15"/>
  <c r="BP28" i="15"/>
  <c r="L68" i="16"/>
  <c r="J66" i="16"/>
  <c r="AG141" i="16"/>
  <c r="AJ143" i="16"/>
  <c r="AJ141" i="16" s="1"/>
  <c r="AD92" i="16"/>
  <c r="AB91" i="16"/>
  <c r="AH63" i="13"/>
  <c r="Y12" i="13"/>
  <c r="Y10" i="13" s="1"/>
  <c r="Y8" i="13" s="1"/>
  <c r="AD12" i="13"/>
  <c r="AR24" i="13"/>
  <c r="AW24" i="13" s="1"/>
  <c r="AY24" i="13" s="1"/>
  <c r="BP14" i="13"/>
  <c r="BP8" i="13" s="1"/>
  <c r="AH14" i="13"/>
  <c r="BO14" i="13"/>
  <c r="BI9" i="13" s="1"/>
  <c r="AA61" i="15"/>
  <c r="Y57" i="15"/>
  <c r="AG202" i="14"/>
  <c r="AE197" i="14"/>
  <c r="AE196" i="14" s="1"/>
  <c r="AE195" i="14" s="1"/>
  <c r="AA85" i="14"/>
  <c r="Y83" i="14"/>
  <c r="AG241" i="14"/>
  <c r="AE235" i="14"/>
  <c r="AE234" i="14" s="1"/>
  <c r="AJ14" i="13"/>
  <c r="AE211" i="14"/>
  <c r="AE210" i="14" s="1"/>
  <c r="AE209" i="14" s="1"/>
  <c r="AG212" i="14"/>
  <c r="L21" i="13"/>
  <c r="L19" i="13" s="1"/>
  <c r="L17" i="13" s="1"/>
  <c r="L8" i="13" s="1"/>
  <c r="L126" i="13" s="1"/>
  <c r="AA37" i="14"/>
  <c r="Y35" i="14"/>
  <c r="AG52" i="14"/>
  <c r="AE49" i="14"/>
  <c r="AE43" i="14" s="1"/>
  <c r="AD167" i="14"/>
  <c r="AB157" i="14"/>
  <c r="AB155" i="14" s="1"/>
  <c r="AB145" i="14" s="1"/>
  <c r="AB110" i="14" s="1"/>
  <c r="AA27" i="14"/>
  <c r="Y20" i="14"/>
  <c r="Y16" i="14" s="1"/>
  <c r="BP24" i="13"/>
  <c r="AR27" i="13"/>
  <c r="AG70" i="14"/>
  <c r="AE69" i="14"/>
  <c r="AE65" i="14" s="1"/>
  <c r="AA71" i="14"/>
  <c r="Y69" i="14"/>
  <c r="Y65" i="14" s="1"/>
  <c r="AD180" i="14"/>
  <c r="AB176" i="14"/>
  <c r="AB170" i="14" s="1"/>
  <c r="AG14" i="13"/>
  <c r="AS23" i="13"/>
  <c r="AD39" i="14"/>
  <c r="AB35" i="14"/>
  <c r="AB14" i="14" s="1"/>
  <c r="AB12" i="14" s="1"/>
  <c r="AG23" i="14"/>
  <c r="AE20" i="14"/>
  <c r="AE16" i="14" s="1"/>
  <c r="BP17" i="13"/>
  <c r="AD145" i="13"/>
  <c r="AD110" i="13" s="1"/>
  <c r="AR26" i="13" s="1"/>
  <c r="BO12" i="13"/>
  <c r="AA14" i="13"/>
  <c r="AR16" i="13"/>
  <c r="AW16" i="13" s="1"/>
  <c r="AY16" i="13" s="1"/>
  <c r="AS16" i="13"/>
  <c r="AX16" i="13" s="1"/>
  <c r="AG124" i="15"/>
  <c r="AD216" i="15"/>
  <c r="AB211" i="15"/>
  <c r="AB210" i="15" s="1"/>
  <c r="AB209" i="15" s="1"/>
  <c r="AB193" i="15" s="1"/>
  <c r="AG161" i="15"/>
  <c r="AG80" i="15"/>
  <c r="AR23" i="14"/>
  <c r="BP12" i="14"/>
  <c r="BP9" i="14" s="1"/>
  <c r="AW29" i="14"/>
  <c r="AY29" i="14" s="1"/>
  <c r="BP27" i="14"/>
  <c r="BP25" i="14" s="1"/>
  <c r="BJ12" i="14" s="1"/>
  <c r="AD75" i="15"/>
  <c r="AB69" i="15"/>
  <c r="AB65" i="15" s="1"/>
  <c r="G24" i="14"/>
  <c r="M24" i="13"/>
  <c r="M22" i="13" s="1"/>
  <c r="AW7" i="13"/>
  <c r="AY7" i="13" s="1"/>
  <c r="I22" i="13"/>
  <c r="AR7" i="13" s="1"/>
  <c r="AU7" i="13" s="1"/>
  <c r="N128" i="13"/>
  <c r="N21" i="13"/>
  <c r="N19" i="13" s="1"/>
  <c r="N17" i="13" s="1"/>
  <c r="N8" i="13" s="1"/>
  <c r="L27" i="14"/>
  <c r="L128" i="14" s="1"/>
  <c r="J25" i="14"/>
  <c r="J21" i="14" s="1"/>
  <c r="J19" i="14" s="1"/>
  <c r="J17" i="14" s="1"/>
  <c r="G27" i="14"/>
  <c r="M27" i="13"/>
  <c r="BD15" i="15"/>
  <c r="G46" i="16"/>
  <c r="I45" i="15"/>
  <c r="M46" i="15"/>
  <c r="M45" i="15" s="1"/>
  <c r="J77" i="16"/>
  <c r="L75" i="15"/>
  <c r="N77" i="15"/>
  <c r="N75" i="15" s="1"/>
  <c r="J59" i="16"/>
  <c r="L57" i="15"/>
  <c r="N59" i="15"/>
  <c r="N57" i="15" s="1"/>
  <c r="G68" i="16"/>
  <c r="I66" i="15"/>
  <c r="M68" i="15"/>
  <c r="M66" i="15" s="1"/>
  <c r="J71" i="16"/>
  <c r="L69" i="15"/>
  <c r="N71" i="15"/>
  <c r="N69" i="15" s="1"/>
  <c r="G74" i="16"/>
  <c r="I72" i="15"/>
  <c r="M74" i="15"/>
  <c r="M72" i="15" s="1"/>
  <c r="J33" i="16"/>
  <c r="AX9" i="15"/>
  <c r="AZ9" i="15" s="1"/>
  <c r="L32" i="15"/>
  <c r="L28" i="15" s="1"/>
  <c r="AS9" i="15" s="1"/>
  <c r="AV9" i="15" s="1"/>
  <c r="N33" i="15"/>
  <c r="N32" i="15" s="1"/>
  <c r="N28" i="15" s="1"/>
  <c r="J83" i="16"/>
  <c r="L81" i="15"/>
  <c r="N83" i="15"/>
  <c r="N81" i="15" s="1"/>
  <c r="J26" i="16"/>
  <c r="N26" i="15"/>
  <c r="G37" i="16"/>
  <c r="I35" i="15"/>
  <c r="M37" i="15"/>
  <c r="M35" i="15" s="1"/>
  <c r="J47" i="16"/>
  <c r="L45" i="15"/>
  <c r="N47" i="15"/>
  <c r="N45" i="15" s="1"/>
  <c r="L51" i="15"/>
  <c r="J53" i="16"/>
  <c r="N53" i="15"/>
  <c r="N51" i="15" s="1"/>
  <c r="M52" i="15"/>
  <c r="M51" i="15" s="1"/>
  <c r="G52" i="16"/>
  <c r="I51" i="15"/>
  <c r="J65" i="16"/>
  <c r="L63" i="15"/>
  <c r="N65" i="15"/>
  <c r="N63" i="15" s="1"/>
  <c r="G62" i="16"/>
  <c r="I60" i="15"/>
  <c r="M62" i="15"/>
  <c r="M60" i="15" s="1"/>
  <c r="M10" i="13"/>
  <c r="J10" i="14"/>
  <c r="L13" i="14"/>
  <c r="J24" i="15"/>
  <c r="L22" i="14"/>
  <c r="AX7" i="14"/>
  <c r="AZ7" i="14" s="1"/>
  <c r="N24" i="14"/>
  <c r="AB88" i="15"/>
  <c r="BP31" i="14"/>
  <c r="BJ15" i="14" s="1"/>
  <c r="AI88" i="14"/>
  <c r="AI83" i="14" s="1"/>
  <c r="AI63" i="14" s="1"/>
  <c r="AD83" i="14"/>
  <c r="Y237" i="15"/>
  <c r="AA235" i="14"/>
  <c r="AH237" i="14"/>
  <c r="AH235" i="14" s="1"/>
  <c r="AH234" i="14" s="1"/>
  <c r="AE220" i="15"/>
  <c r="BP13" i="14"/>
  <c r="AR25" i="14"/>
  <c r="I56" i="15"/>
  <c r="AD50" i="15"/>
  <c r="AB49" i="15"/>
  <c r="AB43" i="15" s="1"/>
  <c r="AA159" i="15"/>
  <c r="Y157" i="15"/>
  <c r="Y155" i="15" s="1"/>
  <c r="Y145" i="15" s="1"/>
  <c r="BO17" i="14"/>
  <c r="BO15" i="14" s="1"/>
  <c r="AA112" i="14"/>
  <c r="AA110" i="14" s="1"/>
  <c r="AD107" i="15"/>
  <c r="AB105" i="15"/>
  <c r="AB104" i="15" s="1"/>
  <c r="AH110" i="14"/>
  <c r="AA133" i="15"/>
  <c r="Y123" i="15"/>
  <c r="Y112" i="15" s="1"/>
  <c r="T15" i="14"/>
  <c r="J130" i="13"/>
  <c r="BD7" i="13"/>
  <c r="I12" i="14"/>
  <c r="G10" i="14"/>
  <c r="AG181" i="15"/>
  <c r="AE236" i="16"/>
  <c r="AJ236" i="15"/>
  <c r="AX13" i="14"/>
  <c r="AS13" i="14"/>
  <c r="AV13" i="14" s="1"/>
  <c r="AE188" i="16"/>
  <c r="AJ188" i="15"/>
  <c r="AG227" i="15"/>
  <c r="AE228" i="16"/>
  <c r="AJ228" i="15"/>
  <c r="AJ227" i="15" s="1"/>
  <c r="AG198" i="15"/>
  <c r="AG186" i="15"/>
  <c r="G23" i="15"/>
  <c r="BD12" i="14"/>
  <c r="M23" i="14"/>
  <c r="AJ223" i="15"/>
  <c r="AJ222" i="15" s="1"/>
  <c r="AE223" i="16"/>
  <c r="AG222" i="15"/>
  <c r="AE205" i="15"/>
  <c r="AG206" i="15"/>
  <c r="AU16" i="13" l="1"/>
  <c r="AV16" i="13"/>
  <c r="AU24" i="13"/>
  <c r="AX23" i="13"/>
  <c r="AZ23" i="13" s="1"/>
  <c r="AV23" i="13"/>
  <c r="AX25" i="12"/>
  <c r="AZ25" i="12" s="1"/>
  <c r="AV25" i="12"/>
  <c r="AW27" i="13"/>
  <c r="AY27" i="13" s="1"/>
  <c r="AU27" i="13"/>
  <c r="AX26" i="13"/>
  <c r="AZ26" i="13" s="1"/>
  <c r="AV26" i="13"/>
  <c r="AW26" i="13"/>
  <c r="AY26" i="13" s="1"/>
  <c r="AU26" i="13"/>
  <c r="AX28" i="13"/>
  <c r="AZ28" i="13" s="1"/>
  <c r="AV28" i="13"/>
  <c r="AJ90" i="13"/>
  <c r="AJ63" i="13" s="1"/>
  <c r="AJ12" i="13" s="1"/>
  <c r="AJ10" i="13" s="1"/>
  <c r="AJ8" i="13" s="1"/>
  <c r="AJ260" i="13" s="1"/>
  <c r="AJ264" i="13" s="1"/>
  <c r="AE87" i="15"/>
  <c r="AJ87" i="14"/>
  <c r="AJ83" i="14" s="1"/>
  <c r="AG83" i="14"/>
  <c r="AS24" i="14" s="1"/>
  <c r="AG90" i="13"/>
  <c r="AE160" i="15"/>
  <c r="AJ160" i="14"/>
  <c r="AJ157" i="14" s="1"/>
  <c r="AJ155" i="14" s="1"/>
  <c r="AJ145" i="14" s="1"/>
  <c r="AG157" i="14"/>
  <c r="AG155" i="14" s="1"/>
  <c r="AG145" i="14" s="1"/>
  <c r="AG94" i="14"/>
  <c r="AE91" i="14"/>
  <c r="AV27" i="13"/>
  <c r="AX27" i="13"/>
  <c r="AZ27" i="13" s="1"/>
  <c r="AE116" i="15"/>
  <c r="AJ116" i="14"/>
  <c r="AJ114" i="14" s="1"/>
  <c r="AG114" i="14"/>
  <c r="AB10" i="14"/>
  <c r="AE193" i="14"/>
  <c r="AE189" i="15"/>
  <c r="AJ189" i="14"/>
  <c r="AJ187" i="14" s="1"/>
  <c r="AJ185" i="14" s="1"/>
  <c r="AG187" i="14"/>
  <c r="AG185" i="14" s="1"/>
  <c r="AG258" i="12"/>
  <c r="AS31" i="12" s="1"/>
  <c r="AS32" i="12" s="1"/>
  <c r="AG8" i="12"/>
  <c r="AE106" i="15"/>
  <c r="AG105" i="14"/>
  <c r="AG104" i="14" s="1"/>
  <c r="AJ106" i="14"/>
  <c r="AJ105" i="14" s="1"/>
  <c r="AJ104" i="14" s="1"/>
  <c r="AG99" i="14"/>
  <c r="AE96" i="14"/>
  <c r="AF258" i="13"/>
  <c r="AG178" i="14"/>
  <c r="AE176" i="14"/>
  <c r="AE170" i="14" s="1"/>
  <c r="AG126" i="14"/>
  <c r="AE123" i="14"/>
  <c r="AE112" i="14" s="1"/>
  <c r="AE110" i="14" s="1"/>
  <c r="Y260" i="13"/>
  <c r="Y264" i="13" s="1"/>
  <c r="AD244" i="14"/>
  <c r="AB243" i="14"/>
  <c r="AB232" i="14" s="1"/>
  <c r="AG232" i="13"/>
  <c r="AS30" i="13" s="1"/>
  <c r="AR28" i="15"/>
  <c r="AI8" i="13"/>
  <c r="AI260" i="13" s="1"/>
  <c r="AI264" i="13" s="1"/>
  <c r="AI258" i="13"/>
  <c r="AE260" i="13"/>
  <c r="AE264" i="13" s="1"/>
  <c r="AE243" i="14"/>
  <c r="AE232" i="14" s="1"/>
  <c r="AG244" i="14"/>
  <c r="BP29" i="13"/>
  <c r="BJ13" i="13" s="1"/>
  <c r="AR30" i="13"/>
  <c r="AI262" i="14"/>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D10" i="13"/>
  <c r="AD8" i="13" s="1"/>
  <c r="AD260" i="13" s="1"/>
  <c r="AD264" i="13" s="1"/>
  <c r="AA244" i="14"/>
  <c r="Y243" i="14"/>
  <c r="Y232" i="14" s="1"/>
  <c r="AB260" i="13"/>
  <c r="AB264" i="13" s="1"/>
  <c r="G55" i="15"/>
  <c r="M55" i="14"/>
  <c r="M54" i="14" s="1"/>
  <c r="BD17" i="14"/>
  <c r="I54" i="14"/>
  <c r="BJ9" i="13"/>
  <c r="AR31" i="12"/>
  <c r="AR32" i="12" s="1"/>
  <c r="AV35" i="12" s="1"/>
  <c r="AA12" i="13"/>
  <c r="AA10" i="13" s="1"/>
  <c r="AA8" i="13" s="1"/>
  <c r="AA260" i="13" s="1"/>
  <c r="AA264" i="13" s="1"/>
  <c r="AB90" i="16"/>
  <c r="AG58" i="16"/>
  <c r="AG57" i="16" s="1"/>
  <c r="AJ59" i="16"/>
  <c r="AJ58" i="16" s="1"/>
  <c r="AJ57" i="16" s="1"/>
  <c r="AI150" i="16"/>
  <c r="AI149" i="16" s="1"/>
  <c r="AI147" i="16" s="1"/>
  <c r="AD149" i="16"/>
  <c r="AD147" i="16" s="1"/>
  <c r="AX10" i="16"/>
  <c r="AZ10" i="16" s="1"/>
  <c r="L42" i="16"/>
  <c r="AS10" i="16" s="1"/>
  <c r="N44" i="16"/>
  <c r="N42" i="16" s="1"/>
  <c r="N36" i="16"/>
  <c r="N35" i="16" s="1"/>
  <c r="L35" i="16"/>
  <c r="AI46" i="16"/>
  <c r="AI44" i="16" s="1"/>
  <c r="AD44" i="16"/>
  <c r="AJ98" i="16"/>
  <c r="AI100" i="16"/>
  <c r="AI96" i="16" s="1"/>
  <c r="AD96" i="16"/>
  <c r="L66" i="16"/>
  <c r="N68" i="16"/>
  <c r="N66" i="16" s="1"/>
  <c r="L60" i="16"/>
  <c r="N62" i="16"/>
  <c r="N60" i="16" s="1"/>
  <c r="AD20" i="16"/>
  <c r="AD16" i="16" s="1"/>
  <c r="AI22" i="16"/>
  <c r="AI20" i="16" s="1"/>
  <c r="AI16" i="16" s="1"/>
  <c r="AI117" i="16"/>
  <c r="AI114" i="16" s="1"/>
  <c r="AI112" i="16" s="1"/>
  <c r="AD114" i="16"/>
  <c r="AD197" i="16"/>
  <c r="AD196" i="16" s="1"/>
  <c r="BP26" i="16"/>
  <c r="E50" i="20" s="1"/>
  <c r="AI198" i="16"/>
  <c r="AI197" i="16" s="1"/>
  <c r="AI196" i="16" s="1"/>
  <c r="AI195" i="16" s="1"/>
  <c r="L54" i="16"/>
  <c r="N56" i="16"/>
  <c r="N54" i="16" s="1"/>
  <c r="AD222" i="16"/>
  <c r="AD220" i="16" s="1"/>
  <c r="AI223" i="16"/>
  <c r="AI222" i="16" s="1"/>
  <c r="AI220" i="16" s="1"/>
  <c r="AG149" i="16"/>
  <c r="AG147" i="16" s="1"/>
  <c r="AJ152" i="16"/>
  <c r="AJ149" i="16" s="1"/>
  <c r="AJ147" i="16" s="1"/>
  <c r="AJ115" i="16"/>
  <c r="AI92" i="16"/>
  <c r="AI91" i="16" s="1"/>
  <c r="AD91" i="16"/>
  <c r="N30" i="16"/>
  <c r="N29" i="16" s="1"/>
  <c r="L29" i="16"/>
  <c r="AJ47" i="16"/>
  <c r="AJ44" i="16" s="1"/>
  <c r="AG44" i="16"/>
  <c r="AJ86" i="16"/>
  <c r="AD235" i="16"/>
  <c r="AD234" i="16" s="1"/>
  <c r="AI238" i="16"/>
  <c r="AI235" i="16" s="1"/>
  <c r="AI234" i="16" s="1"/>
  <c r="AH12" i="13"/>
  <c r="AH10" i="13" s="1"/>
  <c r="AS14" i="13"/>
  <c r="Y63" i="14"/>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BO31" i="15"/>
  <c r="BI15" i="15" s="1"/>
  <c r="AA57" i="15"/>
  <c r="BO13" i="15" s="1"/>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D14" i="14" s="1"/>
  <c r="AI39" i="14"/>
  <c r="AI35" i="14" s="1"/>
  <c r="AI14" i="14" s="1"/>
  <c r="AI12" i="14" s="1"/>
  <c r="AB180" i="15"/>
  <c r="AI180" i="14"/>
  <c r="AI176" i="14" s="1"/>
  <c r="AI170" i="14" s="1"/>
  <c r="AD176" i="14"/>
  <c r="AD170" i="14" s="1"/>
  <c r="Y27" i="15"/>
  <c r="AA20" i="14"/>
  <c r="AA16" i="14" s="1"/>
  <c r="AH27" i="14"/>
  <c r="AH20" i="14" s="1"/>
  <c r="AH16" i="14" s="1"/>
  <c r="AE52" i="15"/>
  <c r="AJ52" i="14"/>
  <c r="AJ49" i="14" s="1"/>
  <c r="AJ43" i="14" s="1"/>
  <c r="AG49" i="14"/>
  <c r="AG43" i="14" s="1"/>
  <c r="BP15" i="13"/>
  <c r="Y71" i="15"/>
  <c r="AH71" i="14"/>
  <c r="AH69" i="14" s="1"/>
  <c r="AH65" i="14" s="1"/>
  <c r="AA69" i="14"/>
  <c r="AA65" i="14" s="1"/>
  <c r="BP22" i="13"/>
  <c r="BJ11" i="13" s="1"/>
  <c r="AB167" i="15"/>
  <c r="BP19" i="14"/>
  <c r="AD157" i="14"/>
  <c r="AD155" i="14" s="1"/>
  <c r="AI167" i="14"/>
  <c r="AI157" i="14" s="1"/>
  <c r="AI155" i="14" s="1"/>
  <c r="AI145" i="14" s="1"/>
  <c r="AI110" i="14" s="1"/>
  <c r="AB75" i="16"/>
  <c r="AD69" i="15"/>
  <c r="AD65" i="15" s="1"/>
  <c r="AI75" i="15"/>
  <c r="AI69" i="15" s="1"/>
  <c r="AI65" i="15" s="1"/>
  <c r="AW25" i="14"/>
  <c r="AY25" i="14" s="1"/>
  <c r="AU25" i="14"/>
  <c r="AE80" i="16"/>
  <c r="AJ80" i="15"/>
  <c r="AI216" i="15"/>
  <c r="AI211" i="15" s="1"/>
  <c r="AI210" i="15" s="1"/>
  <c r="AI209" i="15" s="1"/>
  <c r="AI193" i="15" s="1"/>
  <c r="AB216" i="16"/>
  <c r="AD211" i="15"/>
  <c r="AD210" i="15" s="1"/>
  <c r="AD209" i="15" s="1"/>
  <c r="AR29" i="15" s="1"/>
  <c r="AX14" i="15"/>
  <c r="AZ14" i="15" s="1"/>
  <c r="AW23" i="14"/>
  <c r="AY23" i="14" s="1"/>
  <c r="AU23" i="14"/>
  <c r="AE161" i="16"/>
  <c r="AJ161" i="15"/>
  <c r="AJ124" i="15"/>
  <c r="AE124" i="16"/>
  <c r="J8" i="14"/>
  <c r="I24" i="14"/>
  <c r="G22" i="14"/>
  <c r="N126" i="13"/>
  <c r="J27" i="15"/>
  <c r="J128" i="15" s="1"/>
  <c r="N27" i="14"/>
  <c r="N25" i="14" s="1"/>
  <c r="L25" i="14"/>
  <c r="AS8" i="14" s="1"/>
  <c r="AV8" i="14" s="1"/>
  <c r="AX8" i="14"/>
  <c r="AZ8" i="14" s="1"/>
  <c r="I27" i="14"/>
  <c r="L53" i="16"/>
  <c r="J51" i="16"/>
  <c r="L47" i="16"/>
  <c r="J45" i="16"/>
  <c r="I68" i="16"/>
  <c r="G66" i="16"/>
  <c r="I62" i="16"/>
  <c r="G60" i="16"/>
  <c r="I37" i="16"/>
  <c r="G35" i="16"/>
  <c r="L83" i="16"/>
  <c r="J81" i="16"/>
  <c r="L33" i="16"/>
  <c r="J32" i="16"/>
  <c r="J28" i="16" s="1"/>
  <c r="L59" i="16"/>
  <c r="J57" i="16"/>
  <c r="G51" i="16"/>
  <c r="I52" i="16"/>
  <c r="J69" i="16"/>
  <c r="L71" i="16"/>
  <c r="G45" i="16"/>
  <c r="I46" i="16"/>
  <c r="L65" i="16"/>
  <c r="J63" i="16"/>
  <c r="L26" i="16"/>
  <c r="I74" i="16"/>
  <c r="G72" i="16"/>
  <c r="L77" i="16"/>
  <c r="J75" i="16"/>
  <c r="N22" i="14"/>
  <c r="L24" i="15"/>
  <c r="J22" i="15"/>
  <c r="J13" i="15"/>
  <c r="N13" i="14"/>
  <c r="N10" i="14" s="1"/>
  <c r="L10" i="14"/>
  <c r="AS7" i="14"/>
  <c r="AV7" i="14" s="1"/>
  <c r="AD63" i="14"/>
  <c r="AD88" i="15"/>
  <c r="AB83" i="15"/>
  <c r="AB63" i="15" s="1"/>
  <c r="AA237" i="15"/>
  <c r="Y235" i="15"/>
  <c r="Y234" i="15" s="1"/>
  <c r="Y110" i="15"/>
  <c r="BI10" i="14"/>
  <c r="AJ220" i="15"/>
  <c r="Y133" i="16"/>
  <c r="AA123" i="15"/>
  <c r="AA112" i="15" s="1"/>
  <c r="AH133" i="15"/>
  <c r="AH123" i="15" s="1"/>
  <c r="AH112" i="15" s="1"/>
  <c r="AB50" i="16"/>
  <c r="AD49" i="15"/>
  <c r="AD43" i="15" s="1"/>
  <c r="AI50" i="15"/>
  <c r="AI49" i="15" s="1"/>
  <c r="AI43" i="15" s="1"/>
  <c r="AB107" i="16"/>
  <c r="AI107" i="15"/>
  <c r="AI105" i="15" s="1"/>
  <c r="AI104" i="15" s="1"/>
  <c r="AD105" i="15"/>
  <c r="AD104" i="15" s="1"/>
  <c r="BJ8" i="14"/>
  <c r="AH159" i="15"/>
  <c r="AH157" i="15" s="1"/>
  <c r="AH155" i="15" s="1"/>
  <c r="AH145" i="15" s="1"/>
  <c r="Y159" i="16"/>
  <c r="AA157" i="15"/>
  <c r="AA155" i="15" s="1"/>
  <c r="M56" i="15"/>
  <c r="G56" i="16"/>
  <c r="AG220" i="15"/>
  <c r="L130" i="13"/>
  <c r="D24" i="20"/>
  <c r="T15" i="15"/>
  <c r="AZ16" i="13"/>
  <c r="AW17" i="13"/>
  <c r="AX17" i="13"/>
  <c r="G12" i="15"/>
  <c r="I10" i="14"/>
  <c r="M12" i="14"/>
  <c r="AE222" i="16"/>
  <c r="AG223" i="16"/>
  <c r="I23" i="15"/>
  <c r="AZ13" i="14"/>
  <c r="AG236" i="16"/>
  <c r="AG205" i="15"/>
  <c r="AE206" i="16"/>
  <c r="AJ206" i="15"/>
  <c r="AJ205" i="15" s="1"/>
  <c r="AJ198" i="15"/>
  <c r="AE198" i="16"/>
  <c r="AE227" i="16"/>
  <c r="AG228" i="16"/>
  <c r="AG188" i="16"/>
  <c r="AJ186" i="15"/>
  <c r="AE186" i="16"/>
  <c r="AJ181" i="15"/>
  <c r="AE181" i="16"/>
  <c r="AB258" i="14" l="1"/>
  <c r="AX30" i="13"/>
  <c r="AZ30" i="13" s="1"/>
  <c r="AV30" i="13"/>
  <c r="AW30" i="13"/>
  <c r="AY30" i="13" s="1"/>
  <c r="AU30" i="13"/>
  <c r="AJ258" i="13"/>
  <c r="AE90" i="14"/>
  <c r="AE63" i="14" s="1"/>
  <c r="AE12" i="14" s="1"/>
  <c r="AE10" i="14" s="1"/>
  <c r="AE8" i="14" s="1"/>
  <c r="AE260" i="14" s="1"/>
  <c r="AE264" i="14" s="1"/>
  <c r="AX24" i="14"/>
  <c r="AZ24" i="14" s="1"/>
  <c r="AV24" i="14"/>
  <c r="AW28" i="15"/>
  <c r="AY28" i="15" s="1"/>
  <c r="AU28" i="15"/>
  <c r="AB8" i="14"/>
  <c r="AB260" i="14" s="1"/>
  <c r="AB264" i="14"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AJ193"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AH262" i="15"/>
  <c r="U262" i="15"/>
  <c r="U260" i="15" s="1"/>
  <c r="U264" i="15" s="1"/>
  <c r="AE262" i="15"/>
  <c r="AD262" i="15"/>
  <c r="AF262" i="15"/>
  <c r="AF260" i="15" s="1"/>
  <c r="AF264" i="15" s="1"/>
  <c r="AS28" i="14"/>
  <c r="AG193" i="14"/>
  <c r="I55" i="15"/>
  <c r="G54" i="15"/>
  <c r="AJ244" i="14"/>
  <c r="AJ243" i="14" s="1"/>
  <c r="AJ232" i="14" s="1"/>
  <c r="AG243" i="14"/>
  <c r="AE244" i="15"/>
  <c r="AD193" i="15"/>
  <c r="AS29" i="14"/>
  <c r="AX29" i="14" s="1"/>
  <c r="AZ29" i="14" s="1"/>
  <c r="AD258" i="13"/>
  <c r="BP33" i="13" s="1"/>
  <c r="AI10" i="14"/>
  <c r="U1" i="13"/>
  <c r="BP14" i="14"/>
  <c r="AR24" i="14"/>
  <c r="AW24" i="14" s="1"/>
  <c r="AY24" i="14" s="1"/>
  <c r="AD90" i="16"/>
  <c r="BP30" i="16"/>
  <c r="AD195" i="16"/>
  <c r="BP28" i="16"/>
  <c r="E52" i="20" s="1"/>
  <c r="BP16" i="16"/>
  <c r="E40" i="20" s="1"/>
  <c r="AD112" i="16"/>
  <c r="AI90" i="16"/>
  <c r="AD12" i="14"/>
  <c r="AA14" i="14"/>
  <c r="AH63" i="14"/>
  <c r="AV14" i="13"/>
  <c r="AS17" i="13"/>
  <c r="Y12" i="14"/>
  <c r="Y10" i="14" s="1"/>
  <c r="AG241" i="15"/>
  <c r="AG262" i="15" s="1"/>
  <c r="AE235" i="15"/>
  <c r="AE234" i="15" s="1"/>
  <c r="AE211" i="15"/>
  <c r="AE210" i="15" s="1"/>
  <c r="AE209" i="15" s="1"/>
  <c r="AG212" i="15"/>
  <c r="AA85" i="15"/>
  <c r="Y83" i="15"/>
  <c r="AG202" i="15"/>
  <c r="AE197" i="15"/>
  <c r="AE196" i="15" s="1"/>
  <c r="AE195" i="15" s="1"/>
  <c r="AA61" i="16"/>
  <c r="Y57" i="16"/>
  <c r="AH14" i="14"/>
  <c r="BO14" i="14"/>
  <c r="BI9" i="14" s="1"/>
  <c r="AA37" i="15"/>
  <c r="Y35" i="15"/>
  <c r="AD180" i="15"/>
  <c r="AB176" i="15"/>
  <c r="AB170" i="15" s="1"/>
  <c r="AG23" i="15"/>
  <c r="AE20" i="15"/>
  <c r="AE16" i="15" s="1"/>
  <c r="BP17" i="14"/>
  <c r="BP15" i="14" s="1"/>
  <c r="BJ10" i="14" s="1"/>
  <c r="AD145" i="14"/>
  <c r="AD110" i="14" s="1"/>
  <c r="AR26" i="14" s="1"/>
  <c r="BO12" i="14"/>
  <c r="BO9" i="14" s="1"/>
  <c r="AA63" i="14"/>
  <c r="AA27" i="15"/>
  <c r="Y20" i="15"/>
  <c r="Y16" i="15" s="1"/>
  <c r="AG70" i="15"/>
  <c r="AE69" i="15"/>
  <c r="AE65" i="15" s="1"/>
  <c r="AG52" i="15"/>
  <c r="AE49" i="15"/>
  <c r="AE43" i="15" s="1"/>
  <c r="BP24" i="14"/>
  <c r="BP22" i="14" s="1"/>
  <c r="BJ11" i="14" s="1"/>
  <c r="AR27" i="14"/>
  <c r="AJ14" i="14"/>
  <c r="BI8" i="13"/>
  <c r="BI7" i="13" s="1"/>
  <c r="BI16" i="13" s="1"/>
  <c r="BO8" i="13"/>
  <c r="BO7" i="13" s="1"/>
  <c r="BO32" i="13" s="1"/>
  <c r="AD167" i="15"/>
  <c r="AB157" i="15"/>
  <c r="AB155" i="15" s="1"/>
  <c r="AB145" i="15" s="1"/>
  <c r="AB110" i="15" s="1"/>
  <c r="AA71" i="15"/>
  <c r="Y69" i="15"/>
  <c r="Y65" i="15" s="1"/>
  <c r="BJ10" i="13"/>
  <c r="BJ7" i="13" s="1"/>
  <c r="BJ16" i="13" s="1"/>
  <c r="BP7" i="13"/>
  <c r="BP32" i="13" s="1"/>
  <c r="AD39" i="15"/>
  <c r="AB35" i="15"/>
  <c r="AB14" i="15" s="1"/>
  <c r="AB12" i="15" s="1"/>
  <c r="AG14" i="14"/>
  <c r="AS23" i="14"/>
  <c r="AR16" i="14"/>
  <c r="AW16" i="14" s="1"/>
  <c r="AY16" i="14" s="1"/>
  <c r="AS16" i="14"/>
  <c r="AX16" i="14" s="1"/>
  <c r="AW29" i="15"/>
  <c r="AY29" i="15" s="1"/>
  <c r="BP27" i="15"/>
  <c r="BP25" i="15" s="1"/>
  <c r="BJ12" i="15" s="1"/>
  <c r="N128" i="14"/>
  <c r="AD216" i="16"/>
  <c r="AB211" i="16"/>
  <c r="AB210" i="16" s="1"/>
  <c r="AB209" i="16" s="1"/>
  <c r="AB193" i="16" s="1"/>
  <c r="AG80" i="16"/>
  <c r="AG124" i="16"/>
  <c r="AG161" i="16"/>
  <c r="BP12" i="15"/>
  <c r="BP9" i="15" s="1"/>
  <c r="AR23" i="15"/>
  <c r="AD75" i="16"/>
  <c r="AB69" i="16"/>
  <c r="AB65" i="16" s="1"/>
  <c r="N21" i="14"/>
  <c r="N19" i="14" s="1"/>
  <c r="N17" i="14" s="1"/>
  <c r="N8" i="14" s="1"/>
  <c r="G24" i="15"/>
  <c r="M24" i="14"/>
  <c r="M22" i="14" s="1"/>
  <c r="AW7" i="14"/>
  <c r="AY7" i="14" s="1"/>
  <c r="I22" i="14"/>
  <c r="AR7" i="14" s="1"/>
  <c r="AU7" i="14" s="1"/>
  <c r="L21" i="14"/>
  <c r="L19" i="14" s="1"/>
  <c r="L17" i="14" s="1"/>
  <c r="L27" i="15"/>
  <c r="L128" i="15" s="1"/>
  <c r="J25" i="15"/>
  <c r="J21" i="15" s="1"/>
  <c r="J19" i="15" s="1"/>
  <c r="J17" i="15" s="1"/>
  <c r="G27" i="15"/>
  <c r="M27" i="14"/>
  <c r="M74" i="16"/>
  <c r="M72" i="16" s="1"/>
  <c r="I72" i="16"/>
  <c r="L63" i="16"/>
  <c r="N65" i="16"/>
  <c r="N63" i="16" s="1"/>
  <c r="L57" i="16"/>
  <c r="N59" i="16"/>
  <c r="N57" i="16" s="1"/>
  <c r="L81" i="16"/>
  <c r="N83" i="16"/>
  <c r="N81" i="16" s="1"/>
  <c r="I60" i="16"/>
  <c r="M62" i="16"/>
  <c r="M60" i="16" s="1"/>
  <c r="L45" i="16"/>
  <c r="N47" i="16"/>
  <c r="N45" i="16" s="1"/>
  <c r="L69" i="16"/>
  <c r="N71" i="16"/>
  <c r="N69" i="16" s="1"/>
  <c r="N26" i="16"/>
  <c r="I45" i="16"/>
  <c r="BD15" i="16"/>
  <c r="D15" i="20" s="1"/>
  <c r="M46" i="16"/>
  <c r="M45" i="16" s="1"/>
  <c r="I51" i="16"/>
  <c r="M52" i="16"/>
  <c r="M51" i="16" s="1"/>
  <c r="L75" i="16"/>
  <c r="N77" i="16"/>
  <c r="N75" i="16" s="1"/>
  <c r="AX9" i="16"/>
  <c r="AZ9" i="16" s="1"/>
  <c r="L32" i="16"/>
  <c r="L28" i="16" s="1"/>
  <c r="N33" i="16"/>
  <c r="N32" i="16" s="1"/>
  <c r="N28" i="16" s="1"/>
  <c r="I35" i="16"/>
  <c r="M37" i="16"/>
  <c r="M35" i="16" s="1"/>
  <c r="I66" i="16"/>
  <c r="M68" i="16"/>
  <c r="M66" i="16" s="1"/>
  <c r="L51" i="16"/>
  <c r="N53" i="16"/>
  <c r="N51" i="16" s="1"/>
  <c r="M10" i="14"/>
  <c r="L13" i="15"/>
  <c r="J10" i="15"/>
  <c r="J24" i="16"/>
  <c r="L22" i="15"/>
  <c r="AX7" i="15"/>
  <c r="AZ7" i="15" s="1"/>
  <c r="N24" i="15"/>
  <c r="AB88" i="16"/>
  <c r="AI88" i="15"/>
  <c r="AI83" i="15" s="1"/>
  <c r="AI63" i="15" s="1"/>
  <c r="AD83" i="15"/>
  <c r="BP31" i="15"/>
  <c r="BJ15" i="15" s="1"/>
  <c r="Y237" i="16"/>
  <c r="AA235" i="15"/>
  <c r="AH237" i="15"/>
  <c r="AH235" i="15" s="1"/>
  <c r="AH234" i="15" s="1"/>
  <c r="BO17" i="15"/>
  <c r="BO15" i="15" s="1"/>
  <c r="AA145" i="15"/>
  <c r="AA110" i="15" s="1"/>
  <c r="AD50" i="16"/>
  <c r="AB49" i="16"/>
  <c r="AB43" i="16" s="1"/>
  <c r="I56" i="16"/>
  <c r="Y157" i="16"/>
  <c r="Y155" i="16" s="1"/>
  <c r="Y145" i="16" s="1"/>
  <c r="AA159" i="16"/>
  <c r="AH110" i="15"/>
  <c r="AD107" i="16"/>
  <c r="AB105" i="16"/>
  <c r="AB104" i="16" s="1"/>
  <c r="AR25" i="15"/>
  <c r="BP13" i="15"/>
  <c r="AA133" i="16"/>
  <c r="Y123" i="16"/>
  <c r="Y112" i="16" s="1"/>
  <c r="J126" i="14"/>
  <c r="J130" i="14" s="1"/>
  <c r="T15" i="16"/>
  <c r="BD7" i="14"/>
  <c r="I12" i="15"/>
  <c r="G10" i="15"/>
  <c r="AG181" i="16"/>
  <c r="AJ188" i="16"/>
  <c r="AG198" i="16"/>
  <c r="AJ236" i="16"/>
  <c r="AG227" i="16"/>
  <c r="AJ228" i="16"/>
  <c r="AJ227" i="16" s="1"/>
  <c r="AG222" i="16"/>
  <c r="AJ223" i="16"/>
  <c r="AJ222" i="16" s="1"/>
  <c r="AX13" i="15"/>
  <c r="AS13" i="15"/>
  <c r="AV13" i="15" s="1"/>
  <c r="AG206" i="16"/>
  <c r="AE205" i="16"/>
  <c r="AE220" i="16"/>
  <c r="AG186" i="16"/>
  <c r="G23" i="16"/>
  <c r="M23" i="15"/>
  <c r="BD12" i="15"/>
  <c r="AG90" i="14" l="1"/>
  <c r="AS25" i="14" s="1"/>
  <c r="AV25" i="14" s="1"/>
  <c r="Y14" i="15"/>
  <c r="AU24" i="14"/>
  <c r="AU16" i="14"/>
  <c r="AV16" i="14"/>
  <c r="AI8" i="14"/>
  <c r="AI260" i="14" s="1"/>
  <c r="AI264" i="14" s="1"/>
  <c r="AX23" i="14"/>
  <c r="AZ23" i="14" s="1"/>
  <c r="AV23" i="14"/>
  <c r="AW26" i="14"/>
  <c r="AY26" i="14" s="1"/>
  <c r="AU26" i="14"/>
  <c r="AX28" i="14"/>
  <c r="AZ28" i="14" s="1"/>
  <c r="AV28" i="14"/>
  <c r="AX25" i="14"/>
  <c r="AZ25" i="14" s="1"/>
  <c r="AW27" i="14"/>
  <c r="AY27" i="14" s="1"/>
  <c r="AU27" i="14"/>
  <c r="AX25" i="13"/>
  <c r="AZ25" i="13" s="1"/>
  <c r="AV25" i="13"/>
  <c r="AX26" i="14"/>
  <c r="AZ26" i="14" s="1"/>
  <c r="AV26" i="14"/>
  <c r="AE193" i="15"/>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AA262" i="16"/>
  <c r="Z262" i="16"/>
  <c r="Z260" i="16" s="1"/>
  <c r="Z264" i="16" s="1"/>
  <c r="AB262" i="16"/>
  <c r="Y262" i="16"/>
  <c r="W262" i="16"/>
  <c r="W260" i="16" s="1"/>
  <c r="W264" i="16" s="1"/>
  <c r="V262" i="16"/>
  <c r="V260" i="16" s="1"/>
  <c r="V264" i="16" s="1"/>
  <c r="X262" i="16"/>
  <c r="X260" i="16" s="1"/>
  <c r="X264" i="16" s="1"/>
  <c r="AC262" i="16"/>
  <c r="AC260" i="16" s="1"/>
  <c r="AC264" i="16" s="1"/>
  <c r="AA234" i="15"/>
  <c r="AD10" i="14"/>
  <c r="AF258" i="14"/>
  <c r="AE243" i="15"/>
  <c r="AE232" i="15" s="1"/>
  <c r="AG244" i="15"/>
  <c r="G55" i="16"/>
  <c r="M55" i="15"/>
  <c r="M54" i="15" s="1"/>
  <c r="BD17" i="15"/>
  <c r="I54" i="15"/>
  <c r="AI262" i="15"/>
  <c r="AA244" i="15"/>
  <c r="Y243" i="15"/>
  <c r="Y232" i="15" s="1"/>
  <c r="AD244" i="15"/>
  <c r="AB243" i="15"/>
  <c r="AB232" i="15" s="1"/>
  <c r="AI258" i="14"/>
  <c r="AR28" i="16"/>
  <c r="AU28" i="16" s="1"/>
  <c r="AG232" i="14"/>
  <c r="AS30" i="14" s="1"/>
  <c r="AB10" i="15"/>
  <c r="Y1" i="13"/>
  <c r="BJ9" i="14"/>
  <c r="BJ7" i="14" s="1"/>
  <c r="BJ16" i="14" s="1"/>
  <c r="BP8" i="14"/>
  <c r="BP7" i="14" s="1"/>
  <c r="BP32" i="14" s="1"/>
  <c r="AA12" i="14"/>
  <c r="BJ14" i="16"/>
  <c r="E54" i="20"/>
  <c r="AH12" i="14"/>
  <c r="AR31" i="13"/>
  <c r="AR32" i="13" s="1"/>
  <c r="AV35" i="13" s="1"/>
  <c r="Y63" i="15"/>
  <c r="AJ212" i="15"/>
  <c r="AJ211" i="15" s="1"/>
  <c r="AJ210" i="15" s="1"/>
  <c r="AJ209" i="15" s="1"/>
  <c r="AG211" i="15"/>
  <c r="AG210" i="15" s="1"/>
  <c r="AG209" i="15" s="1"/>
  <c r="AE212" i="16"/>
  <c r="AE202" i="16"/>
  <c r="AJ202" i="15"/>
  <c r="AJ197" i="15" s="1"/>
  <c r="AJ196" i="15" s="1"/>
  <c r="AJ195" i="15" s="1"/>
  <c r="AJ193" i="15" s="1"/>
  <c r="AG197" i="15"/>
  <c r="AG196" i="15" s="1"/>
  <c r="AG195" i="15" s="1"/>
  <c r="AA57" i="16"/>
  <c r="BO13" i="16" s="1"/>
  <c r="D37" i="20" s="1"/>
  <c r="AH61" i="16"/>
  <c r="AH57" i="16" s="1"/>
  <c r="BO31" i="16"/>
  <c r="Y110" i="16"/>
  <c r="Y85" i="16"/>
  <c r="AA83" i="15"/>
  <c r="AH85" i="15"/>
  <c r="AH83" i="15" s="1"/>
  <c r="AJ241" i="15"/>
  <c r="AJ262" i="15" s="1"/>
  <c r="AE241" i="16"/>
  <c r="AE262" i="16" s="1"/>
  <c r="AG235" i="15"/>
  <c r="J8" i="15"/>
  <c r="Y37" i="16"/>
  <c r="AA35" i="15"/>
  <c r="AH37" i="15"/>
  <c r="AH35" i="15" s="1"/>
  <c r="AB39" i="16"/>
  <c r="AI39" i="15"/>
  <c r="AI35" i="15" s="1"/>
  <c r="AI14" i="15" s="1"/>
  <c r="AI12" i="15" s="1"/>
  <c r="AD35" i="15"/>
  <c r="AD14" i="15" s="1"/>
  <c r="Y71" i="16"/>
  <c r="AA69" i="15"/>
  <c r="AA65" i="15" s="1"/>
  <c r="AH71" i="15"/>
  <c r="AH69" i="15" s="1"/>
  <c r="AH65" i="15" s="1"/>
  <c r="AJ70" i="15"/>
  <c r="AJ69" i="15" s="1"/>
  <c r="AJ65" i="15" s="1"/>
  <c r="AE70" i="16"/>
  <c r="AG69" i="15"/>
  <c r="AG65" i="15" s="1"/>
  <c r="BO8" i="14"/>
  <c r="BO7" i="14" s="1"/>
  <c r="BO32" i="14" s="1"/>
  <c r="BI8" i="14"/>
  <c r="BI7" i="14" s="1"/>
  <c r="BI16" i="14" s="1"/>
  <c r="AB167" i="16"/>
  <c r="AI167" i="15"/>
  <c r="AI157" i="15" s="1"/>
  <c r="AI155" i="15" s="1"/>
  <c r="AI145" i="15" s="1"/>
  <c r="AI110" i="15" s="1"/>
  <c r="BP19" i="15"/>
  <c r="AD157" i="15"/>
  <c r="AD155" i="15" s="1"/>
  <c r="AE52" i="16"/>
  <c r="AJ52" i="15"/>
  <c r="AJ49" i="15" s="1"/>
  <c r="AJ43" i="15" s="1"/>
  <c r="AG49" i="15"/>
  <c r="AG43" i="15" s="1"/>
  <c r="Y27" i="16"/>
  <c r="AA20" i="15"/>
  <c r="AA16" i="15" s="1"/>
  <c r="AH27" i="15"/>
  <c r="AH20" i="15" s="1"/>
  <c r="AH16" i="15" s="1"/>
  <c r="AE14" i="15"/>
  <c r="AJ23" i="15"/>
  <c r="AJ20" i="15" s="1"/>
  <c r="AJ16" i="15" s="1"/>
  <c r="AE23" i="16"/>
  <c r="AG20" i="15"/>
  <c r="AG16" i="15" s="1"/>
  <c r="AB180" i="16"/>
  <c r="AD176" i="15"/>
  <c r="AD170" i="15" s="1"/>
  <c r="AI180" i="15"/>
  <c r="AI176" i="15" s="1"/>
  <c r="AI170" i="15" s="1"/>
  <c r="AJ124" i="16"/>
  <c r="AJ80" i="16"/>
  <c r="AW25" i="15"/>
  <c r="AY25" i="15" s="1"/>
  <c r="AU25" i="15"/>
  <c r="AS14" i="14"/>
  <c r="AJ161" i="16"/>
  <c r="AX14" i="16"/>
  <c r="AZ14" i="16" s="1"/>
  <c r="AD69" i="16"/>
  <c r="AD65" i="16" s="1"/>
  <c r="AI75" i="16"/>
  <c r="AI69" i="16" s="1"/>
  <c r="AI65" i="16" s="1"/>
  <c r="AW23" i="15"/>
  <c r="AY23" i="15" s="1"/>
  <c r="AU23" i="15"/>
  <c r="AI216" i="16"/>
  <c r="AI211" i="16" s="1"/>
  <c r="AI210" i="16" s="1"/>
  <c r="AI209" i="16" s="1"/>
  <c r="AI193" i="16" s="1"/>
  <c r="AD211" i="16"/>
  <c r="AD210" i="16" s="1"/>
  <c r="AD209" i="16" s="1"/>
  <c r="AR29" i="16" s="1"/>
  <c r="I24" i="15"/>
  <c r="G22" i="15"/>
  <c r="L8" i="14"/>
  <c r="L126" i="14" s="1"/>
  <c r="L130" i="14" s="1"/>
  <c r="J27" i="16"/>
  <c r="J128" i="16" s="1"/>
  <c r="N27" i="15"/>
  <c r="N25" i="15" s="1"/>
  <c r="L25" i="15"/>
  <c r="AS8" i="15" s="1"/>
  <c r="AV8" i="15" s="1"/>
  <c r="AX8" i="15"/>
  <c r="AZ8" i="15" s="1"/>
  <c r="I27" i="15"/>
  <c r="AS9" i="16"/>
  <c r="AV9" i="16" s="1"/>
  <c r="AS7" i="15"/>
  <c r="AV7" i="15" s="1"/>
  <c r="L10" i="15"/>
  <c r="N13" i="15"/>
  <c r="N10" i="15" s="1"/>
  <c r="J13" i="16"/>
  <c r="N22" i="15"/>
  <c r="L24" i="16"/>
  <c r="J22" i="16"/>
  <c r="AD88" i="16"/>
  <c r="AD262" i="16" s="1"/>
  <c r="AB83" i="16"/>
  <c r="AB63" i="16" s="1"/>
  <c r="AD63" i="15"/>
  <c r="AA237" i="16"/>
  <c r="Y235" i="16"/>
  <c r="Y234" i="16" s="1"/>
  <c r="BJ8" i="15"/>
  <c r="AD105" i="16"/>
  <c r="AD104" i="16" s="1"/>
  <c r="AI107" i="16"/>
  <c r="AI105" i="16" s="1"/>
  <c r="AI104" i="16" s="1"/>
  <c r="AD49" i="16"/>
  <c r="AD43" i="16" s="1"/>
  <c r="AI50" i="16"/>
  <c r="AI49" i="16" s="1"/>
  <c r="AI43" i="16" s="1"/>
  <c r="M56" i="16"/>
  <c r="BI10" i="15"/>
  <c r="AA123" i="16"/>
  <c r="AA112" i="16" s="1"/>
  <c r="AH133" i="16"/>
  <c r="AH123" i="16" s="1"/>
  <c r="AH112" i="16" s="1"/>
  <c r="AA157" i="16"/>
  <c r="AA155" i="16" s="1"/>
  <c r="AH159" i="16"/>
  <c r="AH157" i="16" s="1"/>
  <c r="AH155" i="16" s="1"/>
  <c r="AH145" i="16" s="1"/>
  <c r="AJ220" i="16"/>
  <c r="AG220" i="16"/>
  <c r="G12" i="16"/>
  <c r="I10" i="15"/>
  <c r="M12" i="15"/>
  <c r="AZ16" i="14"/>
  <c r="AX17" i="14"/>
  <c r="AW17" i="14"/>
  <c r="I23" i="16"/>
  <c r="AG205" i="16"/>
  <c r="AJ206" i="16"/>
  <c r="AJ205" i="16" s="1"/>
  <c r="AJ186" i="16"/>
  <c r="AZ13" i="15"/>
  <c r="AJ198" i="16"/>
  <c r="AJ181" i="16"/>
  <c r="Y12" i="15" l="1"/>
  <c r="Y10" i="15" s="1"/>
  <c r="Y8" i="15" s="1"/>
  <c r="Y260" i="15" s="1"/>
  <c r="Y264" i="15" s="1"/>
  <c r="AG63" i="14"/>
  <c r="AG12" i="14" s="1"/>
  <c r="AG10" i="14" s="1"/>
  <c r="AG8" i="14" s="1"/>
  <c r="AG260" i="14" s="1"/>
  <c r="AG264" i="14" s="1"/>
  <c r="AX30" i="14"/>
  <c r="AZ30" i="14" s="1"/>
  <c r="AV30" i="14"/>
  <c r="AW30" i="14"/>
  <c r="AY30" i="14" s="1"/>
  <c r="AU30" i="14"/>
  <c r="AW28" i="16"/>
  <c r="AY28" i="16" s="1"/>
  <c r="AX24" i="15"/>
  <c r="AZ24" i="15" s="1"/>
  <c r="AV24" i="15"/>
  <c r="AJ8" i="14"/>
  <c r="AJ260" i="14" s="1"/>
  <c r="AJ264" i="14" s="1"/>
  <c r="AJ258" i="14"/>
  <c r="AD8" i="14"/>
  <c r="AD260" i="14" s="1"/>
  <c r="AD264" i="14" s="1"/>
  <c r="AB8" i="15"/>
  <c r="AB260" i="15" s="1"/>
  <c r="AB264" i="15" s="1"/>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D193" i="16"/>
  <c r="AE94" i="16"/>
  <c r="AJ94" i="15"/>
  <c r="AJ91" i="15" s="1"/>
  <c r="AG91" i="15"/>
  <c r="AE99" i="16"/>
  <c r="AJ99" i="15"/>
  <c r="AJ96" i="15" s="1"/>
  <c r="AG96" i="15"/>
  <c r="AJ126" i="15"/>
  <c r="AJ123" i="15" s="1"/>
  <c r="AJ112" i="15" s="1"/>
  <c r="AJ110" i="15" s="1"/>
  <c r="AE126" i="16"/>
  <c r="AG123" i="15"/>
  <c r="AG112" i="15" s="1"/>
  <c r="AG110" i="15" s="1"/>
  <c r="AS26" i="15" s="1"/>
  <c r="AG87" i="16"/>
  <c r="AE83" i="16"/>
  <c r="AG106" i="16"/>
  <c r="AE105" i="16"/>
  <c r="AE104" i="16" s="1"/>
  <c r="AG193" i="15"/>
  <c r="AS28" i="15"/>
  <c r="AS29" i="15"/>
  <c r="AX29" i="15" s="1"/>
  <c r="AZ29" i="15" s="1"/>
  <c r="AJ244" i="15"/>
  <c r="AJ243" i="15" s="1"/>
  <c r="AE244" i="16"/>
  <c r="AG243" i="15"/>
  <c r="Y244" i="16"/>
  <c r="AA243" i="15"/>
  <c r="AA232" i="15" s="1"/>
  <c r="BO29" i="15" s="1"/>
  <c r="BI13" i="15" s="1"/>
  <c r="AH244" i="15"/>
  <c r="AH243" i="15" s="1"/>
  <c r="AH232" i="15" s="1"/>
  <c r="AH262" i="16"/>
  <c r="AG234" i="15"/>
  <c r="AI244" i="15"/>
  <c r="AI243" i="15" s="1"/>
  <c r="AI232" i="15" s="1"/>
  <c r="AB244" i="16"/>
  <c r="AD243" i="15"/>
  <c r="AD232" i="15" s="1"/>
  <c r="I55" i="16"/>
  <c r="G54" i="16"/>
  <c r="AB258" i="15"/>
  <c r="AD258" i="14"/>
  <c r="AH10" i="14"/>
  <c r="AH8" i="14" s="1"/>
  <c r="AI10" i="15"/>
  <c r="AA10" i="14"/>
  <c r="AA8" i="14" s="1"/>
  <c r="BO14" i="15"/>
  <c r="BI9" i="15" s="1"/>
  <c r="AH14" i="15"/>
  <c r="AH63" i="15"/>
  <c r="AJ14" i="15"/>
  <c r="AA63" i="15"/>
  <c r="AR24" i="15"/>
  <c r="AW24" i="15" s="1"/>
  <c r="AY24" i="15" s="1"/>
  <c r="AD12" i="15"/>
  <c r="BP14" i="15"/>
  <c r="BJ9" i="15" s="1"/>
  <c r="AG241" i="16"/>
  <c r="AG262" i="16" s="1"/>
  <c r="AE235" i="16"/>
  <c r="AE234" i="16" s="1"/>
  <c r="AA85" i="16"/>
  <c r="Y83" i="16"/>
  <c r="AJ235" i="15"/>
  <c r="AJ234" i="15" s="1"/>
  <c r="AG212" i="16"/>
  <c r="AE211" i="16"/>
  <c r="AE210" i="16" s="1"/>
  <c r="AE209" i="16" s="1"/>
  <c r="BI15" i="16"/>
  <c r="D55" i="20"/>
  <c r="AG202" i="16"/>
  <c r="AE197" i="16"/>
  <c r="AE196" i="16" s="1"/>
  <c r="AE195" i="16" s="1"/>
  <c r="AE193" i="16" s="1"/>
  <c r="AA37" i="16"/>
  <c r="Y35" i="16"/>
  <c r="AG14" i="15"/>
  <c r="AS23" i="15"/>
  <c r="BO12" i="15"/>
  <c r="BO9" i="15" s="1"/>
  <c r="AA14" i="15"/>
  <c r="AG52" i="16"/>
  <c r="AE49" i="16"/>
  <c r="AE43" i="16" s="1"/>
  <c r="AD167" i="16"/>
  <c r="AB157" i="16"/>
  <c r="AB155" i="16" s="1"/>
  <c r="AB145" i="16" s="1"/>
  <c r="AB110" i="16" s="1"/>
  <c r="AG23" i="16"/>
  <c r="AE20" i="16"/>
  <c r="AE16" i="16" s="1"/>
  <c r="AA27" i="16"/>
  <c r="Y20" i="16"/>
  <c r="Y16" i="16" s="1"/>
  <c r="AD145" i="15"/>
  <c r="AD110" i="15" s="1"/>
  <c r="AR26" i="15" s="1"/>
  <c r="BP17" i="15"/>
  <c r="BP15" i="15" s="1"/>
  <c r="BJ10" i="15" s="1"/>
  <c r="BP24" i="15"/>
  <c r="BP22" i="15" s="1"/>
  <c r="BJ11" i="15" s="1"/>
  <c r="AR27" i="15"/>
  <c r="AD39" i="16"/>
  <c r="AB35" i="16"/>
  <c r="AB14" i="16" s="1"/>
  <c r="AB12" i="16" s="1"/>
  <c r="AD180" i="16"/>
  <c r="AB176" i="16"/>
  <c r="AB170" i="16" s="1"/>
  <c r="AG70" i="16"/>
  <c r="AE69" i="16"/>
  <c r="AE65" i="16" s="1"/>
  <c r="AA71" i="16"/>
  <c r="Y69" i="16"/>
  <c r="Y65" i="16" s="1"/>
  <c r="AR16" i="15"/>
  <c r="AW16" i="15" s="1"/>
  <c r="AY16" i="15" s="1"/>
  <c r="AS16" i="15"/>
  <c r="AX16" i="15" s="1"/>
  <c r="BP27" i="16"/>
  <c r="AW29" i="16"/>
  <c r="AY29" i="16" s="1"/>
  <c r="AR23" i="16"/>
  <c r="BP12" i="16"/>
  <c r="AV14" i="14"/>
  <c r="AS17" i="14"/>
  <c r="N128" i="15"/>
  <c r="G24" i="16"/>
  <c r="M24" i="15"/>
  <c r="M22" i="15" s="1"/>
  <c r="I22" i="15"/>
  <c r="AR7" i="15" s="1"/>
  <c r="AU7" i="15" s="1"/>
  <c r="AW7" i="15"/>
  <c r="AY7" i="15" s="1"/>
  <c r="N21" i="15"/>
  <c r="N19" i="15" s="1"/>
  <c r="N17" i="15" s="1"/>
  <c r="N8" i="15" s="1"/>
  <c r="L21" i="15"/>
  <c r="L19" i="15" s="1"/>
  <c r="L17" i="15" s="1"/>
  <c r="L8" i="15" s="1"/>
  <c r="L27" i="16"/>
  <c r="L128" i="16" s="1"/>
  <c r="J25" i="16"/>
  <c r="J21" i="16" s="1"/>
  <c r="J19" i="16" s="1"/>
  <c r="J17" i="16" s="1"/>
  <c r="G27" i="16"/>
  <c r="M27" i="15"/>
  <c r="M10" i="15"/>
  <c r="N24" i="16"/>
  <c r="L22" i="16"/>
  <c r="AX7" i="16"/>
  <c r="AZ7" i="16" s="1"/>
  <c r="L13" i="16"/>
  <c r="J10" i="16"/>
  <c r="AI88" i="16"/>
  <c r="AI262" i="16" s="1"/>
  <c r="AD83" i="16"/>
  <c r="AD63" i="16" s="1"/>
  <c r="BP31" i="16"/>
  <c r="AA235" i="16"/>
  <c r="AH237" i="16"/>
  <c r="AH235" i="16" s="1"/>
  <c r="AH234" i="16" s="1"/>
  <c r="AH110" i="16"/>
  <c r="BO17" i="16"/>
  <c r="AA145" i="16"/>
  <c r="AA110" i="16" s="1"/>
  <c r="BP13" i="16"/>
  <c r="AR25" i="16"/>
  <c r="J126" i="15"/>
  <c r="J130" i="15" s="1"/>
  <c r="BD7" i="15"/>
  <c r="G10" i="16"/>
  <c r="I12" i="16"/>
  <c r="M23" i="16"/>
  <c r="BD12" i="16"/>
  <c r="AX13" i="16"/>
  <c r="AS13" i="16"/>
  <c r="AV13" i="16" s="1"/>
  <c r="AG258" i="14" l="1"/>
  <c r="AS31" i="14" s="1"/>
  <c r="AS32" i="14" s="1"/>
  <c r="AU24" i="15"/>
  <c r="AU16" i="15"/>
  <c r="AV16" i="15"/>
  <c r="Y1" i="14"/>
  <c r="BP8" i="15"/>
  <c r="BP7" i="15" s="1"/>
  <c r="AI8" i="15"/>
  <c r="AI260" i="15" s="1"/>
  <c r="AI264" i="15" s="1"/>
  <c r="AW27" i="15"/>
  <c r="AY27" i="15" s="1"/>
  <c r="AU27" i="15"/>
  <c r="AX26" i="15"/>
  <c r="AZ26" i="15" s="1"/>
  <c r="AV26" i="15"/>
  <c r="AG90" i="15"/>
  <c r="AG63" i="15" s="1"/>
  <c r="AG12" i="15" s="1"/>
  <c r="AG10" i="15" s="1"/>
  <c r="AX23" i="15"/>
  <c r="AZ23" i="15" s="1"/>
  <c r="AV23" i="15"/>
  <c r="AX28" i="15"/>
  <c r="AZ28" i="15" s="1"/>
  <c r="AV28" i="15"/>
  <c r="AW26" i="15"/>
  <c r="AY26" i="15" s="1"/>
  <c r="AU26" i="15"/>
  <c r="AG232" i="15"/>
  <c r="AS30" i="15" s="1"/>
  <c r="AJ90" i="15"/>
  <c r="AJ63" i="15" s="1"/>
  <c r="AJ12" i="15" s="1"/>
  <c r="AJ10" i="15" s="1"/>
  <c r="AE8" i="15"/>
  <c r="AE260" i="15" s="1"/>
  <c r="AE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E90" i="16" s="1"/>
  <c r="AE63" i="16" s="1"/>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I54" i="16"/>
  <c r="AF258" i="15"/>
  <c r="AE243" i="16"/>
  <c r="AE232" i="16" s="1"/>
  <c r="AG244" i="16"/>
  <c r="BP29" i="15"/>
  <c r="BJ13" i="15" s="1"/>
  <c r="AR30" i="15"/>
  <c r="U1" i="14"/>
  <c r="AA260" i="14"/>
  <c r="AA264" i="14" s="1"/>
  <c r="AB243" i="16"/>
  <c r="AB232" i="16" s="1"/>
  <c r="AD244" i="16"/>
  <c r="AA244" i="16"/>
  <c r="Y243" i="16"/>
  <c r="Y232" i="16" s="1"/>
  <c r="AA12" i="15"/>
  <c r="AA10" i="15" s="1"/>
  <c r="AA8" i="15" s="1"/>
  <c r="AI258" i="15"/>
  <c r="AB10" i="16"/>
  <c r="AD10" i="15"/>
  <c r="AD8" i="15" s="1"/>
  <c r="AH12" i="15"/>
  <c r="AH10" i="15" s="1"/>
  <c r="AH8" i="15" s="1"/>
  <c r="BJ7" i="15"/>
  <c r="Y63" i="16"/>
  <c r="Y14" i="16"/>
  <c r="AJ212" i="16"/>
  <c r="AJ211" i="16" s="1"/>
  <c r="AJ210" i="16" s="1"/>
  <c r="AJ209" i="16" s="1"/>
  <c r="AG211" i="16"/>
  <c r="AG210" i="16" s="1"/>
  <c r="AG209" i="16" s="1"/>
  <c r="AA83" i="16"/>
  <c r="AH85" i="16"/>
  <c r="AH83" i="16" s="1"/>
  <c r="AJ202" i="16"/>
  <c r="AJ197" i="16" s="1"/>
  <c r="AJ196" i="16" s="1"/>
  <c r="AJ195" i="16" s="1"/>
  <c r="AG197" i="16"/>
  <c r="AG196" i="16" s="1"/>
  <c r="AG195" i="16" s="1"/>
  <c r="AJ241" i="16"/>
  <c r="AJ262" i="16" s="1"/>
  <c r="AG235" i="16"/>
  <c r="AE14" i="16"/>
  <c r="AA35" i="16"/>
  <c r="AH37" i="16"/>
  <c r="AH35" i="16" s="1"/>
  <c r="AJ70" i="16"/>
  <c r="AJ69" i="16" s="1"/>
  <c r="AJ65" i="16" s="1"/>
  <c r="AG69" i="16"/>
  <c r="AG65" i="16" s="1"/>
  <c r="AI39" i="16"/>
  <c r="AI35" i="16" s="1"/>
  <c r="AI14" i="16" s="1"/>
  <c r="AD35" i="16"/>
  <c r="AD14" i="16" s="1"/>
  <c r="AD12" i="16" s="1"/>
  <c r="BP33" i="14"/>
  <c r="AR31" i="14"/>
  <c r="AR32" i="14" s="1"/>
  <c r="AV35" i="14" s="1"/>
  <c r="AD176" i="16"/>
  <c r="AD170" i="16" s="1"/>
  <c r="AI180" i="16"/>
  <c r="AI176" i="16" s="1"/>
  <c r="AI170" i="16" s="1"/>
  <c r="AH27" i="16"/>
  <c r="AH20" i="16" s="1"/>
  <c r="AH16" i="16" s="1"/>
  <c r="AA20" i="16"/>
  <c r="AA16" i="16" s="1"/>
  <c r="BP19" i="16"/>
  <c r="E43" i="20" s="1"/>
  <c r="AD157" i="16"/>
  <c r="AD155" i="16" s="1"/>
  <c r="AI167" i="16"/>
  <c r="AI157" i="16" s="1"/>
  <c r="AI155" i="16" s="1"/>
  <c r="AI145" i="16" s="1"/>
  <c r="AI110" i="16" s="1"/>
  <c r="BI8" i="15"/>
  <c r="BI7" i="15" s="1"/>
  <c r="BI16" i="15" s="1"/>
  <c r="BO8" i="15"/>
  <c r="BO7" i="15" s="1"/>
  <c r="BO32" i="15" s="1"/>
  <c r="AH71" i="16"/>
  <c r="AH69" i="16" s="1"/>
  <c r="AH65" i="16" s="1"/>
  <c r="AA69" i="16"/>
  <c r="AA65" i="16" s="1"/>
  <c r="AC1" i="14"/>
  <c r="AJ23" i="16"/>
  <c r="AJ20" i="16" s="1"/>
  <c r="AJ16" i="16" s="1"/>
  <c r="AG20" i="16"/>
  <c r="AG16" i="16" s="1"/>
  <c r="AJ52" i="16"/>
  <c r="AJ49" i="16" s="1"/>
  <c r="AJ43" i="16" s="1"/>
  <c r="AG49" i="16"/>
  <c r="AG43" i="16" s="1"/>
  <c r="AW25" i="16"/>
  <c r="AY25" i="16" s="1"/>
  <c r="AU25" i="16"/>
  <c r="BP9" i="16"/>
  <c r="BJ8" i="16" s="1"/>
  <c r="E36" i="20"/>
  <c r="E33" i="20" s="1"/>
  <c r="E51" i="20"/>
  <c r="E49" i="20" s="1"/>
  <c r="BP25" i="16"/>
  <c r="BJ12" i="16" s="1"/>
  <c r="AW23" i="16"/>
  <c r="AY23" i="16" s="1"/>
  <c r="AU23" i="16"/>
  <c r="J8" i="16"/>
  <c r="I24" i="16"/>
  <c r="G22" i="16"/>
  <c r="AS14" i="15"/>
  <c r="N27" i="16"/>
  <c r="N25" i="16" s="1"/>
  <c r="AX8" i="16"/>
  <c r="AZ8" i="16" s="1"/>
  <c r="L25" i="16"/>
  <c r="AS8" i="16" s="1"/>
  <c r="AV8" i="16" s="1"/>
  <c r="I27" i="16"/>
  <c r="AS7" i="16"/>
  <c r="AV7" i="16" s="1"/>
  <c r="N22" i="16"/>
  <c r="N13" i="16"/>
  <c r="N10" i="16" s="1"/>
  <c r="L10" i="16"/>
  <c r="BJ15" i="16"/>
  <c r="E55" i="20"/>
  <c r="AI83" i="16"/>
  <c r="AI63" i="16" s="1"/>
  <c r="E37" i="20"/>
  <c r="D41" i="20"/>
  <c r="D39" i="20" s="1"/>
  <c r="BO15" i="16"/>
  <c r="L126" i="15"/>
  <c r="L130" i="15" s="1"/>
  <c r="AZ16" i="15"/>
  <c r="AW17" i="15"/>
  <c r="AX17" i="15"/>
  <c r="I10" i="16"/>
  <c r="M12" i="16"/>
  <c r="AZ13" i="16"/>
  <c r="D12" i="20"/>
  <c r="AJ193" i="16" l="1"/>
  <c r="AS25" i="15"/>
  <c r="AX25" i="15" s="1"/>
  <c r="AZ25" i="15" s="1"/>
  <c r="BP32" i="15"/>
  <c r="AW30" i="15"/>
  <c r="AY30" i="15" s="1"/>
  <c r="AU30" i="15"/>
  <c r="AX30" i="15"/>
  <c r="AZ30" i="15" s="1"/>
  <c r="AV30" i="15"/>
  <c r="AJ258" i="15"/>
  <c r="AG8" i="15"/>
  <c r="AG260" i="15" s="1"/>
  <c r="AG264" i="15" s="1"/>
  <c r="AG258" i="15"/>
  <c r="AS31" i="15" s="1"/>
  <c r="AS32" i="15" s="1"/>
  <c r="AX24" i="16"/>
  <c r="AZ24" i="16" s="1"/>
  <c r="AV24" i="16"/>
  <c r="BJ16" i="15"/>
  <c r="AB8" i="16"/>
  <c r="AB260" i="16" s="1"/>
  <c r="AB264" i="16" s="1"/>
  <c r="AJ8" i="15"/>
  <c r="AJ260" i="15" s="1"/>
  <c r="AJ264" i="15" s="1"/>
  <c r="AE12" i="16"/>
  <c r="AE10" i="16" s="1"/>
  <c r="AE8" i="16" s="1"/>
  <c r="AE260" i="16" s="1"/>
  <c r="AE264" i="16"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8" i="16"/>
  <c r="AG193" i="16"/>
  <c r="AS29" i="16"/>
  <c r="AX29" i="16" s="1"/>
  <c r="AZ29" i="16" s="1"/>
  <c r="AH260" i="15"/>
  <c r="AH264" i="15" s="1"/>
  <c r="AH258" i="15"/>
  <c r="AJ244" i="16"/>
  <c r="AJ243" i="16" s="1"/>
  <c r="AG243" i="16"/>
  <c r="U1" i="15"/>
  <c r="AA260" i="15"/>
  <c r="AA264" i="15" s="1"/>
  <c r="AA243" i="16"/>
  <c r="AA232" i="16" s="1"/>
  <c r="BO29" i="16" s="1"/>
  <c r="AH244" i="16"/>
  <c r="AH243" i="16" s="1"/>
  <c r="AH232" i="16" s="1"/>
  <c r="AG234" i="16"/>
  <c r="AD260" i="15"/>
  <c r="AD264" i="15" s="1"/>
  <c r="AD258" i="15"/>
  <c r="BP33" i="15" s="1"/>
  <c r="AI244" i="16"/>
  <c r="AI243" i="16" s="1"/>
  <c r="AI232" i="16" s="1"/>
  <c r="AD243" i="16"/>
  <c r="AD232" i="16" s="1"/>
  <c r="AB258" i="16"/>
  <c r="E32" i="20"/>
  <c r="AI12" i="16"/>
  <c r="Y12" i="16"/>
  <c r="Y10" i="16" s="1"/>
  <c r="AA63" i="16"/>
  <c r="AH14" i="16"/>
  <c r="AR24" i="16"/>
  <c r="AW24" i="16" s="1"/>
  <c r="AY24" i="16" s="1"/>
  <c r="AH63" i="16"/>
  <c r="BP14" i="16"/>
  <c r="BP8" i="16" s="1"/>
  <c r="N128" i="16"/>
  <c r="AJ235" i="16"/>
  <c r="AJ234" i="16" s="1"/>
  <c r="BO14" i="16"/>
  <c r="D38" i="20" s="1"/>
  <c r="AD145" i="16"/>
  <c r="AD110" i="16" s="1"/>
  <c r="AR26" i="16" s="1"/>
  <c r="BP17" i="16"/>
  <c r="AG14" i="16"/>
  <c r="AS23" i="16"/>
  <c r="BO12" i="16"/>
  <c r="AA14" i="16"/>
  <c r="AJ14" i="16"/>
  <c r="BP24" i="16"/>
  <c r="AR27" i="16"/>
  <c r="Y1" i="15"/>
  <c r="AR16" i="16"/>
  <c r="AW16" i="16" s="1"/>
  <c r="AY16" i="16" s="1"/>
  <c r="AS16" i="16"/>
  <c r="AX16" i="16" s="1"/>
  <c r="AS17" i="15"/>
  <c r="AV14" i="15"/>
  <c r="AU24" i="16"/>
  <c r="M24" i="16"/>
  <c r="M22" i="16" s="1"/>
  <c r="AW7" i="16"/>
  <c r="AY7" i="16" s="1"/>
  <c r="I22" i="16"/>
  <c r="AR7" i="16" s="1"/>
  <c r="AU7" i="16" s="1"/>
  <c r="N21" i="16"/>
  <c r="N19" i="16" s="1"/>
  <c r="N17" i="16" s="1"/>
  <c r="N8" i="16" s="1"/>
  <c r="L21" i="16"/>
  <c r="L19" i="16" s="1"/>
  <c r="M27" i="16"/>
  <c r="F8" i="20"/>
  <c r="M10" i="16"/>
  <c r="BI10" i="16"/>
  <c r="J126" i="16"/>
  <c r="J130" i="16" s="1"/>
  <c r="D8" i="20"/>
  <c r="BD7" i="16"/>
  <c r="BR32" i="16"/>
  <c r="AV25" i="15" l="1"/>
  <c r="E38" i="20"/>
  <c r="E31" i="20" s="1"/>
  <c r="AU16" i="16"/>
  <c r="AV16" i="16"/>
  <c r="AG232" i="16"/>
  <c r="AS30" i="16" s="1"/>
  <c r="AJ232" i="16"/>
  <c r="AX23" i="16"/>
  <c r="AZ23" i="16" s="1"/>
  <c r="AV23" i="16"/>
  <c r="AX26" i="16"/>
  <c r="AZ26" i="16" s="1"/>
  <c r="AV26" i="16"/>
  <c r="AX28" i="16"/>
  <c r="AZ28" i="16" s="1"/>
  <c r="AV28" i="16"/>
  <c r="AW27" i="16"/>
  <c r="AY27" i="16" s="1"/>
  <c r="AU27" i="16"/>
  <c r="AW26" i="16"/>
  <c r="AY26" i="16" s="1"/>
  <c r="AU26" i="16"/>
  <c r="Y8" i="16"/>
  <c r="Y260" i="16" s="1"/>
  <c r="Y264" i="16" s="1"/>
  <c r="AV27" i="16"/>
  <c r="AX27" i="16"/>
  <c r="AZ27" i="16" s="1"/>
  <c r="AG90" i="16"/>
  <c r="AJ90" i="16"/>
  <c r="AJ63" i="16" s="1"/>
  <c r="AJ12" i="16" s="1"/>
  <c r="AJ10" i="16" s="1"/>
  <c r="BI13" i="16"/>
  <c r="D53" i="20"/>
  <c r="BI9" i="16"/>
  <c r="L17" i="16"/>
  <c r="C10" i="18"/>
  <c r="BP29" i="16"/>
  <c r="AR30" i="16"/>
  <c r="AF258" i="16"/>
  <c r="AI10" i="16"/>
  <c r="AI8" i="16" s="1"/>
  <c r="AD10" i="16"/>
  <c r="AR31" i="15"/>
  <c r="AR32" i="15" s="1"/>
  <c r="AV35" i="15" s="1"/>
  <c r="AA12" i="16"/>
  <c r="BJ9" i="16"/>
  <c r="AH12" i="16"/>
  <c r="AH10" i="16" s="1"/>
  <c r="AH8" i="16" s="1"/>
  <c r="AC1" i="15"/>
  <c r="BP15" i="16"/>
  <c r="E41" i="20"/>
  <c r="E39" i="20" s="1"/>
  <c r="BP22" i="16"/>
  <c r="BJ11" i="16" s="1"/>
  <c r="E48" i="20"/>
  <c r="E46" i="20" s="1"/>
  <c r="BO9" i="16"/>
  <c r="D36" i="20"/>
  <c r="D33" i="20" s="1"/>
  <c r="D32" i="20" s="1"/>
  <c r="D31" i="20" s="1"/>
  <c r="D30" i="20" s="1"/>
  <c r="R8" i="20"/>
  <c r="R26" i="20" s="1"/>
  <c r="R57" i="20" s="1"/>
  <c r="F26" i="20"/>
  <c r="F57" i="20" s="1"/>
  <c r="G8" i="20" s="1"/>
  <c r="G26" i="20" s="1"/>
  <c r="G57" i="20" s="1"/>
  <c r="H8" i="20" s="1"/>
  <c r="H26" i="20" s="1"/>
  <c r="H57" i="20" s="1"/>
  <c r="I8" i="20" s="1"/>
  <c r="I26" i="20" s="1"/>
  <c r="I57" i="20" s="1"/>
  <c r="J8" i="20" s="1"/>
  <c r="J26" i="20" s="1"/>
  <c r="J57" i="20" s="1"/>
  <c r="K8" i="20" s="1"/>
  <c r="K26" i="20" s="1"/>
  <c r="K57" i="20" s="1"/>
  <c r="L8" i="20" s="1"/>
  <c r="L26" i="20" s="1"/>
  <c r="L57" i="20" s="1"/>
  <c r="M8" i="20" s="1"/>
  <c r="M26" i="20" s="1"/>
  <c r="M57" i="20" s="1"/>
  <c r="N8" i="20" s="1"/>
  <c r="N26" i="20" s="1"/>
  <c r="N57" i="20" s="1"/>
  <c r="O8" i="20" s="1"/>
  <c r="O26" i="20" s="1"/>
  <c r="O57" i="20" s="1"/>
  <c r="P8" i="20" s="1"/>
  <c r="P26" i="20" s="1"/>
  <c r="P57" i="20" s="1"/>
  <c r="Q8" i="20" s="1"/>
  <c r="Q26" i="20" s="1"/>
  <c r="Q57" i="20" s="1"/>
  <c r="AS14" i="16"/>
  <c r="AV14" i="16" s="1"/>
  <c r="AZ16" i="16"/>
  <c r="AW17" i="16"/>
  <c r="AX17" i="16"/>
  <c r="D56" i="20" l="1"/>
  <c r="AX30" i="16"/>
  <c r="AZ30" i="16" s="1"/>
  <c r="AV30" i="16"/>
  <c r="AW30" i="16"/>
  <c r="AY30" i="16" s="1"/>
  <c r="AU30" i="16"/>
  <c r="AJ8" i="16"/>
  <c r="AJ260" i="16" s="1"/>
  <c r="AJ264" i="16" s="1"/>
  <c r="AD8" i="16"/>
  <c r="AD260" i="16" s="1"/>
  <c r="AD264" i="16" s="1"/>
  <c r="AJ258" i="16"/>
  <c r="R10" i="18"/>
  <c r="W10" i="18"/>
  <c r="AS25" i="16"/>
  <c r="AG63" i="16"/>
  <c r="AG12" i="16" s="1"/>
  <c r="AG10" i="16" s="1"/>
  <c r="AG8" i="16" s="1"/>
  <c r="H10" i="18"/>
  <c r="M10" i="18"/>
  <c r="AH260" i="16"/>
  <c r="AH264" i="16" s="1"/>
  <c r="AH258" i="16"/>
  <c r="E53" i="20"/>
  <c r="BJ13" i="16"/>
  <c r="L8" i="16"/>
  <c r="L126" i="16" s="1"/>
  <c r="L130" i="16" s="1"/>
  <c r="AD258" i="16"/>
  <c r="BP33" i="16" s="1"/>
  <c r="AI260" i="16"/>
  <c r="AI264" i="16" s="1"/>
  <c r="AI258" i="16"/>
  <c r="AA10" i="16"/>
  <c r="AA8" i="16" s="1"/>
  <c r="AS17" i="16"/>
  <c r="E30" i="20"/>
  <c r="BO8" i="16"/>
  <c r="BO7" i="16" s="1"/>
  <c r="BO32" i="16" s="1"/>
  <c r="BI8" i="16"/>
  <c r="BI7" i="16" s="1"/>
  <c r="BI16" i="16" s="1"/>
  <c r="BJ10" i="16"/>
  <c r="BJ7" i="16" s="1"/>
  <c r="BP7" i="16"/>
  <c r="BP32" i="16" s="1"/>
  <c r="C9" i="19" l="1"/>
  <c r="BJ16" i="16"/>
  <c r="AX25" i="16"/>
  <c r="AZ25" i="16" s="1"/>
  <c r="AV25" i="16"/>
  <c r="E56" i="20"/>
  <c r="E57" i="20" s="1"/>
  <c r="AG258" i="16"/>
  <c r="AS31" i="16" s="1"/>
  <c r="AS32" i="16" s="1"/>
  <c r="U1" i="16"/>
  <c r="AA260" i="16"/>
  <c r="AA264" i="16" s="1"/>
  <c r="Y1" i="16"/>
  <c r="E9" i="19"/>
  <c r="AR31" i="16"/>
  <c r="AR32" i="16" s="1"/>
  <c r="AV35" i="16" s="1"/>
  <c r="K19" i="5"/>
  <c r="K17" i="5" s="1"/>
  <c r="AC258" i="5" s="1"/>
  <c r="J9" i="19" l="1"/>
  <c r="AG260" i="16"/>
  <c r="AG264" i="16" s="1"/>
  <c r="F9" i="19"/>
  <c r="AC1" i="16"/>
  <c r="H9" i="19"/>
  <c r="K8" i="5"/>
  <c r="K126" i="5" s="1"/>
  <c r="K130" i="5" s="1"/>
  <c r="L19" i="5"/>
  <c r="AS14" i="5" l="1"/>
  <c r="L17" i="5"/>
  <c r="AD258" i="5" s="1"/>
  <c r="AS17" i="5" l="1"/>
  <c r="AX17" i="5" s="1"/>
  <c r="AV14" i="5"/>
  <c r="L8" i="5"/>
  <c r="L126" i="5" s="1"/>
  <c r="L130" i="5"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BH17" i="10"/>
  <c r="C126" i="15"/>
  <c r="C130" i="15" s="1"/>
  <c r="BH17" i="11"/>
  <c r="C126" i="7"/>
  <c r="C130" i="7" s="1"/>
  <c r="BH17" i="12"/>
  <c r="BH17" i="13"/>
  <c r="AR32" i="5" l="1"/>
  <c r="AU32" i="5" s="1"/>
  <c r="AU31" i="5"/>
  <c r="BN33" i="8"/>
  <c r="BH19" i="8" s="1"/>
  <c r="BH20" i="8" s="1"/>
  <c r="BN33" i="11"/>
  <c r="BH19" i="11" s="1"/>
  <c r="BH20" i="11"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BQ33" i="16"/>
  <c r="N126" i="16"/>
  <c r="N130" i="16" s="1"/>
  <c r="AV15" i="7"/>
  <c r="AY15" i="7"/>
  <c r="AZ15" i="7"/>
  <c r="AZ17" i="7" s="1"/>
  <c r="AQ17" i="7"/>
  <c r="AU15" i="7"/>
  <c r="BQ33" i="8"/>
  <c r="N126" i="8"/>
  <c r="N130" i="8" s="1"/>
  <c r="BH17" i="9"/>
  <c r="F126" i="14"/>
  <c r="F130" i="14" s="1"/>
  <c r="C24" i="20"/>
  <c r="C26" i="20" s="1"/>
  <c r="N126" i="6"/>
  <c r="N130" i="6" s="1"/>
  <c r="BQ33" i="6"/>
  <c r="AQ17" i="11"/>
  <c r="AZ15" i="11"/>
  <c r="AZ17" i="11" s="1"/>
  <c r="AU15" i="11"/>
  <c r="AV15" i="11"/>
  <c r="AY15" i="11"/>
  <c r="N126" i="7"/>
  <c r="N130" i="7" s="1"/>
  <c r="BQ33" i="7"/>
  <c r="BQ33" i="12"/>
  <c r="N126" i="12"/>
  <c r="N130" i="12" s="1"/>
  <c r="F126" i="16"/>
  <c r="F130" i="16" s="1"/>
  <c r="F126" i="15"/>
  <c r="F130" i="15" s="1"/>
  <c r="A1" i="7"/>
  <c r="A1" i="11"/>
  <c r="AU35" i="5" l="1"/>
  <c r="AV35" i="5"/>
  <c r="AQ31" i="11"/>
  <c r="AV31" i="11" s="1"/>
  <c r="C57" i="20"/>
  <c r="A1" i="8"/>
  <c r="F126" i="6"/>
  <c r="F130" i="6" s="1"/>
  <c r="F126" i="10"/>
  <c r="F130" i="10" s="1"/>
  <c r="BN33" i="15"/>
  <c r="BH19" i="15" s="1"/>
  <c r="BH20" i="15" s="1"/>
  <c r="AQ31" i="15"/>
  <c r="AU15" i="15"/>
  <c r="AV15" i="15"/>
  <c r="AY15" i="15"/>
  <c r="AQ17" i="15"/>
  <c r="AZ15" i="15"/>
  <c r="AZ17" i="15" s="1"/>
  <c r="A1" i="15"/>
  <c r="BN33" i="16"/>
  <c r="BH19" i="16" s="1"/>
  <c r="BH20" i="16" s="1"/>
  <c r="AQ31" i="16"/>
  <c r="AQ31" i="12"/>
  <c r="BN33" i="12"/>
  <c r="BH19" i="12" s="1"/>
  <c r="BH20" i="12" s="1"/>
  <c r="AQ31" i="13"/>
  <c r="BN33" i="13"/>
  <c r="BH19" i="13" s="1"/>
  <c r="BH20" i="13" s="1"/>
  <c r="A1" i="6"/>
  <c r="F126" i="9"/>
  <c r="F130" i="9" s="1"/>
  <c r="AV17" i="7"/>
  <c r="A1" i="12"/>
  <c r="AV15" i="16"/>
  <c r="AU15" i="16"/>
  <c r="AQ17" i="16"/>
  <c r="AY15" i="16"/>
  <c r="AZ15" i="16"/>
  <c r="AZ17" i="16" s="1"/>
  <c r="AU15" i="6"/>
  <c r="AV15" i="6"/>
  <c r="AQ17" i="6"/>
  <c r="AZ15" i="6"/>
  <c r="AZ17" i="6" s="1"/>
  <c r="AY15" i="6"/>
  <c r="AV17" i="11"/>
  <c r="A1" i="14"/>
  <c r="N126" i="9"/>
  <c r="N130" i="9" s="1"/>
  <c r="BQ33" i="9"/>
  <c r="AU15" i="12"/>
  <c r="AQ17" i="12"/>
  <c r="AY15" i="12"/>
  <c r="AZ15" i="12"/>
  <c r="AZ17" i="12" s="1"/>
  <c r="AV15" i="12"/>
  <c r="AQ17" i="13"/>
  <c r="AY15" i="13"/>
  <c r="AV15" i="13"/>
  <c r="AZ15" i="13"/>
  <c r="AZ17" i="13" s="1"/>
  <c r="AU15" i="13"/>
  <c r="BN33" i="14"/>
  <c r="BH19" i="14" s="1"/>
  <c r="BH20" i="14" s="1"/>
  <c r="AQ31" i="14"/>
  <c r="AQ33" i="8"/>
  <c r="AU32" i="8"/>
  <c r="AV32" i="8"/>
  <c r="A9" i="19"/>
  <c r="A1" i="16"/>
  <c r="AQ31" i="6"/>
  <c r="BN33" i="6"/>
  <c r="AU15" i="14"/>
  <c r="AQ17" i="14"/>
  <c r="AY15" i="14"/>
  <c r="AV15" i="14"/>
  <c r="AZ15" i="14"/>
  <c r="AZ17" i="14" s="1"/>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V17" i="6"/>
  <c r="A1" i="9"/>
  <c r="AV32" i="7"/>
  <c r="AQ33" i="7"/>
  <c r="AU32" i="7"/>
  <c r="AV17" i="13"/>
  <c r="AX31" i="16"/>
  <c r="AX32" i="16" s="1"/>
  <c r="AQ32" i="16"/>
  <c r="AV31" i="16"/>
  <c r="AU31" i="16"/>
  <c r="AW31" i="16"/>
  <c r="AV17" i="16"/>
  <c r="AU31" i="13"/>
  <c r="AW31" i="13"/>
  <c r="AQ32" i="13"/>
  <c r="AX31" i="13"/>
  <c r="AX32" i="13" s="1"/>
  <c r="AV31" i="13"/>
  <c r="AZ31" i="7"/>
  <c r="AZ32" i="7" s="1"/>
  <c r="AV17" i="14"/>
  <c r="AV17" i="12"/>
  <c r="AQ31" i="9"/>
  <c r="BN33" i="9"/>
  <c r="BH19" i="9" s="1"/>
  <c r="BH20" i="9" s="1"/>
  <c r="AV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Z15" i="9"/>
  <c r="AZ17" i="9" s="1"/>
  <c r="AQ32" i="12"/>
  <c r="AW31" i="12"/>
  <c r="AU31" i="12"/>
  <c r="AV31" i="12"/>
  <c r="AX31" i="12"/>
  <c r="AX32" i="12" s="1"/>
  <c r="AV32" i="11" l="1"/>
  <c r="AY31" i="11"/>
  <c r="AY32" i="11" s="1"/>
  <c r="AQ33" i="11"/>
  <c r="AZ31" i="11"/>
  <c r="AZ32" i="11" s="1"/>
  <c r="AZ31" i="16"/>
  <c r="AZ32" i="16" s="1"/>
  <c r="AZ31" i="15"/>
  <c r="AZ32" i="15" s="1"/>
  <c r="AV17" i="10"/>
  <c r="AQ32" i="10"/>
  <c r="AU31" i="10"/>
  <c r="AX31" i="10"/>
  <c r="AV31" i="10"/>
  <c r="AW31" i="10"/>
  <c r="AZ31" i="12"/>
  <c r="AZ32" i="12" s="1"/>
  <c r="AZ31" i="6"/>
  <c r="AZ32" i="6" s="1"/>
  <c r="AZ31" i="13"/>
  <c r="AZ32" i="13" s="1"/>
  <c r="AW32" i="13"/>
  <c r="AY31" i="13"/>
  <c r="AY32" i="13" s="1"/>
  <c r="AY31" i="16"/>
  <c r="AY32" i="16" s="1"/>
  <c r="AW32" i="16"/>
  <c r="AW32" i="12"/>
  <c r="AY31" i="12"/>
  <c r="AY32" i="12" s="1"/>
  <c r="AV17" i="9"/>
  <c r="AZ31" i="14"/>
  <c r="AZ32" i="14" s="1"/>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Z35" i="6"/>
  <c r="AZ35" i="15"/>
  <c r="AZ31" i="9"/>
  <c r="AZ32" i="9" s="1"/>
  <c r="AZ35" i="12"/>
  <c r="AZ35" i="14"/>
  <c r="AU32" i="9"/>
  <c r="AQ33" i="9"/>
  <c r="AV32" i="9"/>
  <c r="AZ35" i="13"/>
  <c r="AZ35" i="16"/>
  <c r="AZ35" i="9" l="1"/>
  <c r="AZ35" i="10"/>
  <c r="I30" i="6" l="1"/>
  <c r="BD13" i="6" s="1"/>
  <c r="BD10" i="6" s="1"/>
  <c r="BD9" i="6" s="1"/>
  <c r="BD8" i="6" s="1"/>
  <c r="G30" i="7" l="1"/>
  <c r="M30" i="6"/>
  <c r="I30" i="7" l="1"/>
  <c r="BD13" i="7" l="1"/>
  <c r="M30" i="7"/>
  <c r="G30" i="8"/>
  <c r="I30" i="8" l="1"/>
  <c r="BD10" i="7"/>
  <c r="BD9" i="7" s="1"/>
  <c r="BD8" i="7" s="1"/>
  <c r="BD13" i="8" l="1"/>
  <c r="BD10" i="8" s="1"/>
  <c r="BD9" i="8" s="1"/>
  <c r="BD8" i="8" s="1"/>
  <c r="M30" i="8"/>
  <c r="G30" i="9"/>
  <c r="I30" i="9" l="1"/>
  <c r="BD13" i="9" l="1"/>
  <c r="BD10" i="9" s="1"/>
  <c r="BD9" i="9" s="1"/>
  <c r="BD8" i="9" s="1"/>
  <c r="G30" i="10"/>
  <c r="M30" i="9"/>
  <c r="I30" i="10" l="1"/>
  <c r="BD13" i="10" l="1"/>
  <c r="M30" i="10"/>
  <c r="G30" i="11"/>
  <c r="I30" i="11" l="1"/>
  <c r="BD13" i="11" l="1"/>
  <c r="M30" i="11"/>
  <c r="G30" i="12"/>
  <c r="I30" i="12" l="1"/>
  <c r="BD13" i="12" l="1"/>
  <c r="G30" i="13"/>
  <c r="M30" i="12"/>
  <c r="I30" i="13" l="1"/>
  <c r="BD13" i="13" l="1"/>
  <c r="M30" i="13"/>
  <c r="G30" i="14"/>
  <c r="I30" i="14" l="1"/>
  <c r="BD13" i="14" l="1"/>
  <c r="M30" i="14"/>
  <c r="G30" i="15"/>
  <c r="I30" i="15" l="1"/>
  <c r="G30" i="16" l="1"/>
  <c r="M30" i="15"/>
  <c r="BD13" i="15"/>
  <c r="I30" i="16" l="1"/>
  <c r="BD13" i="16" l="1"/>
  <c r="M30" i="16"/>
  <c r="D13" i="20" l="1"/>
  <c r="H128" i="6"/>
  <c r="BD21" i="6"/>
  <c r="BD22" i="6" s="1"/>
  <c r="I31" i="6"/>
  <c r="H29" i="6"/>
  <c r="H28" i="6"/>
  <c r="H21" i="6" s="1"/>
  <c r="H19" i="6" s="1"/>
  <c r="H17" i="6" s="1"/>
  <c r="Z258" i="6" l="1"/>
  <c r="H8" i="6"/>
  <c r="I128" i="6"/>
  <c r="AW9" i="6"/>
  <c r="AY9" i="6" s="1"/>
  <c r="AY17" i="6" s="1"/>
  <c r="AY35" i="6" s="1"/>
  <c r="G31" i="7"/>
  <c r="I29" i="6"/>
  <c r="I28" i="6" s="1"/>
  <c r="M31" i="6"/>
  <c r="I21" i="6" l="1"/>
  <c r="I19" i="6" s="1"/>
  <c r="AR9" i="6"/>
  <c r="H126" i="6"/>
  <c r="H130" i="6" s="1"/>
  <c r="M29" i="6"/>
  <c r="M28" i="6" s="1"/>
  <c r="M21" i="6" s="1"/>
  <c r="M19" i="6" s="1"/>
  <c r="M17" i="6" s="1"/>
  <c r="M128" i="6"/>
  <c r="G29" i="7"/>
  <c r="G28" i="7" s="1"/>
  <c r="G21" i="7" s="1"/>
  <c r="G19" i="7" s="1"/>
  <c r="G17" i="7" s="1"/>
  <c r="G128" i="7"/>
  <c r="I31" i="7"/>
  <c r="AU9" i="6" l="1"/>
  <c r="Y258" i="7"/>
  <c r="G8" i="7"/>
  <c r="I29" i="7"/>
  <c r="I28" i="7" s="1"/>
  <c r="AW9" i="7"/>
  <c r="AY9" i="7" s="1"/>
  <c r="AY17" i="7" s="1"/>
  <c r="AY35" i="7" s="1"/>
  <c r="I128" i="7"/>
  <c r="BD21" i="7"/>
  <c r="M31" i="7"/>
  <c r="G31" i="8"/>
  <c r="M8" i="6"/>
  <c r="M126" i="6" s="1"/>
  <c r="M130" i="6" s="1"/>
  <c r="AE258" i="6"/>
  <c r="I17" i="6"/>
  <c r="AR14" i="6"/>
  <c r="AU14" i="6" s="1"/>
  <c r="G29" i="8" l="1"/>
  <c r="G28" i="8" s="1"/>
  <c r="G21" i="8" s="1"/>
  <c r="G19" i="8" s="1"/>
  <c r="G17" i="8" s="1"/>
  <c r="G128" i="8"/>
  <c r="I31" i="8"/>
  <c r="AA258" i="6"/>
  <c r="BO33" i="6" s="1"/>
  <c r="I8" i="6"/>
  <c r="M128" i="7"/>
  <c r="M29" i="7"/>
  <c r="M28" i="7" s="1"/>
  <c r="M21" i="7" s="1"/>
  <c r="M19" i="7" s="1"/>
  <c r="M17" i="7" s="1"/>
  <c r="AR9" i="7"/>
  <c r="I21" i="7"/>
  <c r="I19" i="7" s="1"/>
  <c r="AR17" i="6"/>
  <c r="BD22" i="7"/>
  <c r="G126" i="7"/>
  <c r="G130" i="7" s="1"/>
  <c r="AU35" i="6" l="1"/>
  <c r="AU17" i="6"/>
  <c r="AE258" i="7"/>
  <c r="M8" i="7"/>
  <c r="M126" i="7" s="1"/>
  <c r="I128" i="8"/>
  <c r="AW9" i="8"/>
  <c r="AY9" i="8" s="1"/>
  <c r="AY17" i="8" s="1"/>
  <c r="AY35" i="8" s="1"/>
  <c r="M31" i="8"/>
  <c r="G31" i="9"/>
  <c r="BD21" i="8"/>
  <c r="BD22" i="8" s="1"/>
  <c r="I29" i="8"/>
  <c r="I28" i="8" s="1"/>
  <c r="M130" i="7"/>
  <c r="Y258" i="8"/>
  <c r="G8" i="8"/>
  <c r="G126" i="8" s="1"/>
  <c r="G130" i="8" s="1"/>
  <c r="AR14" i="7"/>
  <c r="AU14" i="7" s="1"/>
  <c r="I17" i="7"/>
  <c r="I126" i="6"/>
  <c r="I130" i="6" s="1"/>
  <c r="J5" i="6"/>
  <c r="K1" i="6"/>
  <c r="B5" i="6"/>
  <c r="AU9" i="7"/>
  <c r="AR17" i="7"/>
  <c r="I8" i="7" l="1"/>
  <c r="AA258" i="7"/>
  <c r="BO33" i="7" s="1"/>
  <c r="G128" i="9"/>
  <c r="G29" i="9"/>
  <c r="G28" i="9" s="1"/>
  <c r="G21" i="9" s="1"/>
  <c r="G19" i="9" s="1"/>
  <c r="G17" i="9" s="1"/>
  <c r="I31" i="9"/>
  <c r="M128" i="8"/>
  <c r="M29" i="8"/>
  <c r="M28" i="8" s="1"/>
  <c r="M21" i="8" s="1"/>
  <c r="M19" i="8" s="1"/>
  <c r="M17" i="8" s="1"/>
  <c r="AU35" i="7"/>
  <c r="AU17" i="7"/>
  <c r="I21" i="8"/>
  <c r="I19" i="8" s="1"/>
  <c r="AR9" i="8"/>
  <c r="Y258" i="9" l="1"/>
  <c r="G8" i="9"/>
  <c r="G126" i="9" s="1"/>
  <c r="G130" i="9" s="1"/>
  <c r="AU9" i="8"/>
  <c r="AE258" i="8"/>
  <c r="M8" i="8"/>
  <c r="M126" i="8" s="1"/>
  <c r="M130" i="8" s="1"/>
  <c r="I17" i="8"/>
  <c r="AR14" i="8"/>
  <c r="AU14" i="8" s="1"/>
  <c r="I128" i="9"/>
  <c r="BD21" i="9"/>
  <c r="BD22" i="9" s="1"/>
  <c r="M31" i="9"/>
  <c r="I29" i="9"/>
  <c r="I28" i="9" s="1"/>
  <c r="G31" i="10"/>
  <c r="AW9" i="9"/>
  <c r="AY9" i="9" s="1"/>
  <c r="AY17" i="9" s="1"/>
  <c r="AY35" i="9" s="1"/>
  <c r="I126" i="7"/>
  <c r="I130" i="7" s="1"/>
  <c r="J5" i="7"/>
  <c r="K1" i="7"/>
  <c r="B5" i="7"/>
  <c r="G128" i="10" l="1"/>
  <c r="G29" i="10"/>
  <c r="G28" i="10" s="1"/>
  <c r="G21" i="10" s="1"/>
  <c r="G19" i="10" s="1"/>
  <c r="G17" i="10" s="1"/>
  <c r="I31" i="10"/>
  <c r="AR9" i="9"/>
  <c r="I21" i="9"/>
  <c r="I19" i="9" s="1"/>
  <c r="M29" i="9"/>
  <c r="M28" i="9" s="1"/>
  <c r="M21" i="9" s="1"/>
  <c r="M19" i="9" s="1"/>
  <c r="M17" i="9" s="1"/>
  <c r="M128" i="9"/>
  <c r="AA258" i="8"/>
  <c r="BO33" i="8" s="1"/>
  <c r="I8" i="8"/>
  <c r="AR17" i="8"/>
  <c r="BD21" i="10" l="1"/>
  <c r="I128" i="10"/>
  <c r="I29" i="10"/>
  <c r="I28" i="10" s="1"/>
  <c r="M31" i="10"/>
  <c r="G31" i="11"/>
  <c r="AW9" i="10"/>
  <c r="AY9" i="10" s="1"/>
  <c r="AU17" i="8"/>
  <c r="AU35" i="8"/>
  <c r="AE258" i="9"/>
  <c r="M8" i="9"/>
  <c r="M126" i="9" s="1"/>
  <c r="M130" i="9" s="1"/>
  <c r="G8" i="10"/>
  <c r="G126" i="10" s="1"/>
  <c r="G130" i="10" s="1"/>
  <c r="Y258" i="10"/>
  <c r="J5" i="8"/>
  <c r="I126" i="8"/>
  <c r="I130" i="8" s="1"/>
  <c r="K1" i="8"/>
  <c r="AR14" i="9"/>
  <c r="AU14" i="9" s="1"/>
  <c r="I17" i="9"/>
  <c r="AU9" i="9"/>
  <c r="I8" i="9" l="1"/>
  <c r="AA258" i="9"/>
  <c r="BO33" i="9" s="1"/>
  <c r="AR17" i="9"/>
  <c r="AR9" i="10"/>
  <c r="G128" i="11"/>
  <c r="I31" i="11"/>
  <c r="G29" i="11"/>
  <c r="G28" i="11" s="1"/>
  <c r="M29" i="10"/>
  <c r="M28" i="10" s="1"/>
  <c r="M128" i="10"/>
  <c r="AU9" i="10" l="1"/>
  <c r="AU35" i="9"/>
  <c r="AU17" i="9"/>
  <c r="I128" i="11"/>
  <c r="M31" i="11"/>
  <c r="BD21" i="11"/>
  <c r="I29" i="11"/>
  <c r="I28" i="11" s="1"/>
  <c r="G31" i="12"/>
  <c r="AW9" i="11"/>
  <c r="AY9" i="11" s="1"/>
  <c r="J5" i="9"/>
  <c r="K1" i="9"/>
  <c r="I126" i="9"/>
  <c r="I130" i="9" s="1"/>
  <c r="M29" i="11" l="1"/>
  <c r="M28" i="11" s="1"/>
  <c r="M128" i="11"/>
  <c r="I31" i="12"/>
  <c r="G29" i="12"/>
  <c r="G28" i="12" s="1"/>
  <c r="G128" i="12"/>
  <c r="AR9" i="11"/>
  <c r="I128" i="12" l="1"/>
  <c r="AW9" i="12"/>
  <c r="AY9" i="12" s="1"/>
  <c r="BD21" i="12"/>
  <c r="M31" i="12"/>
  <c r="G31" i="13"/>
  <c r="I29" i="12"/>
  <c r="I28" i="12" s="1"/>
  <c r="AU9" i="11"/>
  <c r="AR9" i="12" l="1"/>
  <c r="G29" i="13"/>
  <c r="G28" i="13" s="1"/>
  <c r="G128" i="13"/>
  <c r="I31" i="13"/>
  <c r="M128" i="12"/>
  <c r="M29" i="12"/>
  <c r="M28" i="12" s="1"/>
  <c r="AU9" i="12" l="1"/>
  <c r="BD21" i="13"/>
  <c r="I29" i="13"/>
  <c r="I28" i="13" s="1"/>
  <c r="AW9" i="13"/>
  <c r="AY9" i="13" s="1"/>
  <c r="I128" i="13"/>
  <c r="G31" i="14"/>
  <c r="M31" i="13"/>
  <c r="G128" i="14" l="1"/>
  <c r="G29" i="14"/>
  <c r="G28" i="14" s="1"/>
  <c r="I31" i="14"/>
  <c r="M29" i="13"/>
  <c r="M28" i="13" s="1"/>
  <c r="M128" i="13"/>
  <c r="AR9" i="13"/>
  <c r="AU9" i="13" l="1"/>
  <c r="I128" i="14"/>
  <c r="AW9" i="14"/>
  <c r="AY9" i="14" s="1"/>
  <c r="BD21" i="14"/>
  <c r="G31" i="15"/>
  <c r="M31" i="14"/>
  <c r="I29" i="14"/>
  <c r="I28" i="14" s="1"/>
  <c r="AR9" i="14" l="1"/>
  <c r="M128" i="14"/>
  <c r="M29" i="14"/>
  <c r="M28" i="14" s="1"/>
  <c r="G128" i="15"/>
  <c r="G29" i="15"/>
  <c r="G28" i="15" s="1"/>
  <c r="I31" i="15"/>
  <c r="AU9" i="14" l="1"/>
  <c r="BD21" i="15"/>
  <c r="AW9" i="15"/>
  <c r="AY9" i="15" s="1"/>
  <c r="I29" i="15"/>
  <c r="I28" i="15" s="1"/>
  <c r="G31" i="16"/>
  <c r="I128" i="15"/>
  <c r="M31" i="15"/>
  <c r="I31" i="16" l="1"/>
  <c r="G29" i="16"/>
  <c r="G28" i="16" s="1"/>
  <c r="G128" i="16"/>
  <c r="AR9" i="15"/>
  <c r="M29" i="15"/>
  <c r="M28" i="15" s="1"/>
  <c r="M128" i="15"/>
  <c r="AW9" i="16" l="1"/>
  <c r="AY9" i="16" s="1"/>
  <c r="M31" i="16"/>
  <c r="I29" i="16"/>
  <c r="I28" i="16" s="1"/>
  <c r="BD21" i="16"/>
  <c r="I128" i="16"/>
  <c r="AU9" i="15"/>
  <c r="M29" i="16" l="1"/>
  <c r="M28" i="16" s="1"/>
  <c r="M128" i="16"/>
  <c r="D25" i="20"/>
  <c r="AR9" i="16"/>
  <c r="AU9" i="16" l="1"/>
  <c r="H104" i="10" l="1"/>
  <c r="I105" i="10"/>
  <c r="M105" i="10" s="1"/>
  <c r="M104" i="10" s="1"/>
  <c r="G105" i="11" l="1"/>
  <c r="G104" i="11"/>
  <c r="I105" i="11"/>
  <c r="BD19" i="10"/>
  <c r="I104" i="10"/>
  <c r="M105" i="11" l="1"/>
  <c r="M104" i="11" s="1"/>
  <c r="I104" i="11"/>
  <c r="G105" i="12"/>
  <c r="BD19" i="11"/>
  <c r="AW14" i="10"/>
  <c r="AY14" i="10" s="1"/>
  <c r="AW14" i="11" l="1"/>
  <c r="AY14" i="11" s="1"/>
  <c r="G104" i="12"/>
  <c r="H25" i="10" l="1"/>
  <c r="H21" i="10" s="1"/>
  <c r="H19" i="10" s="1"/>
  <c r="H17" i="10" s="1"/>
  <c r="I26" i="10"/>
  <c r="Z258" i="10" l="1"/>
  <c r="H8" i="10"/>
  <c r="H126" i="10" s="1"/>
  <c r="H130" i="10" s="1"/>
  <c r="AW8" i="10"/>
  <c r="AY8" i="10" s="1"/>
  <c r="AY17" i="10" s="1"/>
  <c r="AY35" i="10" s="1"/>
  <c r="G26" i="11"/>
  <c r="I25" i="10"/>
  <c r="M26" i="10"/>
  <c r="M25" i="10" s="1"/>
  <c r="M21" i="10" s="1"/>
  <c r="M19" i="10" s="1"/>
  <c r="M17" i="10" s="1"/>
  <c r="BD11" i="10"/>
  <c r="I26" i="11" l="1"/>
  <c r="G25" i="11"/>
  <c r="G21" i="11" s="1"/>
  <c r="G19" i="11" s="1"/>
  <c r="G17" i="11" s="1"/>
  <c r="BD10" i="10"/>
  <c r="BD9" i="10" s="1"/>
  <c r="BD8" i="10" s="1"/>
  <c r="BD22" i="10" s="1"/>
  <c r="AE258" i="10"/>
  <c r="M8" i="10"/>
  <c r="M126" i="10" s="1"/>
  <c r="M130" i="10" s="1"/>
  <c r="AR8" i="10"/>
  <c r="I21" i="10"/>
  <c r="I19" i="10" s="1"/>
  <c r="G8" i="11" l="1"/>
  <c r="G126" i="11" s="1"/>
  <c r="G130" i="11" s="1"/>
  <c r="Y258" i="11"/>
  <c r="AR14" i="10"/>
  <c r="AU14" i="10" s="1"/>
  <c r="I17" i="10"/>
  <c r="AU8" i="10"/>
  <c r="M26" i="11"/>
  <c r="M25" i="11" s="1"/>
  <c r="M21" i="11" s="1"/>
  <c r="M19" i="11" s="1"/>
  <c r="M17" i="11" s="1"/>
  <c r="AW8" i="11"/>
  <c r="AY8" i="11" s="1"/>
  <c r="AY17" i="11" s="1"/>
  <c r="AY35" i="11" s="1"/>
  <c r="G26" i="12"/>
  <c r="BD11" i="11"/>
  <c r="BD10" i="11" s="1"/>
  <c r="BD9" i="11" s="1"/>
  <c r="BD8" i="11" s="1"/>
  <c r="BD22" i="11" s="1"/>
  <c r="I25" i="11"/>
  <c r="AR17" i="10" l="1"/>
  <c r="AU35" i="10" s="1"/>
  <c r="AA258" i="10"/>
  <c r="BO33" i="10" s="1"/>
  <c r="I8" i="10"/>
  <c r="I21" i="11"/>
  <c r="I19" i="11" s="1"/>
  <c r="AR8" i="11"/>
  <c r="AE258" i="11"/>
  <c r="M8" i="11"/>
  <c r="M126" i="11" s="1"/>
  <c r="M130" i="11" s="1"/>
  <c r="G25" i="12"/>
  <c r="G21" i="12" s="1"/>
  <c r="G19" i="12" s="1"/>
  <c r="G17" i="12" s="1"/>
  <c r="I26" i="12"/>
  <c r="AU17" i="10" l="1"/>
  <c r="G8" i="12"/>
  <c r="G126" i="12" s="1"/>
  <c r="G130" i="12" s="1"/>
  <c r="Y258" i="12"/>
  <c r="G26" i="13"/>
  <c r="M26" i="12"/>
  <c r="M25" i="12" s="1"/>
  <c r="M21" i="12" s="1"/>
  <c r="M19" i="12" s="1"/>
  <c r="I25" i="12"/>
  <c r="AW8" i="12"/>
  <c r="AY8" i="12" s="1"/>
  <c r="BD11" i="12"/>
  <c r="BD10" i="12" s="1"/>
  <c r="BD9" i="12" s="1"/>
  <c r="AU8" i="11"/>
  <c r="I17" i="11"/>
  <c r="AR14" i="11"/>
  <c r="AU14" i="11" s="1"/>
  <c r="I126" i="10"/>
  <c r="I130" i="10" s="1"/>
  <c r="J5" i="10"/>
  <c r="K1" i="10"/>
  <c r="AR17" i="11" l="1"/>
  <c r="AU35" i="11" s="1"/>
  <c r="AR8" i="12"/>
  <c r="I21" i="12"/>
  <c r="I19" i="12" s="1"/>
  <c r="I26" i="13"/>
  <c r="G25" i="13"/>
  <c r="G21" i="13" s="1"/>
  <c r="G19" i="13" s="1"/>
  <c r="I8" i="11"/>
  <c r="AA258" i="11"/>
  <c r="BO33" i="11" s="1"/>
  <c r="AU17" i="11" l="1"/>
  <c r="J5" i="11"/>
  <c r="K1" i="11"/>
  <c r="I126" i="11"/>
  <c r="I130" i="11" s="1"/>
  <c r="AU8" i="12"/>
  <c r="BD11" i="13"/>
  <c r="AW8" i="13"/>
  <c r="AY8" i="13" s="1"/>
  <c r="G26" i="14"/>
  <c r="I25" i="13"/>
  <c r="M26" i="13"/>
  <c r="M25" i="13" s="1"/>
  <c r="M21" i="13" s="1"/>
  <c r="M19" i="13" s="1"/>
  <c r="AR14" i="12"/>
  <c r="AU14" i="12" s="1"/>
  <c r="AR17" i="12" l="1"/>
  <c r="BD10" i="13"/>
  <c r="BD9" i="13" s="1"/>
  <c r="AU17" i="12"/>
  <c r="AU35" i="12"/>
  <c r="I21" i="13"/>
  <c r="I19" i="13" s="1"/>
  <c r="AR8" i="13"/>
  <c r="G25" i="14"/>
  <c r="G21" i="14" s="1"/>
  <c r="G19" i="14" s="1"/>
  <c r="I26" i="14"/>
  <c r="G26" i="15" l="1"/>
  <c r="AW8" i="14"/>
  <c r="AY8" i="14" s="1"/>
  <c r="I25" i="14"/>
  <c r="M26" i="14"/>
  <c r="M25" i="14" s="1"/>
  <c r="M21" i="14" s="1"/>
  <c r="M19" i="14" s="1"/>
  <c r="BD11" i="14"/>
  <c r="BD10" i="14" s="1"/>
  <c r="BD9" i="14" s="1"/>
  <c r="AR14" i="13"/>
  <c r="AU14" i="13" s="1"/>
  <c r="AU8" i="13"/>
  <c r="AR8" i="14" l="1"/>
  <c r="I21" i="14"/>
  <c r="I19" i="14" s="1"/>
  <c r="AR17" i="13"/>
  <c r="G25" i="15"/>
  <c r="G21" i="15" s="1"/>
  <c r="G19" i="15" s="1"/>
  <c r="I26" i="15"/>
  <c r="AU35" i="13" l="1"/>
  <c r="AU17" i="13"/>
  <c r="AW8" i="15"/>
  <c r="AY8" i="15" s="1"/>
  <c r="G26" i="16"/>
  <c r="I25" i="15"/>
  <c r="M26" i="15"/>
  <c r="M25" i="15" s="1"/>
  <c r="M21" i="15" s="1"/>
  <c r="M19" i="15" s="1"/>
  <c r="BD11" i="15"/>
  <c r="BD10" i="15" s="1"/>
  <c r="BD9" i="15" s="1"/>
  <c r="AR14" i="14"/>
  <c r="AU14" i="14" s="1"/>
  <c r="AU8" i="14"/>
  <c r="G25" i="16" l="1"/>
  <c r="G21" i="16" s="1"/>
  <c r="G19" i="16" s="1"/>
  <c r="I26" i="16"/>
  <c r="AR17" i="14"/>
  <c r="AR8" i="15"/>
  <c r="I21" i="15"/>
  <c r="I19" i="15" s="1"/>
  <c r="AR14" i="15" l="1"/>
  <c r="AU14" i="15" s="1"/>
  <c r="AU35" i="14"/>
  <c r="AU17" i="14"/>
  <c r="AU8" i="15"/>
  <c r="M26" i="16"/>
  <c r="M25" i="16" s="1"/>
  <c r="M21" i="16" s="1"/>
  <c r="M19" i="16" s="1"/>
  <c r="AW8" i="16"/>
  <c r="AY8" i="16" s="1"/>
  <c r="BD11" i="16"/>
  <c r="I25" i="16"/>
  <c r="AR17" i="15" l="1"/>
  <c r="AU35" i="15" s="1"/>
  <c r="BD10" i="16"/>
  <c r="BD9" i="16" s="1"/>
  <c r="D11" i="20"/>
  <c r="D10" i="20" s="1"/>
  <c r="AR8" i="16"/>
  <c r="I21" i="16"/>
  <c r="I19" i="16" s="1"/>
  <c r="AU17" i="15" l="1"/>
  <c r="AU8" i="16"/>
  <c r="AR14" i="16"/>
  <c r="AU14" i="16" s="1"/>
  <c r="B10" i="18"/>
  <c r="AR17" i="16" l="1"/>
  <c r="AU35" i="16" s="1"/>
  <c r="V10" i="18"/>
  <c r="G10" i="18"/>
  <c r="Q10" i="18"/>
  <c r="L10" i="18"/>
  <c r="H104" i="12"/>
  <c r="H17" i="12" s="1"/>
  <c r="I105" i="12"/>
  <c r="BD19" i="12" s="1"/>
  <c r="BD8" i="12" s="1"/>
  <c r="BD22" i="12" s="1"/>
  <c r="AU17" i="16" l="1"/>
  <c r="G105" i="13"/>
  <c r="Z258" i="12"/>
  <c r="H8" i="12"/>
  <c r="H126" i="12" s="1"/>
  <c r="H130" i="12" s="1"/>
  <c r="M105" i="12"/>
  <c r="M104" i="12" s="1"/>
  <c r="M17" i="12" s="1"/>
  <c r="I104" i="12"/>
  <c r="G104" i="13" l="1"/>
  <c r="G17" i="13" s="1"/>
  <c r="I105" i="13"/>
  <c r="AE258" i="12"/>
  <c r="M8" i="12"/>
  <c r="M126" i="12" s="1"/>
  <c r="M130" i="12" s="1"/>
  <c r="AW14" i="12"/>
  <c r="AY14" i="12" s="1"/>
  <c r="AY17" i="12" s="1"/>
  <c r="AY35" i="12" s="1"/>
  <c r="I17" i="12"/>
  <c r="I104" i="13" l="1"/>
  <c r="BD19" i="13"/>
  <c r="BD8" i="13" s="1"/>
  <c r="BD22" i="13" s="1"/>
  <c r="G105" i="14"/>
  <c r="M105" i="13"/>
  <c r="M104" i="13" s="1"/>
  <c r="M17" i="13" s="1"/>
  <c r="Y258" i="13"/>
  <c r="G8" i="13"/>
  <c r="G126" i="13" s="1"/>
  <c r="G130" i="13" s="1"/>
  <c r="I8" i="12"/>
  <c r="AA258" i="12"/>
  <c r="BO33" i="12" s="1"/>
  <c r="M8" i="13" l="1"/>
  <c r="M126" i="13" s="1"/>
  <c r="M130" i="13" s="1"/>
  <c r="AE258" i="13"/>
  <c r="I105" i="14"/>
  <c r="G104" i="14"/>
  <c r="G17" i="14" s="1"/>
  <c r="I17" i="13"/>
  <c r="AW14" i="13"/>
  <c r="AY14" i="13" s="1"/>
  <c r="AY17" i="13" s="1"/>
  <c r="AY35" i="13" s="1"/>
  <c r="I126" i="12"/>
  <c r="I130" i="12" s="1"/>
  <c r="K1" i="12"/>
  <c r="J5" i="12"/>
  <c r="G8" i="14" l="1"/>
  <c r="G126" i="14" s="1"/>
  <c r="G130" i="14" s="1"/>
  <c r="Y258" i="14"/>
  <c r="BD19" i="14"/>
  <c r="BD8" i="14" s="1"/>
  <c r="BD22" i="14" s="1"/>
  <c r="G105" i="15"/>
  <c r="M105" i="14"/>
  <c r="M104" i="14" s="1"/>
  <c r="M17" i="14" s="1"/>
  <c r="I104" i="14"/>
  <c r="I8" i="13"/>
  <c r="AA258" i="13"/>
  <c r="BO33" i="13" s="1"/>
  <c r="G104" i="15" l="1"/>
  <c r="G17" i="15" s="1"/>
  <c r="I105" i="15"/>
  <c r="J5" i="13"/>
  <c r="I126" i="13"/>
  <c r="I130" i="13" s="1"/>
  <c r="K1" i="13"/>
  <c r="AW14" i="14"/>
  <c r="AY14" i="14" s="1"/>
  <c r="AY17" i="14" s="1"/>
  <c r="AY35" i="14" s="1"/>
  <c r="I17" i="14"/>
  <c r="M8" i="14"/>
  <c r="M126" i="14" s="1"/>
  <c r="M130" i="14" s="1"/>
  <c r="AE258" i="14"/>
  <c r="AA258" i="14" l="1"/>
  <c r="BO33" i="14" s="1"/>
  <c r="I8" i="14"/>
  <c r="M105" i="15"/>
  <c r="M104" i="15" s="1"/>
  <c r="M17" i="15" s="1"/>
  <c r="BD19" i="15"/>
  <c r="BD8" i="15" s="1"/>
  <c r="BD22" i="15" s="1"/>
  <c r="I104" i="15"/>
  <c r="G105" i="16"/>
  <c r="Y258" i="15"/>
  <c r="G8" i="15"/>
  <c r="G126" i="15" s="1"/>
  <c r="G130" i="15" s="1"/>
  <c r="AE258" i="15" l="1"/>
  <c r="M8" i="15"/>
  <c r="M126" i="15" s="1"/>
  <c r="M130" i="15" s="1"/>
  <c r="G104" i="16"/>
  <c r="G17" i="16" s="1"/>
  <c r="I105" i="16"/>
  <c r="K1" i="14"/>
  <c r="J5" i="14"/>
  <c r="I126" i="14"/>
  <c r="I130" i="14" s="1"/>
  <c r="AW14" i="15"/>
  <c r="AY14" i="15" s="1"/>
  <c r="AY17" i="15" s="1"/>
  <c r="AY35" i="15" s="1"/>
  <c r="I17" i="15"/>
  <c r="M105" i="16" l="1"/>
  <c r="M104" i="16" s="1"/>
  <c r="M17" i="16" s="1"/>
  <c r="I104" i="16"/>
  <c r="BD19" i="16"/>
  <c r="Y258" i="16"/>
  <c r="G8" i="16"/>
  <c r="G126" i="16" s="1"/>
  <c r="G130" i="16" s="1"/>
  <c r="AA258" i="15"/>
  <c r="BO33" i="15" s="1"/>
  <c r="I8" i="15"/>
  <c r="J5" i="15" l="1"/>
  <c r="I126" i="15"/>
  <c r="I130" i="15" s="1"/>
  <c r="K1" i="15"/>
  <c r="D23" i="20"/>
  <c r="D9" i="20" s="1"/>
  <c r="D26" i="20" s="1"/>
  <c r="D57" i="20" s="1"/>
  <c r="BD8" i="16"/>
  <c r="BD22" i="16" s="1"/>
  <c r="I17" i="16"/>
  <c r="AW14" i="16"/>
  <c r="AY14" i="16" s="1"/>
  <c r="AY17" i="16" s="1"/>
  <c r="AY35" i="16" s="1"/>
  <c r="M8" i="16"/>
  <c r="M126" i="16" s="1"/>
  <c r="M130" i="16" s="1"/>
  <c r="AE258" i="16"/>
  <c r="I8" i="16" l="1"/>
  <c r="AA258" i="16"/>
  <c r="BO33" i="16" s="1"/>
  <c r="B9" i="19" l="1"/>
  <c r="K1" i="16"/>
  <c r="J5" i="16"/>
  <c r="I126" i="16"/>
  <c r="I130" i="16" s="1"/>
  <c r="I9" i="19" l="1"/>
  <c r="D9" i="19"/>
  <c r="G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Norvey Bolivar</author>
    <author>ATABORDAA</author>
  </authors>
  <commentList>
    <comment ref="P3" authorId="0" shapeId="0" xr:uid="{00000000-0006-0000-01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1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1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1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xr:uid="{00000000-0006-0000-0100-00000500000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A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A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A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A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B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B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B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B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C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C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C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C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2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2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2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2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3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3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3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3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4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4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4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4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5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5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5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5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6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6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6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6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7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7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7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7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8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8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8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8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9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9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9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9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<sst xmlns="http://schemas.openxmlformats.org/spreadsheetml/2006/main" count="3332" uniqueCount="627">
  <si>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</si>
  <si>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</si>
  <si>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</si>
  <si>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</si>
  <si>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</si>
  <si>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</si>
  <si>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</si>
  <si>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</si>
  <si>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</si>
  <si>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</si>
  <si>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</si>
  <si>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</si>
  <si>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</si>
  <si>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</si>
  <si>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</si>
  <si>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</si>
  <si>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</si>
  <si>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</si>
  <si>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</si>
  <si>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</si>
  <si>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</si>
  <si>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</si>
  <si>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</si>
  <si>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</si>
  <si>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</si>
  <si>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</si>
  <si>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</si>
  <si>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</si>
  <si>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</si>
  <si>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</si>
  <si>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</si>
  <si>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</si>
  <si>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</si>
  <si>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</si>
  <si>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</si>
  <si>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</si>
  <si>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</si>
  <si>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</si>
  <si>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</si>
  <si>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</si>
  <si>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</si>
  <si>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</si>
  <si>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</si>
  <si>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</si>
  <si>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</si>
  <si>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</si>
  <si>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</si>
  <si>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</si>
  <si>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</si>
  <si>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</si>
  <si>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</si>
  <si>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</si>
  <si>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</si>
  <si>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</si>
  <si>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</si>
  <si>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</si>
  <si>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</si>
  <si>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</si>
  <si>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</si>
  <si>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</si>
  <si>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</si>
  <si>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</si>
  <si>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</si>
  <si>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</si>
  <si>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</si>
  <si>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</si>
  <si>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</si>
  <si>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</si>
  <si>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</si>
  <si>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</si>
  <si>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</si>
  <si>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</si>
  <si>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</si>
  <si>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</si>
  <si>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</si>
  <si>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</si>
  <si>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</si>
  <si>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</si>
  <si>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</si>
  <si>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</si>
  <si>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</si>
  <si>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</si>
  <si>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</si>
  <si>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</si>
  <si>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</si>
  <si>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</si>
  <si>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</si>
  <si>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</si>
  <si>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</si>
  <si>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</si>
  <si>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</si>
  <si>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</si>
  <si>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</si>
  <si>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</si>
  <si>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</si>
  <si>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</si>
  <si>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</si>
  <si>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</si>
  <si>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</si>
  <si>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</si>
  <si>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</si>
  <si>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</si>
  <si>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</si>
  <si>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</si>
  <si>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</si>
  <si>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</si>
  <si>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</si>
  <si>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</si>
  <si>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</si>
  <si>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</si>
  <si>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</si>
  <si>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</si>
  <si>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</si>
  <si>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</si>
  <si>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</si>
  <si>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</si>
  <si>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</si>
  <si>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</si>
  <si>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</si>
  <si>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</si>
  <si>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</si>
  <si>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</si>
  <si>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</si>
  <si>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</si>
  <si>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</si>
  <si>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</si>
  <si>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</si>
  <si>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</si>
  <si>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</si>
  <si>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</si>
  <si>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</si>
  <si>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</si>
  <si>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</si>
  <si>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</si>
  <si>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</si>
  <si>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</si>
  <si>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</si>
  <si>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</si>
  <si>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</si>
  <si>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</si>
  <si>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</si>
  <si>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</si>
  <si>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</si>
  <si>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</si>
  <si>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</si>
  <si>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</si>
  <si>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</si>
  <si>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</si>
  <si>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</si>
  <si>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</si>
  <si>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</si>
  <si>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</si>
  <si>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</si>
  <si>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</si>
  <si>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</si>
  <si>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</si>
  <si>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</si>
  <si>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</si>
  <si>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</si>
  <si>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</si>
  <si>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</si>
  <si>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</si>
  <si>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</si>
  <si>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</si>
  <si>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</si>
  <si>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</si>
  <si>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</si>
  <si>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</si>
  <si>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</si>
  <si>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</si>
  <si>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</si>
  <si>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</si>
  <si>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</si>
  <si>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</si>
  <si>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</si>
  <si>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</si>
  <si>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</si>
  <si>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</si>
  <si>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</si>
  <si>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</si>
  <si>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</si>
  <si>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</si>
  <si>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</si>
  <si>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</si>
  <si>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</si>
  <si>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</si>
  <si>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</si>
  <si>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</si>
  <si>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</si>
  <si>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</si>
  <si>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</si>
  <si>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</si>
  <si>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</si>
  <si>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</si>
  <si>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</si>
  <si>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</si>
  <si>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</si>
  <si>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</si>
  <si>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</si>
  <si>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</si>
  <si>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</si>
  <si>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</si>
  <si>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</si>
  <si>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</si>
  <si>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</si>
  <si>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</si>
  <si>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</si>
  <si>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</si>
  <si>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</si>
  <si>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</si>
  <si>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</si>
  <si>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</si>
  <si>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</si>
  <si>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</si>
  <si>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</si>
  <si>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</si>
  <si>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</si>
  <si>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</si>
  <si>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</si>
  <si>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</si>
  <si>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</si>
  <si>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</si>
  <si>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</si>
  <si>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</si>
  <si>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</si>
  <si>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</si>
  <si>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</si>
  <si>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</si>
  <si>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</si>
  <si>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</si>
  <si>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</si>
  <si>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</si>
  <si>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</si>
  <si>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</si>
  <si>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</si>
  <si>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</si>
  <si>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</si>
  <si>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</si>
  <si>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</si>
  <si>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</si>
  <si>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</si>
  <si>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</si>
  <si>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</si>
  <si>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</si>
  <si>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</si>
  <si>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</si>
  <si>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</si>
  <si>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</si>
  <si>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</si>
  <si>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</si>
  <si>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</si>
  <si>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</si>
  <si>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</si>
  <si>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</si>
  <si>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</si>
  <si>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</si>
  <si>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</si>
  <si>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</si>
  <si>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</si>
  <si>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</si>
  <si>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</si>
  <si>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</si>
  <si>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</si>
  <si>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</si>
  <si>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</si>
  <si>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</si>
  <si>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</si>
  <si>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</si>
  <si>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</si>
  <si>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</si>
  <si>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</si>
  <si>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</si>
  <si>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</si>
  <si>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</si>
  <si>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</si>
  <si>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</si>
  <si>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</si>
  <si>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</si>
  <si>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</si>
  <si>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</si>
  <si>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</si>
  <si>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</si>
  <si>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</si>
  <si>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</si>
  <si>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</si>
  <si>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</si>
  <si>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</si>
  <si>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</si>
  <si>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</si>
  <si>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</si>
  <si>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</si>
  <si>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</si>
  <si>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</si>
  <si>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</si>
  <si>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</si>
  <si>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</si>
  <si>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</si>
  <si>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</si>
  <si>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</si>
  <si>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</si>
  <si>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</si>
  <si>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</si>
  <si>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</si>
  <si>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</si>
  <si>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</si>
  <si>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</si>
  <si>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</si>
  <si>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</si>
  <si>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</si>
  <si>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</si>
  <si>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</si>
  <si>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</si>
  <si>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</si>
  <si>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</si>
  <si>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</si>
  <si>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</si>
  <si>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</si>
  <si>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</si>
  <si>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</si>
  <si>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</si>
  <si>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</si>
  <si>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</si>
  <si>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</si>
  <si>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</si>
  <si>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</si>
  <si>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</si>
  <si>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</si>
  <si>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</si>
  <si>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</si>
  <si>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</si>
  <si>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</si>
  <si>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</si>
  <si>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</si>
  <si>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</si>
  <si>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</si>
  <si>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</si>
  <si>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</si>
  <si>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</si>
  <si>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</si>
  <si>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</si>
  <si>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</si>
  <si>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</si>
  <si>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</si>
  <si>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</si>
  <si>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</si>
  <si>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</si>
  <si>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</si>
  <si>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</si>
  <si>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</si>
  <si>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</si>
  <si>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</si>
  <si>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</si>
  <si>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</si>
  <si>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</si>
  <si>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</si>
  <si>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</si>
  <si>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</si>
  <si>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</si>
  <si>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</si>
  <si>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</si>
  <si>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</si>
  <si>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</si>
  <si>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</si>
  <si>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</si>
  <si>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</si>
  <si>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</si>
  <si>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</si>
  <si>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</si>
  <si>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</si>
  <si>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</si>
  <si>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</si>
  <si>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</si>
  <si>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</si>
  <si>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</si>
  <si>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</si>
  <si>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</si>
  <si>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</si>
  <si>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</si>
  <si>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</si>
  <si>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</si>
  <si>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</si>
  <si>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</si>
  <si>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</si>
  <si>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</si>
  <si>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</si>
  <si>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</si>
  <si>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</si>
  <si>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</si>
  <si>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</si>
  <si>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</si>
  <si>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</si>
  <si>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</si>
  <si>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</si>
  <si>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</si>
  <si>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</si>
  <si>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</si>
  <si>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</si>
  <si>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</si>
  <si>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</si>
  <si>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</si>
  <si>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</si>
  <si>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Vida Cara</t>
  </si>
  <si>
    <t>Prima de Vacaciones</t>
  </si>
  <si>
    <t>Prima Clima</t>
  </si>
  <si>
    <t>Prima de Servicios</t>
  </si>
  <si>
    <t>Auxilio de Transporte</t>
  </si>
  <si>
    <t>Subsidio de Alimentación</t>
  </si>
  <si>
    <t>Gastos de Representación</t>
  </si>
  <si>
    <t xml:space="preserve"> Indemnizaciones por Vacaciones o Supresión de Cargos por Reestructuración</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</si>
  <si>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</si>
  <si>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</si>
  <si>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</si>
  <si>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</si>
  <si>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</si>
  <si>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</si>
  <si>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</si>
  <si>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</si>
  <si>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</si>
  <si>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</si>
  <si>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</si>
  <si>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</si>
  <si>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</si>
  <si>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</si>
  <si>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</si>
  <si>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</si>
  <si>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</si>
  <si>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</si>
  <si>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</si>
  <si>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</si>
  <si>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</si>
  <si>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</si>
  <si>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</si>
  <si>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</si>
  <si>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</si>
  <si>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</si>
  <si>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</si>
  <si>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</si>
  <si>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</si>
  <si>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</si>
  <si>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</si>
  <si>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</si>
  <si>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</si>
  <si>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</si>
  <si>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</si>
  <si>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</si>
  <si>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</si>
  <si>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</si>
  <si>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</si>
  <si>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</si>
  <si>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</si>
  <si>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</si>
  <si>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</si>
  <si>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</si>
  <si>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</si>
  <si>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</si>
  <si>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</si>
  <si>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</si>
  <si>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</si>
  <si>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</si>
  <si>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</si>
  <si>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</si>
  <si>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</si>
  <si>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</si>
  <si>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</si>
  <si>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</si>
  <si>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</si>
  <si>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</si>
  <si>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</si>
  <si>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</si>
  <si>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</si>
  <si>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</si>
  <si>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</si>
  <si>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</si>
  <si>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</si>
  <si>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</si>
  <si>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</si>
  <si>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</si>
  <si>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</si>
  <si>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</si>
  <si>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</si>
  <si>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</si>
  <si>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</si>
  <si>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</si>
  <si>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</si>
  <si>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</si>
  <si>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</si>
  <si>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</si>
  <si>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</si>
  <si>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</si>
  <si>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</si>
  <si>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</si>
  <si>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</si>
  <si>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</si>
  <si>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</si>
  <si>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</si>
  <si>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</si>
  <si>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</si>
  <si>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</si>
  <si>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</si>
  <si>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</si>
  <si>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</si>
  <si>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</si>
  <si>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</si>
  <si>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</si>
  <si>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</si>
  <si>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</si>
  <si>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</si>
  <si>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</si>
  <si>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</si>
  <si>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</si>
  <si>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</si>
  <si>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</si>
  <si>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</si>
  <si>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</si>
  <si>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</si>
  <si>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</si>
  <si>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</si>
  <si>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</si>
  <si>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</si>
  <si>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</si>
  <si>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</si>
  <si>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</si>
  <si>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</si>
  <si>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</si>
  <si>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</si>
  <si>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</si>
  <si>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</si>
  <si>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</si>
  <si>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</si>
  <si>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</si>
  <si>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</si>
  <si>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</si>
  <si>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</si>
  <si>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</si>
  <si>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</si>
  <si>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</si>
  <si>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</si>
  <si>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Aporte a ARL. - Con Sit. de Fondos</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</si>
  <si>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</si>
  <si>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</si>
  <si>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</si>
  <si>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</si>
  <si>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</si>
  <si>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</si>
  <si>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</si>
  <si>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</si>
  <si>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</si>
  <si>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</si>
  <si>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</si>
  <si>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</si>
  <si>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</si>
  <si>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</si>
  <si>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</si>
  <si>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</si>
  <si>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</si>
  <si>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</si>
  <si>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</si>
  <si>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</si>
  <si>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</si>
  <si>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</si>
  <si>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</si>
  <si>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</si>
  <si>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</si>
  <si>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</si>
  <si>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</si>
  <si>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</si>
  <si>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</si>
  <si>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</si>
  <si>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</si>
  <si>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</si>
  <si>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</si>
  <si>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</si>
  <si>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</si>
  <si>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</si>
  <si>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</si>
  <si>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</si>
  <si>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APORTES PATRONALES - MUNICIPIO / DEPARTAMENTO</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</si>
  <si>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</si>
  <si>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</si>
  <si>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</si>
  <si>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</si>
  <si>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</si>
  <si>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</si>
  <si>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</si>
  <si>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</si>
  <si>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</si>
  <si>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</si>
  <si>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Bonific. por Servicios Prestados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</si>
  <si>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</si>
  <si>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</si>
  <si>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</si>
  <si>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</si>
  <si>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</si>
  <si>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</si>
  <si>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</si>
  <si>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</si>
  <si>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</si>
  <si>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</si>
  <si>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</si>
  <si>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</si>
  <si>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</si>
  <si>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</si>
  <si>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</si>
  <si>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</si>
  <si>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La información incluye vigencias anteriores</t>
  </si>
  <si>
    <t>CONVENIOS CON LA NACION NO LIGADOS A LA VENTA DE SERVICIOS</t>
  </si>
  <si>
    <t>CONVENIOS CON EL DEPARTAMENTO NO LIGADOS A LA VENTA SERVICIOS</t>
  </si>
  <si>
    <t>CONVENIOS CON EL MUNICIPIO NO LIGADOS A LA VENTA DE SERVICIOS</t>
  </si>
  <si>
    <t>OTROS CONVENIOS NO LIGADOS A LA VENTA DE SERVICIOS</t>
  </si>
  <si>
    <t>EVALUACION RECURSOS DE MANTENIMIENTO HOSPITALARIO VIGENCIA 2017</t>
  </si>
  <si>
    <t>Contribuciones - SGP - Aportes Patronales - Cuentas Maestras</t>
  </si>
  <si>
    <t>E.P.S. - Aportes cuentas maestras</t>
  </si>
  <si>
    <t>Fondos pensionales - Aportes cuentas maestras</t>
  </si>
  <si>
    <t>Fondos de cesantías - Aportes cuentas maestras</t>
  </si>
  <si>
    <t>Riesgos laborales - Aportes cuentas maestras</t>
  </si>
  <si>
    <t>FLUJO DE CAJA PARA EL INFORME TRIMESTRAL DEL SIHO</t>
  </si>
  <si>
    <t>INFORMACION DE INGRESOS CONSOLIDAR INFORMES DEL SIHO</t>
  </si>
  <si>
    <t>INFORMACION DE GASTOS CONSOLIDAR INFORMES DEL SIHO</t>
  </si>
  <si>
    <t>SECRETARIA SECCIONAL DE SALUD Y PROTECCION SOCIAL DE ANTIOQUIA DE ANTIOQUIA</t>
  </si>
  <si>
    <t>ITAGUI</t>
  </si>
  <si>
    <t>ESE HOSPITALSAN RAFAEL</t>
  </si>
  <si>
    <r>
      <t xml:space="preserve">Traslados entre rubros, tanto positivos como negativos </t>
    </r>
    <r>
      <rPr>
        <sz val="10"/>
        <rFont val="Arial"/>
        <family val="1"/>
      </rPr>
      <t xml:space="preserve">
(No hacen variar el total general presupuestado)</t>
    </r>
  </si>
  <si>
    <r>
      <t xml:space="preserve">Incrementos o disminuciones al presupuesto general.  </t>
    </r>
    <r>
      <rPr>
        <sz val="10"/>
        <rFont val="Arial"/>
        <family val="1"/>
      </rPr>
      <t xml:space="preserve">
(Admite valores positivos y negativos.)</t>
    </r>
  </si>
  <si>
    <r>
      <t xml:space="preserve">Traslados entre apropiaciones, tanto positivos como negativos </t>
    </r>
    <r>
      <rPr>
        <sz val="10"/>
        <rFont val="Arial"/>
        <family val="1"/>
      </rPr>
      <t xml:space="preserve">
(No hacen variar el total general presupuestado)</t>
    </r>
  </si>
  <si>
    <r>
      <rPr>
        <sz val="13"/>
        <rFont val="Arial"/>
        <family val="2"/>
      </rPr>
      <t xml:space="preserve">RECONOCIMIENTO </t>
    </r>
    <r>
      <rPr>
        <sz val="10"/>
        <rFont val="Arial"/>
        <family val="2"/>
      </rPr>
      <t xml:space="preserve">
</t>
    </r>
    <r>
      <rPr>
        <sz val="10"/>
        <rFont val="Arial"/>
        <family val="2"/>
      </rPr>
      <t>(Facturación real del contrato firmado)</t>
    </r>
  </si>
  <si>
    <r>
      <t xml:space="preserve">COMPROMISOS 
</t>
    </r>
    <r>
      <rPr>
        <sz val="10"/>
        <rFont val="Arial"/>
        <family val="2"/>
      </rPr>
      <t>(REGISTROS PRESUPUESTALES)</t>
    </r>
  </si>
  <si>
    <r>
      <t xml:space="preserve">OBLIGACIONES 
</t>
    </r>
    <r>
      <rPr>
        <sz val="10"/>
        <rFont val="Arial"/>
        <family val="2"/>
      </rPr>
      <t>(BIENES RECIBIDOS O SERVICIOS PRESTADOS)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</si>
</sst>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_ ;[Red]\-#,##0\ "/>
    <numFmt numFmtId="166" formatCode="\X"/>
    <numFmt numFmtId="167" formatCode="&quot;$&quot;#,##0.00"/>
  </numFmts>
  <fonts count="173">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b/>
      <sz val="9"/>
      <color theme="1"/>
      <name val="Arial"/>
      <family val="2"/>
    </font>
    <font>
      <b/>
      <sz val="10"/>
      <name val="Arial"/>
      <family val="2"/>
    </font>
    <font>
      <b/>
      <sz val="12"/>
      <name val="Arial"/>
      <family val="2"/>
    </font>
    <font>
      <sz val="8"/>
      <name val="Arial"/>
      <family val="2"/>
    </font>
    <font>
      <sz val="10"/>
      <name val="Arial"/>
      <family val="2"/>
    </font>
    <font>
      <sz val="8"/>
      <color theme="1"/>
      <name val="Arial"/>
      <family val="2"/>
    </font>
    <font>
      <sz val="9"/>
      <name val="Arial"/>
      <family val="2"/>
    </font>
    <font>
      <sz val="12"/>
      <name val="Arial"/>
      <family val="2"/>
    </font>
    <font>
      <b/>
      <sz val="15"/>
      <name val="Arial"/>
      <family val="2"/>
    </font>
    <font>
      <b/>
      <sz val="16"/>
      <name val="Microsoft Sans Serif"/>
      <family val="2"/>
    </font>
    <font>
      <sz val="10"/>
      <color indexed="9"/>
      <name val="Arial"/>
      <family val="2"/>
    </font>
    <font>
      <b/>
      <sz val="13"/>
      <name val="Arial"/>
      <family val="2"/>
    </font>
    <font>
      <b/>
      <sz val="14"/>
      <name val="Arial Rounded MT Bold"/>
      <family val="2"/>
    </font>
    <font>
      <b/>
      <sz val="9"/>
      <name val="Bookman Old Style"/>
      <family val="1"/>
    </font>
    <font>
      <sz val="10"/>
      <name val="Arial"/>
      <family val="1"/>
    </font>
    <font>
      <b/>
      <sz val="9"/>
      <color theme="1"/>
      <name val="Bookman Old Style"/>
      <family val="1"/>
    </font>
    <font>
      <sz val="9"/>
      <name val="Bookman Old Style"/>
      <family val="1"/>
    </font>
    <font>
      <sz val="9"/>
      <color theme="1"/>
      <name val="Bookman Old Style"/>
      <family val="1"/>
    </font>
    <font>
      <sz val="7"/>
      <name val="Arial"/>
      <family val="2"/>
    </font>
    <font>
      <b/>
      <sz val="8"/>
      <name val="Arial"/>
      <family val="2"/>
    </font>
    <font>
      <b/>
      <sz val="14"/>
      <name val="Arial"/>
      <family val="2"/>
    </font>
    <font>
      <sz val="13"/>
      <name val="Arial"/>
      <family val="2"/>
    </font>
    <font>
      <b/>
      <sz val="11"/>
      <name val="Arial"/>
      <family val="2"/>
    </font>
    <font>
      <b/>
      <sz val="8"/>
      <color theme="1"/>
      <name val="Arial"/>
      <family val="2"/>
    </font>
    <font>
      <b/>
      <sz val="18"/>
      <name val="Arial"/>
      <family val="2"/>
    </font>
    <font>
      <b/>
      <sz val="9"/>
      <name val="Arial"/>
      <family val="2"/>
    </font>
    <font>
      <b/>
      <sz val="9"/>
      <color theme="1"/>
      <name val="Arial"/>
      <family val="2"/>
    </font>
    <font>
      <sz val="11"/>
      <name val="Arial"/>
      <family val="2"/>
    </font>
    <font>
      <sz val="9"/>
      <color theme="1"/>
      <name val="Arial"/>
      <family val="2"/>
    </font>
    <font>
      <i/>
      <sz val="8"/>
      <name val="Arial"/>
      <family val="2"/>
    </font>
    <font>
      <b/>
      <sz val="11"/>
      <color indexed="8"/>
      <name val="Arial"/>
      <family val="2"/>
    </font>
    <font>
      <b/>
      <sz val="12"/>
      <color indexed="8"/>
      <name val="Arial"/>
      <family val="2"/>
    </font>
    <font>
      <sz val="11"/>
      <color indexed="8"/>
      <name val="Arial"/>
      <family val="2"/>
    </font>
    <font>
      <sz val="10"/>
      <color indexed="8"/>
      <name val="Arial"/>
      <family val="2"/>
    </font>
    <font>
      <sz val="11"/>
      <color rgb="FFFF0000"/>
      <name val="Arial"/>
      <family val="2"/>
    </font>
    <font>
      <sz val="11"/>
      <color theme="1"/>
      <name val="Arial"/>
      <family val="2"/>
    </font>
    <font>
      <b/>
      <sz val="11"/>
      <color theme="1"/>
      <name val="Arial"/>
      <family val="2"/>
    </font>
    <font>
      <b/>
      <sz val="16"/>
      <name val="Arial"/>
      <family val="2"/>
    </font>
    <font>
      <b/>
      <sz val="12"/>
      <name val="Arial"/>
      <family val="2"/>
    </font>
    <font>
      <sz val="8"/>
      <name val="Arial"/>
      <family val="2"/>
    </font>
    <font>
      <sz val="10"/>
      <name val="Arial"/>
      <family val="2"/>
    </font>
    <font>
      <sz val="9"/>
      <name val="Arial"/>
      <family val="2"/>
    </font>
    <font>
      <sz val="12"/>
      <name val="Arial"/>
      <family val="2"/>
    </font>
    <font>
      <b/>
      <sz val="15"/>
      <name val="Arial"/>
      <family val="2"/>
    </font>
    <font>
      <b/>
      <sz val="16"/>
      <name val="Microsoft Sans Serif"/>
      <family val="2"/>
    </font>
    <font>
      <sz val="10"/>
      <color indexed="9"/>
      <name val="Arial"/>
      <family val="2"/>
    </font>
    <font>
      <b/>
      <sz val="13"/>
      <name val="Arial"/>
      <family val="2"/>
    </font>
    <font>
      <b/>
      <sz val="14"/>
      <name val="Arial Rounded MT Bold"/>
      <family val="2"/>
    </font>
    <font>
      <b/>
      <sz val="9"/>
      <name val="Bookman Old Style"/>
      <family val="1"/>
    </font>
    <font>
      <sz val="9"/>
      <name val="Bookman Old Style"/>
      <family val="1"/>
    </font>
    <font>
      <sz val="7"/>
      <name val="Arial"/>
      <family val="2"/>
    </font>
    <font>
      <b/>
      <sz val="8"/>
      <name val="Arial"/>
      <family val="2"/>
    </font>
    <font>
      <b/>
      <sz val="14"/>
      <name val="Arial"/>
      <family val="2"/>
    </font>
    <font>
      <b/>
      <sz val="11"/>
      <name val="Arial"/>
      <family val="2"/>
    </font>
    <font>
      <b/>
      <sz val="10"/>
      <name val="Arial"/>
      <family val="2"/>
    </font>
    <font>
      <b/>
      <sz val="18"/>
      <name val="Arial"/>
      <family val="2"/>
    </font>
    <font>
      <b/>
      <sz val="9"/>
      <name val="Arial"/>
      <family val="2"/>
    </font>
    <font>
      <sz val="11"/>
      <name val="Arial"/>
      <family val="2"/>
    </font>
    <font>
      <i/>
      <sz val="8"/>
      <name val="Arial"/>
      <family val="2"/>
    </font>
    <font>
      <b/>
      <sz val="11"/>
      <color indexed="8"/>
      <name val="Arial"/>
      <family val="2"/>
    </font>
    <font>
      <b/>
      <sz val="12"/>
      <color indexed="8"/>
      <name val="Arial"/>
      <family val="2"/>
    </font>
    <font>
      <sz val="11"/>
      <color indexed="8"/>
      <name val="Arial"/>
      <family val="2"/>
    </font>
    <font>
      <sz val="10"/>
      <color indexed="8"/>
      <name val="Arial"/>
      <family val="2"/>
    </font>
    <font>
      <b/>
      <sz val="16"/>
      <name val="Arial"/>
      <family val="2"/>
    </font>
    <font>
      <b/>
      <sz val="12"/>
      <name val="Arial"/>
      <family val="2"/>
    </font>
    <font>
      <sz val="8"/>
      <name val="Arial"/>
      <family val="2"/>
    </font>
    <font>
      <sz val="10"/>
      <name val="Arial"/>
      <family val="2"/>
    </font>
    <font>
      <sz val="9"/>
      <name val="Arial"/>
      <family val="2"/>
    </font>
    <font>
      <sz val="12"/>
      <name val="Arial"/>
      <family val="2"/>
    </font>
    <font>
      <b/>
      <sz val="15"/>
      <name val="Arial"/>
      <family val="2"/>
    </font>
    <font>
      <b/>
      <sz val="16"/>
      <name val="Microsoft Sans Serif"/>
      <family val="2"/>
    </font>
    <font>
      <sz val="10"/>
      <color indexed="9"/>
      <name val="Arial"/>
      <family val="2"/>
    </font>
    <font>
      <b/>
      <sz val="13"/>
      <name val="Arial"/>
      <family val="2"/>
    </font>
    <font>
      <b/>
      <sz val="14"/>
      <name val="Arial Rounded MT Bold"/>
      <family val="2"/>
    </font>
    <font>
      <b/>
      <sz val="9"/>
      <name val="Bookman Old Style"/>
      <family val="1"/>
    </font>
    <font>
      <sz val="9"/>
      <name val="Bookman Old Style"/>
      <family val="1"/>
    </font>
    <font>
      <sz val="7"/>
      <name val="Arial"/>
      <family val="2"/>
    </font>
    <font>
      <b/>
      <sz val="8"/>
      <name val="Arial"/>
      <family val="2"/>
    </font>
    <font>
      <b/>
      <sz val="14"/>
      <name val="Arial"/>
      <family val="2"/>
    </font>
    <font>
      <b/>
      <sz val="11"/>
      <name val="Arial"/>
      <family val="2"/>
    </font>
    <font>
      <b/>
      <sz val="10"/>
      <name val="Arial"/>
      <family val="2"/>
    </font>
    <font>
      <b/>
      <sz val="18"/>
      <name val="Arial"/>
      <family val="2"/>
    </font>
    <font>
      <b/>
      <sz val="9"/>
      <name val="Arial"/>
      <family val="2"/>
    </font>
    <font>
      <sz val="11"/>
      <name val="Arial"/>
      <family val="2"/>
    </font>
    <font>
      <i/>
      <sz val="8"/>
      <name val="Arial"/>
      <family val="2"/>
    </font>
    <font>
      <b/>
      <sz val="11"/>
      <color indexed="8"/>
      <name val="Arial"/>
      <family val="2"/>
    </font>
    <font>
      <b/>
      <sz val="12"/>
      <color indexed="8"/>
      <name val="Arial"/>
      <family val="2"/>
    </font>
    <font>
      <sz val="11"/>
      <color indexed="8"/>
      <name val="Arial"/>
      <family val="2"/>
    </font>
    <font>
      <sz val="10"/>
      <color indexed="8"/>
      <name val="Arial"/>
      <family val="2"/>
    </font>
    <font>
      <b/>
      <sz val="16"/>
      <name val="Arial"/>
      <family val="2"/>
    </font>
    <font>
      <b/>
      <sz val="12"/>
      <name val="Arial"/>
      <family val="2"/>
    </font>
    <font>
      <sz val="8"/>
      <name val="Arial"/>
      <family val="2"/>
    </font>
    <font>
      <sz val="10"/>
      <name val="Arial"/>
      <family val="2"/>
    </font>
    <font>
      <sz val="9"/>
      <name val="Arial"/>
      <family val="2"/>
    </font>
    <font>
      <sz val="12"/>
      <name val="Arial"/>
      <family val="2"/>
    </font>
    <font>
      <b/>
      <sz val="15"/>
      <name val="Arial"/>
      <family val="2"/>
    </font>
    <font>
      <b/>
      <sz val="16"/>
      <name val="Microsoft Sans Serif"/>
      <family val="2"/>
    </font>
    <font>
      <sz val="10"/>
      <color indexed="9"/>
      <name val="Arial"/>
      <family val="2"/>
    </font>
    <font>
      <b/>
      <sz val="13"/>
      <name val="Arial"/>
      <family val="2"/>
    </font>
    <font>
      <b/>
      <sz val="14"/>
      <name val="Arial Rounded MT Bold"/>
      <family val="2"/>
    </font>
    <font>
      <b/>
      <sz val="9"/>
      <name val="Bookman Old Style"/>
      <family val="1"/>
    </font>
    <font>
      <sz val="9"/>
      <name val="Bookman Old Style"/>
      <family val="1"/>
    </font>
    <font>
      <sz val="7"/>
      <name val="Arial"/>
      <family val="2"/>
    </font>
    <font>
      <b/>
      <sz val="8"/>
      <name val="Arial"/>
      <family val="2"/>
    </font>
    <font>
      <b/>
      <sz val="14"/>
      <name val="Arial"/>
      <family val="2"/>
    </font>
    <font>
      <b/>
      <sz val="11"/>
      <name val="Arial"/>
      <family val="2"/>
    </font>
    <font>
      <b/>
      <sz val="10"/>
      <name val="Arial"/>
      <family val="2"/>
    </font>
    <font>
      <b/>
      <sz val="18"/>
      <name val="Arial"/>
      <family val="2"/>
    </font>
    <font>
      <b/>
      <sz val="9"/>
      <name val="Arial"/>
      <family val="2"/>
    </font>
    <font>
      <sz val="11"/>
      <name val="Arial"/>
      <family val="2"/>
    </font>
    <font>
      <i/>
      <sz val="8"/>
      <name val="Arial"/>
      <family val="2"/>
    </font>
    <font>
      <b/>
      <sz val="11"/>
      <color indexed="8"/>
      <name val="Arial"/>
      <family val="2"/>
    </font>
    <font>
      <b/>
      <sz val="12"/>
      <color indexed="8"/>
      <name val="Arial"/>
      <family val="2"/>
    </font>
    <font>
      <sz val="11"/>
      <color indexed="8"/>
      <name val="Arial"/>
      <family val="2"/>
    </font>
    <font>
      <sz val="10"/>
      <color indexed="8"/>
      <name val="Arial"/>
      <family val="2"/>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s>
  <borders count="84">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3441">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67" fontId="7" fillId="0" borderId="8" xfId="2" applyNumberFormat="1" applyFont="1" applyFill="1" applyBorder="1" applyAlignment="1">
      <alignment horizontal="center" vertical="center" wrapText="1"/>
    </xf>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8" xfId="0" applyNumberFormat="1" applyFont="1" applyFill="1" applyBorder="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32" fillId="6" borderId="35" xfId="0" applyFont="1" applyFill="1" applyBorder="1" applyAlignment="1" applyProtection="1">
      <alignment horizontal="center" vertical="center" wrapText="1"/>
      <protection hidden="1"/>
    </xf>
    <xf numFmtId="0" fontId="32" fillId="6" borderId="28" xfId="0" applyFont="1" applyFill="1" applyBorder="1" applyAlignment="1" applyProtection="1">
      <alignment horizontal="center"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8"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167" fontId="7" fillId="7" borderId="8"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0" fontId="32" fillId="6" borderId="36" xfId="0" applyFont="1" applyFill="1" applyBorder="1" applyAlignment="1" applyProtection="1">
      <alignment horizontal="center" vertical="center" wrapText="1"/>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vertical="center"/>
      <protection hidden="1"/>
    </xf>
    <xf numFmtId="3" fontId="17" fillId="0" borderId="32"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vertical="center"/>
      <protection hidden="1"/>
    </xf>
    <xf numFmtId="3" fontId="17" fillId="0" borderId="33" xfId="0" applyNumberFormat="1" applyFont="1" applyFill="1" applyBorder="1" applyAlignment="1" applyProtection="1">
      <alignmen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4" xfId="0" applyNumberFormat="1" applyFont="1" applyFill="1" applyBorder="1" applyAlignment="1" applyProtection="1">
      <alignment vertical="center"/>
      <protection hidden="1"/>
    </xf>
    <xf numFmtId="3" fontId="18" fillId="6" borderId="28" xfId="0" applyNumberFormat="1" applyFont="1" applyFill="1" applyBorder="1" applyAlignment="1" applyProtection="1">
      <alignment vertical="center"/>
      <protection hidden="1"/>
    </xf>
    <xf numFmtId="3" fontId="18" fillId="6" borderId="3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0" fontId="24" fillId="5" borderId="0" xfId="0" applyFont="1" applyFill="1" applyBorder="1" applyAlignment="1" applyProtection="1">
      <alignment horizontal="center" vertical="center" wrapText="1"/>
      <protection hidden="1"/>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8"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9" fillId="4" borderId="9"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protection locked="0"/>
    </xf>
    <xf numFmtId="164" fontId="17" fillId="0"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protection locked="0"/>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4" fillId="8" borderId="19" xfId="0" applyNumberFormat="1" applyFont="1" applyFill="1" applyBorder="1" applyAlignment="1" applyProtection="1">
      <alignment horizontal="center" vertical="center" wrapText="1"/>
    </xf>
    <xf numFmtId="3" fontId="9" fillId="9" borderId="17" xfId="0" applyNumberFormat="1" applyFont="1" applyFill="1" applyBorder="1" applyAlignment="1" applyProtection="1">
      <alignment vertical="center"/>
      <protection locked="0"/>
    </xf>
    <xf numFmtId="3" fontId="58" fillId="4" borderId="8" xfId="0" applyNumberFormat="1" applyFont="1" applyFill="1" applyBorder="1" applyAlignment="1" applyProtection="1">
      <alignment vertical="center"/>
      <protection locked="0"/>
    </xf>
    <xf numFmtId="3" fontId="3" fillId="10" borderId="9" xfId="0" applyNumberFormat="1" applyFont="1" applyFill="1" applyBorder="1" applyAlignment="1" applyProtection="1">
      <alignment horizontal="right" vertical="center"/>
    </xf>
    <xf numFmtId="3" fontId="3" fillId="11" borderId="9" xfId="0" applyNumberFormat="1" applyFont="1" applyFill="1" applyBorder="1" applyAlignment="1" applyProtection="1">
      <alignment horizontal="right" vertical="center"/>
    </xf>
    <xf numFmtId="1" fontId="59" fillId="2" borderId="5" xfId="0" applyNumberFormat="1" applyFont="1" applyFill="1" applyBorder="1" applyAlignment="1" applyProtection="1">
      <alignment horizontal="center" vertical="center"/>
    </xf>
    <xf numFmtId="1" fontId="59" fillId="2" borderId="5" xfId="0" applyNumberFormat="1" applyFont="1" applyFill="1" applyBorder="1" applyAlignment="1" applyProtection="1">
      <alignment horizontal="left" vertical="center" wrapText="1"/>
    </xf>
    <xf numFmtId="3" fontId="61" fillId="2" borderId="0" xfId="0" applyNumberFormat="1" applyFont="1" applyFill="1" applyProtection="1"/>
    <xf numFmtId="3" fontId="62" fillId="2" borderId="0" xfId="0" applyNumberFormat="1" applyFont="1" applyFill="1" applyProtection="1"/>
    <xf numFmtId="1" fontId="62" fillId="2" borderId="0" xfId="0" applyNumberFormat="1" applyFont="1" applyFill="1" applyAlignment="1" applyProtection="1">
      <alignment horizontal="center"/>
    </xf>
    <xf numFmtId="3" fontId="61" fillId="2" borderId="0" xfId="0" applyNumberFormat="1" applyFont="1" applyFill="1" applyAlignment="1" applyProtection="1">
      <alignment wrapText="1"/>
    </xf>
    <xf numFmtId="3" fontId="60" fillId="2" borderId="0" xfId="0" applyNumberFormat="1" applyFont="1" applyFill="1" applyProtection="1"/>
    <xf numFmtId="0" fontId="62" fillId="2" borderId="0" xfId="0" applyFont="1" applyFill="1" applyProtection="1"/>
    <xf numFmtId="3" fontId="63" fillId="2" borderId="0" xfId="0" applyNumberFormat="1" applyFont="1" applyFill="1" applyProtection="1"/>
    <xf numFmtId="1" fontId="64" fillId="2" borderId="19" xfId="0" applyNumberFormat="1" applyFont="1" applyFill="1" applyBorder="1" applyAlignment="1" applyProtection="1">
      <alignment horizontal="center"/>
    </xf>
    <xf numFmtId="3" fontId="65" fillId="2" borderId="14" xfId="0" applyNumberFormat="1" applyFont="1" applyFill="1" applyBorder="1" applyAlignment="1" applyProtection="1">
      <alignment horizontal="center" wrapText="1"/>
    </xf>
    <xf numFmtId="3" fontId="61" fillId="2" borderId="19" xfId="0" applyNumberFormat="1" applyFont="1" applyFill="1" applyBorder="1" applyProtection="1"/>
    <xf numFmtId="3" fontId="67" fillId="2" borderId="14" xfId="0" applyNumberFormat="1" applyFont="1" applyFill="1" applyBorder="1" applyAlignment="1" applyProtection="1">
      <alignment horizontal="left" vertical="center" indent="1"/>
    </xf>
    <xf numFmtId="3" fontId="67" fillId="2" borderId="14" xfId="0" applyNumberFormat="1" applyFont="1" applyFill="1" applyBorder="1" applyAlignment="1" applyProtection="1">
      <alignment vertical="center"/>
    </xf>
    <xf numFmtId="3" fontId="60" fillId="2" borderId="42" xfId="0" applyNumberFormat="1" applyFont="1" applyFill="1" applyBorder="1" applyAlignment="1" applyProtection="1"/>
    <xf numFmtId="3" fontId="60" fillId="2" borderId="24" xfId="0" applyNumberFormat="1" applyFont="1" applyFill="1" applyBorder="1" applyAlignment="1" applyProtection="1">
      <alignment horizontal="center" vertical="center"/>
    </xf>
    <xf numFmtId="3" fontId="61" fillId="2" borderId="0" xfId="0" applyNumberFormat="1" applyFont="1" applyFill="1" applyBorder="1" applyProtection="1"/>
    <xf numFmtId="1" fontId="62" fillId="2" borderId="19" xfId="0" applyNumberFormat="1" applyFont="1" applyFill="1" applyBorder="1" applyAlignment="1" applyProtection="1">
      <alignment horizontal="center"/>
    </xf>
    <xf numFmtId="3" fontId="62" fillId="2" borderId="14" xfId="0" applyNumberFormat="1" applyFont="1" applyFill="1" applyBorder="1" applyAlignment="1" applyProtection="1">
      <alignment horizontal="center" wrapText="1"/>
    </xf>
    <xf numFmtId="3" fontId="68" fillId="2" borderId="1" xfId="0" applyNumberFormat="1" applyFont="1" applyFill="1" applyBorder="1" applyProtection="1"/>
    <xf numFmtId="3" fontId="65" fillId="2" borderId="25" xfId="0" applyNumberFormat="1" applyFont="1" applyFill="1" applyBorder="1" applyAlignment="1" applyProtection="1">
      <alignment horizontal="centerContinuous"/>
    </xf>
    <xf numFmtId="3" fontId="65" fillId="2" borderId="2" xfId="0" applyNumberFormat="1" applyFont="1" applyFill="1" applyBorder="1" applyAlignment="1" applyProtection="1">
      <alignment horizontal="centerContinuous"/>
    </xf>
    <xf numFmtId="3" fontId="62" fillId="2" borderId="2" xfId="0" applyNumberFormat="1" applyFont="1" applyFill="1" applyBorder="1" applyAlignment="1" applyProtection="1">
      <alignment horizontal="centerContinuous"/>
    </xf>
    <xf numFmtId="3" fontId="62" fillId="2" borderId="3" xfId="0" applyNumberFormat="1" applyFont="1" applyFill="1" applyBorder="1" applyAlignment="1" applyProtection="1">
      <alignment horizontal="centerContinuous"/>
    </xf>
    <xf numFmtId="0" fontId="65" fillId="2" borderId="21" xfId="0" applyFont="1" applyFill="1" applyBorder="1" applyAlignment="1" applyProtection="1">
      <alignment horizontal="center" vertical="center"/>
    </xf>
    <xf numFmtId="1" fontId="64" fillId="2" borderId="20" xfId="0" applyNumberFormat="1" applyFont="1" applyFill="1" applyBorder="1" applyAlignment="1" applyProtection="1">
      <alignment horizontal="center"/>
    </xf>
    <xf numFmtId="3" fontId="69" fillId="2" borderId="20" xfId="0" applyNumberFormat="1" applyFont="1" applyFill="1" applyBorder="1" applyProtection="1"/>
    <xf numFmtId="1" fontId="62" fillId="2" borderId="20" xfId="0" applyNumberFormat="1" applyFont="1" applyFill="1" applyBorder="1" applyAlignment="1" applyProtection="1">
      <alignment horizontal="center"/>
    </xf>
    <xf numFmtId="3" fontId="61" fillId="2" borderId="20" xfId="0" applyNumberFormat="1" applyFont="1" applyFill="1" applyBorder="1" applyProtection="1"/>
    <xf numFmtId="3" fontId="62" fillId="2" borderId="4" xfId="0" applyNumberFormat="1" applyFont="1" applyFill="1" applyBorder="1" applyAlignment="1" applyProtection="1">
      <alignment horizontal="center"/>
    </xf>
    <xf numFmtId="3" fontId="65" fillId="2" borderId="26" xfId="0" applyNumberFormat="1" applyFont="1" applyFill="1" applyBorder="1" applyAlignment="1" applyProtection="1">
      <alignment horizontal="centerContinuous"/>
    </xf>
    <xf numFmtId="3" fontId="65" fillId="2" borderId="45" xfId="0" applyNumberFormat="1" applyFont="1" applyFill="1" applyBorder="1" applyAlignment="1" applyProtection="1">
      <alignment horizontal="centerContinuous"/>
    </xf>
    <xf numFmtId="3" fontId="65" fillId="2" borderId="49" xfId="0" applyNumberFormat="1" applyFont="1" applyFill="1" applyBorder="1" applyAlignment="1" applyProtection="1">
      <alignment horizontal="centerContinuous"/>
    </xf>
    <xf numFmtId="0" fontId="65" fillId="2" borderId="16" xfId="0" applyFont="1" applyFill="1" applyBorder="1" applyAlignment="1" applyProtection="1">
      <alignment horizontal="center" vertical="center"/>
    </xf>
    <xf numFmtId="3" fontId="60" fillId="2" borderId="18" xfId="0" applyNumberFormat="1" applyFont="1" applyFill="1" applyBorder="1" applyAlignment="1" applyProtection="1">
      <alignment horizontal="center" vertical="center"/>
    </xf>
    <xf numFmtId="0" fontId="60" fillId="2" borderId="0" xfId="0" applyFont="1" applyFill="1" applyAlignment="1" applyProtection="1">
      <alignment horizontal="centerContinuous" vertical="center"/>
    </xf>
    <xf numFmtId="3" fontId="61" fillId="2" borderId="41" xfId="0" applyNumberFormat="1" applyFont="1" applyFill="1" applyBorder="1" applyProtection="1"/>
    <xf numFmtId="3" fontId="61" fillId="2" borderId="44" xfId="0" applyNumberFormat="1" applyFont="1" applyFill="1" applyBorder="1" applyProtection="1"/>
    <xf numFmtId="3" fontId="61" fillId="2" borderId="61" xfId="0" applyNumberFormat="1" applyFont="1" applyFill="1" applyBorder="1" applyAlignment="1" applyProtection="1">
      <alignment horizontal="center"/>
    </xf>
    <xf numFmtId="3" fontId="61" fillId="2" borderId="0" xfId="0" applyNumberFormat="1" applyFont="1" applyFill="1" applyBorder="1" applyAlignment="1" applyProtection="1">
      <alignment horizontal="center"/>
    </xf>
    <xf numFmtId="3" fontId="76" fillId="2" borderId="41" xfId="0" applyNumberFormat="1" applyFont="1" applyFill="1" applyBorder="1" applyAlignment="1" applyProtection="1">
      <alignment horizontal="left" vertical="center"/>
    </xf>
    <xf numFmtId="3" fontId="61" fillId="2" borderId="12" xfId="0" applyNumberFormat="1" applyFont="1" applyFill="1" applyBorder="1" applyAlignment="1" applyProtection="1">
      <alignment vertical="center"/>
    </xf>
    <xf numFmtId="3" fontId="60" fillId="2" borderId="13" xfId="0" applyNumberFormat="1" applyFont="1" applyFill="1" applyBorder="1" applyAlignment="1" applyProtection="1">
      <alignment vertical="center"/>
    </xf>
    <xf numFmtId="3" fontId="60" fillId="2" borderId="0" xfId="0" applyNumberFormat="1" applyFont="1" applyFill="1" applyAlignment="1" applyProtection="1">
      <alignment vertical="center"/>
    </xf>
    <xf numFmtId="3" fontId="60" fillId="2" borderId="12" xfId="0" applyNumberFormat="1" applyFont="1" applyFill="1" applyBorder="1" applyAlignment="1" applyProtection="1">
      <alignment vertical="center"/>
    </xf>
    <xf numFmtId="3" fontId="62" fillId="2" borderId="13" xfId="0" applyNumberFormat="1" applyFont="1" applyFill="1" applyBorder="1" applyAlignment="1" applyProtection="1">
      <alignment vertical="center"/>
    </xf>
    <xf numFmtId="3" fontId="77" fillId="2" borderId="0" xfId="0" applyNumberFormat="1" applyFont="1" applyFill="1" applyProtection="1"/>
    <xf numFmtId="3" fontId="61" fillId="2" borderId="0" xfId="0" applyNumberFormat="1" applyFont="1" applyFill="1" applyBorder="1" applyAlignment="1" applyProtection="1">
      <alignment vertical="center"/>
    </xf>
    <xf numFmtId="3" fontId="60" fillId="2" borderId="0" xfId="0" applyNumberFormat="1" applyFont="1" applyFill="1" applyBorder="1" applyAlignment="1" applyProtection="1">
      <alignment vertical="center"/>
    </xf>
    <xf numFmtId="3" fontId="62" fillId="2" borderId="40" xfId="0" applyNumberFormat="1" applyFont="1" applyFill="1" applyBorder="1" applyAlignment="1" applyProtection="1">
      <alignment vertical="center"/>
    </xf>
    <xf numFmtId="3" fontId="78" fillId="2" borderId="62" xfId="0" applyNumberFormat="1" applyFont="1" applyFill="1" applyBorder="1" applyAlignment="1" applyProtection="1">
      <alignment horizontal="centerContinuous" vertical="center"/>
    </xf>
    <xf numFmtId="3" fontId="61" fillId="2" borderId="23" xfId="0" applyNumberFormat="1" applyFont="1" applyFill="1" applyBorder="1" applyAlignment="1" applyProtection="1">
      <alignment horizontal="centerContinuous"/>
    </xf>
    <xf numFmtId="3" fontId="61" fillId="2" borderId="24" xfId="0" applyNumberFormat="1" applyFont="1" applyFill="1" applyBorder="1" applyAlignment="1" applyProtection="1">
      <alignment horizontal="centerContinuous"/>
    </xf>
    <xf numFmtId="3" fontId="78" fillId="2" borderId="21" xfId="0" applyNumberFormat="1" applyFont="1" applyFill="1" applyBorder="1" applyAlignment="1" applyProtection="1">
      <alignment horizontal="centerContinuous" vertical="center" wrapText="1"/>
    </xf>
    <xf numFmtId="3" fontId="61" fillId="2" borderId="4" xfId="0" applyNumberFormat="1" applyFont="1" applyFill="1" applyBorder="1" applyAlignment="1" applyProtection="1">
      <alignment horizontal="center"/>
    </xf>
    <xf numFmtId="3" fontId="61" fillId="2" borderId="44" xfId="0" applyNumberFormat="1" applyFont="1" applyFill="1" applyBorder="1" applyAlignment="1" applyProtection="1">
      <alignment horizontal="center"/>
    </xf>
    <xf numFmtId="3" fontId="61" fillId="2" borderId="40" xfId="0" applyNumberFormat="1" applyFont="1" applyFill="1" applyBorder="1" applyAlignment="1" applyProtection="1">
      <alignment horizontal="center"/>
    </xf>
    <xf numFmtId="0" fontId="78" fillId="2" borderId="1" xfId="0" applyFont="1" applyFill="1" applyBorder="1" applyAlignment="1" applyProtection="1">
      <alignment horizontal="center" vertical="center"/>
    </xf>
    <xf numFmtId="0" fontId="78" fillId="2" borderId="25" xfId="0" applyFont="1" applyFill="1" applyBorder="1" applyAlignment="1" applyProtection="1">
      <alignment horizontal="centerContinuous" vertical="center"/>
    </xf>
    <xf numFmtId="0" fontId="77" fillId="2" borderId="2" xfId="0" applyFont="1" applyFill="1" applyBorder="1" applyAlignment="1" applyProtection="1">
      <alignment horizontal="centerContinuous"/>
    </xf>
    <xf numFmtId="0" fontId="78" fillId="2" borderId="3" xfId="0" applyFont="1" applyFill="1" applyBorder="1" applyAlignment="1" applyProtection="1">
      <alignment horizontal="centerContinuous" vertical="center"/>
    </xf>
    <xf numFmtId="0" fontId="77" fillId="2" borderId="0" xfId="0" applyFont="1" applyFill="1" applyBorder="1" applyAlignment="1" applyProtection="1">
      <alignment horizontal="centerContinuous"/>
    </xf>
    <xf numFmtId="0" fontId="80" fillId="2" borderId="21" xfId="0" applyFont="1" applyFill="1" applyBorder="1" applyAlignment="1" applyProtection="1">
      <alignment horizontal="centerContinuous" vertical="center"/>
    </xf>
    <xf numFmtId="0" fontId="80" fillId="2" borderId="23" xfId="0" applyFont="1" applyFill="1" applyBorder="1" applyAlignment="1" applyProtection="1">
      <alignment horizontal="centerContinuous" vertical="center"/>
    </xf>
    <xf numFmtId="0" fontId="80" fillId="2" borderId="23" xfId="0" applyFont="1" applyFill="1" applyBorder="1" applyAlignment="1" applyProtection="1">
      <alignment horizontal="centerContinuous"/>
    </xf>
    <xf numFmtId="3" fontId="80" fillId="2" borderId="24" xfId="0" applyNumberFormat="1" applyFont="1" applyFill="1" applyBorder="1" applyAlignment="1" applyProtection="1">
      <alignment horizontal="centerContinuous" vertical="center"/>
    </xf>
    <xf numFmtId="3" fontId="77" fillId="2" borderId="38" xfId="0" applyNumberFormat="1" applyFont="1" applyFill="1" applyBorder="1" applyAlignment="1" applyProtection="1">
      <alignment horizontal="center" vertical="center"/>
    </xf>
    <xf numFmtId="3" fontId="77" fillId="2" borderId="7" xfId="0" applyNumberFormat="1" applyFont="1" applyFill="1" applyBorder="1" applyAlignment="1" applyProtection="1">
      <alignment horizontal="center" vertical="center"/>
    </xf>
    <xf numFmtId="3" fontId="77" fillId="2" borderId="34" xfId="0" applyNumberFormat="1" applyFont="1" applyFill="1" applyBorder="1" applyAlignment="1" applyProtection="1">
      <alignment horizontal="center" vertical="center"/>
    </xf>
    <xf numFmtId="3" fontId="77" fillId="2" borderId="44" xfId="0" applyNumberFormat="1" applyFont="1" applyFill="1" applyBorder="1" applyAlignment="1" applyProtection="1">
      <alignment horizontal="center" vertical="center"/>
    </xf>
    <xf numFmtId="3" fontId="77" fillId="2" borderId="43" xfId="0" applyNumberFormat="1" applyFont="1" applyFill="1" applyBorder="1" applyAlignment="1" applyProtection="1">
      <alignment horizontal="center" vertical="center"/>
    </xf>
    <xf numFmtId="3" fontId="77" fillId="2" borderId="39" xfId="0" applyNumberFormat="1" applyFont="1" applyFill="1" applyBorder="1" applyAlignment="1" applyProtection="1">
      <alignment horizontal="center" vertical="center"/>
    </xf>
    <xf numFmtId="3" fontId="77" fillId="2" borderId="17" xfId="0" applyNumberFormat="1" applyFont="1" applyFill="1" applyBorder="1" applyAlignment="1" applyProtection="1">
      <alignment horizontal="center" vertical="center"/>
    </xf>
    <xf numFmtId="3" fontId="77" fillId="2" borderId="18" xfId="0" applyNumberFormat="1" applyFont="1" applyFill="1" applyBorder="1" applyAlignment="1" applyProtection="1">
      <alignment horizontal="center" vertical="center"/>
    </xf>
    <xf numFmtId="3" fontId="77" fillId="2" borderId="16" xfId="0" applyNumberFormat="1" applyFont="1" applyFill="1" applyBorder="1" applyAlignment="1" applyProtection="1">
      <alignment horizontal="center" vertical="center"/>
    </xf>
    <xf numFmtId="3" fontId="81" fillId="2" borderId="38" xfId="0" applyNumberFormat="1" applyFont="1" applyFill="1" applyBorder="1" applyAlignment="1" applyProtection="1">
      <alignment horizontal="center" vertical="center"/>
    </xf>
    <xf numFmtId="3" fontId="61" fillId="2" borderId="31" xfId="0" applyNumberFormat="1" applyFont="1" applyFill="1" applyBorder="1" applyProtection="1"/>
    <xf numFmtId="3" fontId="61" fillId="2" borderId="63" xfId="0" applyNumberFormat="1" applyFont="1" applyFill="1" applyBorder="1" applyProtection="1"/>
    <xf numFmtId="3" fontId="61" fillId="2" borderId="58" xfId="0" applyNumberFormat="1" applyFont="1" applyFill="1" applyBorder="1" applyAlignment="1" applyProtection="1">
      <alignment horizontal="center"/>
    </xf>
    <xf numFmtId="3" fontId="61" fillId="2" borderId="13" xfId="0" applyNumberFormat="1" applyFont="1" applyFill="1" applyBorder="1" applyAlignment="1" applyProtection="1">
      <alignment horizontal="center"/>
    </xf>
    <xf numFmtId="0" fontId="77" fillId="2" borderId="64" xfId="0" applyFont="1" applyFill="1" applyBorder="1" applyAlignment="1" applyProtection="1">
      <alignment horizontal="centerContinuous" vertical="center"/>
    </xf>
    <xf numFmtId="0" fontId="77" fillId="2" borderId="16" xfId="0" applyFont="1" applyFill="1" applyBorder="1" applyAlignment="1" applyProtection="1">
      <alignment horizontal="center" vertical="center" wrapText="1"/>
    </xf>
    <xf numFmtId="0" fontId="77" fillId="2" borderId="17" xfId="0" applyFont="1" applyFill="1" applyBorder="1" applyAlignment="1" applyProtection="1">
      <alignment horizontal="center" vertical="center" wrapText="1"/>
    </xf>
    <xf numFmtId="0" fontId="77" fillId="2" borderId="18"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80" fillId="2" borderId="38" xfId="0" applyFont="1" applyFill="1" applyBorder="1" applyAlignment="1" applyProtection="1">
      <alignment horizontal="center" vertical="center" wrapText="1"/>
    </xf>
    <xf numFmtId="1" fontId="60" fillId="2" borderId="46" xfId="0" applyNumberFormat="1" applyFont="1" applyFill="1" applyBorder="1" applyAlignment="1" applyProtection="1">
      <alignment horizontal="center" vertical="center"/>
    </xf>
    <xf numFmtId="3" fontId="60" fillId="2" borderId="48" xfId="0" applyNumberFormat="1" applyFont="1" applyFill="1" applyBorder="1" applyAlignment="1" applyProtection="1">
      <alignment horizontal="center" vertical="center" wrapText="1"/>
    </xf>
    <xf numFmtId="3" fontId="77" fillId="2" borderId="48" xfId="0" applyNumberFormat="1" applyFont="1" applyFill="1" applyBorder="1" applyAlignment="1" applyProtection="1">
      <alignment horizontal="center" vertical="center"/>
    </xf>
    <xf numFmtId="3" fontId="77" fillId="2" borderId="47" xfId="0" applyNumberFormat="1" applyFont="1" applyFill="1" applyBorder="1" applyAlignment="1" applyProtection="1">
      <alignment horizontal="center" vertical="center"/>
    </xf>
    <xf numFmtId="3" fontId="77" fillId="2" borderId="46" xfId="0" applyNumberFormat="1" applyFont="1" applyFill="1" applyBorder="1" applyAlignment="1" applyProtection="1">
      <alignment horizontal="center" vertical="center"/>
    </xf>
    <xf numFmtId="3" fontId="62" fillId="2" borderId="0" xfId="0" applyNumberFormat="1" applyFont="1" applyFill="1" applyAlignment="1" applyProtection="1">
      <alignment vertical="center"/>
    </xf>
    <xf numFmtId="1" fontId="60" fillId="2" borderId="46" xfId="0" applyNumberFormat="1" applyFont="1" applyFill="1" applyBorder="1" applyAlignment="1" applyProtection="1">
      <alignment horizontal="center" vertical="center" wrapText="1"/>
    </xf>
    <xf numFmtId="3" fontId="81" fillId="2" borderId="35" xfId="0" applyNumberFormat="1" applyFont="1" applyFill="1" applyBorder="1" applyAlignment="1" applyProtection="1">
      <alignment horizontal="center" vertical="center"/>
    </xf>
    <xf numFmtId="3" fontId="77" fillId="2" borderId="29" xfId="0" applyNumberFormat="1" applyFont="1" applyFill="1" applyBorder="1" applyAlignment="1" applyProtection="1">
      <alignment horizontal="center" vertical="center"/>
    </xf>
    <xf numFmtId="3" fontId="62" fillId="2" borderId="4" xfId="0" applyNumberFormat="1" applyFont="1" applyFill="1" applyBorder="1" applyAlignment="1" applyProtection="1">
      <alignment horizontal="center" vertical="center"/>
    </xf>
    <xf numFmtId="3" fontId="62" fillId="2" borderId="6" xfId="0" applyNumberFormat="1" applyFont="1" applyFill="1" applyBorder="1" applyAlignment="1" applyProtection="1">
      <alignment horizontal="left" vertical="center"/>
    </xf>
    <xf numFmtId="3" fontId="62" fillId="2" borderId="65" xfId="0" applyNumberFormat="1" applyFont="1" applyFill="1" applyBorder="1" applyAlignment="1" applyProtection="1">
      <alignment vertical="center"/>
    </xf>
    <xf numFmtId="3" fontId="62" fillId="2" borderId="0" xfId="0" applyNumberFormat="1" applyFont="1" applyFill="1" applyBorder="1" applyAlignment="1" applyProtection="1">
      <alignment vertical="center"/>
    </xf>
    <xf numFmtId="10" fontId="62" fillId="2" borderId="30" xfId="0" applyNumberFormat="1" applyFont="1" applyFill="1" applyBorder="1" applyAlignment="1" applyProtection="1">
      <alignment vertical="center"/>
    </xf>
    <xf numFmtId="3" fontId="62" fillId="2" borderId="43" xfId="0" applyNumberFormat="1" applyFont="1" applyFill="1" applyBorder="1" applyAlignment="1" applyProtection="1">
      <alignment vertical="center"/>
    </xf>
    <xf numFmtId="0" fontId="59" fillId="2" borderId="25" xfId="0" applyFont="1" applyFill="1" applyBorder="1" applyAlignment="1" applyProtection="1">
      <alignment wrapText="1"/>
    </xf>
    <xf numFmtId="3" fontId="80" fillId="2" borderId="21" xfId="0" applyNumberFormat="1" applyFont="1" applyFill="1" applyBorder="1" applyProtection="1"/>
    <xf numFmtId="3" fontId="80" fillId="2" borderId="23" xfId="0" applyNumberFormat="1" applyFont="1" applyFill="1" applyBorder="1" applyProtection="1"/>
    <xf numFmtId="3" fontId="80" fillId="2" borderId="24" xfId="0" applyNumberFormat="1" applyFont="1" applyFill="1" applyBorder="1" applyProtection="1"/>
    <xf numFmtId="3" fontId="80" fillId="2" borderId="0" xfId="0" applyNumberFormat="1" applyFont="1" applyFill="1" applyBorder="1" applyProtection="1"/>
    <xf numFmtId="0" fontId="80" fillId="3" borderId="21" xfId="0" applyFont="1" applyFill="1" applyBorder="1" applyAlignment="1" applyProtection="1">
      <alignment wrapText="1"/>
    </xf>
    <xf numFmtId="3" fontId="80" fillId="3" borderId="23" xfId="0" applyNumberFormat="1" applyFont="1" applyFill="1" applyBorder="1" applyAlignment="1" applyProtection="1">
      <alignment horizontal="right"/>
    </xf>
    <xf numFmtId="3" fontId="80" fillId="3" borderId="24" xfId="0" applyNumberFormat="1" applyFont="1" applyFill="1" applyBorder="1" applyAlignment="1" applyProtection="1">
      <alignment horizontal="right"/>
    </xf>
    <xf numFmtId="0" fontId="80" fillId="2" borderId="25" xfId="0" applyFont="1" applyFill="1" applyBorder="1" applyAlignment="1" applyProtection="1">
      <alignment wrapText="1"/>
    </xf>
    <xf numFmtId="3" fontId="80" fillId="2" borderId="21" xfId="0" applyNumberFormat="1" applyFont="1" applyFill="1" applyBorder="1" applyAlignment="1" applyProtection="1">
      <alignment horizontal="right"/>
    </xf>
    <xf numFmtId="3" fontId="80" fillId="2" borderId="23" xfId="0" applyNumberFormat="1" applyFont="1" applyFill="1" applyBorder="1" applyAlignment="1" applyProtection="1">
      <alignment horizontal="right"/>
    </xf>
    <xf numFmtId="3" fontId="80" fillId="2" borderId="24" xfId="0" applyNumberFormat="1" applyFont="1" applyFill="1" applyBorder="1" applyAlignment="1" applyProtection="1">
      <alignment horizontal="right"/>
    </xf>
    <xf numFmtId="1" fontId="80" fillId="2" borderId="46" xfId="0" applyNumberFormat="1" applyFont="1" applyFill="1" applyBorder="1" applyAlignment="1" applyProtection="1">
      <alignment horizontal="center" vertical="center"/>
    </xf>
    <xf numFmtId="3" fontId="82" fillId="2" borderId="35" xfId="0" applyNumberFormat="1" applyFont="1" applyFill="1" applyBorder="1" applyAlignment="1" applyProtection="1">
      <alignment vertical="center" wrapText="1"/>
    </xf>
    <xf numFmtId="3" fontId="77" fillId="2" borderId="28" xfId="0" applyNumberFormat="1" applyFont="1" applyFill="1" applyBorder="1" applyAlignment="1" applyProtection="1">
      <alignment horizontal="right" vertical="center"/>
    </xf>
    <xf numFmtId="3" fontId="61" fillId="2" borderId="0" xfId="0" applyNumberFormat="1" applyFont="1" applyFill="1" applyBorder="1" applyAlignment="1" applyProtection="1">
      <alignment horizontal="right" vertical="center"/>
    </xf>
    <xf numFmtId="3" fontId="77" fillId="2" borderId="35" xfId="0" applyNumberFormat="1" applyFont="1" applyFill="1" applyBorder="1" applyAlignment="1" applyProtection="1">
      <alignment horizontal="right" vertical="center"/>
    </xf>
    <xf numFmtId="3" fontId="77" fillId="2" borderId="29" xfId="0" applyNumberFormat="1" applyFont="1" applyFill="1" applyBorder="1" applyAlignment="1" applyProtection="1">
      <alignment horizontal="right" vertical="center"/>
    </xf>
    <xf numFmtId="164" fontId="64" fillId="2" borderId="35" xfId="0" applyNumberFormat="1" applyFont="1" applyFill="1" applyBorder="1" applyAlignment="1" applyProtection="1">
      <alignment horizontal="center" vertical="center"/>
    </xf>
    <xf numFmtId="3" fontId="66" fillId="2" borderId="29" xfId="0" applyNumberFormat="1" applyFont="1" applyFill="1" applyBorder="1" applyAlignment="1" applyProtection="1">
      <alignment vertical="center" wrapText="1"/>
    </xf>
    <xf numFmtId="3" fontId="83" fillId="2" borderId="54" xfId="0" applyNumberFormat="1" applyFont="1" applyFill="1" applyBorder="1" applyAlignment="1" applyProtection="1">
      <alignment horizontal="right" vertical="center"/>
    </xf>
    <xf numFmtId="3" fontId="83" fillId="2" borderId="28" xfId="0" applyNumberFormat="1" applyFont="1" applyFill="1" applyBorder="1" applyAlignment="1" applyProtection="1">
      <alignment horizontal="right" vertical="center"/>
    </xf>
    <xf numFmtId="3" fontId="83" fillId="2" borderId="36" xfId="0" applyNumberFormat="1" applyFont="1" applyFill="1" applyBorder="1" applyAlignment="1" applyProtection="1">
      <alignment horizontal="right" vertical="center"/>
    </xf>
    <xf numFmtId="3" fontId="83" fillId="2" borderId="35" xfId="0" applyNumberFormat="1" applyFont="1" applyFill="1" applyBorder="1" applyAlignment="1" applyProtection="1">
      <alignment horizontal="right" vertical="center"/>
    </xf>
    <xf numFmtId="3" fontId="83" fillId="2" borderId="29" xfId="0" applyNumberFormat="1" applyFont="1" applyFill="1" applyBorder="1" applyAlignment="1" applyProtection="1">
      <alignment horizontal="right" vertical="center"/>
    </xf>
    <xf numFmtId="3" fontId="84" fillId="2" borderId="55" xfId="0" applyNumberFormat="1" applyFont="1" applyFill="1" applyBorder="1" applyAlignment="1" applyProtection="1">
      <alignment horizontal="right" vertical="center"/>
    </xf>
    <xf numFmtId="3" fontId="83" fillId="2" borderId="66" xfId="0" applyNumberFormat="1" applyFont="1" applyFill="1" applyBorder="1" applyAlignment="1" applyProtection="1">
      <alignment horizontal="right" vertical="center"/>
    </xf>
    <xf numFmtId="3" fontId="62" fillId="0" borderId="7" xfId="0" applyNumberFormat="1" applyFont="1" applyFill="1" applyBorder="1" applyAlignment="1" applyProtection="1">
      <alignment vertical="center"/>
    </xf>
    <xf numFmtId="3" fontId="62" fillId="2" borderId="7" xfId="0" applyNumberFormat="1" applyFont="1" applyFill="1" applyBorder="1" applyAlignment="1" applyProtection="1">
      <alignment vertical="center"/>
    </xf>
    <xf numFmtId="10" fontId="62" fillId="2" borderId="8" xfId="0" applyNumberFormat="1" applyFont="1" applyFill="1" applyBorder="1" applyAlignment="1" applyProtection="1">
      <alignment vertical="center"/>
    </xf>
    <xf numFmtId="3" fontId="62" fillId="2" borderId="34" xfId="0" applyNumberFormat="1" applyFont="1" applyFill="1" applyBorder="1" applyAlignment="1" applyProtection="1">
      <alignment vertical="center"/>
    </xf>
    <xf numFmtId="0" fontId="59" fillId="2" borderId="26" xfId="0" applyFont="1" applyFill="1" applyBorder="1" applyAlignment="1" applyProtection="1">
      <alignment wrapText="1"/>
    </xf>
    <xf numFmtId="3" fontId="80" fillId="2" borderId="5" xfId="0" applyNumberFormat="1" applyFont="1" applyFill="1" applyBorder="1" applyProtection="1"/>
    <xf numFmtId="3" fontId="80" fillId="2" borderId="8" xfId="0" applyNumberFormat="1" applyFont="1" applyFill="1" applyBorder="1" applyProtection="1"/>
    <xf numFmtId="3" fontId="80" fillId="2" borderId="9" xfId="0" applyNumberFormat="1" applyFont="1" applyFill="1" applyBorder="1" applyProtection="1"/>
    <xf numFmtId="0" fontId="62" fillId="3" borderId="5" xfId="0" applyFont="1" applyFill="1" applyBorder="1" applyAlignment="1" applyProtection="1">
      <alignment wrapText="1"/>
    </xf>
    <xf numFmtId="3" fontId="85" fillId="2" borderId="8" xfId="0" applyNumberFormat="1" applyFont="1" applyFill="1" applyBorder="1" applyAlignment="1" applyProtection="1">
      <alignment horizontal="right" wrapText="1"/>
    </xf>
    <xf numFmtId="3" fontId="85" fillId="2" borderId="9" xfId="0" applyNumberFormat="1" applyFont="1" applyFill="1" applyBorder="1" applyAlignment="1" applyProtection="1">
      <alignment horizontal="right" wrapText="1"/>
    </xf>
    <xf numFmtId="0" fontId="62" fillId="2" borderId="26" xfId="0" applyFont="1" applyFill="1" applyBorder="1" applyAlignment="1" applyProtection="1">
      <alignment wrapText="1"/>
    </xf>
    <xf numFmtId="3" fontId="85" fillId="2" borderId="5" xfId="0" applyNumberFormat="1" applyFont="1" applyFill="1" applyBorder="1" applyAlignment="1" applyProtection="1">
      <alignment horizontal="right" wrapText="1"/>
    </xf>
    <xf numFmtId="1" fontId="80" fillId="2" borderId="20" xfId="0" applyNumberFormat="1" applyFont="1" applyFill="1" applyBorder="1" applyAlignment="1" applyProtection="1">
      <alignment horizontal="center" vertical="center"/>
    </xf>
    <xf numFmtId="3" fontId="66" fillId="2" borderId="20" xfId="0" applyNumberFormat="1" applyFont="1" applyFill="1" applyBorder="1" applyAlignment="1" applyProtection="1">
      <alignment vertical="center" wrapText="1"/>
    </xf>
    <xf numFmtId="3" fontId="77" fillId="2" borderId="0" xfId="0" applyNumberFormat="1" applyFont="1" applyFill="1" applyBorder="1" applyAlignment="1" applyProtection="1">
      <alignment horizontal="right" vertical="center"/>
    </xf>
    <xf numFmtId="3" fontId="77" fillId="2" borderId="40" xfId="0" applyNumberFormat="1" applyFont="1" applyFill="1" applyBorder="1" applyAlignment="1" applyProtection="1">
      <alignment horizontal="right" vertical="center"/>
    </xf>
    <xf numFmtId="3" fontId="77" fillId="2" borderId="20" xfId="0" applyNumberFormat="1" applyFont="1" applyFill="1" applyBorder="1" applyAlignment="1" applyProtection="1">
      <alignment horizontal="right" vertical="center"/>
    </xf>
    <xf numFmtId="3" fontId="84" fillId="2" borderId="46" xfId="0" applyNumberFormat="1" applyFont="1" applyFill="1" applyBorder="1" applyAlignment="1" applyProtection="1">
      <alignment horizontal="right" vertical="center"/>
    </xf>
    <xf numFmtId="3" fontId="83" fillId="2" borderId="47" xfId="0" applyNumberFormat="1" applyFont="1" applyFill="1" applyBorder="1" applyAlignment="1" applyProtection="1">
      <alignment horizontal="right" vertical="center"/>
    </xf>
    <xf numFmtId="3" fontId="61" fillId="2" borderId="4" xfId="0" applyNumberFormat="1" applyFont="1" applyFill="1" applyBorder="1" applyAlignment="1" applyProtection="1">
      <alignment vertical="center"/>
    </xf>
    <xf numFmtId="10" fontId="61" fillId="2" borderId="8" xfId="0" applyNumberFormat="1" applyFont="1" applyFill="1" applyBorder="1" applyAlignment="1" applyProtection="1">
      <alignment vertical="center"/>
    </xf>
    <xf numFmtId="3" fontId="61" fillId="2" borderId="7" xfId="0" applyNumberFormat="1" applyFont="1" applyFill="1" applyBorder="1" applyAlignment="1" applyProtection="1">
      <alignment vertical="center"/>
    </xf>
    <xf numFmtId="3" fontId="61" fillId="2" borderId="34" xfId="0" applyNumberFormat="1" applyFont="1" applyFill="1" applyBorder="1" applyAlignment="1" applyProtection="1">
      <alignment vertical="center"/>
    </xf>
    <xf numFmtId="0" fontId="61" fillId="2" borderId="26" xfId="0" applyFont="1" applyFill="1" applyBorder="1" applyAlignment="1" applyProtection="1">
      <alignment vertical="center" wrapText="1"/>
    </xf>
    <xf numFmtId="3" fontId="85" fillId="2" borderId="5" xfId="0" applyNumberFormat="1" applyFont="1" applyFill="1" applyBorder="1" applyAlignment="1" applyProtection="1">
      <alignment vertical="center"/>
    </xf>
    <xf numFmtId="3" fontId="85" fillId="2" borderId="8" xfId="0" applyNumberFormat="1" applyFont="1" applyFill="1" applyBorder="1" applyAlignment="1" applyProtection="1">
      <alignment vertical="center"/>
    </xf>
    <xf numFmtId="3" fontId="85" fillId="2" borderId="9" xfId="0" applyNumberFormat="1" applyFont="1" applyFill="1" applyBorder="1" applyAlignment="1" applyProtection="1">
      <alignment vertical="center"/>
    </xf>
    <xf numFmtId="3" fontId="85" fillId="2" borderId="0" xfId="0" applyNumberFormat="1" applyFont="1" applyFill="1" applyBorder="1" applyAlignment="1" applyProtection="1">
      <alignment vertical="center"/>
    </xf>
    <xf numFmtId="0" fontId="62" fillId="3" borderId="5" xfId="0" applyFont="1" applyFill="1" applyBorder="1" applyAlignment="1" applyProtection="1">
      <alignment horizontal="left" wrapText="1" indent="1"/>
    </xf>
    <xf numFmtId="3" fontId="85" fillId="2" borderId="8" xfId="0" applyNumberFormat="1" applyFont="1" applyFill="1" applyBorder="1" applyAlignment="1" applyProtection="1">
      <alignment horizontal="right" vertical="center" wrapText="1"/>
    </xf>
    <xf numFmtId="3" fontId="85" fillId="2" borderId="9" xfId="0" applyNumberFormat="1" applyFont="1" applyFill="1" applyBorder="1" applyAlignment="1" applyProtection="1">
      <alignment horizontal="right" vertical="center" wrapText="1"/>
    </xf>
    <xf numFmtId="0" fontId="62" fillId="2" borderId="26" xfId="0" applyFont="1" applyFill="1" applyBorder="1" applyAlignment="1" applyProtection="1">
      <alignment horizontal="left" wrapText="1" indent="1"/>
    </xf>
    <xf numFmtId="3" fontId="85" fillId="2" borderId="5" xfId="0" applyNumberFormat="1" applyFont="1" applyFill="1" applyBorder="1" applyAlignment="1" applyProtection="1">
      <alignment horizontal="right" vertical="center" wrapText="1"/>
    </xf>
    <xf numFmtId="1" fontId="80" fillId="2" borderId="25" xfId="0" applyNumberFormat="1" applyFont="1" applyFill="1" applyBorder="1" applyAlignment="1" applyProtection="1">
      <alignment horizontal="center" vertical="center"/>
    </xf>
    <xf numFmtId="3" fontId="69" fillId="2" borderId="25" xfId="0" applyNumberFormat="1" applyFont="1" applyFill="1" applyBorder="1" applyAlignment="1" applyProtection="1">
      <alignment vertical="center" wrapText="1"/>
    </xf>
    <xf numFmtId="3" fontId="77" fillId="2" borderId="21" xfId="0" applyNumberFormat="1" applyFont="1" applyFill="1" applyBorder="1" applyAlignment="1" applyProtection="1">
      <alignment horizontal="right" vertical="center"/>
    </xf>
    <xf numFmtId="3" fontId="77" fillId="2" borderId="23" xfId="0" applyNumberFormat="1" applyFont="1" applyFill="1" applyBorder="1" applyAlignment="1" applyProtection="1">
      <alignment horizontal="right" vertical="center"/>
    </xf>
    <xf numFmtId="3" fontId="77" fillId="2" borderId="24" xfId="0" applyNumberFormat="1" applyFont="1" applyFill="1" applyBorder="1" applyAlignment="1" applyProtection="1">
      <alignment horizontal="right" vertical="center"/>
    </xf>
    <xf numFmtId="3" fontId="77" fillId="2" borderId="62" xfId="0" applyNumberFormat="1" applyFont="1" applyFill="1" applyBorder="1" applyAlignment="1" applyProtection="1">
      <alignment horizontal="right" vertical="center"/>
    </xf>
    <xf numFmtId="3" fontId="77" fillId="2" borderId="50" xfId="0" applyNumberFormat="1" applyFont="1" applyFill="1" applyBorder="1" applyAlignment="1" applyProtection="1">
      <alignment horizontal="right" vertical="center"/>
    </xf>
    <xf numFmtId="164" fontId="66" fillId="2" borderId="21" xfId="0" applyNumberFormat="1" applyFont="1" applyFill="1" applyBorder="1" applyAlignment="1" applyProtection="1">
      <alignment horizontal="center" vertical="center"/>
    </xf>
    <xf numFmtId="3" fontId="69" fillId="2" borderId="50" xfId="0" applyNumberFormat="1" applyFont="1" applyFill="1" applyBorder="1" applyAlignment="1" applyProtection="1">
      <alignment vertical="center" wrapText="1"/>
    </xf>
    <xf numFmtId="3" fontId="83" fillId="2" borderId="21" xfId="0" applyNumberFormat="1" applyFont="1" applyFill="1" applyBorder="1" applyAlignment="1" applyProtection="1">
      <alignment horizontal="right" vertical="center"/>
    </xf>
    <xf numFmtId="3" fontId="83" fillId="2" borderId="23" xfId="0" applyNumberFormat="1" applyFont="1" applyFill="1" applyBorder="1" applyAlignment="1" applyProtection="1">
      <alignment horizontal="right" vertical="center"/>
    </xf>
    <xf numFmtId="3" fontId="83" fillId="2" borderId="24" xfId="0" applyNumberFormat="1" applyFont="1" applyFill="1" applyBorder="1" applyAlignment="1" applyProtection="1">
      <alignment horizontal="right" vertical="center"/>
    </xf>
    <xf numFmtId="3" fontId="83" fillId="2" borderId="50" xfId="0" applyNumberFormat="1" applyFont="1" applyFill="1" applyBorder="1" applyAlignment="1" applyProtection="1">
      <alignment horizontal="right" vertical="center"/>
    </xf>
    <xf numFmtId="3" fontId="84" fillId="2" borderId="67" xfId="0" applyNumberFormat="1" applyFont="1" applyFill="1" applyBorder="1" applyAlignment="1" applyProtection="1">
      <alignment horizontal="right" vertical="center"/>
    </xf>
    <xf numFmtId="3" fontId="83" fillId="2" borderId="68" xfId="0" applyNumberFormat="1" applyFont="1" applyFill="1" applyBorder="1" applyAlignment="1" applyProtection="1">
      <alignment horizontal="right" vertical="center"/>
    </xf>
    <xf numFmtId="0" fontId="61" fillId="2" borderId="26" xfId="0" applyFont="1" applyFill="1" applyBorder="1" applyAlignment="1" applyProtection="1">
      <alignment horizontal="left" vertical="center" wrapText="1"/>
    </xf>
    <xf numFmtId="3" fontId="85" fillId="2" borderId="8" xfId="0" applyNumberFormat="1" applyFont="1" applyFill="1" applyBorder="1" applyAlignment="1" applyProtection="1">
      <alignment horizontal="right"/>
    </xf>
    <xf numFmtId="3" fontId="85" fillId="2" borderId="9" xfId="0" applyNumberFormat="1" applyFont="1" applyFill="1" applyBorder="1" applyAlignment="1" applyProtection="1">
      <alignment horizontal="right"/>
    </xf>
    <xf numFmtId="165" fontId="64" fillId="2" borderId="26" xfId="0" applyNumberFormat="1" applyFont="1" applyFill="1" applyBorder="1" applyAlignment="1" applyProtection="1">
      <alignment horizontal="left" vertical="center" indent="3"/>
    </xf>
    <xf numFmtId="3" fontId="85" fillId="2" borderId="5" xfId="0" applyNumberFormat="1" applyFont="1" applyFill="1" applyBorder="1" applyAlignment="1" applyProtection="1">
      <alignment horizontal="right"/>
    </xf>
    <xf numFmtId="1" fontId="60" fillId="2" borderId="26" xfId="0" applyNumberFormat="1" applyFont="1" applyFill="1" applyBorder="1" applyAlignment="1" applyProtection="1">
      <alignment horizontal="center" vertical="center" wrapText="1"/>
    </xf>
    <xf numFmtId="3" fontId="60" fillId="2" borderId="45" xfId="0" applyNumberFormat="1" applyFont="1" applyFill="1" applyBorder="1" applyAlignment="1" applyProtection="1">
      <alignment horizontal="center" vertical="center" wrapText="1"/>
    </xf>
    <xf numFmtId="3" fontId="77" fillId="2" borderId="26" xfId="0" applyNumberFormat="1" applyFont="1" applyFill="1" applyBorder="1" applyAlignment="1" applyProtection="1">
      <alignment horizontal="center" vertical="center"/>
    </xf>
    <xf numFmtId="3" fontId="77" fillId="2" borderId="45" xfId="0" applyNumberFormat="1" applyFont="1" applyFill="1" applyBorder="1" applyAlignment="1" applyProtection="1">
      <alignment horizontal="center" vertical="center"/>
    </xf>
    <xf numFmtId="3" fontId="77" fillId="2" borderId="49" xfId="0" applyNumberFormat="1" applyFont="1" applyFill="1" applyBorder="1" applyAlignment="1" applyProtection="1">
      <alignment horizontal="center" vertical="center"/>
    </xf>
    <xf numFmtId="3" fontId="84" fillId="2" borderId="26" xfId="0" applyNumberFormat="1" applyFont="1" applyFill="1" applyBorder="1" applyAlignment="1" applyProtection="1">
      <alignment horizontal="right" vertical="center"/>
    </xf>
    <xf numFmtId="3" fontId="83" fillId="2" borderId="49" xfId="0" applyNumberFormat="1" applyFont="1" applyFill="1" applyBorder="1" applyAlignment="1" applyProtection="1">
      <alignment horizontal="right" vertical="center"/>
    </xf>
    <xf numFmtId="3" fontId="61" fillId="2" borderId="4" xfId="0" applyNumberFormat="1" applyFont="1" applyFill="1" applyBorder="1" applyAlignment="1" applyProtection="1">
      <alignment horizontal="center" vertical="center"/>
    </xf>
    <xf numFmtId="3" fontId="62" fillId="2" borderId="6" xfId="0" applyNumberFormat="1" applyFont="1" applyFill="1" applyBorder="1" applyAlignment="1" applyProtection="1">
      <alignment horizontal="left" vertical="center" wrapText="1"/>
    </xf>
    <xf numFmtId="10" fontId="62" fillId="2" borderId="65" xfId="0" applyNumberFormat="1" applyFont="1" applyFill="1" applyBorder="1" applyAlignment="1" applyProtection="1">
      <alignment horizontal="center" vertical="center"/>
    </xf>
    <xf numFmtId="3" fontId="85" fillId="2" borderId="8" xfId="0" applyNumberFormat="1" applyFont="1" applyFill="1" applyBorder="1" applyAlignment="1" applyProtection="1">
      <alignment horizontal="right" vertical="center"/>
    </xf>
    <xf numFmtId="3" fontId="85" fillId="2" borderId="9" xfId="0" applyNumberFormat="1" applyFont="1" applyFill="1" applyBorder="1" applyAlignment="1" applyProtection="1">
      <alignment horizontal="right" vertical="center"/>
    </xf>
    <xf numFmtId="49" fontId="64" fillId="2" borderId="26" xfId="0" applyNumberFormat="1" applyFont="1" applyFill="1" applyBorder="1" applyAlignment="1" applyProtection="1">
      <alignment horizontal="left" vertical="center" indent="3"/>
    </xf>
    <xf numFmtId="3" fontId="85" fillId="2" borderId="5" xfId="0" applyNumberFormat="1" applyFont="1" applyFill="1" applyBorder="1" applyAlignment="1" applyProtection="1">
      <alignment horizontal="right" vertical="center"/>
    </xf>
    <xf numFmtId="1" fontId="85" fillId="2" borderId="26" xfId="0" applyNumberFormat="1" applyFont="1" applyFill="1" applyBorder="1" applyAlignment="1" applyProtection="1">
      <alignment horizontal="center" vertical="center"/>
    </xf>
    <xf numFmtId="3" fontId="61" fillId="2" borderId="26" xfId="0" applyNumberFormat="1" applyFont="1" applyFill="1" applyBorder="1" applyAlignment="1" applyProtection="1">
      <alignment horizontal="left" vertical="center" wrapText="1"/>
    </xf>
    <xf numFmtId="3" fontId="83" fillId="4" borderId="5" xfId="0" applyNumberFormat="1" applyFont="1" applyFill="1" applyBorder="1" applyAlignment="1" applyProtection="1">
      <alignment vertical="center"/>
    </xf>
    <xf numFmtId="3" fontId="61" fillId="2" borderId="8" xfId="0" applyNumberFormat="1" applyFont="1" applyFill="1" applyBorder="1" applyAlignment="1" applyProtection="1">
      <alignment vertical="center"/>
    </xf>
    <xf numFmtId="3" fontId="61" fillId="2" borderId="9" xfId="0" applyNumberFormat="1" applyFont="1" applyFill="1" applyBorder="1" applyAlignment="1" applyProtection="1">
      <alignment vertical="center"/>
    </xf>
    <xf numFmtId="3" fontId="61" fillId="2" borderId="5" xfId="0" applyNumberFormat="1" applyFont="1" applyFill="1" applyBorder="1" applyAlignment="1" applyProtection="1">
      <alignment vertical="center"/>
    </xf>
    <xf numFmtId="3" fontId="83" fillId="4" borderId="8" xfId="0" applyNumberFormat="1" applyFont="1" applyFill="1" applyBorder="1" applyAlignment="1" applyProtection="1">
      <alignment vertical="center"/>
      <protection locked="0"/>
    </xf>
    <xf numFmtId="3" fontId="83" fillId="0" borderId="8" xfId="0" applyNumberFormat="1" applyFont="1" applyFill="1" applyBorder="1" applyAlignment="1" applyProtection="1">
      <alignment vertical="center"/>
    </xf>
    <xf numFmtId="3" fontId="83" fillId="4" borderId="5" xfId="0" applyNumberFormat="1" applyFont="1" applyFill="1" applyBorder="1" applyAlignment="1" applyProtection="1">
      <alignment vertical="center"/>
      <protection locked="0"/>
    </xf>
    <xf numFmtId="3" fontId="83" fillId="4" borderId="9" xfId="0" applyNumberFormat="1" applyFont="1" applyFill="1" applyBorder="1" applyAlignment="1" applyProtection="1">
      <alignment vertical="center"/>
      <protection locked="0"/>
    </xf>
    <xf numFmtId="164" fontId="60" fillId="2" borderId="67" xfId="0" applyNumberFormat="1" applyFont="1" applyFill="1" applyBorder="1" applyAlignment="1" applyProtection="1">
      <alignment horizontal="center" vertical="center"/>
    </xf>
    <xf numFmtId="3" fontId="60" fillId="2" borderId="69" xfId="0" applyNumberFormat="1" applyFont="1" applyFill="1" applyBorder="1" applyAlignment="1" applyProtection="1">
      <alignment horizontal="left" vertical="center" wrapText="1"/>
    </xf>
    <xf numFmtId="3" fontId="83" fillId="2" borderId="67" xfId="0" applyNumberFormat="1" applyFont="1" applyFill="1" applyBorder="1" applyAlignment="1" applyProtection="1">
      <alignment horizontal="right" vertical="center"/>
    </xf>
    <xf numFmtId="3" fontId="83" fillId="2" borderId="30" xfId="0" applyNumberFormat="1" applyFont="1" applyFill="1" applyBorder="1" applyAlignment="1" applyProtection="1">
      <alignment horizontal="right" vertical="center"/>
    </xf>
    <xf numFmtId="3" fontId="83" fillId="2" borderId="69" xfId="0" applyNumberFormat="1" applyFont="1" applyFill="1" applyBorder="1" applyAlignment="1" applyProtection="1">
      <alignment horizontal="right" vertical="center"/>
    </xf>
    <xf numFmtId="0" fontId="62" fillId="2" borderId="0" xfId="0" applyFont="1" applyFill="1" applyAlignment="1" applyProtection="1">
      <alignment vertical="center"/>
    </xf>
    <xf numFmtId="3" fontId="84" fillId="2" borderId="5" xfId="0" applyNumberFormat="1" applyFont="1" applyFill="1" applyBorder="1" applyAlignment="1" applyProtection="1">
      <alignment horizontal="right" vertical="center"/>
    </xf>
    <xf numFmtId="3" fontId="83" fillId="2" borderId="9" xfId="0" applyNumberFormat="1" applyFont="1" applyFill="1" applyBorder="1" applyAlignment="1" applyProtection="1">
      <alignment horizontal="right" vertical="center"/>
    </xf>
    <xf numFmtId="0" fontId="59" fillId="3" borderId="5" xfId="0" applyFont="1" applyFill="1" applyBorder="1" applyAlignment="1" applyProtection="1">
      <alignment wrapText="1"/>
    </xf>
    <xf numFmtId="3" fontId="64" fillId="2" borderId="8" xfId="0" applyNumberFormat="1" applyFont="1" applyFill="1" applyBorder="1" applyAlignment="1" applyProtection="1">
      <alignment horizontal="right" vertical="center"/>
    </xf>
    <xf numFmtId="165" fontId="64" fillId="2" borderId="26" xfId="0" applyNumberFormat="1" applyFont="1" applyFill="1" applyBorder="1" applyAlignment="1" applyProtection="1">
      <alignment horizontal="left" wrapText="1" indent="3"/>
    </xf>
    <xf numFmtId="3" fontId="61" fillId="2" borderId="0" xfId="0" applyNumberFormat="1" applyFont="1" applyFill="1" applyAlignment="1" applyProtection="1">
      <alignment vertical="center"/>
    </xf>
    <xf numFmtId="3" fontId="62" fillId="2" borderId="4" xfId="0" applyNumberFormat="1" applyFont="1" applyFill="1" applyBorder="1" applyAlignment="1" applyProtection="1">
      <alignment vertical="center"/>
    </xf>
    <xf numFmtId="0" fontId="61" fillId="2" borderId="26" xfId="0" applyFont="1" applyFill="1" applyBorder="1" applyAlignment="1" applyProtection="1">
      <alignment horizontal="left" wrapText="1"/>
    </xf>
    <xf numFmtId="3" fontId="80" fillId="2" borderId="5" xfId="0" applyNumberFormat="1" applyFont="1" applyFill="1" applyBorder="1" applyAlignment="1" applyProtection="1">
      <alignment vertical="center"/>
    </xf>
    <xf numFmtId="3" fontId="80" fillId="2" borderId="8" xfId="0" applyNumberFormat="1" applyFont="1" applyFill="1" applyBorder="1" applyAlignment="1" applyProtection="1">
      <alignment vertical="center"/>
    </xf>
    <xf numFmtId="3" fontId="80" fillId="2" borderId="9" xfId="0" applyNumberFormat="1" applyFont="1" applyFill="1" applyBorder="1" applyAlignment="1" applyProtection="1">
      <alignment vertical="center"/>
    </xf>
    <xf numFmtId="3" fontId="80" fillId="2" borderId="0" xfId="0" applyNumberFormat="1" applyFont="1" applyFill="1" applyBorder="1" applyAlignment="1" applyProtection="1">
      <alignment vertical="center"/>
    </xf>
    <xf numFmtId="0" fontId="80" fillId="3" borderId="5" xfId="0" applyFont="1" applyFill="1" applyBorder="1" applyAlignment="1" applyProtection="1">
      <alignment wrapText="1"/>
    </xf>
    <xf numFmtId="0" fontId="62" fillId="2" borderId="26" xfId="0" applyFont="1" applyFill="1" applyBorder="1" applyAlignment="1" applyProtection="1">
      <alignment horizontal="left" wrapText="1" indent="2"/>
    </xf>
    <xf numFmtId="164" fontId="60" fillId="2" borderId="5" xfId="0" applyNumberFormat="1" applyFont="1" applyFill="1" applyBorder="1" applyAlignment="1" applyProtection="1">
      <alignment horizontal="center" vertical="center"/>
    </xf>
    <xf numFmtId="3" fontId="77" fillId="2" borderId="11" xfId="0" applyNumberFormat="1" applyFont="1" applyFill="1" applyBorder="1" applyAlignment="1" applyProtection="1">
      <alignment horizontal="left" vertical="center" wrapText="1"/>
    </xf>
    <xf numFmtId="3" fontId="83" fillId="2" borderId="5" xfId="0" applyNumberFormat="1" applyFont="1" applyFill="1" applyBorder="1" applyAlignment="1" applyProtection="1">
      <alignment vertical="center"/>
    </xf>
    <xf numFmtId="3" fontId="83" fillId="2" borderId="8" xfId="0" applyNumberFormat="1" applyFont="1" applyFill="1" applyBorder="1" applyAlignment="1" applyProtection="1">
      <alignment vertical="center"/>
    </xf>
    <xf numFmtId="3" fontId="83" fillId="2" borderId="9" xfId="0" applyNumberFormat="1" applyFont="1" applyFill="1" applyBorder="1" applyAlignment="1" applyProtection="1">
      <alignment vertical="center"/>
    </xf>
    <xf numFmtId="3" fontId="83" fillId="2" borderId="11" xfId="0" applyNumberFormat="1" applyFont="1" applyFill="1" applyBorder="1" applyAlignment="1" applyProtection="1">
      <alignment vertical="center"/>
    </xf>
    <xf numFmtId="3" fontId="84" fillId="2" borderId="5" xfId="0" applyNumberFormat="1" applyFont="1" applyFill="1" applyBorder="1" applyAlignment="1" applyProtection="1">
      <alignment vertical="center"/>
    </xf>
    <xf numFmtId="3" fontId="85" fillId="2" borderId="5" xfId="0" applyNumberFormat="1" applyFont="1" applyFill="1" applyBorder="1" applyProtection="1"/>
    <xf numFmtId="3" fontId="85" fillId="2" borderId="8" xfId="0" applyNumberFormat="1" applyFont="1" applyFill="1" applyBorder="1" applyProtection="1"/>
    <xf numFmtId="3" fontId="85" fillId="2" borderId="9" xfId="0" applyNumberFormat="1" applyFont="1" applyFill="1" applyBorder="1" applyProtection="1"/>
    <xf numFmtId="3" fontId="85" fillId="2" borderId="0" xfId="0" applyNumberFormat="1" applyFont="1" applyFill="1" applyBorder="1" applyProtection="1"/>
    <xf numFmtId="0" fontId="62" fillId="2" borderId="26" xfId="0" applyFont="1" applyFill="1" applyBorder="1" applyAlignment="1" applyProtection="1">
      <alignment horizontal="left" vertical="center" wrapText="1" indent="2"/>
    </xf>
    <xf numFmtId="1" fontId="85" fillId="2" borderId="57" xfId="0" applyNumberFormat="1" applyFont="1" applyFill="1" applyBorder="1" applyAlignment="1" applyProtection="1">
      <alignment horizontal="center" vertical="center"/>
    </xf>
    <xf numFmtId="3" fontId="83" fillId="4" borderId="16" xfId="0" applyNumberFormat="1" applyFont="1" applyFill="1" applyBorder="1" applyAlignment="1" applyProtection="1">
      <alignment vertical="center"/>
    </xf>
    <xf numFmtId="3" fontId="61" fillId="2" borderId="17" xfId="0" applyNumberFormat="1" applyFont="1" applyFill="1" applyBorder="1" applyAlignment="1" applyProtection="1">
      <alignment vertical="center"/>
    </xf>
    <xf numFmtId="3" fontId="61" fillId="2" borderId="18" xfId="0" applyNumberFormat="1" applyFont="1" applyFill="1" applyBorder="1" applyAlignment="1" applyProtection="1">
      <alignment vertical="center"/>
    </xf>
    <xf numFmtId="3" fontId="61" fillId="2" borderId="16" xfId="0" applyNumberFormat="1" applyFont="1" applyFill="1" applyBorder="1" applyAlignment="1" applyProtection="1">
      <alignment vertical="center"/>
    </xf>
    <xf numFmtId="3" fontId="83" fillId="4" borderId="17" xfId="0" applyNumberFormat="1" applyFont="1" applyFill="1" applyBorder="1" applyAlignment="1" applyProtection="1">
      <alignment vertical="center"/>
      <protection locked="0"/>
    </xf>
    <xf numFmtId="3" fontId="83" fillId="0" borderId="17" xfId="0" applyNumberFormat="1" applyFont="1" applyFill="1" applyBorder="1" applyAlignment="1" applyProtection="1">
      <alignment vertical="center"/>
    </xf>
    <xf numFmtId="3" fontId="83" fillId="4" borderId="16" xfId="0" applyNumberFormat="1" applyFont="1" applyFill="1" applyBorder="1" applyAlignment="1" applyProtection="1">
      <alignment vertical="center"/>
      <protection locked="0"/>
    </xf>
    <xf numFmtId="3" fontId="83" fillId="4" borderId="18" xfId="0" applyNumberFormat="1" applyFont="1" applyFill="1" applyBorder="1" applyAlignment="1" applyProtection="1">
      <alignment vertical="center"/>
      <protection locked="0"/>
    </xf>
    <xf numFmtId="3" fontId="86" fillId="2" borderId="26" xfId="0" applyNumberFormat="1" applyFont="1" applyFill="1" applyBorder="1" applyAlignment="1" applyProtection="1">
      <alignment vertical="center"/>
    </xf>
    <xf numFmtId="3" fontId="64" fillId="2" borderId="49" xfId="0" applyNumberFormat="1" applyFont="1" applyFill="1" applyBorder="1" applyAlignment="1" applyProtection="1">
      <alignment vertical="center"/>
    </xf>
    <xf numFmtId="1" fontId="85" fillId="2" borderId="19" xfId="0" applyNumberFormat="1" applyFont="1" applyFill="1" applyBorder="1" applyAlignment="1" applyProtection="1">
      <alignment horizontal="center" vertical="center"/>
    </xf>
    <xf numFmtId="3" fontId="61" fillId="2" borderId="19" xfId="0" applyNumberFormat="1" applyFont="1" applyFill="1" applyBorder="1" applyAlignment="1" applyProtection="1">
      <alignment horizontal="left" vertical="justify" wrapText="1"/>
    </xf>
    <xf numFmtId="3" fontId="61" fillId="2" borderId="14" xfId="0" applyNumberFormat="1" applyFont="1" applyFill="1" applyBorder="1" applyAlignment="1" applyProtection="1">
      <alignment vertical="center"/>
    </xf>
    <xf numFmtId="3" fontId="61" fillId="2" borderId="42" xfId="0" applyNumberFormat="1" applyFont="1" applyFill="1" applyBorder="1" applyAlignment="1" applyProtection="1">
      <alignment vertical="center"/>
    </xf>
    <xf numFmtId="3" fontId="61" fillId="2" borderId="46" xfId="0" applyNumberFormat="1" applyFont="1" applyFill="1" applyBorder="1" applyAlignment="1" applyProtection="1">
      <alignment vertical="center"/>
    </xf>
    <xf numFmtId="3" fontId="61" fillId="2" borderId="47" xfId="0" applyNumberFormat="1" applyFont="1" applyFill="1" applyBorder="1" applyAlignment="1" applyProtection="1">
      <alignment vertical="center"/>
    </xf>
    <xf numFmtId="164" fontId="80" fillId="2" borderId="5" xfId="0" applyNumberFormat="1" applyFont="1" applyFill="1" applyBorder="1" applyAlignment="1" applyProtection="1">
      <alignment horizontal="center" vertical="center"/>
    </xf>
    <xf numFmtId="3" fontId="80" fillId="2" borderId="11" xfId="0" quotePrefix="1" applyNumberFormat="1" applyFont="1" applyFill="1" applyBorder="1" applyAlignment="1" applyProtection="1">
      <alignment horizontal="left" vertical="center" wrapText="1"/>
    </xf>
    <xf numFmtId="3" fontId="62" fillId="2" borderId="58" xfId="0" applyNumberFormat="1" applyFont="1" applyFill="1" applyBorder="1" applyAlignment="1" applyProtection="1">
      <alignment horizontal="left" vertical="center"/>
    </xf>
    <xf numFmtId="3" fontId="62" fillId="0" borderId="17" xfId="0" applyNumberFormat="1" applyFont="1" applyFill="1" applyBorder="1" applyAlignment="1" applyProtection="1">
      <alignment vertical="center"/>
    </xf>
    <xf numFmtId="3" fontId="62" fillId="2" borderId="17" xfId="0" applyNumberFormat="1" applyFont="1" applyFill="1" applyBorder="1" applyAlignment="1" applyProtection="1">
      <alignment vertical="center"/>
    </xf>
    <xf numFmtId="10" fontId="62" fillId="2" borderId="17" xfId="0" applyNumberFormat="1" applyFont="1" applyFill="1" applyBorder="1" applyAlignment="1" applyProtection="1">
      <alignment vertical="center"/>
    </xf>
    <xf numFmtId="3" fontId="62" fillId="2" borderId="18" xfId="0" applyNumberFormat="1" applyFont="1" applyFill="1" applyBorder="1" applyAlignment="1" applyProtection="1">
      <alignment vertical="center"/>
    </xf>
    <xf numFmtId="3" fontId="80" fillId="3" borderId="8" xfId="0" applyNumberFormat="1" applyFont="1" applyFill="1" applyBorder="1" applyAlignment="1" applyProtection="1">
      <alignment horizontal="right"/>
    </xf>
    <xf numFmtId="3" fontId="80" fillId="3" borderId="9" xfId="0" applyNumberFormat="1" applyFont="1" applyFill="1" applyBorder="1" applyAlignment="1" applyProtection="1">
      <alignment horizontal="right"/>
    </xf>
    <xf numFmtId="3" fontId="69" fillId="2" borderId="51" xfId="0" applyNumberFormat="1" applyFont="1" applyFill="1" applyBorder="1" applyAlignment="1" applyProtection="1">
      <alignment vertical="center" wrapText="1"/>
    </xf>
    <xf numFmtId="164" fontId="62" fillId="2" borderId="5" xfId="0" applyNumberFormat="1" applyFont="1" applyFill="1" applyBorder="1" applyAlignment="1" applyProtection="1">
      <alignment horizontal="center" vertical="center"/>
    </xf>
    <xf numFmtId="3" fontId="62" fillId="2" borderId="11" xfId="0" applyNumberFormat="1" applyFont="1" applyFill="1" applyBorder="1" applyAlignment="1" applyProtection="1">
      <alignment horizontal="left" vertical="center" wrapText="1"/>
    </xf>
    <xf numFmtId="3" fontId="64" fillId="2" borderId="5" xfId="0" applyNumberFormat="1" applyFont="1" applyFill="1" applyBorder="1" applyAlignment="1" applyProtection="1">
      <alignment vertical="center"/>
    </xf>
    <xf numFmtId="3" fontId="64" fillId="2" borderId="9" xfId="0" applyNumberFormat="1" applyFont="1" applyFill="1" applyBorder="1" applyAlignment="1" applyProtection="1">
      <alignment horizontal="right" vertical="center"/>
    </xf>
    <xf numFmtId="3" fontId="64" fillId="2" borderId="5" xfId="0" applyNumberFormat="1" applyFont="1" applyFill="1" applyBorder="1" applyAlignment="1" applyProtection="1">
      <alignment horizontal="right" vertical="center"/>
    </xf>
    <xf numFmtId="3" fontId="64" fillId="2" borderId="11" xfId="0" applyNumberFormat="1" applyFont="1" applyFill="1" applyBorder="1" applyAlignment="1" applyProtection="1">
      <alignment horizontal="right" vertical="center"/>
    </xf>
    <xf numFmtId="3" fontId="84" fillId="4" borderId="5" xfId="0" applyNumberFormat="1" applyFont="1" applyFill="1" applyBorder="1" applyAlignment="1" applyProtection="1">
      <alignment vertical="center"/>
      <protection locked="0"/>
    </xf>
    <xf numFmtId="3" fontId="61" fillId="2" borderId="48" xfId="0" applyNumberFormat="1" applyFont="1" applyFill="1" applyBorder="1" applyAlignment="1" applyProtection="1">
      <alignment vertical="center"/>
    </xf>
    <xf numFmtId="3" fontId="61" fillId="2" borderId="54" xfId="0" applyNumberFormat="1" applyFont="1" applyFill="1" applyBorder="1" applyAlignment="1" applyProtection="1">
      <alignment vertical="center"/>
    </xf>
    <xf numFmtId="3" fontId="61" fillId="2" borderId="28" xfId="0" applyNumberFormat="1" applyFont="1" applyFill="1" applyBorder="1" applyAlignment="1" applyProtection="1">
      <alignment vertical="center"/>
    </xf>
    <xf numFmtId="3" fontId="61" fillId="2" borderId="36" xfId="0" applyNumberFormat="1" applyFont="1" applyFill="1" applyBorder="1" applyAlignment="1" applyProtection="1">
      <alignment vertical="center"/>
    </xf>
    <xf numFmtId="3" fontId="61" fillId="2" borderId="59" xfId="0" applyNumberFormat="1" applyFont="1" applyFill="1" applyBorder="1" applyAlignment="1" applyProtection="1">
      <alignment vertical="center"/>
    </xf>
    <xf numFmtId="3" fontId="62" fillId="2" borderId="28" xfId="0" applyNumberFormat="1" applyFont="1" applyFill="1" applyBorder="1" applyAlignment="1" applyProtection="1">
      <alignment vertical="center"/>
    </xf>
    <xf numFmtId="3" fontId="61" fillId="2" borderId="29" xfId="0" applyNumberFormat="1" applyFont="1" applyFill="1" applyBorder="1" applyAlignment="1" applyProtection="1">
      <alignment vertical="center"/>
    </xf>
    <xf numFmtId="0" fontId="80" fillId="3" borderId="16" xfId="0" applyFont="1" applyFill="1" applyBorder="1" applyAlignment="1" applyProtection="1">
      <alignment wrapText="1"/>
    </xf>
    <xf numFmtId="3" fontId="80" fillId="3" borderId="17" xfId="0" applyNumberFormat="1" applyFont="1" applyFill="1" applyBorder="1" applyAlignment="1" applyProtection="1">
      <alignment horizontal="right"/>
    </xf>
    <xf numFmtId="3" fontId="80" fillId="3" borderId="18" xfId="0" applyNumberFormat="1" applyFont="1" applyFill="1" applyBorder="1" applyAlignment="1" applyProtection="1">
      <alignment horizontal="right"/>
    </xf>
    <xf numFmtId="3" fontId="77" fillId="2" borderId="20" xfId="0" applyNumberFormat="1" applyFont="1" applyFill="1" applyBorder="1" applyAlignment="1" applyProtection="1">
      <alignment horizontal="left" vertical="center" wrapText="1"/>
    </xf>
    <xf numFmtId="3" fontId="61" fillId="2" borderId="40" xfId="0" applyNumberFormat="1" applyFont="1" applyFill="1" applyBorder="1" applyAlignment="1" applyProtection="1">
      <alignment vertical="center"/>
    </xf>
    <xf numFmtId="3" fontId="61" fillId="2" borderId="26" xfId="0" applyNumberFormat="1" applyFont="1" applyFill="1" applyBorder="1" applyAlignment="1" applyProtection="1">
      <alignment vertical="center"/>
    </xf>
    <xf numFmtId="3" fontId="61" fillId="2" borderId="49" xfId="0" applyNumberFormat="1" applyFont="1" applyFill="1" applyBorder="1" applyAlignment="1" applyProtection="1">
      <alignment vertical="center"/>
    </xf>
    <xf numFmtId="1" fontId="80" fillId="2" borderId="26" xfId="0" applyNumberFormat="1" applyFont="1" applyFill="1" applyBorder="1" applyAlignment="1" applyProtection="1">
      <alignment horizontal="center" vertical="center"/>
    </xf>
    <xf numFmtId="3" fontId="60" fillId="2" borderId="51" xfId="0" applyNumberFormat="1" applyFont="1" applyFill="1" applyBorder="1" applyAlignment="1" applyProtection="1">
      <alignment vertical="center" wrapText="1"/>
    </xf>
    <xf numFmtId="3" fontId="77" fillId="2" borderId="5" xfId="0" applyNumberFormat="1" applyFont="1" applyFill="1" applyBorder="1" applyAlignment="1" applyProtection="1">
      <alignment horizontal="right" vertical="center"/>
    </xf>
    <xf numFmtId="3" fontId="77" fillId="2" borderId="9" xfId="0" applyNumberFormat="1" applyFont="1" applyFill="1" applyBorder="1" applyAlignment="1" applyProtection="1">
      <alignment horizontal="right" vertical="center"/>
    </xf>
    <xf numFmtId="3" fontId="62" fillId="2" borderId="70" xfId="0" applyNumberFormat="1" applyFont="1" applyFill="1" applyBorder="1" applyAlignment="1" applyProtection="1">
      <alignment horizontal="left" vertical="center"/>
    </xf>
    <xf numFmtId="3" fontId="62" fillId="2" borderId="70" xfId="0" applyNumberFormat="1" applyFont="1" applyFill="1" applyBorder="1" applyAlignment="1" applyProtection="1">
      <alignment horizontal="center" vertical="center"/>
    </xf>
    <xf numFmtId="3" fontId="62" fillId="2" borderId="56" xfId="0" applyNumberFormat="1" applyFont="1" applyFill="1" applyBorder="1" applyAlignment="1" applyProtection="1">
      <alignment horizontal="center" vertical="center"/>
    </xf>
    <xf numFmtId="3" fontId="62" fillId="2" borderId="71" xfId="0" applyNumberFormat="1" applyFont="1" applyFill="1" applyBorder="1" applyAlignment="1" applyProtection="1">
      <alignment horizontal="center" vertical="center"/>
    </xf>
    <xf numFmtId="10" fontId="62" fillId="2" borderId="62" xfId="0" applyNumberFormat="1" applyFont="1" applyFill="1" applyBorder="1" applyAlignment="1" applyProtection="1">
      <alignment horizontal="center" vertical="center"/>
    </xf>
    <xf numFmtId="10" fontId="62" fillId="2" borderId="23" xfId="0" applyNumberFormat="1" applyFont="1" applyFill="1" applyBorder="1" applyAlignment="1" applyProtection="1">
      <alignment horizontal="center" vertical="center"/>
    </xf>
    <xf numFmtId="0" fontId="61" fillId="2" borderId="26" xfId="0" applyFont="1" applyFill="1" applyBorder="1" applyAlignment="1" applyProtection="1">
      <alignment wrapText="1"/>
    </xf>
    <xf numFmtId="3" fontId="85" fillId="0" borderId="5" xfId="0" applyNumberFormat="1" applyFont="1" applyFill="1" applyBorder="1" applyProtection="1"/>
    <xf numFmtId="3" fontId="77" fillId="2" borderId="81" xfId="0" applyNumberFormat="1" applyFont="1" applyFill="1" applyBorder="1" applyAlignment="1" applyProtection="1">
      <alignment horizontal="left" vertical="center" wrapText="1"/>
    </xf>
    <xf numFmtId="3" fontId="86" fillId="2" borderId="5" xfId="0" applyNumberFormat="1" applyFont="1" applyFill="1" applyBorder="1" applyAlignment="1" applyProtection="1">
      <alignment vertical="center"/>
    </xf>
    <xf numFmtId="3" fontId="64" fillId="2" borderId="9" xfId="0" applyNumberFormat="1" applyFont="1" applyFill="1" applyBorder="1" applyAlignment="1" applyProtection="1">
      <alignment vertical="center"/>
    </xf>
    <xf numFmtId="3" fontId="61" fillId="2" borderId="61" xfId="0" applyNumberFormat="1" applyFont="1" applyFill="1" applyBorder="1" applyAlignment="1" applyProtection="1">
      <alignment vertical="center"/>
    </xf>
    <xf numFmtId="3" fontId="61" fillId="2" borderId="65" xfId="0" applyNumberFormat="1" applyFont="1" applyFill="1" applyBorder="1" applyAlignment="1" applyProtection="1">
      <alignment horizontal="centerContinuous" vertical="center"/>
    </xf>
    <xf numFmtId="3" fontId="61" fillId="2" borderId="65" xfId="0" applyNumberFormat="1" applyFont="1" applyFill="1" applyBorder="1" applyAlignment="1" applyProtection="1">
      <alignment horizontal="center" vertical="center"/>
    </xf>
    <xf numFmtId="3" fontId="61" fillId="2" borderId="72" xfId="0" applyNumberFormat="1" applyFont="1" applyFill="1" applyBorder="1" applyAlignment="1" applyProtection="1">
      <alignment horizontal="center" vertical="center"/>
    </xf>
    <xf numFmtId="3" fontId="61" fillId="2" borderId="7" xfId="0" applyNumberFormat="1" applyFont="1" applyFill="1" applyBorder="1" applyAlignment="1" applyProtection="1">
      <alignment horizontal="center" vertical="center"/>
    </xf>
    <xf numFmtId="3" fontId="61" fillId="2" borderId="7" xfId="0" applyNumberFormat="1" applyFont="1" applyFill="1" applyBorder="1" applyAlignment="1" applyProtection="1">
      <alignment horizontal="centerContinuous" vertical="center"/>
    </xf>
    <xf numFmtId="3" fontId="61" fillId="2" borderId="40" xfId="0" applyNumberFormat="1" applyFont="1" applyFill="1" applyBorder="1" applyAlignment="1" applyProtection="1">
      <alignment horizontal="center" vertical="center"/>
    </xf>
    <xf numFmtId="0" fontId="77" fillId="2" borderId="26" xfId="0" applyFont="1" applyFill="1" applyBorder="1" applyAlignment="1" applyProtection="1">
      <alignment wrapText="1"/>
    </xf>
    <xf numFmtId="3" fontId="87" fillId="2" borderId="0" xfId="0" applyNumberFormat="1" applyFont="1" applyFill="1" applyAlignment="1" applyProtection="1">
      <alignment vertical="center"/>
    </xf>
    <xf numFmtId="1" fontId="80" fillId="2" borderId="81" xfId="0" applyNumberFormat="1" applyFont="1" applyFill="1" applyBorder="1" applyAlignment="1" applyProtection="1">
      <alignment horizontal="center" vertical="center"/>
    </xf>
    <xf numFmtId="3" fontId="60" fillId="2" borderId="81" xfId="0" applyNumberFormat="1" applyFont="1" applyFill="1" applyBorder="1" applyAlignment="1" applyProtection="1">
      <alignment vertical="center" wrapText="1"/>
    </xf>
    <xf numFmtId="164" fontId="64" fillId="2" borderId="5" xfId="0" applyNumberFormat="1" applyFont="1" applyFill="1" applyBorder="1" applyAlignment="1" applyProtection="1">
      <alignment horizontal="center" vertical="center"/>
    </xf>
    <xf numFmtId="3" fontId="61" fillId="2" borderId="11" xfId="0" applyNumberFormat="1" applyFont="1" applyFill="1" applyBorder="1" applyAlignment="1" applyProtection="1">
      <alignment horizontal="left" vertical="center" wrapText="1"/>
    </xf>
    <xf numFmtId="0" fontId="62" fillId="2" borderId="58" xfId="0" applyFont="1" applyFill="1" applyBorder="1" applyAlignment="1" applyProtection="1">
      <alignment vertical="center"/>
    </xf>
    <xf numFmtId="0" fontId="62" fillId="2" borderId="59" xfId="0" applyFont="1" applyFill="1" applyBorder="1" applyAlignment="1" applyProtection="1">
      <alignment horizontal="centerContinuous" vertical="center"/>
    </xf>
    <xf numFmtId="3" fontId="61" fillId="2" borderId="59" xfId="0" applyNumberFormat="1" applyFont="1" applyFill="1" applyBorder="1" applyAlignment="1" applyProtection="1">
      <alignment horizontal="center" vertical="center"/>
    </xf>
    <xf numFmtId="3" fontId="61" fillId="2" borderId="60" xfId="0" applyNumberFormat="1" applyFont="1" applyFill="1" applyBorder="1" applyAlignment="1" applyProtection="1">
      <alignment horizontal="center" vertical="center"/>
    </xf>
    <xf numFmtId="0" fontId="62" fillId="2" borderId="59" xfId="0" applyFont="1" applyFill="1" applyBorder="1" applyAlignment="1" applyProtection="1">
      <alignment vertical="center"/>
    </xf>
    <xf numFmtId="3" fontId="61" fillId="2" borderId="13" xfId="0" applyNumberFormat="1" applyFont="1" applyFill="1" applyBorder="1" applyAlignment="1" applyProtection="1">
      <alignment horizontal="center" vertical="center"/>
    </xf>
    <xf numFmtId="3" fontId="59" fillId="2" borderId="26" xfId="0" applyNumberFormat="1" applyFont="1" applyFill="1" applyBorder="1" applyAlignment="1" applyProtection="1">
      <alignment vertical="center" wrapText="1"/>
    </xf>
    <xf numFmtId="3" fontId="77" fillId="2" borderId="8" xfId="0" applyNumberFormat="1" applyFont="1" applyFill="1" applyBorder="1" applyAlignment="1" applyProtection="1">
      <alignment horizontal="right" vertical="center"/>
    </xf>
    <xf numFmtId="3" fontId="61" fillId="2" borderId="6" xfId="0" applyNumberFormat="1" applyFont="1" applyFill="1" applyBorder="1" applyAlignment="1" applyProtection="1">
      <alignment horizontal="left" vertical="center"/>
    </xf>
    <xf numFmtId="3" fontId="61" fillId="2" borderId="30" xfId="0" applyNumberFormat="1" applyFont="1" applyFill="1" applyBorder="1" applyAlignment="1" applyProtection="1">
      <alignment vertical="center"/>
    </xf>
    <xf numFmtId="3" fontId="61" fillId="2" borderId="65" xfId="0" applyNumberFormat="1" applyFont="1" applyFill="1" applyBorder="1" applyAlignment="1" applyProtection="1">
      <alignment vertical="center"/>
    </xf>
    <xf numFmtId="10" fontId="61" fillId="2" borderId="23" xfId="0" applyNumberFormat="1" applyFont="1" applyFill="1" applyBorder="1" applyAlignment="1" applyProtection="1">
      <alignment vertical="center"/>
    </xf>
    <xf numFmtId="3" fontId="61" fillId="2" borderId="23" xfId="0" applyNumberFormat="1" applyFont="1" applyFill="1" applyBorder="1" applyAlignment="1" applyProtection="1">
      <alignment vertical="center"/>
    </xf>
    <xf numFmtId="3" fontId="61" fillId="2" borderId="24" xfId="0" applyNumberFormat="1" applyFont="1" applyFill="1" applyBorder="1" applyAlignment="1" applyProtection="1">
      <alignment vertical="center"/>
    </xf>
    <xf numFmtId="0" fontId="59" fillId="2" borderId="27" xfId="0" applyFont="1" applyFill="1" applyBorder="1" applyAlignment="1" applyProtection="1">
      <alignment wrapText="1"/>
    </xf>
    <xf numFmtId="3" fontId="59" fillId="2" borderId="16" xfId="0" applyNumberFormat="1" applyFont="1" applyFill="1" applyBorder="1" applyProtection="1"/>
    <xf numFmtId="3" fontId="59" fillId="2" borderId="17" xfId="0" applyNumberFormat="1" applyFont="1" applyFill="1" applyBorder="1" applyProtection="1"/>
    <xf numFmtId="3" fontId="59" fillId="2" borderId="18" xfId="0" applyNumberFormat="1" applyFont="1" applyFill="1" applyBorder="1" applyProtection="1"/>
    <xf numFmtId="3" fontId="62" fillId="2" borderId="26" xfId="0" applyNumberFormat="1" applyFont="1" applyFill="1" applyBorder="1" applyAlignment="1" applyProtection="1">
      <alignment horizontal="left" vertical="center" wrapText="1"/>
    </xf>
    <xf numFmtId="3" fontId="62" fillId="2" borderId="10" xfId="0" applyNumberFormat="1" applyFont="1" applyFill="1" applyBorder="1" applyAlignment="1" applyProtection="1">
      <alignment horizontal="left" vertical="center"/>
    </xf>
    <xf numFmtId="3" fontId="62" fillId="2" borderId="8" xfId="0" applyNumberFormat="1" applyFont="1" applyFill="1" applyBorder="1" applyAlignment="1" applyProtection="1">
      <alignment vertical="center"/>
    </xf>
    <xf numFmtId="3" fontId="62" fillId="2" borderId="9" xfId="0" applyNumberFormat="1" applyFont="1" applyFill="1" applyBorder="1" applyAlignment="1" applyProtection="1">
      <alignment vertical="center"/>
    </xf>
    <xf numFmtId="3" fontId="76" fillId="2" borderId="0" xfId="0" applyNumberFormat="1" applyFont="1" applyFill="1" applyBorder="1" applyAlignment="1" applyProtection="1">
      <alignment horizontal="left" vertical="center"/>
    </xf>
    <xf numFmtId="3" fontId="61" fillId="2" borderId="10" xfId="0" applyNumberFormat="1" applyFont="1" applyFill="1" applyBorder="1" applyAlignment="1" applyProtection="1">
      <alignment vertical="center"/>
    </xf>
    <xf numFmtId="3" fontId="80" fillId="2" borderId="5" xfId="0" applyNumberFormat="1" applyFont="1" applyFill="1" applyBorder="1" applyAlignment="1" applyProtection="1">
      <alignment horizontal="right"/>
    </xf>
    <xf numFmtId="3" fontId="80" fillId="2" borderId="8" xfId="0" applyNumberFormat="1" applyFont="1" applyFill="1" applyBorder="1" applyAlignment="1" applyProtection="1">
      <alignment horizontal="right"/>
    </xf>
    <xf numFmtId="3" fontId="80" fillId="2" borderId="9" xfId="0" applyNumberFormat="1" applyFont="1" applyFill="1" applyBorder="1" applyAlignment="1" applyProtection="1">
      <alignment horizontal="right"/>
    </xf>
    <xf numFmtId="3" fontId="62" fillId="2" borderId="61" xfId="0" applyNumberFormat="1" applyFont="1" applyFill="1" applyBorder="1" applyAlignment="1" applyProtection="1">
      <alignment horizontal="left" vertical="center"/>
    </xf>
    <xf numFmtId="0" fontId="62" fillId="2" borderId="26" xfId="0" applyFont="1" applyFill="1" applyBorder="1" applyAlignment="1" applyProtection="1">
      <alignment vertical="center" wrapText="1"/>
    </xf>
    <xf numFmtId="3" fontId="59" fillId="0" borderId="26" xfId="0" applyNumberFormat="1" applyFont="1" applyFill="1" applyBorder="1" applyAlignment="1" applyProtection="1">
      <alignment vertical="center" wrapText="1"/>
    </xf>
    <xf numFmtId="3" fontId="62" fillId="2" borderId="5" xfId="0" applyNumberFormat="1" applyFont="1" applyFill="1" applyBorder="1" applyAlignment="1" applyProtection="1">
      <alignment horizontal="left" vertical="center"/>
    </xf>
    <xf numFmtId="3" fontId="62" fillId="2" borderId="26" xfId="0" applyNumberFormat="1" applyFont="1" applyFill="1" applyBorder="1" applyAlignment="1" applyProtection="1">
      <alignment vertical="center" wrapText="1"/>
    </xf>
    <xf numFmtId="3" fontId="61" fillId="2" borderId="5" xfId="0" applyNumberFormat="1" applyFont="1" applyFill="1" applyBorder="1" applyAlignment="1" applyProtection="1">
      <alignment horizontal="right" vertical="center"/>
    </xf>
    <xf numFmtId="3" fontId="61" fillId="2" borderId="9" xfId="0" applyNumberFormat="1" applyFont="1" applyFill="1" applyBorder="1" applyAlignment="1" applyProtection="1">
      <alignment horizontal="right" vertical="center"/>
    </xf>
    <xf numFmtId="0" fontId="80" fillId="2" borderId="26" xfId="0" applyFont="1" applyFill="1" applyBorder="1" applyAlignment="1" applyProtection="1">
      <alignment wrapText="1"/>
    </xf>
    <xf numFmtId="3" fontId="62" fillId="2" borderId="39" xfId="0" applyNumberFormat="1" applyFont="1" applyFill="1" applyBorder="1" applyAlignment="1" applyProtection="1">
      <alignment horizontal="left" vertical="center"/>
    </xf>
    <xf numFmtId="3" fontId="62" fillId="2" borderId="59" xfId="0" applyNumberFormat="1" applyFont="1" applyFill="1" applyBorder="1" applyAlignment="1" applyProtection="1">
      <alignment vertical="center"/>
    </xf>
    <xf numFmtId="10" fontId="61" fillId="2" borderId="17" xfId="0" applyNumberFormat="1" applyFont="1" applyFill="1" applyBorder="1" applyAlignment="1" applyProtection="1">
      <alignment vertical="center"/>
    </xf>
    <xf numFmtId="3" fontId="62" fillId="2" borderId="19" xfId="0" applyNumberFormat="1" applyFont="1" applyFill="1" applyBorder="1" applyAlignment="1" applyProtection="1">
      <alignment horizontal="left" vertical="center"/>
    </xf>
    <xf numFmtId="3" fontId="62" fillId="2" borderId="14" xfId="0" applyNumberFormat="1" applyFont="1" applyFill="1" applyBorder="1" applyAlignment="1" applyProtection="1">
      <alignment vertical="center"/>
    </xf>
    <xf numFmtId="10" fontId="61" fillId="2" borderId="21" xfId="0" applyNumberFormat="1" applyFont="1" applyFill="1" applyBorder="1" applyAlignment="1" applyProtection="1">
      <alignment vertical="center"/>
    </xf>
    <xf numFmtId="0" fontId="80" fillId="2" borderId="27" xfId="0" applyFont="1" applyFill="1" applyBorder="1" applyAlignment="1" applyProtection="1">
      <alignment wrapText="1"/>
    </xf>
    <xf numFmtId="3" fontId="80" fillId="2" borderId="16" xfId="0" applyNumberFormat="1" applyFont="1" applyFill="1" applyBorder="1" applyAlignment="1" applyProtection="1">
      <alignment horizontal="right"/>
    </xf>
    <xf numFmtId="3" fontId="80" fillId="2" borderId="17" xfId="0" applyNumberFormat="1" applyFont="1" applyFill="1" applyBorder="1" applyAlignment="1" applyProtection="1">
      <alignment horizontal="right"/>
    </xf>
    <xf numFmtId="3" fontId="80" fillId="2" borderId="18" xfId="0" applyNumberFormat="1" applyFont="1" applyFill="1" applyBorder="1" applyAlignment="1" applyProtection="1">
      <alignment horizontal="right"/>
    </xf>
    <xf numFmtId="3" fontId="62" fillId="2" borderId="20" xfId="0" applyNumberFormat="1" applyFont="1" applyFill="1" applyBorder="1" applyAlignment="1" applyProtection="1">
      <alignment horizontal="left" vertical="center"/>
    </xf>
    <xf numFmtId="10" fontId="61" fillId="2" borderId="16" xfId="0" applyNumberFormat="1" applyFont="1" applyFill="1" applyBorder="1" applyAlignment="1" applyProtection="1">
      <alignment horizontal="center" vertical="justify"/>
    </xf>
    <xf numFmtId="10" fontId="61" fillId="2" borderId="17" xfId="0" applyNumberFormat="1" applyFont="1" applyFill="1" applyBorder="1" applyAlignment="1" applyProtection="1">
      <alignment horizontal="center" vertical="justify"/>
    </xf>
    <xf numFmtId="0" fontId="62" fillId="2" borderId="17" xfId="0" applyFont="1" applyFill="1" applyBorder="1" applyAlignment="1" applyProtection="1">
      <alignment vertical="center"/>
    </xf>
    <xf numFmtId="3" fontId="61" fillId="2" borderId="41" xfId="0" applyNumberFormat="1" applyFont="1" applyFill="1" applyBorder="1" applyAlignment="1" applyProtection="1">
      <alignment vertical="center"/>
    </xf>
    <xf numFmtId="3" fontId="61" fillId="2" borderId="12" xfId="0" applyNumberFormat="1" applyFont="1" applyFill="1" applyBorder="1" applyAlignment="1" applyProtection="1">
      <alignment horizontal="centerContinuous" vertical="center"/>
    </xf>
    <xf numFmtId="3" fontId="61" fillId="2" borderId="35" xfId="0" applyNumberFormat="1" applyFont="1" applyFill="1" applyBorder="1" applyAlignment="1" applyProtection="1">
      <alignment horizontal="centerContinuous" vertical="center"/>
    </xf>
    <xf numFmtId="3" fontId="61" fillId="2" borderId="28" xfId="0" applyNumberFormat="1" applyFont="1" applyFill="1" applyBorder="1" applyAlignment="1" applyProtection="1">
      <alignment horizontal="centerContinuous" vertical="center"/>
    </xf>
    <xf numFmtId="0" fontId="62" fillId="2" borderId="28" xfId="0" applyFont="1" applyFill="1" applyBorder="1" applyAlignment="1" applyProtection="1">
      <alignment horizontal="centerContinuous" vertical="center"/>
    </xf>
    <xf numFmtId="3" fontId="61" fillId="2" borderId="29" xfId="0" applyNumberFormat="1" applyFont="1" applyFill="1" applyBorder="1" applyAlignment="1" applyProtection="1">
      <alignment horizontal="centerContinuous" vertical="center"/>
    </xf>
    <xf numFmtId="3" fontId="61" fillId="2" borderId="64" xfId="0" applyNumberFormat="1" applyFont="1" applyFill="1" applyBorder="1" applyAlignment="1" applyProtection="1">
      <alignment vertical="center"/>
    </xf>
    <xf numFmtId="0" fontId="62" fillId="2" borderId="12"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3" fontId="62" fillId="2" borderId="14" xfId="0" applyNumberFormat="1" applyFont="1" applyFill="1" applyBorder="1" applyAlignment="1" applyProtection="1">
      <alignment horizontal="left" vertical="center"/>
    </xf>
    <xf numFmtId="1" fontId="85" fillId="0" borderId="26" xfId="0" applyNumberFormat="1" applyFont="1" applyFill="1" applyBorder="1" applyAlignment="1" applyProtection="1">
      <alignment horizontal="center" vertical="center"/>
      <protection hidden="1"/>
    </xf>
    <xf numFmtId="3" fontId="62" fillId="0" borderId="26" xfId="0" applyNumberFormat="1" applyFont="1" applyFill="1" applyBorder="1" applyAlignment="1" applyProtection="1">
      <alignment vertical="center" wrapText="1"/>
      <protection hidden="1"/>
    </xf>
    <xf numFmtId="3" fontId="61" fillId="0" borderId="0" xfId="0" applyNumberFormat="1" applyFont="1" applyFill="1" applyAlignment="1" applyProtection="1">
      <alignment vertical="center"/>
      <protection hidden="1"/>
    </xf>
    <xf numFmtId="3" fontId="86" fillId="2" borderId="9" xfId="0" applyNumberFormat="1" applyFont="1" applyFill="1" applyBorder="1" applyAlignment="1" applyProtection="1">
      <alignment horizontal="right" vertical="center"/>
    </xf>
    <xf numFmtId="3" fontId="86" fillId="2" borderId="26" xfId="0" applyNumberFormat="1" applyFont="1" applyFill="1" applyBorder="1" applyAlignment="1" applyProtection="1">
      <alignment horizontal="right" vertical="center"/>
    </xf>
    <xf numFmtId="3" fontId="64" fillId="2" borderId="49" xfId="0" applyNumberFormat="1" applyFont="1" applyFill="1" applyBorder="1" applyAlignment="1" applyProtection="1">
      <alignment horizontal="right" vertical="center"/>
    </xf>
    <xf numFmtId="3" fontId="61" fillId="2" borderId="0" xfId="0" applyNumberFormat="1" applyFont="1" applyFill="1" applyBorder="1" applyAlignment="1" applyProtection="1">
      <alignment horizontal="left" vertical="center"/>
    </xf>
    <xf numFmtId="3" fontId="64" fillId="0" borderId="8" xfId="0" applyNumberFormat="1" applyFont="1" applyFill="1" applyBorder="1" applyAlignment="1" applyProtection="1">
      <alignment vertical="center"/>
    </xf>
    <xf numFmtId="3" fontId="61" fillId="2" borderId="0" xfId="0" applyNumberFormat="1" applyFont="1" applyFill="1" applyBorder="1" applyAlignment="1" applyProtection="1">
      <alignment horizontal="center" vertical="center"/>
    </xf>
    <xf numFmtId="3" fontId="61" fillId="2" borderId="0" xfId="0" applyNumberFormat="1" applyFont="1" applyFill="1" applyBorder="1" applyAlignment="1" applyProtection="1">
      <alignment horizontal="centerContinuous" vertical="center"/>
    </xf>
    <xf numFmtId="3" fontId="59" fillId="2" borderId="26" xfId="0" applyNumberFormat="1" applyFont="1" applyFill="1" applyBorder="1" applyAlignment="1" applyProtection="1">
      <alignment vertical="center" wrapText="1"/>
      <protection locked="0"/>
    </xf>
    <xf numFmtId="3" fontId="62" fillId="2" borderId="27" xfId="0" applyNumberFormat="1" applyFont="1" applyFill="1" applyBorder="1" applyAlignment="1" applyProtection="1">
      <alignment horizontal="left" vertical="center" wrapText="1"/>
    </xf>
    <xf numFmtId="164" fontId="64" fillId="2" borderId="20" xfId="0" applyNumberFormat="1" applyFont="1" applyFill="1" applyBorder="1" applyAlignment="1" applyProtection="1">
      <alignment horizontal="center" vertical="center"/>
    </xf>
    <xf numFmtId="3" fontId="61" fillId="2" borderId="20" xfId="0" applyNumberFormat="1" applyFont="1" applyFill="1" applyBorder="1" applyAlignment="1" applyProtection="1">
      <alignment horizontal="left" vertical="center" wrapText="1"/>
    </xf>
    <xf numFmtId="3" fontId="61" fillId="0" borderId="0" xfId="0" applyNumberFormat="1" applyFont="1" applyFill="1" applyAlignment="1" applyProtection="1">
      <alignment vertical="center"/>
    </xf>
    <xf numFmtId="3" fontId="61" fillId="2" borderId="19" xfId="0" applyNumberFormat="1" applyFont="1" applyFill="1" applyBorder="1" applyAlignment="1" applyProtection="1">
      <alignment vertical="center"/>
    </xf>
    <xf numFmtId="164" fontId="80" fillId="2" borderId="11" xfId="0" applyNumberFormat="1" applyFont="1" applyFill="1" applyBorder="1" applyAlignment="1" applyProtection="1">
      <alignment horizontal="center" vertical="center"/>
    </xf>
    <xf numFmtId="3" fontId="60" fillId="2" borderId="52" xfId="0" applyNumberFormat="1" applyFont="1" applyFill="1" applyBorder="1" applyAlignment="1" applyProtection="1">
      <alignment horizontal="left" vertical="center" wrapText="1"/>
    </xf>
    <xf numFmtId="3" fontId="77" fillId="2" borderId="62" xfId="0" applyNumberFormat="1" applyFont="1" applyFill="1" applyBorder="1" applyAlignment="1" applyProtection="1">
      <alignment vertical="center"/>
    </xf>
    <xf numFmtId="3" fontId="77" fillId="2" borderId="23" xfId="0" applyNumberFormat="1" applyFont="1" applyFill="1" applyBorder="1" applyAlignment="1" applyProtection="1">
      <alignment vertical="center"/>
    </xf>
    <xf numFmtId="3" fontId="77" fillId="2" borderId="24" xfId="0" applyNumberFormat="1" applyFont="1" applyFill="1" applyBorder="1" applyAlignment="1" applyProtection="1">
      <alignment vertical="center"/>
    </xf>
    <xf numFmtId="1" fontId="85" fillId="2" borderId="11" xfId="0" applyNumberFormat="1" applyFont="1" applyFill="1" applyBorder="1" applyAlignment="1" applyProtection="1">
      <alignment horizontal="center" vertical="center"/>
    </xf>
    <xf numFmtId="3" fontId="62" fillId="0" borderId="32" xfId="0" applyNumberFormat="1" applyFont="1" applyFill="1" applyBorder="1" applyAlignment="1" applyProtection="1">
      <alignment horizontal="left" vertical="center" wrapText="1"/>
    </xf>
    <xf numFmtId="3" fontId="83" fillId="4" borderId="10" xfId="0" applyNumberFormat="1" applyFont="1" applyFill="1" applyBorder="1" applyAlignment="1" applyProtection="1">
      <alignment vertical="center"/>
    </xf>
    <xf numFmtId="3" fontId="62" fillId="2" borderId="32" xfId="0" applyNumberFormat="1" applyFont="1" applyFill="1" applyBorder="1" applyAlignment="1" applyProtection="1">
      <alignment horizontal="left" vertical="center" wrapText="1"/>
    </xf>
    <xf numFmtId="3" fontId="62" fillId="0" borderId="0" xfId="0" applyNumberFormat="1" applyFont="1" applyFill="1" applyAlignment="1" applyProtection="1">
      <alignment vertical="center"/>
    </xf>
    <xf numFmtId="3" fontId="61" fillId="0" borderId="0" xfId="0" applyNumberFormat="1" applyFont="1" applyFill="1" applyBorder="1" applyAlignment="1" applyProtection="1">
      <alignment vertical="center"/>
    </xf>
    <xf numFmtId="3" fontId="62" fillId="2" borderId="33" xfId="0" applyNumberFormat="1" applyFont="1" applyFill="1" applyBorder="1" applyAlignment="1" applyProtection="1">
      <alignment horizontal="left" vertical="center" wrapText="1"/>
    </xf>
    <xf numFmtId="3" fontId="83" fillId="4" borderId="39" xfId="0" applyNumberFormat="1" applyFont="1" applyFill="1" applyBorder="1" applyAlignment="1" applyProtection="1">
      <alignment vertical="center"/>
    </xf>
    <xf numFmtId="1" fontId="88" fillId="2" borderId="83" xfId="0" applyNumberFormat="1" applyFont="1" applyFill="1" applyBorder="1" applyAlignment="1" applyProtection="1">
      <alignment horizontal="center" vertical="center"/>
    </xf>
    <xf numFmtId="3" fontId="89" fillId="2" borderId="52" xfId="0" applyNumberFormat="1" applyFont="1" applyFill="1" applyBorder="1" applyAlignment="1" applyProtection="1">
      <alignment horizontal="left" vertical="center" wrapText="1"/>
    </xf>
    <xf numFmtId="1" fontId="90" fillId="2" borderId="83" xfId="0" applyNumberFormat="1" applyFont="1" applyFill="1" applyBorder="1" applyAlignment="1" applyProtection="1">
      <alignment horizontal="center" vertical="center"/>
    </xf>
    <xf numFmtId="3" fontId="91" fillId="2" borderId="32" xfId="0" applyNumberFormat="1" applyFont="1" applyFill="1" applyBorder="1" applyAlignment="1" applyProtection="1">
      <alignment horizontal="left" vertical="center" wrapText="1"/>
    </xf>
    <xf numFmtId="3" fontId="86" fillId="0" borderId="5" xfId="0" applyNumberFormat="1" applyFont="1" applyFill="1" applyBorder="1" applyAlignment="1" applyProtection="1">
      <alignment vertical="center"/>
    </xf>
    <xf numFmtId="3" fontId="64" fillId="0" borderId="9" xfId="0" applyNumberFormat="1" applyFont="1" applyFill="1" applyBorder="1" applyAlignment="1" applyProtection="1">
      <alignment vertical="center"/>
    </xf>
    <xf numFmtId="3" fontId="83" fillId="4" borderId="8" xfId="0" applyNumberFormat="1" applyFont="1" applyFill="1" applyBorder="1" applyAlignment="1" applyProtection="1">
      <alignment vertical="center"/>
    </xf>
    <xf numFmtId="3" fontId="83" fillId="4" borderId="9" xfId="0" applyNumberFormat="1" applyFont="1" applyFill="1" applyBorder="1" applyAlignment="1" applyProtection="1">
      <alignment vertical="center"/>
    </xf>
    <xf numFmtId="164" fontId="80" fillId="2" borderId="46" xfId="0" quotePrefix="1" applyNumberFormat="1" applyFont="1" applyFill="1" applyBorder="1" applyAlignment="1" applyProtection="1">
      <alignment horizontal="center" vertical="center"/>
    </xf>
    <xf numFmtId="3" fontId="77" fillId="2" borderId="46" xfId="0" applyNumberFormat="1" applyFont="1" applyFill="1" applyBorder="1" applyAlignment="1" applyProtection="1">
      <alignment horizontal="left" vertical="center" wrapText="1"/>
    </xf>
    <xf numFmtId="3" fontId="77" fillId="2" borderId="48" xfId="0" applyNumberFormat="1" applyFont="1" applyFill="1" applyBorder="1" applyAlignment="1" applyProtection="1">
      <alignment vertical="center"/>
    </xf>
    <xf numFmtId="3" fontId="77" fillId="2" borderId="47" xfId="0" applyNumberFormat="1" applyFont="1" applyFill="1" applyBorder="1" applyAlignment="1" applyProtection="1">
      <alignment vertical="center"/>
    </xf>
    <xf numFmtId="3" fontId="77" fillId="2" borderId="46" xfId="0" applyNumberFormat="1" applyFont="1" applyFill="1" applyBorder="1" applyAlignment="1" applyProtection="1">
      <alignment vertical="center"/>
    </xf>
    <xf numFmtId="3" fontId="91" fillId="0" borderId="32" xfId="0" applyNumberFormat="1" applyFont="1" applyFill="1" applyBorder="1" applyAlignment="1" applyProtection="1">
      <alignment horizontal="left" vertical="center" wrapText="1"/>
    </xf>
    <xf numFmtId="3" fontId="60" fillId="2" borderId="11" xfId="0" applyNumberFormat="1" applyFont="1" applyFill="1" applyBorder="1" applyAlignment="1" applyProtection="1">
      <alignment horizontal="left" vertical="center" wrapText="1"/>
    </xf>
    <xf numFmtId="3" fontId="83" fillId="2" borderId="5" xfId="0" applyNumberFormat="1" applyFont="1" applyFill="1" applyBorder="1" applyAlignment="1" applyProtection="1">
      <alignment horizontal="right" vertical="center"/>
    </xf>
    <xf numFmtId="3" fontId="83" fillId="2" borderId="8" xfId="0" applyNumberFormat="1" applyFont="1" applyFill="1" applyBorder="1" applyAlignment="1" applyProtection="1">
      <alignment horizontal="right" vertical="center"/>
    </xf>
    <xf numFmtId="3" fontId="83" fillId="2" borderId="11" xfId="0" applyNumberFormat="1" applyFont="1" applyFill="1" applyBorder="1" applyAlignment="1" applyProtection="1">
      <alignment horizontal="right" vertical="center"/>
    </xf>
    <xf numFmtId="3" fontId="85" fillId="2" borderId="33" xfId="0" applyNumberFormat="1" applyFont="1" applyFill="1" applyBorder="1" applyAlignment="1" applyProtection="1">
      <alignment horizontal="left" vertical="center" wrapText="1"/>
    </xf>
    <xf numFmtId="3" fontId="77" fillId="0" borderId="35" xfId="0" applyNumberFormat="1" applyFont="1" applyFill="1" applyBorder="1" applyAlignment="1" applyProtection="1">
      <alignment horizontal="right" vertical="center"/>
    </xf>
    <xf numFmtId="3" fontId="77" fillId="0" borderId="54" xfId="0" applyNumberFormat="1" applyFont="1" applyFill="1" applyBorder="1" applyAlignment="1" applyProtection="1">
      <alignment horizontal="right" vertical="center"/>
    </xf>
    <xf numFmtId="3" fontId="77" fillId="0" borderId="47" xfId="0" applyNumberFormat="1" applyFont="1" applyFill="1" applyBorder="1" applyAlignment="1" applyProtection="1">
      <alignment horizontal="right" vertical="center"/>
    </xf>
    <xf numFmtId="164" fontId="85" fillId="0" borderId="26" xfId="0" quotePrefix="1" applyNumberFormat="1" applyFont="1" applyFill="1" applyBorder="1" applyAlignment="1" applyProtection="1">
      <alignment horizontal="center" vertical="center"/>
    </xf>
    <xf numFmtId="3" fontId="61" fillId="0" borderId="8" xfId="0" applyNumberFormat="1" applyFont="1" applyFill="1" applyBorder="1" applyAlignment="1" applyProtection="1">
      <alignment vertical="center"/>
    </xf>
    <xf numFmtId="3" fontId="61" fillId="0" borderId="11" xfId="0" applyNumberFormat="1" applyFont="1" applyFill="1" applyBorder="1" applyAlignment="1" applyProtection="1">
      <alignment vertical="center"/>
    </xf>
    <xf numFmtId="3" fontId="61" fillId="0" borderId="5" xfId="0" applyNumberFormat="1" applyFont="1" applyFill="1" applyBorder="1" applyAlignment="1" applyProtection="1">
      <alignment vertical="center"/>
    </xf>
    <xf numFmtId="3" fontId="61" fillId="0" borderId="9" xfId="0" applyNumberFormat="1" applyFont="1" applyFill="1" applyBorder="1" applyAlignment="1" applyProtection="1">
      <alignment vertical="center"/>
    </xf>
    <xf numFmtId="3" fontId="61" fillId="0" borderId="10" xfId="0" applyNumberFormat="1" applyFont="1" applyFill="1" applyBorder="1" applyAlignment="1" applyProtection="1">
      <alignment vertical="center"/>
    </xf>
    <xf numFmtId="164" fontId="85" fillId="0" borderId="26" xfId="0" applyNumberFormat="1" applyFont="1" applyFill="1" applyBorder="1" applyAlignment="1" applyProtection="1">
      <alignment horizontal="center" vertical="center"/>
    </xf>
    <xf numFmtId="3" fontId="61" fillId="2" borderId="11" xfId="0" applyNumberFormat="1" applyFont="1" applyFill="1" applyBorder="1" applyAlignment="1" applyProtection="1">
      <alignment vertical="center"/>
    </xf>
    <xf numFmtId="164" fontId="85" fillId="2" borderId="26" xfId="0" quotePrefix="1" applyNumberFormat="1" applyFont="1" applyFill="1" applyBorder="1" applyAlignment="1" applyProtection="1">
      <alignment horizontal="center" vertical="center"/>
    </xf>
    <xf numFmtId="164" fontId="85" fillId="2" borderId="26" xfId="0" applyNumberFormat="1" applyFont="1" applyFill="1" applyBorder="1" applyAlignment="1" applyProtection="1">
      <alignment horizontal="center" vertical="center"/>
    </xf>
    <xf numFmtId="164" fontId="85" fillId="2" borderId="27" xfId="0" applyNumberFormat="1" applyFont="1" applyFill="1" applyBorder="1" applyAlignment="1" applyProtection="1">
      <alignment horizontal="center" vertical="center"/>
    </xf>
    <xf numFmtId="3" fontId="62" fillId="2" borderId="33" xfId="0" applyNumberFormat="1" applyFont="1" applyFill="1" applyBorder="1" applyAlignment="1" applyProtection="1">
      <alignment horizontal="left" vertical="center" wrapText="1"/>
      <protection locked="0"/>
    </xf>
    <xf numFmtId="3" fontId="61" fillId="0" borderId="17" xfId="0" applyNumberFormat="1" applyFont="1" applyFill="1" applyBorder="1" applyAlignment="1" applyProtection="1">
      <alignment vertical="center"/>
    </xf>
    <xf numFmtId="3" fontId="61" fillId="0" borderId="37" xfId="0" applyNumberFormat="1" applyFont="1" applyFill="1" applyBorder="1" applyAlignment="1" applyProtection="1">
      <alignment vertical="center"/>
    </xf>
    <xf numFmtId="3" fontId="61" fillId="2" borderId="37" xfId="0" applyNumberFormat="1" applyFont="1" applyFill="1" applyBorder="1" applyAlignment="1" applyProtection="1">
      <alignment vertical="center"/>
    </xf>
    <xf numFmtId="3" fontId="61" fillId="2" borderId="39" xfId="0" applyNumberFormat="1" applyFont="1" applyFill="1" applyBorder="1" applyAlignment="1" applyProtection="1">
      <alignment vertical="center"/>
    </xf>
    <xf numFmtId="164" fontId="80" fillId="2" borderId="19" xfId="0" quotePrefix="1" applyNumberFormat="1" applyFont="1" applyFill="1" applyBorder="1" applyAlignment="1" applyProtection="1">
      <alignment horizontal="left" vertical="center"/>
    </xf>
    <xf numFmtId="3" fontId="77" fillId="2" borderId="19" xfId="0" applyNumberFormat="1" applyFont="1" applyFill="1" applyBorder="1" applyAlignment="1" applyProtection="1">
      <alignment horizontal="left" vertical="center" wrapText="1"/>
    </xf>
    <xf numFmtId="3" fontId="77" fillId="2" borderId="55" xfId="0" applyNumberFormat="1" applyFont="1" applyFill="1" applyBorder="1" applyAlignment="1" applyProtection="1">
      <alignment vertical="center"/>
    </xf>
    <xf numFmtId="3" fontId="77" fillId="2" borderId="1" xfId="0" applyNumberFormat="1" applyFont="1" applyFill="1" applyBorder="1" applyAlignment="1" applyProtection="1">
      <alignment vertical="center"/>
    </xf>
    <xf numFmtId="3" fontId="77" fillId="2" borderId="35" xfId="0" applyNumberFormat="1" applyFont="1" applyFill="1" applyBorder="1" applyAlignment="1" applyProtection="1">
      <alignment vertical="center"/>
    </xf>
    <xf numFmtId="3" fontId="77" fillId="2" borderId="29" xfId="0" applyNumberFormat="1" applyFont="1" applyFill="1" applyBorder="1" applyAlignment="1" applyProtection="1">
      <alignment vertical="center"/>
    </xf>
    <xf numFmtId="164" fontId="80" fillId="0" borderId="20" xfId="0" quotePrefix="1" applyNumberFormat="1" applyFont="1" applyFill="1" applyBorder="1" applyAlignment="1" applyProtection="1">
      <alignment horizontal="left" vertical="center"/>
    </xf>
    <xf numFmtId="3" fontId="77" fillId="0" borderId="20" xfId="0" applyNumberFormat="1" applyFont="1" applyFill="1" applyBorder="1" applyAlignment="1" applyProtection="1">
      <alignment horizontal="left" vertical="center" wrapText="1"/>
    </xf>
    <xf numFmtId="3" fontId="77" fillId="0" borderId="44" xfId="0" applyNumberFormat="1" applyFont="1" applyFill="1" applyBorder="1" applyAlignment="1" applyProtection="1">
      <alignment vertical="center"/>
    </xf>
    <xf numFmtId="3" fontId="77" fillId="0" borderId="4" xfId="0" applyNumberFormat="1" applyFont="1" applyFill="1" applyBorder="1" applyAlignment="1" applyProtection="1">
      <alignment vertical="center"/>
    </xf>
    <xf numFmtId="3" fontId="77" fillId="0" borderId="43" xfId="0" applyNumberFormat="1" applyFont="1" applyFill="1" applyBorder="1" applyAlignment="1" applyProtection="1">
      <alignment vertical="center"/>
    </xf>
    <xf numFmtId="164" fontId="80" fillId="2" borderId="41" xfId="0" quotePrefix="1" applyNumberFormat="1" applyFont="1" applyFill="1" applyBorder="1" applyAlignment="1" applyProtection="1">
      <alignment horizontal="left" vertical="center"/>
    </xf>
    <xf numFmtId="3" fontId="77" fillId="2" borderId="41" xfId="0" applyNumberFormat="1" applyFont="1" applyFill="1" applyBorder="1" applyAlignment="1" applyProtection="1">
      <alignment horizontal="left" vertical="center" wrapText="1"/>
    </xf>
    <xf numFmtId="3" fontId="77" fillId="2" borderId="63" xfId="0" applyNumberFormat="1" applyFont="1" applyFill="1" applyBorder="1" applyAlignment="1" applyProtection="1">
      <alignment vertical="center"/>
    </xf>
    <xf numFmtId="3" fontId="77" fillId="2" borderId="59" xfId="0" applyNumberFormat="1" applyFont="1" applyFill="1" applyBorder="1" applyAlignment="1" applyProtection="1">
      <alignment vertical="center"/>
    </xf>
    <xf numFmtId="3" fontId="77" fillId="2" borderId="73" xfId="0" applyNumberFormat="1" applyFont="1" applyFill="1" applyBorder="1" applyAlignment="1" applyProtection="1">
      <alignment vertical="center"/>
    </xf>
    <xf numFmtId="1" fontId="64" fillId="2" borderId="0" xfId="0" applyNumberFormat="1" applyFont="1" applyFill="1" applyAlignment="1" applyProtection="1">
      <alignment horizontal="center" vertical="center"/>
    </xf>
    <xf numFmtId="3" fontId="61" fillId="2" borderId="0" xfId="0" applyNumberFormat="1" applyFont="1" applyFill="1" applyAlignment="1" applyProtection="1">
      <alignment vertical="center" wrapText="1"/>
    </xf>
    <xf numFmtId="3" fontId="61" fillId="2" borderId="0" xfId="0" applyNumberFormat="1" applyFont="1" applyFill="1" applyBorder="1" applyAlignment="1" applyProtection="1">
      <alignment horizontal="left" vertical="center" wrapText="1"/>
    </xf>
    <xf numFmtId="1" fontId="60" fillId="2" borderId="25" xfId="0" applyNumberFormat="1" applyFont="1" applyFill="1" applyBorder="1" applyAlignment="1" applyProtection="1">
      <alignment horizontal="center" vertical="center" wrapText="1"/>
    </xf>
    <xf numFmtId="3" fontId="60" fillId="2" borderId="2" xfId="0" applyNumberFormat="1" applyFont="1" applyFill="1" applyBorder="1" applyAlignment="1" applyProtection="1">
      <alignment horizontal="center" vertical="center" wrapText="1"/>
    </xf>
    <xf numFmtId="3" fontId="77" fillId="2" borderId="2" xfId="0" applyNumberFormat="1" applyFont="1" applyFill="1" applyBorder="1" applyAlignment="1" applyProtection="1">
      <alignment horizontal="center" vertical="center"/>
      <protection locked="0"/>
    </xf>
    <xf numFmtId="3" fontId="77" fillId="2" borderId="2" xfId="0" applyNumberFormat="1" applyFont="1" applyFill="1" applyBorder="1" applyAlignment="1" applyProtection="1">
      <alignment horizontal="center" vertical="center"/>
    </xf>
    <xf numFmtId="3" fontId="77" fillId="2" borderId="3" xfId="0" applyNumberFormat="1" applyFont="1" applyFill="1" applyBorder="1" applyAlignment="1" applyProtection="1">
      <alignment horizontal="center" vertical="center"/>
    </xf>
    <xf numFmtId="3" fontId="77" fillId="2" borderId="25" xfId="0" applyNumberFormat="1" applyFont="1" applyFill="1" applyBorder="1" applyAlignment="1" applyProtection="1">
      <alignment horizontal="center" vertical="center"/>
    </xf>
    <xf numFmtId="3" fontId="84" fillId="2" borderId="25" xfId="0" applyNumberFormat="1" applyFont="1" applyFill="1" applyBorder="1" applyAlignment="1" applyProtection="1">
      <alignment horizontal="right" vertical="center"/>
    </xf>
    <xf numFmtId="3" fontId="83" fillId="2" borderId="3" xfId="0" applyNumberFormat="1" applyFont="1" applyFill="1" applyBorder="1" applyAlignment="1" applyProtection="1">
      <alignment horizontal="right" vertical="center"/>
    </xf>
    <xf numFmtId="164" fontId="66" fillId="2" borderId="8" xfId="0" applyNumberFormat="1" applyFont="1" applyFill="1" applyBorder="1" applyAlignment="1" applyProtection="1">
      <alignment horizontal="center" vertical="center"/>
    </xf>
    <xf numFmtId="3" fontId="69" fillId="2" borderId="8" xfId="0" applyNumberFormat="1" applyFont="1" applyFill="1" applyBorder="1" applyAlignment="1" applyProtection="1">
      <alignment vertical="center" wrapText="1"/>
    </xf>
    <xf numFmtId="3" fontId="83" fillId="2" borderId="10" xfId="0" applyNumberFormat="1" applyFont="1" applyFill="1" applyBorder="1" applyAlignment="1" applyProtection="1">
      <alignment horizontal="right" vertical="center"/>
    </xf>
    <xf numFmtId="3" fontId="83" fillId="2" borderId="8" xfId="0" applyNumberFormat="1" applyFont="1" applyFill="1" applyBorder="1" applyAlignment="1" applyProtection="1">
      <alignment horizontal="right" vertical="center"/>
      <protection locked="0"/>
    </xf>
    <xf numFmtId="164" fontId="62" fillId="2" borderId="16" xfId="0" applyNumberFormat="1" applyFont="1" applyFill="1" applyBorder="1" applyAlignment="1" applyProtection="1">
      <alignment horizontal="center" vertical="center"/>
    </xf>
    <xf numFmtId="3" fontId="62" fillId="2" borderId="37" xfId="0" applyNumberFormat="1" applyFont="1" applyFill="1" applyBorder="1" applyAlignment="1" applyProtection="1">
      <alignment horizontal="left" vertical="center" wrapText="1"/>
    </xf>
    <xf numFmtId="3" fontId="64" fillId="2" borderId="16" xfId="0" applyNumberFormat="1" applyFont="1" applyFill="1" applyBorder="1" applyAlignment="1" applyProtection="1">
      <alignment vertical="center"/>
    </xf>
    <xf numFmtId="3" fontId="64" fillId="2" borderId="17" xfId="0" applyNumberFormat="1" applyFont="1" applyFill="1" applyBorder="1" applyAlignment="1" applyProtection="1">
      <alignment horizontal="right" vertical="center"/>
    </xf>
    <xf numFmtId="3" fontId="64" fillId="2" borderId="18" xfId="0" applyNumberFormat="1" applyFont="1" applyFill="1" applyBorder="1" applyAlignment="1" applyProtection="1">
      <alignment horizontal="right" vertical="center"/>
    </xf>
    <xf numFmtId="3" fontId="64" fillId="2" borderId="16" xfId="0" applyNumberFormat="1" applyFont="1" applyFill="1" applyBorder="1" applyAlignment="1" applyProtection="1">
      <alignment horizontal="right" vertical="center"/>
    </xf>
    <xf numFmtId="3" fontId="64" fillId="2" borderId="37" xfId="0" applyNumberFormat="1" applyFont="1" applyFill="1" applyBorder="1" applyAlignment="1" applyProtection="1">
      <alignment horizontal="right" vertical="center"/>
    </xf>
    <xf numFmtId="3" fontId="84" fillId="4" borderId="16" xfId="0" applyNumberFormat="1" applyFont="1" applyFill="1" applyBorder="1" applyAlignment="1" applyProtection="1">
      <alignment vertical="center"/>
      <protection locked="0"/>
    </xf>
    <xf numFmtId="164" fontId="60" fillId="2" borderId="5" xfId="0" applyNumberFormat="1" applyFont="1" applyFill="1" applyBorder="1" applyAlignment="1" applyProtection="1">
      <alignment horizontal="left" vertical="center" wrapText="1"/>
    </xf>
    <xf numFmtId="3" fontId="80" fillId="2" borderId="9" xfId="0" quotePrefix="1" applyNumberFormat="1" applyFont="1" applyFill="1" applyBorder="1" applyAlignment="1" applyProtection="1">
      <alignment horizontal="left" vertical="center" wrapText="1"/>
    </xf>
    <xf numFmtId="3" fontId="83" fillId="2" borderId="10" xfId="0" applyNumberFormat="1" applyFont="1" applyFill="1" applyBorder="1" applyAlignment="1" applyProtection="1">
      <alignment vertical="center"/>
    </xf>
    <xf numFmtId="3" fontId="62" fillId="2" borderId="9" xfId="0" applyNumberFormat="1" applyFont="1" applyFill="1" applyBorder="1" applyAlignment="1" applyProtection="1">
      <alignment horizontal="left" vertical="center" wrapText="1"/>
    </xf>
    <xf numFmtId="3" fontId="64" fillId="2" borderId="10" xfId="0" applyNumberFormat="1" applyFont="1" applyFill="1" applyBorder="1" applyAlignment="1" applyProtection="1">
      <alignment vertical="center"/>
    </xf>
    <xf numFmtId="3" fontId="61" fillId="2" borderId="9" xfId="0" applyNumberFormat="1" applyFont="1" applyFill="1" applyBorder="1" applyAlignment="1" applyProtection="1">
      <alignment horizontal="left" vertical="center" wrapText="1"/>
    </xf>
    <xf numFmtId="164" fontId="85" fillId="2" borderId="16" xfId="0" applyNumberFormat="1" applyFont="1" applyFill="1" applyBorder="1" applyAlignment="1" applyProtection="1">
      <alignment horizontal="center" vertical="center"/>
    </xf>
    <xf numFmtId="3" fontId="61" fillId="2" borderId="18" xfId="0" applyNumberFormat="1" applyFont="1" applyFill="1" applyBorder="1" applyAlignment="1" applyProtection="1">
      <alignment horizontal="left" vertical="center" wrapText="1"/>
    </xf>
    <xf numFmtId="3" fontId="64" fillId="2" borderId="39" xfId="0" applyNumberFormat="1" applyFont="1" applyFill="1" applyBorder="1" applyAlignment="1" applyProtection="1">
      <alignment vertical="center"/>
    </xf>
    <xf numFmtId="3" fontId="84" fillId="4" borderId="38" xfId="0" applyNumberFormat="1" applyFont="1" applyFill="1" applyBorder="1" applyAlignment="1" applyProtection="1">
      <alignment vertical="center"/>
      <protection locked="0"/>
    </xf>
    <xf numFmtId="3" fontId="83" fillId="4" borderId="34" xfId="0" applyNumberFormat="1" applyFont="1" applyFill="1" applyBorder="1" applyAlignment="1" applyProtection="1">
      <alignment vertical="center"/>
      <protection locked="0"/>
    </xf>
    <xf numFmtId="1" fontId="60" fillId="2" borderId="20" xfId="0" applyNumberFormat="1" applyFont="1" applyFill="1" applyBorder="1" applyAlignment="1" applyProtection="1">
      <alignment horizontal="center" vertical="center" wrapText="1"/>
    </xf>
    <xf numFmtId="3" fontId="60" fillId="2" borderId="0" xfId="0" applyNumberFormat="1" applyFont="1" applyFill="1" applyBorder="1" applyAlignment="1" applyProtection="1">
      <alignment horizontal="center" vertical="center" wrapText="1"/>
    </xf>
    <xf numFmtId="3" fontId="77" fillId="2" borderId="0" xfId="0" applyNumberFormat="1" applyFont="1" applyFill="1" applyBorder="1" applyAlignment="1" applyProtection="1">
      <alignment horizontal="center" vertical="center"/>
    </xf>
    <xf numFmtId="3" fontId="77" fillId="2" borderId="40" xfId="0" applyNumberFormat="1" applyFont="1" applyFill="1" applyBorder="1" applyAlignment="1" applyProtection="1">
      <alignment horizontal="center" vertical="center"/>
    </xf>
    <xf numFmtId="3" fontId="86" fillId="2" borderId="46" xfId="0" applyNumberFormat="1" applyFont="1" applyFill="1" applyBorder="1" applyAlignment="1" applyProtection="1">
      <alignment horizontal="right" vertical="center"/>
    </xf>
    <xf numFmtId="3" fontId="64" fillId="2" borderId="47" xfId="0" applyNumberFormat="1" applyFont="1" applyFill="1" applyBorder="1" applyAlignment="1" applyProtection="1">
      <alignment horizontal="right" vertical="center"/>
    </xf>
    <xf numFmtId="3" fontId="69" fillId="2" borderId="24" xfId="0" applyNumberFormat="1" applyFont="1" applyFill="1" applyBorder="1" applyAlignment="1" applyProtection="1">
      <alignment vertical="center" wrapText="1"/>
    </xf>
    <xf numFmtId="3" fontId="83" fillId="2" borderId="62" xfId="0" applyNumberFormat="1" applyFont="1" applyFill="1" applyBorder="1" applyAlignment="1" applyProtection="1">
      <alignment horizontal="right" vertical="center"/>
    </xf>
    <xf numFmtId="3" fontId="65" fillId="2" borderId="0" xfId="0" applyNumberFormat="1" applyFont="1" applyFill="1" applyAlignment="1" applyProtection="1">
      <alignment vertical="center"/>
    </xf>
    <xf numFmtId="3" fontId="84" fillId="2" borderId="21" xfId="0" applyNumberFormat="1" applyFont="1" applyFill="1" applyBorder="1" applyAlignment="1" applyProtection="1">
      <alignment horizontal="right" vertical="center"/>
    </xf>
    <xf numFmtId="3" fontId="62" fillId="2" borderId="18" xfId="0" applyNumberFormat="1" applyFont="1" applyFill="1" applyBorder="1" applyAlignment="1" applyProtection="1">
      <alignment horizontal="left" vertical="center" wrapText="1"/>
    </xf>
    <xf numFmtId="3" fontId="86" fillId="2" borderId="25" xfId="0" applyNumberFormat="1" applyFont="1" applyFill="1" applyBorder="1" applyAlignment="1" applyProtection="1">
      <alignment horizontal="right" vertical="center"/>
    </xf>
    <xf numFmtId="3" fontId="64" fillId="2" borderId="3" xfId="0" applyNumberFormat="1" applyFont="1" applyFill="1" applyBorder="1" applyAlignment="1" applyProtection="1">
      <alignment horizontal="right" vertical="center"/>
    </xf>
    <xf numFmtId="164" fontId="66" fillId="2" borderId="5" xfId="0" applyNumberFormat="1" applyFont="1" applyFill="1" applyBorder="1" applyAlignment="1" applyProtection="1">
      <alignment horizontal="center" vertical="center"/>
    </xf>
    <xf numFmtId="3" fontId="69" fillId="2" borderId="9" xfId="0" applyNumberFormat="1" applyFont="1" applyFill="1" applyBorder="1" applyAlignment="1" applyProtection="1">
      <alignment vertical="center" wrapText="1"/>
    </xf>
    <xf numFmtId="164" fontId="85" fillId="2" borderId="5" xfId="0" applyNumberFormat="1" applyFont="1" applyFill="1" applyBorder="1" applyAlignment="1" applyProtection="1">
      <alignment horizontal="center" vertical="center"/>
    </xf>
    <xf numFmtId="3" fontId="86" fillId="2" borderId="41" xfId="0" applyNumberFormat="1" applyFont="1" applyFill="1" applyBorder="1" applyAlignment="1" applyProtection="1">
      <alignment horizontal="right" vertical="center"/>
    </xf>
    <xf numFmtId="3" fontId="64" fillId="2" borderId="13" xfId="0" applyNumberFormat="1" applyFont="1" applyFill="1" applyBorder="1" applyAlignment="1" applyProtection="1">
      <alignment horizontal="right" vertical="center"/>
    </xf>
    <xf numFmtId="164" fontId="66" fillId="2" borderId="55" xfId="0" applyNumberFormat="1" applyFont="1" applyFill="1" applyBorder="1" applyAlignment="1" applyProtection="1">
      <alignment horizontal="center" vertical="center"/>
    </xf>
    <xf numFmtId="3" fontId="69" fillId="2" borderId="66" xfId="0" applyNumberFormat="1" applyFont="1" applyFill="1" applyBorder="1" applyAlignment="1" applyProtection="1">
      <alignment vertical="center" wrapText="1"/>
    </xf>
    <xf numFmtId="3" fontId="83" fillId="2" borderId="55" xfId="0" applyNumberFormat="1" applyFont="1" applyFill="1" applyBorder="1" applyAlignment="1" applyProtection="1">
      <alignment horizontal="right" vertical="center"/>
    </xf>
    <xf numFmtId="3" fontId="83" fillId="2" borderId="1" xfId="0" applyNumberFormat="1" applyFont="1" applyFill="1" applyBorder="1" applyAlignment="1" applyProtection="1">
      <alignment horizontal="right" vertical="center"/>
    </xf>
    <xf numFmtId="3" fontId="84" fillId="2" borderId="35" xfId="0" applyNumberFormat="1" applyFont="1" applyFill="1" applyBorder="1" applyAlignment="1" applyProtection="1">
      <alignment horizontal="right" vertical="center"/>
    </xf>
    <xf numFmtId="1" fontId="64" fillId="2" borderId="0" xfId="0" applyNumberFormat="1" applyFont="1" applyFill="1" applyAlignment="1" applyProtection="1">
      <alignment horizontal="center"/>
    </xf>
    <xf numFmtId="3" fontId="61" fillId="2" borderId="0" xfId="0" applyNumberFormat="1" applyFont="1" applyFill="1" applyBorder="1" applyAlignment="1" applyProtection="1">
      <alignment horizontal="left" wrapText="1"/>
    </xf>
    <xf numFmtId="3" fontId="83" fillId="2" borderId="14" xfId="0" applyNumberFormat="1" applyFont="1" applyFill="1" applyBorder="1" applyAlignment="1" applyProtection="1">
      <alignment vertical="center"/>
    </xf>
    <xf numFmtId="3" fontId="83" fillId="2" borderId="42" xfId="0" applyNumberFormat="1" applyFont="1" applyFill="1" applyBorder="1" applyAlignment="1" applyProtection="1">
      <alignment vertical="center"/>
    </xf>
    <xf numFmtId="3" fontId="84" fillId="2" borderId="35" xfId="0" applyNumberFormat="1" applyFont="1" applyFill="1" applyBorder="1" applyAlignment="1" applyProtection="1">
      <alignment vertical="center"/>
    </xf>
    <xf numFmtId="3" fontId="83" fillId="2" borderId="29" xfId="0" applyNumberFormat="1" applyFont="1" applyFill="1" applyBorder="1" applyAlignment="1" applyProtection="1">
      <alignment vertical="center"/>
    </xf>
    <xf numFmtId="164" fontId="80" fillId="2" borderId="55" xfId="0" quotePrefix="1" applyNumberFormat="1" applyFont="1" applyFill="1" applyBorder="1" applyAlignment="1" applyProtection="1">
      <alignment horizontal="left" vertical="center"/>
    </xf>
    <xf numFmtId="3" fontId="77" fillId="2" borderId="56" xfId="0" applyNumberFormat="1" applyFont="1" applyFill="1" applyBorder="1" applyAlignment="1" applyProtection="1">
      <alignment horizontal="left" vertical="center" wrapText="1"/>
    </xf>
    <xf numFmtId="3" fontId="83" fillId="2" borderId="56" xfId="0" applyNumberFormat="1" applyFont="1" applyFill="1" applyBorder="1" applyAlignment="1" applyProtection="1">
      <alignment vertical="center"/>
    </xf>
    <xf numFmtId="3" fontId="83" fillId="2" borderId="66" xfId="0" applyNumberFormat="1" applyFont="1" applyFill="1" applyBorder="1" applyAlignment="1" applyProtection="1">
      <alignment vertical="center"/>
    </xf>
    <xf numFmtId="3" fontId="63" fillId="2" borderId="0" xfId="0" applyNumberFormat="1" applyFont="1" applyFill="1" applyAlignment="1" applyProtection="1">
      <alignment vertical="center"/>
    </xf>
    <xf numFmtId="164" fontId="69" fillId="2" borderId="46" xfId="0" applyNumberFormat="1" applyFont="1" applyFill="1" applyBorder="1" applyAlignment="1" applyProtection="1">
      <alignment vertical="center"/>
    </xf>
    <xf numFmtId="164" fontId="69" fillId="2" borderId="48" xfId="0" applyNumberFormat="1" applyFont="1" applyFill="1" applyBorder="1" applyAlignment="1" applyProtection="1">
      <alignment vertical="center"/>
    </xf>
    <xf numFmtId="3" fontId="83" fillId="2" borderId="48" xfId="0" applyNumberFormat="1" applyFont="1" applyFill="1" applyBorder="1" applyAlignment="1" applyProtection="1">
      <alignment vertical="center"/>
    </xf>
    <xf numFmtId="3" fontId="83" fillId="2" borderId="47" xfId="0" applyNumberFormat="1" applyFont="1" applyFill="1" applyBorder="1" applyAlignment="1" applyProtection="1">
      <alignment vertical="center"/>
    </xf>
    <xf numFmtId="164" fontId="80" fillId="0" borderId="67" xfId="0" quotePrefix="1" applyNumberFormat="1" applyFont="1" applyFill="1" applyBorder="1" applyAlignment="1" applyProtection="1">
      <alignment horizontal="left" vertical="center"/>
    </xf>
    <xf numFmtId="3" fontId="77" fillId="0" borderId="30" xfId="0" applyNumberFormat="1" applyFont="1" applyFill="1" applyBorder="1" applyAlignment="1" applyProtection="1">
      <alignment horizontal="left" vertical="center" wrapText="1"/>
    </xf>
    <xf numFmtId="3" fontId="83" fillId="2" borderId="30" xfId="0" applyNumberFormat="1" applyFont="1" applyFill="1" applyBorder="1" applyAlignment="1" applyProtection="1">
      <alignment vertical="center"/>
    </xf>
    <xf numFmtId="3" fontId="83" fillId="2" borderId="68" xfId="0" applyNumberFormat="1" applyFont="1" applyFill="1" applyBorder="1" applyAlignment="1" applyProtection="1">
      <alignment vertical="center"/>
    </xf>
    <xf numFmtId="164" fontId="80" fillId="2" borderId="16" xfId="0" quotePrefix="1" applyNumberFormat="1" applyFont="1" applyFill="1" applyBorder="1" applyAlignment="1" applyProtection="1">
      <alignment horizontal="left" vertical="center"/>
    </xf>
    <xf numFmtId="3" fontId="77" fillId="2" borderId="17" xfId="0" applyNumberFormat="1" applyFont="1" applyFill="1" applyBorder="1" applyAlignment="1" applyProtection="1">
      <alignment horizontal="left" vertical="center" wrapText="1"/>
    </xf>
    <xf numFmtId="3" fontId="83" fillId="2" borderId="17" xfId="0" applyNumberFormat="1" applyFont="1" applyFill="1" applyBorder="1" applyAlignment="1" applyProtection="1">
      <alignment vertical="center"/>
    </xf>
    <xf numFmtId="3" fontId="83" fillId="2" borderId="18" xfId="0" applyNumberFormat="1" applyFont="1" applyFill="1" applyBorder="1" applyAlignment="1" applyProtection="1">
      <alignment vertical="center"/>
    </xf>
    <xf numFmtId="3" fontId="92" fillId="0" borderId="8" xfId="0" applyNumberFormat="1" applyFont="1" applyFill="1" applyBorder="1" applyAlignment="1" applyProtection="1">
      <alignment vertical="center"/>
      <protection hidden="1"/>
    </xf>
    <xf numFmtId="3" fontId="93" fillId="0" borderId="8" xfId="0" applyNumberFormat="1" applyFont="1" applyFill="1" applyBorder="1" applyAlignment="1" applyProtection="1">
      <alignment vertical="center"/>
      <protection hidden="1"/>
    </xf>
    <xf numFmtId="3" fontId="94" fillId="0" borderId="8" xfId="0" applyNumberFormat="1" applyFont="1" applyFill="1" applyBorder="1" applyAlignment="1" applyProtection="1">
      <alignment vertical="center"/>
      <protection hidden="1"/>
    </xf>
    <xf numFmtId="3" fontId="94" fillId="0" borderId="17" xfId="0" applyNumberFormat="1" applyFont="1" applyFill="1" applyBorder="1" applyAlignment="1" applyProtection="1">
      <alignment vertical="center"/>
      <protection hidden="1"/>
    </xf>
    <xf numFmtId="3" fontId="97" fillId="2" borderId="0" xfId="0" applyNumberFormat="1" applyFont="1" applyFill="1" applyProtection="1"/>
    <xf numFmtId="3" fontId="98" fillId="2" borderId="0" xfId="0" applyNumberFormat="1" applyFont="1" applyFill="1" applyProtection="1"/>
    <xf numFmtId="1" fontId="98" fillId="2" borderId="0" xfId="0" applyNumberFormat="1" applyFont="1" applyFill="1" applyAlignment="1" applyProtection="1">
      <alignment horizontal="center"/>
    </xf>
    <xf numFmtId="3" fontId="97" fillId="2" borderId="0" xfId="0" applyNumberFormat="1" applyFont="1" applyFill="1" applyAlignment="1" applyProtection="1">
      <alignment wrapText="1"/>
    </xf>
    <xf numFmtId="3" fontId="96" fillId="2" borderId="0" xfId="0" applyNumberFormat="1" applyFont="1" applyFill="1" applyProtection="1"/>
    <xf numFmtId="0" fontId="98" fillId="2" borderId="0" xfId="0" applyFont="1" applyFill="1" applyProtection="1"/>
    <xf numFmtId="1" fontId="99" fillId="2" borderId="19" xfId="0" applyNumberFormat="1" applyFont="1" applyFill="1" applyBorder="1" applyAlignment="1" applyProtection="1">
      <alignment horizontal="center"/>
    </xf>
    <xf numFmtId="3" fontId="100" fillId="2" borderId="14" xfId="0" applyNumberFormat="1" applyFont="1" applyFill="1" applyBorder="1" applyAlignment="1" applyProtection="1">
      <alignment horizontal="center" wrapText="1"/>
    </xf>
    <xf numFmtId="3" fontId="97" fillId="2" borderId="19" xfId="0" applyNumberFormat="1" applyFont="1" applyFill="1" applyBorder="1" applyProtection="1"/>
    <xf numFmtId="3" fontId="102" fillId="2" borderId="14" xfId="0" applyNumberFormat="1" applyFont="1" applyFill="1" applyBorder="1" applyAlignment="1" applyProtection="1">
      <alignment horizontal="left" vertical="center" indent="1"/>
    </xf>
    <xf numFmtId="3" fontId="102" fillId="2" borderId="14" xfId="0" applyNumberFormat="1" applyFont="1" applyFill="1" applyBorder="1" applyAlignment="1" applyProtection="1">
      <alignment vertical="center"/>
    </xf>
    <xf numFmtId="3" fontId="96" fillId="2" borderId="42" xfId="0" applyNumberFormat="1" applyFont="1" applyFill="1" applyBorder="1" applyAlignment="1" applyProtection="1"/>
    <xf numFmtId="3" fontId="96" fillId="2" borderId="24" xfId="0" applyNumberFormat="1" applyFont="1" applyFill="1" applyBorder="1" applyAlignment="1" applyProtection="1">
      <alignment horizontal="center" vertical="center"/>
    </xf>
    <xf numFmtId="3" fontId="97" fillId="2" borderId="0" xfId="0" applyNumberFormat="1" applyFont="1" applyFill="1" applyBorder="1" applyProtection="1"/>
    <xf numFmtId="1" fontId="98" fillId="2" borderId="19" xfId="0" applyNumberFormat="1" applyFont="1" applyFill="1" applyBorder="1" applyAlignment="1" applyProtection="1">
      <alignment horizontal="center"/>
    </xf>
    <xf numFmtId="3" fontId="103" fillId="2" borderId="1" xfId="0" applyNumberFormat="1" applyFont="1" applyFill="1" applyBorder="1" applyProtection="1"/>
    <xf numFmtId="3" fontId="100" fillId="2" borderId="25" xfId="0" applyNumberFormat="1" applyFont="1" applyFill="1" applyBorder="1" applyAlignment="1" applyProtection="1">
      <alignment horizontal="centerContinuous"/>
    </xf>
    <xf numFmtId="3" fontId="100" fillId="2" borderId="2" xfId="0" applyNumberFormat="1" applyFont="1" applyFill="1" applyBorder="1" applyAlignment="1" applyProtection="1">
      <alignment horizontal="centerContinuous"/>
    </xf>
    <xf numFmtId="3" fontId="98" fillId="2" borderId="2" xfId="0" applyNumberFormat="1" applyFont="1" applyFill="1" applyBorder="1" applyAlignment="1" applyProtection="1">
      <alignment horizontal="centerContinuous"/>
    </xf>
    <xf numFmtId="3" fontId="98" fillId="2" borderId="3" xfId="0" applyNumberFormat="1" applyFont="1" applyFill="1" applyBorder="1" applyAlignment="1" applyProtection="1">
      <alignment horizontal="centerContinuous"/>
    </xf>
    <xf numFmtId="0" fontId="100" fillId="2" borderId="21" xfId="0" applyFont="1" applyFill="1" applyBorder="1" applyAlignment="1" applyProtection="1">
      <alignment horizontal="center" vertical="center"/>
    </xf>
    <xf numFmtId="1" fontId="99" fillId="2" borderId="20" xfId="0" applyNumberFormat="1" applyFont="1" applyFill="1" applyBorder="1" applyAlignment="1" applyProtection="1">
      <alignment horizontal="center"/>
    </xf>
    <xf numFmtId="3" fontId="104" fillId="2" borderId="20" xfId="0" applyNumberFormat="1" applyFont="1" applyFill="1" applyBorder="1" applyProtection="1"/>
    <xf numFmtId="1" fontId="98" fillId="2" borderId="20" xfId="0" applyNumberFormat="1" applyFont="1" applyFill="1" applyBorder="1" applyAlignment="1" applyProtection="1">
      <alignment horizontal="center"/>
    </xf>
    <xf numFmtId="3" fontId="97" fillId="2" borderId="20" xfId="0" applyNumberFormat="1" applyFont="1" applyFill="1" applyBorder="1" applyProtection="1"/>
    <xf numFmtId="3" fontId="98" fillId="2" borderId="4" xfId="0" applyNumberFormat="1" applyFont="1" applyFill="1" applyBorder="1" applyAlignment="1" applyProtection="1">
      <alignment horizontal="center"/>
    </xf>
    <xf numFmtId="3" fontId="100" fillId="2" borderId="26" xfId="0" applyNumberFormat="1" applyFont="1" applyFill="1" applyBorder="1" applyAlignment="1" applyProtection="1">
      <alignment horizontal="centerContinuous"/>
    </xf>
    <xf numFmtId="3" fontId="100" fillId="2" borderId="45" xfId="0" applyNumberFormat="1" applyFont="1" applyFill="1" applyBorder="1" applyAlignment="1" applyProtection="1">
      <alignment horizontal="centerContinuous"/>
    </xf>
    <xf numFmtId="3" fontId="100" fillId="2" borderId="49" xfId="0" applyNumberFormat="1" applyFont="1" applyFill="1" applyBorder="1" applyAlignment="1" applyProtection="1">
      <alignment horizontal="centerContinuous"/>
    </xf>
    <xf numFmtId="0" fontId="100" fillId="2" borderId="16" xfId="0" applyFont="1" applyFill="1" applyBorder="1" applyAlignment="1" applyProtection="1">
      <alignment horizontal="center" vertical="center"/>
    </xf>
    <xf numFmtId="3" fontId="96" fillId="2" borderId="18" xfId="0" applyNumberFormat="1" applyFont="1" applyFill="1" applyBorder="1" applyAlignment="1" applyProtection="1">
      <alignment horizontal="center" vertical="center"/>
    </xf>
    <xf numFmtId="0" fontId="96" fillId="2" borderId="0" xfId="0" applyFont="1" applyFill="1" applyAlignment="1" applyProtection="1">
      <alignment horizontal="centerContinuous" vertical="center"/>
    </xf>
    <xf numFmtId="3" fontId="97" fillId="2" borderId="41" xfId="0" applyNumberFormat="1" applyFont="1" applyFill="1" applyBorder="1" applyProtection="1"/>
    <xf numFmtId="3" fontId="97" fillId="2" borderId="44" xfId="0" applyNumberFormat="1" applyFont="1" applyFill="1" applyBorder="1" applyProtection="1"/>
    <xf numFmtId="3" fontId="97" fillId="2" borderId="61" xfId="0" applyNumberFormat="1" applyFont="1" applyFill="1" applyBorder="1" applyAlignment="1" applyProtection="1">
      <alignment horizontal="center"/>
    </xf>
    <xf numFmtId="3" fontId="97" fillId="2" borderId="0" xfId="0" applyNumberFormat="1" applyFont="1" applyFill="1" applyBorder="1" applyAlignment="1" applyProtection="1">
      <alignment horizontal="center"/>
    </xf>
    <xf numFmtId="3" fontId="108" fillId="2" borderId="41" xfId="0" applyNumberFormat="1" applyFont="1" applyFill="1" applyBorder="1" applyAlignment="1" applyProtection="1">
      <alignment horizontal="left" vertical="center"/>
    </xf>
    <xf numFmtId="3" fontId="97" fillId="2" borderId="12" xfId="0" applyNumberFormat="1" applyFont="1" applyFill="1" applyBorder="1" applyAlignment="1" applyProtection="1">
      <alignment vertical="center"/>
    </xf>
    <xf numFmtId="3" fontId="96" fillId="2" borderId="13" xfId="0" applyNumberFormat="1" applyFont="1" applyFill="1" applyBorder="1" applyAlignment="1" applyProtection="1">
      <alignment vertical="center"/>
    </xf>
    <xf numFmtId="3" fontId="96" fillId="2" borderId="0" xfId="0" applyNumberFormat="1" applyFont="1" applyFill="1" applyAlignment="1" applyProtection="1">
      <alignment vertical="center"/>
    </xf>
    <xf numFmtId="3" fontId="96" fillId="2" borderId="12" xfId="0" applyNumberFormat="1" applyFont="1" applyFill="1" applyBorder="1" applyAlignment="1" applyProtection="1">
      <alignment vertical="center"/>
    </xf>
    <xf numFmtId="3" fontId="98" fillId="2" borderId="13" xfId="0" applyNumberFormat="1" applyFont="1" applyFill="1" applyBorder="1" applyAlignment="1" applyProtection="1">
      <alignment vertical="center"/>
    </xf>
    <xf numFmtId="3" fontId="109" fillId="2" borderId="0" xfId="0" applyNumberFormat="1" applyFont="1" applyFill="1" applyProtection="1"/>
    <xf numFmtId="3" fontId="97" fillId="2" borderId="0" xfId="0" applyNumberFormat="1" applyFont="1" applyFill="1" applyBorder="1" applyAlignment="1" applyProtection="1">
      <alignment vertical="center"/>
    </xf>
    <xf numFmtId="3" fontId="96" fillId="2" borderId="0" xfId="0" applyNumberFormat="1" applyFont="1" applyFill="1" applyBorder="1" applyAlignment="1" applyProtection="1">
      <alignment vertical="center"/>
    </xf>
    <xf numFmtId="3" fontId="98" fillId="2" borderId="40" xfId="0" applyNumberFormat="1" applyFont="1" applyFill="1" applyBorder="1" applyAlignment="1" applyProtection="1">
      <alignment vertical="center"/>
    </xf>
    <xf numFmtId="3" fontId="110" fillId="2" borderId="62" xfId="0" applyNumberFormat="1" applyFont="1" applyFill="1" applyBorder="1" applyAlignment="1" applyProtection="1">
      <alignment horizontal="centerContinuous" vertical="center"/>
    </xf>
    <xf numFmtId="3" fontId="97" fillId="2" borderId="23" xfId="0" applyNumberFormat="1" applyFont="1" applyFill="1" applyBorder="1" applyAlignment="1" applyProtection="1">
      <alignment horizontal="centerContinuous"/>
    </xf>
    <xf numFmtId="3" fontId="97" fillId="2" borderId="24" xfId="0" applyNumberFormat="1" applyFont="1" applyFill="1" applyBorder="1" applyAlignment="1" applyProtection="1">
      <alignment horizontal="centerContinuous"/>
    </xf>
    <xf numFmtId="3" fontId="110" fillId="2" borderId="21" xfId="0" applyNumberFormat="1" applyFont="1" applyFill="1" applyBorder="1" applyAlignment="1" applyProtection="1">
      <alignment horizontal="centerContinuous" vertical="center" wrapText="1"/>
    </xf>
    <xf numFmtId="3" fontId="97" fillId="2" borderId="4" xfId="0" applyNumberFormat="1" applyFont="1" applyFill="1" applyBorder="1" applyAlignment="1" applyProtection="1">
      <alignment horizontal="center"/>
    </xf>
    <xf numFmtId="3" fontId="97" fillId="2" borderId="44" xfId="0" applyNumberFormat="1" applyFont="1" applyFill="1" applyBorder="1" applyAlignment="1" applyProtection="1">
      <alignment horizontal="center"/>
    </xf>
    <xf numFmtId="3" fontId="97" fillId="2" borderId="40" xfId="0" applyNumberFormat="1" applyFont="1" applyFill="1" applyBorder="1" applyAlignment="1" applyProtection="1">
      <alignment horizontal="center"/>
    </xf>
    <xf numFmtId="0" fontId="110" fillId="2" borderId="1" xfId="0" applyFont="1" applyFill="1" applyBorder="1" applyAlignment="1" applyProtection="1">
      <alignment horizontal="center" vertical="center"/>
    </xf>
    <xf numFmtId="0" fontId="110" fillId="2" borderId="25" xfId="0" applyFont="1" applyFill="1" applyBorder="1" applyAlignment="1" applyProtection="1">
      <alignment horizontal="centerContinuous" vertical="center"/>
    </xf>
    <xf numFmtId="0" fontId="109" fillId="2" borderId="2" xfId="0" applyFont="1" applyFill="1" applyBorder="1" applyAlignment="1" applyProtection="1">
      <alignment horizontal="centerContinuous"/>
    </xf>
    <xf numFmtId="0" fontId="110" fillId="2" borderId="3" xfId="0" applyFont="1" applyFill="1" applyBorder="1" applyAlignment="1" applyProtection="1">
      <alignment horizontal="centerContinuous" vertical="center"/>
    </xf>
    <xf numFmtId="0" fontId="111" fillId="2" borderId="67" xfId="0" applyFont="1" applyFill="1" applyBorder="1" applyAlignment="1" applyProtection="1">
      <alignment horizontal="centerContinuous" vertical="center"/>
    </xf>
    <xf numFmtId="0" fontId="111" fillId="2" borderId="21" xfId="0" applyFont="1" applyFill="1" applyBorder="1" applyAlignment="1" applyProtection="1">
      <alignment horizontal="centerContinuous" vertical="center"/>
    </xf>
    <xf numFmtId="0" fontId="111" fillId="2" borderId="23" xfId="0" applyFont="1" applyFill="1" applyBorder="1" applyAlignment="1" applyProtection="1">
      <alignment horizontal="centerContinuous" vertical="center"/>
    </xf>
    <xf numFmtId="0" fontId="111" fillId="2" borderId="23" xfId="0" applyFont="1" applyFill="1" applyBorder="1" applyAlignment="1" applyProtection="1">
      <alignment horizontal="centerContinuous"/>
    </xf>
    <xf numFmtId="3" fontId="111" fillId="2" borderId="24" xfId="0" applyNumberFormat="1" applyFont="1" applyFill="1" applyBorder="1" applyAlignment="1" applyProtection="1">
      <alignment horizontal="centerContinuous"/>
    </xf>
    <xf numFmtId="3" fontId="109" fillId="2" borderId="38" xfId="0" applyNumberFormat="1" applyFont="1" applyFill="1" applyBorder="1" applyAlignment="1" applyProtection="1">
      <alignment horizontal="center" vertical="center"/>
    </xf>
    <xf numFmtId="3" fontId="109" fillId="2" borderId="7" xfId="0" applyNumberFormat="1" applyFont="1" applyFill="1" applyBorder="1" applyAlignment="1" applyProtection="1">
      <alignment horizontal="center" vertical="center"/>
    </xf>
    <xf numFmtId="3" fontId="109" fillId="2" borderId="34" xfId="0" applyNumberFormat="1" applyFont="1" applyFill="1" applyBorder="1" applyAlignment="1" applyProtection="1">
      <alignment horizontal="center" vertical="center"/>
    </xf>
    <xf numFmtId="3" fontId="109" fillId="2" borderId="44" xfId="0" applyNumberFormat="1" applyFont="1" applyFill="1" applyBorder="1" applyAlignment="1" applyProtection="1">
      <alignment horizontal="center" vertical="center"/>
    </xf>
    <xf numFmtId="3" fontId="109" fillId="2" borderId="43" xfId="0" applyNumberFormat="1" applyFont="1" applyFill="1" applyBorder="1" applyAlignment="1" applyProtection="1">
      <alignment horizontal="center" vertical="center"/>
    </xf>
    <xf numFmtId="3" fontId="109" fillId="2" borderId="39" xfId="0" applyNumberFormat="1" applyFont="1" applyFill="1" applyBorder="1" applyAlignment="1" applyProtection="1">
      <alignment horizontal="center" vertical="center"/>
    </xf>
    <xf numFmtId="3" fontId="109" fillId="2" borderId="17" xfId="0" applyNumberFormat="1" applyFont="1" applyFill="1" applyBorder="1" applyAlignment="1" applyProtection="1">
      <alignment horizontal="center" vertical="center"/>
    </xf>
    <xf numFmtId="3" fontId="109" fillId="2" borderId="18" xfId="0" applyNumberFormat="1" applyFont="1" applyFill="1" applyBorder="1" applyAlignment="1" applyProtection="1">
      <alignment horizontal="center" vertical="center"/>
    </xf>
    <xf numFmtId="3" fontId="109" fillId="2" borderId="16" xfId="0" applyNumberFormat="1" applyFont="1" applyFill="1" applyBorder="1" applyAlignment="1" applyProtection="1">
      <alignment horizontal="center" vertical="center"/>
    </xf>
    <xf numFmtId="3" fontId="97" fillId="2" borderId="31" xfId="0" applyNumberFormat="1" applyFont="1" applyFill="1" applyBorder="1" applyProtection="1"/>
    <xf numFmtId="3" fontId="97" fillId="2" borderId="63" xfId="0" applyNumberFormat="1" applyFont="1" applyFill="1" applyBorder="1" applyProtection="1"/>
    <xf numFmtId="3" fontId="97" fillId="2" borderId="58" xfId="0" applyNumberFormat="1" applyFont="1" applyFill="1" applyBorder="1" applyAlignment="1" applyProtection="1">
      <alignment horizontal="center"/>
    </xf>
    <xf numFmtId="3" fontId="97" fillId="2" borderId="13" xfId="0" applyNumberFormat="1" applyFont="1" applyFill="1" applyBorder="1" applyAlignment="1" applyProtection="1">
      <alignment horizontal="center"/>
    </xf>
    <xf numFmtId="0" fontId="109" fillId="2" borderId="64" xfId="0" applyFont="1" applyFill="1" applyBorder="1" applyAlignment="1" applyProtection="1">
      <alignment horizontal="centerContinuous" vertical="center"/>
    </xf>
    <xf numFmtId="0" fontId="109" fillId="2" borderId="16" xfId="0" applyFont="1" applyFill="1" applyBorder="1" applyAlignment="1" applyProtection="1">
      <alignment horizontal="center" vertical="center" wrapText="1"/>
    </xf>
    <xf numFmtId="0" fontId="109" fillId="2" borderId="17" xfId="0" applyFont="1" applyFill="1" applyBorder="1" applyAlignment="1" applyProtection="1">
      <alignment horizontal="center" vertical="center" wrapText="1"/>
    </xf>
    <xf numFmtId="0" fontId="109" fillId="2" borderId="18" xfId="0" applyFont="1" applyFill="1" applyBorder="1" applyAlignment="1" applyProtection="1">
      <alignment horizontal="center" vertical="center" wrapText="1"/>
    </xf>
    <xf numFmtId="0" fontId="111" fillId="2" borderId="5" xfId="0" applyFont="1" applyFill="1" applyBorder="1" applyAlignment="1" applyProtection="1">
      <alignment horizontal="centerContinuous" vertical="center"/>
    </xf>
    <xf numFmtId="0" fontId="111" fillId="2" borderId="8"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0" fontId="111" fillId="2" borderId="38"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0" fontId="111" fillId="2" borderId="34" xfId="0" applyFont="1" applyFill="1" applyBorder="1" applyAlignment="1" applyProtection="1">
      <alignment horizontal="center" vertical="center" wrapText="1"/>
    </xf>
    <xf numFmtId="1" fontId="96" fillId="2" borderId="46" xfId="0" applyNumberFormat="1" applyFont="1" applyFill="1" applyBorder="1" applyAlignment="1" applyProtection="1">
      <alignment horizontal="center" vertical="center"/>
    </xf>
    <xf numFmtId="3" fontId="96" fillId="2" borderId="48" xfId="0" applyNumberFormat="1" applyFont="1" applyFill="1" applyBorder="1" applyAlignment="1" applyProtection="1">
      <alignment horizontal="center" vertical="center" wrapText="1"/>
    </xf>
    <xf numFmtId="3" fontId="109" fillId="2" borderId="48" xfId="0" applyNumberFormat="1" applyFont="1" applyFill="1" applyBorder="1" applyAlignment="1" applyProtection="1">
      <alignment horizontal="center" vertical="center"/>
    </xf>
    <xf numFmtId="3" fontId="109" fillId="2" borderId="47" xfId="0" applyNumberFormat="1" applyFont="1" applyFill="1" applyBorder="1" applyAlignment="1" applyProtection="1">
      <alignment horizontal="center" vertical="center"/>
    </xf>
    <xf numFmtId="3" fontId="109" fillId="2" borderId="46" xfId="0" applyNumberFormat="1" applyFont="1" applyFill="1" applyBorder="1" applyAlignment="1" applyProtection="1">
      <alignment horizontal="center" vertical="center"/>
    </xf>
    <xf numFmtId="3" fontId="98" fillId="2" borderId="0" xfId="0" applyNumberFormat="1" applyFont="1" applyFill="1" applyAlignment="1" applyProtection="1">
      <alignment vertical="center"/>
    </xf>
    <xf numFmtId="1" fontId="96" fillId="2" borderId="46" xfId="0" applyNumberFormat="1" applyFont="1" applyFill="1" applyBorder="1" applyAlignment="1" applyProtection="1">
      <alignment horizontal="center" vertical="center" wrapText="1"/>
    </xf>
    <xf numFmtId="3" fontId="109" fillId="2" borderId="35" xfId="0" applyNumberFormat="1" applyFont="1" applyFill="1" applyBorder="1" applyAlignment="1" applyProtection="1">
      <alignment horizontal="center" vertical="center"/>
    </xf>
    <xf numFmtId="3" fontId="109" fillId="2" borderId="29" xfId="0" applyNumberFormat="1" applyFont="1" applyFill="1" applyBorder="1" applyAlignment="1" applyProtection="1">
      <alignment horizontal="center" vertical="center"/>
    </xf>
    <xf numFmtId="3" fontId="98" fillId="2" borderId="4" xfId="0" applyNumberFormat="1" applyFont="1" applyFill="1" applyBorder="1" applyAlignment="1" applyProtection="1">
      <alignment horizontal="center" vertical="center"/>
    </xf>
    <xf numFmtId="3" fontId="98" fillId="2" borderId="6" xfId="0" applyNumberFormat="1" applyFont="1" applyFill="1" applyBorder="1" applyAlignment="1" applyProtection="1">
      <alignment horizontal="left" vertical="center"/>
    </xf>
    <xf numFmtId="3" fontId="98" fillId="2" borderId="65" xfId="0" applyNumberFormat="1" applyFont="1" applyFill="1" applyBorder="1" applyAlignment="1" applyProtection="1">
      <alignment vertical="center"/>
    </xf>
    <xf numFmtId="3" fontId="98" fillId="2" borderId="0" xfId="0" applyNumberFormat="1" applyFont="1" applyFill="1" applyBorder="1" applyAlignment="1" applyProtection="1">
      <alignment vertical="center"/>
    </xf>
    <xf numFmtId="10" fontId="98" fillId="2" borderId="30" xfId="0" applyNumberFormat="1" applyFont="1" applyFill="1" applyBorder="1" applyAlignment="1" applyProtection="1">
      <alignment vertical="center"/>
    </xf>
    <xf numFmtId="3" fontId="98" fillId="2" borderId="43" xfId="0" applyNumberFormat="1" applyFont="1" applyFill="1" applyBorder="1" applyAlignment="1" applyProtection="1">
      <alignment vertical="center"/>
    </xf>
    <xf numFmtId="0" fontId="112" fillId="2" borderId="25" xfId="0" applyFont="1" applyFill="1" applyBorder="1" applyAlignment="1" applyProtection="1">
      <alignment wrapText="1"/>
    </xf>
    <xf numFmtId="3" fontId="111" fillId="2" borderId="21" xfId="0" applyNumberFormat="1" applyFont="1" applyFill="1" applyBorder="1" applyProtection="1"/>
    <xf numFmtId="3" fontId="111" fillId="2" borderId="23" xfId="0" applyNumberFormat="1" applyFont="1" applyFill="1" applyBorder="1" applyProtection="1"/>
    <xf numFmtId="3" fontId="111" fillId="2" borderId="24" xfId="0" applyNumberFormat="1" applyFont="1" applyFill="1" applyBorder="1" applyProtection="1"/>
    <xf numFmtId="3" fontId="111" fillId="3" borderId="22" xfId="0" applyNumberFormat="1" applyFont="1" applyFill="1" applyBorder="1" applyProtection="1"/>
    <xf numFmtId="0" fontId="111" fillId="3" borderId="5" xfId="0" applyFont="1" applyFill="1" applyBorder="1" applyAlignment="1" applyProtection="1">
      <alignment wrapText="1"/>
    </xf>
    <xf numFmtId="3" fontId="111" fillId="3" borderId="30" xfId="0" applyNumberFormat="1" applyFont="1" applyFill="1" applyBorder="1" applyAlignment="1" applyProtection="1">
      <alignment horizontal="right"/>
    </xf>
    <xf numFmtId="3" fontId="111" fillId="3" borderId="15" xfId="0" applyNumberFormat="1" applyFont="1" applyFill="1" applyBorder="1" applyProtection="1"/>
    <xf numFmtId="0" fontId="111" fillId="2" borderId="25" xfId="0" applyFont="1" applyFill="1" applyBorder="1" applyAlignment="1" applyProtection="1">
      <alignment wrapText="1"/>
    </xf>
    <xf numFmtId="3" fontId="111" fillId="2" borderId="21" xfId="0" applyNumberFormat="1" applyFont="1" applyFill="1" applyBorder="1" applyAlignment="1" applyProtection="1">
      <alignment horizontal="right"/>
    </xf>
    <xf numFmtId="3" fontId="111" fillId="2" borderId="23" xfId="0" applyNumberFormat="1" applyFont="1" applyFill="1" applyBorder="1" applyAlignment="1" applyProtection="1">
      <alignment horizontal="right"/>
    </xf>
    <xf numFmtId="3" fontId="111" fillId="2" borderId="24" xfId="0" applyNumberFormat="1" applyFont="1" applyFill="1" applyBorder="1" applyAlignment="1" applyProtection="1">
      <alignment horizontal="right"/>
    </xf>
    <xf numFmtId="1" fontId="111" fillId="2" borderId="46" xfId="0" applyNumberFormat="1" applyFont="1" applyFill="1" applyBorder="1" applyAlignment="1" applyProtection="1">
      <alignment horizontal="center" vertical="center"/>
    </xf>
    <xf numFmtId="3" fontId="113" fillId="2" borderId="35" xfId="0" applyNumberFormat="1" applyFont="1" applyFill="1" applyBorder="1" applyAlignment="1" applyProtection="1">
      <alignment vertical="center" wrapText="1"/>
    </xf>
    <xf numFmtId="3" fontId="109" fillId="2" borderId="28" xfId="0" applyNumberFormat="1" applyFont="1" applyFill="1" applyBorder="1" applyAlignment="1" applyProtection="1">
      <alignment horizontal="right" vertical="center"/>
    </xf>
    <xf numFmtId="3" fontId="97" fillId="2" borderId="0" xfId="0" applyNumberFormat="1" applyFont="1" applyFill="1" applyBorder="1" applyAlignment="1" applyProtection="1">
      <alignment horizontal="right" vertical="center"/>
    </xf>
    <xf numFmtId="3" fontId="109" fillId="2" borderId="35" xfId="0" applyNumberFormat="1" applyFont="1" applyFill="1" applyBorder="1" applyAlignment="1" applyProtection="1">
      <alignment horizontal="right" vertical="center"/>
    </xf>
    <xf numFmtId="3" fontId="109" fillId="2" borderId="29" xfId="0" applyNumberFormat="1" applyFont="1" applyFill="1" applyBorder="1" applyAlignment="1" applyProtection="1">
      <alignment horizontal="right" vertical="center"/>
    </xf>
    <xf numFmtId="164" fontId="99" fillId="2" borderId="35" xfId="0" applyNumberFormat="1" applyFont="1" applyFill="1" applyBorder="1" applyAlignment="1" applyProtection="1">
      <alignment horizontal="center" vertical="center"/>
    </xf>
    <xf numFmtId="3" fontId="101" fillId="2" borderId="29" xfId="0" applyNumberFormat="1" applyFont="1" applyFill="1" applyBorder="1" applyAlignment="1" applyProtection="1">
      <alignment vertical="center" wrapText="1"/>
    </xf>
    <xf numFmtId="3" fontId="114" fillId="2" borderId="54" xfId="0" applyNumberFormat="1" applyFont="1" applyFill="1" applyBorder="1" applyAlignment="1" applyProtection="1">
      <alignment horizontal="right" vertical="center"/>
    </xf>
    <xf numFmtId="3" fontId="114" fillId="2" borderId="28" xfId="0" applyNumberFormat="1" applyFont="1" applyFill="1" applyBorder="1" applyAlignment="1" applyProtection="1">
      <alignment horizontal="right" vertical="center"/>
    </xf>
    <xf numFmtId="3" fontId="114" fillId="2" borderId="36" xfId="0" applyNumberFormat="1" applyFont="1" applyFill="1" applyBorder="1" applyAlignment="1" applyProtection="1">
      <alignment horizontal="right" vertical="center"/>
    </xf>
    <xf numFmtId="3" fontId="114" fillId="2" borderId="35" xfId="0" applyNumberFormat="1" applyFont="1" applyFill="1" applyBorder="1" applyAlignment="1" applyProtection="1">
      <alignment horizontal="right" vertical="center"/>
    </xf>
    <xf numFmtId="3" fontId="114" fillId="2" borderId="29" xfId="0" applyNumberFormat="1" applyFont="1" applyFill="1" applyBorder="1" applyAlignment="1" applyProtection="1">
      <alignment horizontal="right" vertical="center"/>
    </xf>
    <xf numFmtId="3" fontId="114" fillId="2" borderId="55" xfId="0" applyNumberFormat="1" applyFont="1" applyFill="1" applyBorder="1" applyAlignment="1" applyProtection="1">
      <alignment horizontal="right" vertical="center"/>
    </xf>
    <xf numFmtId="3" fontId="114" fillId="2" borderId="66" xfId="0" applyNumberFormat="1" applyFont="1" applyFill="1" applyBorder="1" applyAlignment="1" applyProtection="1">
      <alignment horizontal="right" vertical="center"/>
    </xf>
    <xf numFmtId="3" fontId="98" fillId="2" borderId="7" xfId="0" applyNumberFormat="1" applyFont="1" applyFill="1" applyBorder="1" applyAlignment="1" applyProtection="1">
      <alignment vertical="center"/>
    </xf>
    <xf numFmtId="10" fontId="98" fillId="2" borderId="8" xfId="0" applyNumberFormat="1" applyFont="1" applyFill="1" applyBorder="1" applyAlignment="1" applyProtection="1">
      <alignment vertical="center"/>
    </xf>
    <xf numFmtId="3" fontId="98" fillId="2" borderId="34" xfId="0" applyNumberFormat="1" applyFont="1" applyFill="1" applyBorder="1" applyAlignment="1" applyProtection="1">
      <alignment vertical="center"/>
    </xf>
    <xf numFmtId="0" fontId="112" fillId="2" borderId="26" xfId="0" applyFont="1" applyFill="1" applyBorder="1" applyAlignment="1" applyProtection="1">
      <alignment wrapText="1"/>
    </xf>
    <xf numFmtId="3" fontId="111" fillId="2" borderId="5" xfId="0" applyNumberFormat="1" applyFont="1" applyFill="1" applyBorder="1" applyProtection="1"/>
    <xf numFmtId="3" fontId="111" fillId="2" borderId="8" xfId="0" applyNumberFormat="1" applyFont="1" applyFill="1" applyBorder="1" applyProtection="1"/>
    <xf numFmtId="3" fontId="111" fillId="2" borderId="9" xfId="0" applyNumberFormat="1" applyFont="1" applyFill="1" applyBorder="1" applyProtection="1"/>
    <xf numFmtId="0" fontId="98" fillId="3" borderId="5" xfId="0" applyFont="1" applyFill="1" applyBorder="1" applyAlignment="1" applyProtection="1">
      <alignment wrapText="1"/>
    </xf>
    <xf numFmtId="3" fontId="115" fillId="2" borderId="8" xfId="0" applyNumberFormat="1" applyFont="1" applyFill="1" applyBorder="1" applyAlignment="1" applyProtection="1">
      <alignment horizontal="right" wrapText="1"/>
    </xf>
    <xf numFmtId="0" fontId="98" fillId="2" borderId="26" xfId="0" applyFont="1" applyFill="1" applyBorder="1" applyAlignment="1" applyProtection="1">
      <alignment wrapText="1"/>
    </xf>
    <xf numFmtId="3" fontId="115" fillId="2" borderId="5" xfId="0" applyNumberFormat="1" applyFont="1" applyFill="1" applyBorder="1" applyAlignment="1" applyProtection="1">
      <alignment horizontal="right" wrapText="1"/>
    </xf>
    <xf numFmtId="3" fontId="115" fillId="2" borderId="9" xfId="0" applyNumberFormat="1" applyFont="1" applyFill="1" applyBorder="1" applyAlignment="1" applyProtection="1">
      <alignment horizontal="right" wrapText="1"/>
    </xf>
    <xf numFmtId="1" fontId="111" fillId="2" borderId="20" xfId="0" applyNumberFormat="1" applyFont="1" applyFill="1" applyBorder="1" applyAlignment="1" applyProtection="1">
      <alignment horizontal="center" vertical="center"/>
    </xf>
    <xf numFmtId="3" fontId="101" fillId="2" borderId="20" xfId="0" applyNumberFormat="1" applyFont="1" applyFill="1" applyBorder="1" applyAlignment="1" applyProtection="1">
      <alignment vertical="center" wrapText="1"/>
    </xf>
    <xf numFmtId="3" fontId="109" fillId="2" borderId="0" xfId="0" applyNumberFormat="1" applyFont="1" applyFill="1" applyBorder="1" applyAlignment="1" applyProtection="1">
      <alignment horizontal="right" vertical="center"/>
    </xf>
    <xf numFmtId="3" fontId="109" fillId="2" borderId="40" xfId="0" applyNumberFormat="1" applyFont="1" applyFill="1" applyBorder="1" applyAlignment="1" applyProtection="1">
      <alignment horizontal="right" vertical="center"/>
    </xf>
    <xf numFmtId="3" fontId="109" fillId="2" borderId="20" xfId="0" applyNumberFormat="1" applyFont="1" applyFill="1" applyBorder="1" applyAlignment="1" applyProtection="1">
      <alignment horizontal="right" vertical="center"/>
    </xf>
    <xf numFmtId="3" fontId="114" fillId="2" borderId="46" xfId="0" applyNumberFormat="1" applyFont="1" applyFill="1" applyBorder="1" applyAlignment="1" applyProtection="1">
      <alignment horizontal="right" vertical="center"/>
    </xf>
    <xf numFmtId="3" fontId="114" fillId="2" borderId="47" xfId="0" applyNumberFormat="1" applyFont="1" applyFill="1" applyBorder="1" applyAlignment="1" applyProtection="1">
      <alignment horizontal="right" vertical="center"/>
    </xf>
    <xf numFmtId="3" fontId="97" fillId="2" borderId="4" xfId="0" applyNumberFormat="1" applyFont="1" applyFill="1" applyBorder="1" applyAlignment="1" applyProtection="1">
      <alignment vertical="center"/>
    </xf>
    <xf numFmtId="10" fontId="97" fillId="2" borderId="8" xfId="0" applyNumberFormat="1" applyFont="1" applyFill="1" applyBorder="1" applyAlignment="1" applyProtection="1">
      <alignment vertical="center"/>
    </xf>
    <xf numFmtId="3" fontId="97" fillId="2" borderId="7" xfId="0" applyNumberFormat="1" applyFont="1" applyFill="1" applyBorder="1" applyAlignment="1" applyProtection="1">
      <alignment vertical="center"/>
    </xf>
    <xf numFmtId="3" fontId="97" fillId="2" borderId="34" xfId="0" applyNumberFormat="1" applyFont="1" applyFill="1" applyBorder="1" applyAlignment="1" applyProtection="1">
      <alignment vertical="center"/>
    </xf>
    <xf numFmtId="0" fontId="97" fillId="2" borderId="26" xfId="0" applyFont="1" applyFill="1" applyBorder="1" applyAlignment="1" applyProtection="1">
      <alignment vertical="center" wrapText="1"/>
    </xf>
    <xf numFmtId="3" fontId="115" fillId="2" borderId="5" xfId="0" applyNumberFormat="1" applyFont="1" applyFill="1" applyBorder="1" applyAlignment="1" applyProtection="1">
      <alignment vertical="center"/>
    </xf>
    <xf numFmtId="3" fontId="115" fillId="2" borderId="8" xfId="0" applyNumberFormat="1" applyFont="1" applyFill="1" applyBorder="1" applyAlignment="1" applyProtection="1">
      <alignment vertical="center"/>
    </xf>
    <xf numFmtId="3" fontId="115" fillId="2" borderId="9" xfId="0" applyNumberFormat="1" applyFont="1" applyFill="1" applyBorder="1" applyAlignment="1" applyProtection="1">
      <alignment vertical="center"/>
    </xf>
    <xf numFmtId="0" fontId="98" fillId="3" borderId="5" xfId="0" applyFont="1" applyFill="1" applyBorder="1" applyAlignment="1" applyProtection="1">
      <alignment horizontal="left" wrapText="1" indent="1"/>
    </xf>
    <xf numFmtId="3" fontId="115" fillId="2" borderId="8" xfId="0" applyNumberFormat="1" applyFont="1" applyFill="1" applyBorder="1" applyAlignment="1" applyProtection="1">
      <alignment horizontal="right" vertical="center" wrapText="1"/>
    </xf>
    <xf numFmtId="0" fontId="98" fillId="2" borderId="26" xfId="0" applyFont="1" applyFill="1" applyBorder="1" applyAlignment="1" applyProtection="1">
      <alignment horizontal="left" wrapText="1" indent="1"/>
    </xf>
    <xf numFmtId="3" fontId="115" fillId="2" borderId="5" xfId="0" applyNumberFormat="1" applyFont="1" applyFill="1" applyBorder="1" applyAlignment="1" applyProtection="1">
      <alignment horizontal="right" vertical="center" wrapText="1"/>
    </xf>
    <xf numFmtId="3" fontId="115" fillId="2" borderId="9" xfId="0" applyNumberFormat="1" applyFont="1" applyFill="1" applyBorder="1" applyAlignment="1" applyProtection="1">
      <alignment horizontal="right" vertical="center" wrapText="1"/>
    </xf>
    <xf numFmtId="1" fontId="111" fillId="2" borderId="25" xfId="0" applyNumberFormat="1" applyFont="1" applyFill="1" applyBorder="1" applyAlignment="1" applyProtection="1">
      <alignment horizontal="center" vertical="center"/>
    </xf>
    <xf numFmtId="3" fontId="104" fillId="2" borderId="25" xfId="0" applyNumberFormat="1" applyFont="1" applyFill="1" applyBorder="1" applyAlignment="1" applyProtection="1">
      <alignment vertical="center" wrapText="1"/>
    </xf>
    <xf numFmtId="3" fontId="109" fillId="2" borderId="21" xfId="0" applyNumberFormat="1" applyFont="1" applyFill="1" applyBorder="1" applyAlignment="1" applyProtection="1">
      <alignment horizontal="right" vertical="center"/>
    </xf>
    <xf numFmtId="3" fontId="109" fillId="2" borderId="23" xfId="0" applyNumberFormat="1" applyFont="1" applyFill="1" applyBorder="1" applyAlignment="1" applyProtection="1">
      <alignment horizontal="right" vertical="center"/>
    </xf>
    <xf numFmtId="3" fontId="109" fillId="2" borderId="24" xfId="0" applyNumberFormat="1" applyFont="1" applyFill="1" applyBorder="1" applyAlignment="1" applyProtection="1">
      <alignment horizontal="right" vertical="center"/>
    </xf>
    <xf numFmtId="3" fontId="109" fillId="2" borderId="62" xfId="0" applyNumberFormat="1" applyFont="1" applyFill="1" applyBorder="1" applyAlignment="1" applyProtection="1">
      <alignment horizontal="right" vertical="center"/>
    </xf>
    <xf numFmtId="3" fontId="109" fillId="2" borderId="50" xfId="0" applyNumberFormat="1" applyFont="1" applyFill="1" applyBorder="1" applyAlignment="1" applyProtection="1">
      <alignment horizontal="right" vertical="center"/>
    </xf>
    <xf numFmtId="164" fontId="101" fillId="2" borderId="21" xfId="0" applyNumberFormat="1" applyFont="1" applyFill="1" applyBorder="1" applyAlignment="1" applyProtection="1">
      <alignment horizontal="center" vertical="center"/>
    </xf>
    <xf numFmtId="3" fontId="104" fillId="2" borderId="24" xfId="0" applyNumberFormat="1" applyFont="1" applyFill="1" applyBorder="1" applyAlignment="1" applyProtection="1">
      <alignment vertical="center" wrapText="1"/>
    </xf>
    <xf numFmtId="3" fontId="114" fillId="2" borderId="62" xfId="0" applyNumberFormat="1" applyFont="1" applyFill="1" applyBorder="1" applyAlignment="1" applyProtection="1">
      <alignment horizontal="right" vertical="center"/>
    </xf>
    <xf numFmtId="3" fontId="114" fillId="2" borderId="23" xfId="0" applyNumberFormat="1" applyFont="1" applyFill="1" applyBorder="1" applyAlignment="1" applyProtection="1">
      <alignment horizontal="right" vertical="center"/>
    </xf>
    <xf numFmtId="3" fontId="114" fillId="2" borderId="50" xfId="0" applyNumberFormat="1" applyFont="1" applyFill="1" applyBorder="1" applyAlignment="1" applyProtection="1">
      <alignment horizontal="right" vertical="center"/>
    </xf>
    <xf numFmtId="3" fontId="114" fillId="2" borderId="21" xfId="0" applyNumberFormat="1" applyFont="1" applyFill="1" applyBorder="1" applyAlignment="1" applyProtection="1">
      <alignment horizontal="right" vertical="center"/>
    </xf>
    <xf numFmtId="3" fontId="114" fillId="2" borderId="24" xfId="0" applyNumberFormat="1" applyFont="1" applyFill="1" applyBorder="1" applyAlignment="1" applyProtection="1">
      <alignment horizontal="right" vertical="center"/>
    </xf>
    <xf numFmtId="3" fontId="114" fillId="2" borderId="67" xfId="0" applyNumberFormat="1" applyFont="1" applyFill="1" applyBorder="1" applyAlignment="1" applyProtection="1">
      <alignment horizontal="right" vertical="center"/>
    </xf>
    <xf numFmtId="3" fontId="114" fillId="2" borderId="68" xfId="0" applyNumberFormat="1" applyFont="1" applyFill="1" applyBorder="1" applyAlignment="1" applyProtection="1">
      <alignment horizontal="right" vertical="center"/>
    </xf>
    <xf numFmtId="0" fontId="97" fillId="2" borderId="26" xfId="0" applyFont="1" applyFill="1" applyBorder="1" applyAlignment="1" applyProtection="1">
      <alignment horizontal="left" vertical="center" wrapText="1"/>
    </xf>
    <xf numFmtId="3" fontId="115" fillId="2" borderId="8" xfId="0" applyNumberFormat="1" applyFont="1" applyFill="1" applyBorder="1" applyAlignment="1" applyProtection="1">
      <alignment horizontal="right"/>
    </xf>
    <xf numFmtId="165" fontId="99" fillId="2" borderId="26" xfId="0" applyNumberFormat="1" applyFont="1" applyFill="1" applyBorder="1" applyAlignment="1" applyProtection="1">
      <alignment horizontal="left" vertical="center" indent="3"/>
    </xf>
    <xf numFmtId="3" fontId="115" fillId="2" borderId="5" xfId="0" applyNumberFormat="1" applyFont="1" applyFill="1" applyBorder="1" applyAlignment="1" applyProtection="1">
      <alignment horizontal="right"/>
    </xf>
    <xf numFmtId="3" fontId="115" fillId="2" borderId="9" xfId="0" applyNumberFormat="1" applyFont="1" applyFill="1" applyBorder="1" applyAlignment="1" applyProtection="1">
      <alignment horizontal="right"/>
    </xf>
    <xf numFmtId="1" fontId="96" fillId="2" borderId="26" xfId="0" applyNumberFormat="1" applyFont="1" applyFill="1" applyBorder="1" applyAlignment="1" applyProtection="1">
      <alignment horizontal="center" vertical="center" wrapText="1"/>
    </xf>
    <xf numFmtId="3" fontId="96" fillId="2" borderId="45" xfId="0" applyNumberFormat="1" applyFont="1" applyFill="1" applyBorder="1" applyAlignment="1" applyProtection="1">
      <alignment horizontal="center" vertical="center" wrapText="1"/>
    </xf>
    <xf numFmtId="3" fontId="109" fillId="2" borderId="45" xfId="0" applyNumberFormat="1" applyFont="1" applyFill="1" applyBorder="1" applyAlignment="1" applyProtection="1">
      <alignment horizontal="center" vertical="center"/>
    </xf>
    <xf numFmtId="3" fontId="109" fillId="2" borderId="49" xfId="0" applyNumberFormat="1" applyFont="1" applyFill="1" applyBorder="1" applyAlignment="1" applyProtection="1">
      <alignment horizontal="center" vertical="center"/>
    </xf>
    <xf numFmtId="3" fontId="114" fillId="2" borderId="26" xfId="0" applyNumberFormat="1" applyFont="1" applyFill="1" applyBorder="1" applyAlignment="1" applyProtection="1">
      <alignment horizontal="right" vertical="center"/>
    </xf>
    <xf numFmtId="3" fontId="114" fillId="2" borderId="49" xfId="0" applyNumberFormat="1" applyFont="1" applyFill="1" applyBorder="1" applyAlignment="1" applyProtection="1">
      <alignment horizontal="right" vertical="center"/>
    </xf>
    <xf numFmtId="3" fontId="97" fillId="2" borderId="4" xfId="0" applyNumberFormat="1" applyFont="1" applyFill="1" applyBorder="1" applyAlignment="1" applyProtection="1">
      <alignment horizontal="center" vertical="center"/>
    </xf>
    <xf numFmtId="3" fontId="98" fillId="2" borderId="6" xfId="0" applyNumberFormat="1" applyFont="1" applyFill="1" applyBorder="1" applyAlignment="1" applyProtection="1">
      <alignment horizontal="left" vertical="center" wrapText="1"/>
    </xf>
    <xf numFmtId="10" fontId="98" fillId="2" borderId="65" xfId="0" applyNumberFormat="1" applyFont="1" applyFill="1" applyBorder="1" applyAlignment="1" applyProtection="1">
      <alignment horizontal="center" vertical="center"/>
    </xf>
    <xf numFmtId="3" fontId="115" fillId="2" borderId="8" xfId="0" applyNumberFormat="1" applyFont="1" applyFill="1" applyBorder="1" applyAlignment="1" applyProtection="1">
      <alignment horizontal="right" vertical="center"/>
    </xf>
    <xf numFmtId="49" fontId="99" fillId="2" borderId="26" xfId="0" applyNumberFormat="1" applyFont="1" applyFill="1" applyBorder="1" applyAlignment="1" applyProtection="1">
      <alignment horizontal="left" vertical="center" indent="3"/>
    </xf>
    <xf numFmtId="3" fontId="115" fillId="2" borderId="5" xfId="0" applyNumberFormat="1" applyFont="1" applyFill="1" applyBorder="1" applyAlignment="1" applyProtection="1">
      <alignment horizontal="right" vertical="center"/>
    </xf>
    <xf numFmtId="3" fontId="115" fillId="2" borderId="9" xfId="0" applyNumberFormat="1" applyFont="1" applyFill="1" applyBorder="1" applyAlignment="1" applyProtection="1">
      <alignment horizontal="right" vertical="center"/>
    </xf>
    <xf numFmtId="1" fontId="115" fillId="2" borderId="26" xfId="0" applyNumberFormat="1" applyFont="1" applyFill="1" applyBorder="1" applyAlignment="1" applyProtection="1">
      <alignment horizontal="center" vertical="center"/>
    </xf>
    <xf numFmtId="3" fontId="97" fillId="2" borderId="26" xfId="0" applyNumberFormat="1" applyFont="1" applyFill="1" applyBorder="1" applyAlignment="1" applyProtection="1">
      <alignment horizontal="left" vertical="center" wrapText="1"/>
    </xf>
    <xf numFmtId="3" fontId="114" fillId="4" borderId="5" xfId="0" applyNumberFormat="1" applyFont="1" applyFill="1" applyBorder="1" applyAlignment="1" applyProtection="1">
      <alignment vertical="center"/>
    </xf>
    <xf numFmtId="3" fontId="97" fillId="2" borderId="8" xfId="0" applyNumberFormat="1" applyFont="1" applyFill="1" applyBorder="1" applyAlignment="1" applyProtection="1">
      <alignment vertical="center"/>
    </xf>
    <xf numFmtId="3" fontId="97" fillId="2" borderId="9" xfId="0" applyNumberFormat="1" applyFont="1" applyFill="1" applyBorder="1" applyAlignment="1" applyProtection="1">
      <alignment vertical="center"/>
    </xf>
    <xf numFmtId="3" fontId="97" fillId="2" borderId="5" xfId="0" applyNumberFormat="1" applyFont="1" applyFill="1" applyBorder="1" applyAlignment="1" applyProtection="1">
      <alignment vertical="center"/>
    </xf>
    <xf numFmtId="3" fontId="114" fillId="4" borderId="8" xfId="0" applyNumberFormat="1" applyFont="1" applyFill="1" applyBorder="1" applyAlignment="1" applyProtection="1">
      <alignment vertical="center"/>
      <protection locked="0"/>
    </xf>
    <xf numFmtId="3" fontId="114" fillId="0" borderId="8" xfId="0" applyNumberFormat="1" applyFont="1" applyFill="1" applyBorder="1" applyAlignment="1" applyProtection="1">
      <alignment vertical="center"/>
    </xf>
    <xf numFmtId="3" fontId="114" fillId="4" borderId="5" xfId="0" applyNumberFormat="1" applyFont="1" applyFill="1" applyBorder="1" applyAlignment="1" applyProtection="1">
      <alignment vertical="center"/>
      <protection locked="0"/>
    </xf>
    <xf numFmtId="3" fontId="114" fillId="4" borderId="9" xfId="0" applyNumberFormat="1" applyFont="1" applyFill="1" applyBorder="1" applyAlignment="1" applyProtection="1">
      <alignment vertical="center"/>
      <protection locked="0"/>
    </xf>
    <xf numFmtId="164" fontId="96" fillId="2" borderId="67" xfId="0" applyNumberFormat="1" applyFont="1" applyFill="1" applyBorder="1" applyAlignment="1" applyProtection="1">
      <alignment horizontal="center" vertical="center"/>
    </xf>
    <xf numFmtId="3" fontId="96" fillId="2" borderId="68" xfId="0" applyNumberFormat="1" applyFont="1" applyFill="1" applyBorder="1" applyAlignment="1" applyProtection="1">
      <alignment horizontal="left" vertical="center" wrapText="1"/>
    </xf>
    <xf numFmtId="3" fontId="114" fillId="2" borderId="6" xfId="0" applyNumberFormat="1" applyFont="1" applyFill="1" applyBorder="1" applyAlignment="1" applyProtection="1">
      <alignment horizontal="right" vertical="center"/>
    </xf>
    <xf numFmtId="3" fontId="114" fillId="2" borderId="30" xfId="0" applyNumberFormat="1" applyFont="1" applyFill="1" applyBorder="1" applyAlignment="1" applyProtection="1">
      <alignment horizontal="right" vertical="center"/>
    </xf>
    <xf numFmtId="3" fontId="114" fillId="2" borderId="69" xfId="0" applyNumberFormat="1" applyFont="1" applyFill="1" applyBorder="1" applyAlignment="1" applyProtection="1">
      <alignment horizontal="right" vertical="center"/>
    </xf>
    <xf numFmtId="0" fontId="98" fillId="2" borderId="0" xfId="0" applyFont="1" applyFill="1" applyAlignment="1" applyProtection="1">
      <alignment vertical="center"/>
    </xf>
    <xf numFmtId="3" fontId="114" fillId="2" borderId="5" xfId="0" applyNumberFormat="1" applyFont="1" applyFill="1" applyBorder="1" applyAlignment="1" applyProtection="1">
      <alignment horizontal="right" vertical="center"/>
    </xf>
    <xf numFmtId="3" fontId="114" fillId="2" borderId="9" xfId="0" applyNumberFormat="1" applyFont="1" applyFill="1" applyBorder="1" applyAlignment="1" applyProtection="1">
      <alignment horizontal="right" vertical="center"/>
    </xf>
    <xf numFmtId="3" fontId="98" fillId="2" borderId="6" xfId="0" applyNumberFormat="1" applyFont="1" applyFill="1" applyBorder="1" applyAlignment="1" applyProtection="1">
      <alignment horizontal="left" vertical="justify" wrapText="1"/>
    </xf>
    <xf numFmtId="0" fontId="112" fillId="3" borderId="5" xfId="0" applyFont="1" applyFill="1" applyBorder="1" applyAlignment="1" applyProtection="1">
      <alignment wrapText="1"/>
    </xf>
    <xf numFmtId="165" fontId="99" fillId="2" borderId="26" xfId="0" applyNumberFormat="1" applyFont="1" applyFill="1" applyBorder="1" applyAlignment="1" applyProtection="1">
      <alignment horizontal="left" wrapText="1" indent="3"/>
    </xf>
    <xf numFmtId="3" fontId="97" fillId="2" borderId="0" xfId="0" applyNumberFormat="1" applyFont="1" applyFill="1" applyAlignment="1" applyProtection="1">
      <alignment vertical="center"/>
    </xf>
    <xf numFmtId="3" fontId="98" fillId="2" borderId="4" xfId="0" applyNumberFormat="1" applyFont="1" applyFill="1" applyBorder="1" applyAlignment="1" applyProtection="1">
      <alignment vertical="center"/>
    </xf>
    <xf numFmtId="0" fontId="97" fillId="2" borderId="26" xfId="0" applyFont="1" applyFill="1" applyBorder="1" applyAlignment="1" applyProtection="1">
      <alignment horizontal="left" wrapText="1"/>
    </xf>
    <xf numFmtId="3" fontId="111" fillId="2" borderId="5" xfId="0" applyNumberFormat="1" applyFont="1" applyFill="1" applyBorder="1" applyAlignment="1" applyProtection="1">
      <alignment vertical="center"/>
    </xf>
    <xf numFmtId="3" fontId="111" fillId="2" borderId="8" xfId="0" applyNumberFormat="1" applyFont="1" applyFill="1" applyBorder="1" applyAlignment="1" applyProtection="1">
      <alignment vertical="center"/>
    </xf>
    <xf numFmtId="3" fontId="111" fillId="2" borderId="9" xfId="0" applyNumberFormat="1" applyFont="1" applyFill="1" applyBorder="1" applyAlignment="1" applyProtection="1">
      <alignment vertical="center"/>
    </xf>
    <xf numFmtId="0" fontId="98" fillId="2" borderId="26" xfId="0" applyFont="1" applyFill="1" applyBorder="1" applyAlignment="1" applyProtection="1">
      <alignment horizontal="left" wrapText="1" indent="2"/>
    </xf>
    <xf numFmtId="164" fontId="96" fillId="2" borderId="5" xfId="0" applyNumberFormat="1" applyFont="1" applyFill="1" applyBorder="1" applyAlignment="1" applyProtection="1">
      <alignment horizontal="center" vertical="center"/>
    </xf>
    <xf numFmtId="3" fontId="109" fillId="2" borderId="9" xfId="0" applyNumberFormat="1" applyFont="1" applyFill="1" applyBorder="1" applyAlignment="1" applyProtection="1">
      <alignment horizontal="left" vertical="center" wrapText="1"/>
    </xf>
    <xf numFmtId="3" fontId="114" fillId="2" borderId="10" xfId="0" applyNumberFormat="1" applyFont="1" applyFill="1" applyBorder="1" applyAlignment="1" applyProtection="1">
      <alignment vertical="center"/>
    </xf>
    <xf numFmtId="3" fontId="114" fillId="2" borderId="8" xfId="0" applyNumberFormat="1" applyFont="1" applyFill="1" applyBorder="1" applyAlignment="1" applyProtection="1">
      <alignment vertical="center"/>
    </xf>
    <xf numFmtId="3" fontId="114" fillId="2" borderId="11" xfId="0" applyNumberFormat="1" applyFont="1" applyFill="1" applyBorder="1" applyAlignment="1" applyProtection="1">
      <alignment vertical="center"/>
    </xf>
    <xf numFmtId="3" fontId="114" fillId="2" borderId="5" xfId="0" applyNumberFormat="1" applyFont="1" applyFill="1" applyBorder="1" applyAlignment="1" applyProtection="1">
      <alignment vertical="center"/>
    </xf>
    <xf numFmtId="3" fontId="114" fillId="2" borderId="9" xfId="0" applyNumberFormat="1" applyFont="1" applyFill="1" applyBorder="1" applyAlignment="1" applyProtection="1">
      <alignment vertical="center"/>
    </xf>
    <xf numFmtId="3" fontId="115" fillId="2" borderId="5" xfId="0" applyNumberFormat="1" applyFont="1" applyFill="1" applyBorder="1" applyProtection="1"/>
    <xf numFmtId="3" fontId="115" fillId="2" borderId="8" xfId="0" applyNumberFormat="1" applyFont="1" applyFill="1" applyBorder="1" applyProtection="1"/>
    <xf numFmtId="3" fontId="115" fillId="2" borderId="9" xfId="0" applyNumberFormat="1" applyFont="1" applyFill="1" applyBorder="1" applyProtection="1"/>
    <xf numFmtId="0" fontId="98" fillId="2" borderId="26" xfId="0" applyFont="1" applyFill="1" applyBorder="1" applyAlignment="1" applyProtection="1">
      <alignment horizontal="left" vertical="center" wrapText="1" indent="2"/>
    </xf>
    <xf numFmtId="1" fontId="115" fillId="2" borderId="57" xfId="0" applyNumberFormat="1" applyFont="1" applyFill="1" applyBorder="1" applyAlignment="1" applyProtection="1">
      <alignment horizontal="center" vertical="center"/>
    </xf>
    <xf numFmtId="3" fontId="114" fillId="4" borderId="16" xfId="0" applyNumberFormat="1" applyFont="1" applyFill="1" applyBorder="1" applyAlignment="1" applyProtection="1">
      <alignment vertical="center"/>
    </xf>
    <xf numFmtId="3" fontId="97" fillId="2" borderId="17" xfId="0" applyNumberFormat="1" applyFont="1" applyFill="1" applyBorder="1" applyAlignment="1" applyProtection="1">
      <alignment vertical="center"/>
    </xf>
    <xf numFmtId="3" fontId="97" fillId="2" borderId="18" xfId="0" applyNumberFormat="1" applyFont="1" applyFill="1" applyBorder="1" applyAlignment="1" applyProtection="1">
      <alignment vertical="center"/>
    </xf>
    <xf numFmtId="3" fontId="97" fillId="2" borderId="16" xfId="0" applyNumberFormat="1" applyFont="1" applyFill="1" applyBorder="1" applyAlignment="1" applyProtection="1">
      <alignment vertical="center"/>
    </xf>
    <xf numFmtId="3" fontId="114" fillId="4" borderId="17" xfId="0" applyNumberFormat="1" applyFont="1" applyFill="1" applyBorder="1" applyAlignment="1" applyProtection="1">
      <alignment vertical="center"/>
      <protection locked="0"/>
    </xf>
    <xf numFmtId="3" fontId="114" fillId="0" borderId="17" xfId="0" applyNumberFormat="1" applyFont="1" applyFill="1" applyBorder="1" applyAlignment="1" applyProtection="1">
      <alignment vertical="center"/>
    </xf>
    <xf numFmtId="3" fontId="114" fillId="4" borderId="16" xfId="0" applyNumberFormat="1" applyFont="1" applyFill="1" applyBorder="1" applyAlignment="1" applyProtection="1">
      <alignment vertical="center"/>
      <protection locked="0"/>
    </xf>
    <xf numFmtId="3" fontId="114" fillId="4" borderId="18" xfId="0" applyNumberFormat="1" applyFont="1" applyFill="1" applyBorder="1" applyAlignment="1" applyProtection="1">
      <alignment vertical="center"/>
      <protection locked="0"/>
    </xf>
    <xf numFmtId="3" fontId="99" fillId="2" borderId="26" xfId="0" applyNumberFormat="1" applyFont="1" applyFill="1" applyBorder="1" applyAlignment="1" applyProtection="1">
      <alignment vertical="center"/>
    </xf>
    <xf numFmtId="3" fontId="99" fillId="2" borderId="49" xfId="0" applyNumberFormat="1" applyFont="1" applyFill="1" applyBorder="1" applyAlignment="1" applyProtection="1">
      <alignment vertical="center"/>
    </xf>
    <xf numFmtId="1" fontId="115" fillId="2" borderId="19" xfId="0" applyNumberFormat="1" applyFont="1" applyFill="1" applyBorder="1" applyAlignment="1" applyProtection="1">
      <alignment horizontal="center" vertical="center"/>
    </xf>
    <xf numFmtId="3" fontId="97" fillId="2" borderId="19" xfId="0" applyNumberFormat="1" applyFont="1" applyFill="1" applyBorder="1" applyAlignment="1" applyProtection="1">
      <alignment horizontal="left" vertical="justify" wrapText="1"/>
    </xf>
    <xf numFmtId="3" fontId="97" fillId="2" borderId="14" xfId="0" applyNumberFormat="1" applyFont="1" applyFill="1" applyBorder="1" applyAlignment="1" applyProtection="1">
      <alignment vertical="center"/>
    </xf>
    <xf numFmtId="3" fontId="97" fillId="2" borderId="42" xfId="0" applyNumberFormat="1" applyFont="1" applyFill="1" applyBorder="1" applyAlignment="1" applyProtection="1">
      <alignment vertical="center"/>
    </xf>
    <xf numFmtId="3" fontId="97" fillId="2" borderId="46" xfId="0" applyNumberFormat="1" applyFont="1" applyFill="1" applyBorder="1" applyAlignment="1" applyProtection="1">
      <alignment vertical="center"/>
    </xf>
    <xf numFmtId="3" fontId="97" fillId="2" borderId="47" xfId="0" applyNumberFormat="1" applyFont="1" applyFill="1" applyBorder="1" applyAlignment="1" applyProtection="1">
      <alignment vertical="center"/>
    </xf>
    <xf numFmtId="164" fontId="111" fillId="2" borderId="5" xfId="0" applyNumberFormat="1" applyFont="1" applyFill="1" applyBorder="1" applyAlignment="1" applyProtection="1">
      <alignment horizontal="center" vertical="center"/>
    </xf>
    <xf numFmtId="3" fontId="111" fillId="2" borderId="9" xfId="0" quotePrefix="1" applyNumberFormat="1" applyFont="1" applyFill="1" applyBorder="1" applyAlignment="1" applyProtection="1">
      <alignment horizontal="left" vertical="center" wrapText="1"/>
    </xf>
    <xf numFmtId="3" fontId="98" fillId="2" borderId="58" xfId="0" applyNumberFormat="1" applyFont="1" applyFill="1" applyBorder="1" applyAlignment="1" applyProtection="1">
      <alignment horizontal="left" vertical="center"/>
    </xf>
    <xf numFmtId="3" fontId="98" fillId="2" borderId="17" xfId="0" applyNumberFormat="1" applyFont="1" applyFill="1" applyBorder="1" applyAlignment="1" applyProtection="1">
      <alignment vertical="center"/>
    </xf>
    <xf numFmtId="10" fontId="98" fillId="2" borderId="17" xfId="0" applyNumberFormat="1" applyFont="1" applyFill="1" applyBorder="1" applyAlignment="1" applyProtection="1">
      <alignment vertical="center"/>
    </xf>
    <xf numFmtId="3" fontId="98" fillId="2" borderId="18" xfId="0" applyNumberFormat="1" applyFont="1" applyFill="1" applyBorder="1" applyAlignment="1" applyProtection="1">
      <alignment vertical="center"/>
    </xf>
    <xf numFmtId="3" fontId="111" fillId="3" borderId="8" xfId="0" applyNumberFormat="1" applyFont="1" applyFill="1" applyBorder="1" applyAlignment="1" applyProtection="1">
      <alignment horizontal="right"/>
    </xf>
    <xf numFmtId="3" fontId="104" fillId="2" borderId="51" xfId="0" applyNumberFormat="1" applyFont="1" applyFill="1" applyBorder="1" applyAlignment="1" applyProtection="1">
      <alignment vertical="center" wrapText="1"/>
    </xf>
    <xf numFmtId="164" fontId="98" fillId="2" borderId="5" xfId="0" applyNumberFormat="1" applyFont="1" applyFill="1" applyBorder="1" applyAlignment="1" applyProtection="1">
      <alignment horizontal="center" vertical="center"/>
    </xf>
    <xf numFmtId="3" fontId="98" fillId="2" borderId="9" xfId="0" applyNumberFormat="1" applyFont="1" applyFill="1" applyBorder="1" applyAlignment="1" applyProtection="1">
      <alignment horizontal="left" vertical="center" wrapText="1"/>
    </xf>
    <xf numFmtId="3" fontId="99" fillId="2" borderId="10" xfId="0" applyNumberFormat="1" applyFont="1" applyFill="1" applyBorder="1" applyAlignment="1" applyProtection="1">
      <alignment vertical="center"/>
    </xf>
    <xf numFmtId="3" fontId="99" fillId="2" borderId="8" xfId="0" applyNumberFormat="1" applyFont="1" applyFill="1" applyBorder="1" applyAlignment="1" applyProtection="1">
      <alignment horizontal="right" vertical="center"/>
    </xf>
    <xf numFmtId="3" fontId="99" fillId="2" borderId="11" xfId="0" applyNumberFormat="1" applyFont="1" applyFill="1" applyBorder="1" applyAlignment="1" applyProtection="1">
      <alignment horizontal="right" vertical="center"/>
    </xf>
    <xf numFmtId="3" fontId="99" fillId="2" borderId="5" xfId="0" applyNumberFormat="1" applyFont="1" applyFill="1" applyBorder="1" applyAlignment="1" applyProtection="1">
      <alignment horizontal="right" vertical="center"/>
    </xf>
    <xf numFmtId="3" fontId="99" fillId="2" borderId="9" xfId="0" applyNumberFormat="1" applyFont="1" applyFill="1" applyBorder="1" applyAlignment="1" applyProtection="1">
      <alignment horizontal="right" vertical="center"/>
    </xf>
    <xf numFmtId="3" fontId="97" fillId="2" borderId="48" xfId="0" applyNumberFormat="1" applyFont="1" applyFill="1" applyBorder="1" applyAlignment="1" applyProtection="1">
      <alignment vertical="center"/>
    </xf>
    <xf numFmtId="3" fontId="97" fillId="2" borderId="54" xfId="0" applyNumberFormat="1" applyFont="1" applyFill="1" applyBorder="1" applyAlignment="1" applyProtection="1">
      <alignment vertical="center"/>
    </xf>
    <xf numFmtId="3" fontId="97" fillId="2" borderId="28" xfId="0" applyNumberFormat="1" applyFont="1" applyFill="1" applyBorder="1" applyAlignment="1" applyProtection="1">
      <alignment vertical="center"/>
    </xf>
    <xf numFmtId="3" fontId="97" fillId="2" borderId="36" xfId="0" applyNumberFormat="1" applyFont="1" applyFill="1" applyBorder="1" applyAlignment="1" applyProtection="1">
      <alignment vertical="center"/>
    </xf>
    <xf numFmtId="3" fontId="97" fillId="2" borderId="59" xfId="0" applyNumberFormat="1" applyFont="1" applyFill="1" applyBorder="1" applyAlignment="1" applyProtection="1">
      <alignment vertical="center"/>
    </xf>
    <xf numFmtId="3" fontId="98" fillId="2" borderId="28" xfId="0" applyNumberFormat="1" applyFont="1" applyFill="1" applyBorder="1" applyAlignment="1" applyProtection="1">
      <alignment vertical="center"/>
    </xf>
    <xf numFmtId="3" fontId="97" fillId="2" borderId="29" xfId="0" applyNumberFormat="1" applyFont="1" applyFill="1" applyBorder="1" applyAlignment="1" applyProtection="1">
      <alignment vertical="center"/>
    </xf>
    <xf numFmtId="0" fontId="111" fillId="3" borderId="16" xfId="0" applyFont="1" applyFill="1" applyBorder="1" applyAlignment="1" applyProtection="1">
      <alignment wrapText="1"/>
    </xf>
    <xf numFmtId="3" fontId="111" fillId="3" borderId="17" xfId="0" applyNumberFormat="1" applyFont="1" applyFill="1" applyBorder="1" applyAlignment="1" applyProtection="1">
      <alignment horizontal="right"/>
    </xf>
    <xf numFmtId="3" fontId="109" fillId="2" borderId="20" xfId="0" applyNumberFormat="1" applyFont="1" applyFill="1" applyBorder="1" applyAlignment="1" applyProtection="1">
      <alignment horizontal="left" vertical="center" wrapText="1"/>
    </xf>
    <xf numFmtId="3" fontId="97" fillId="2" borderId="40" xfId="0" applyNumberFormat="1" applyFont="1" applyFill="1" applyBorder="1" applyAlignment="1" applyProtection="1">
      <alignment vertical="center"/>
    </xf>
    <xf numFmtId="3" fontId="97" fillId="2" borderId="26" xfId="0" applyNumberFormat="1" applyFont="1" applyFill="1" applyBorder="1" applyAlignment="1" applyProtection="1">
      <alignment vertical="center"/>
    </xf>
    <xf numFmtId="3" fontId="97" fillId="2" borderId="49" xfId="0" applyNumberFormat="1" applyFont="1" applyFill="1" applyBorder="1" applyAlignment="1" applyProtection="1">
      <alignment vertical="center"/>
    </xf>
    <xf numFmtId="1" fontId="111" fillId="2" borderId="26" xfId="0" applyNumberFormat="1" applyFont="1" applyFill="1" applyBorder="1" applyAlignment="1" applyProtection="1">
      <alignment horizontal="center" vertical="center"/>
    </xf>
    <xf numFmtId="3" fontId="96" fillId="2" borderId="51" xfId="0" applyNumberFormat="1" applyFont="1" applyFill="1" applyBorder="1" applyAlignment="1" applyProtection="1">
      <alignment vertical="center" wrapText="1"/>
    </xf>
    <xf numFmtId="3" fontId="109" fillId="2" borderId="5" xfId="0" applyNumberFormat="1" applyFont="1" applyFill="1" applyBorder="1" applyAlignment="1" applyProtection="1">
      <alignment horizontal="right" vertical="center"/>
    </xf>
    <xf numFmtId="3" fontId="109" fillId="2" borderId="9" xfId="0" applyNumberFormat="1" applyFont="1" applyFill="1" applyBorder="1" applyAlignment="1" applyProtection="1">
      <alignment horizontal="right" vertical="center"/>
    </xf>
    <xf numFmtId="3" fontId="98" fillId="2" borderId="70" xfId="0" applyNumberFormat="1" applyFont="1" applyFill="1" applyBorder="1" applyAlignment="1" applyProtection="1">
      <alignment horizontal="left" vertical="center"/>
    </xf>
    <xf numFmtId="3" fontId="98" fillId="2" borderId="70" xfId="0" applyNumberFormat="1" applyFont="1" applyFill="1" applyBorder="1" applyAlignment="1" applyProtection="1">
      <alignment horizontal="center" vertical="center"/>
    </xf>
    <xf numFmtId="3" fontId="98" fillId="2" borderId="56" xfId="0" applyNumberFormat="1" applyFont="1" applyFill="1" applyBorder="1" applyAlignment="1" applyProtection="1">
      <alignment horizontal="center" vertical="center"/>
    </xf>
    <xf numFmtId="3" fontId="98" fillId="2" borderId="71" xfId="0" applyNumberFormat="1" applyFont="1" applyFill="1" applyBorder="1" applyAlignment="1" applyProtection="1">
      <alignment horizontal="center" vertical="center"/>
    </xf>
    <xf numFmtId="10" fontId="98" fillId="2" borderId="62" xfId="0" applyNumberFormat="1" applyFont="1" applyFill="1" applyBorder="1" applyAlignment="1" applyProtection="1">
      <alignment horizontal="center" vertical="center"/>
    </xf>
    <xf numFmtId="10" fontId="98" fillId="2" borderId="23" xfId="0" applyNumberFormat="1" applyFont="1" applyFill="1" applyBorder="1" applyAlignment="1" applyProtection="1">
      <alignment horizontal="center" vertical="center"/>
    </xf>
    <xf numFmtId="0" fontId="97" fillId="2" borderId="26" xfId="0" applyFont="1" applyFill="1" applyBorder="1" applyAlignment="1" applyProtection="1">
      <alignment wrapText="1"/>
    </xf>
    <xf numFmtId="3" fontId="115" fillId="0" borderId="5" xfId="0" applyNumberFormat="1" applyFont="1" applyFill="1" applyBorder="1" applyProtection="1"/>
    <xf numFmtId="3" fontId="109" fillId="2" borderId="81" xfId="0" applyNumberFormat="1" applyFont="1" applyFill="1" applyBorder="1" applyAlignment="1" applyProtection="1">
      <alignment horizontal="left" vertical="center" wrapText="1"/>
    </xf>
    <xf numFmtId="3" fontId="99" fillId="0" borderId="8" xfId="0" applyNumberFormat="1" applyFont="1" applyFill="1" applyBorder="1" applyAlignment="1" applyProtection="1">
      <alignment vertical="center"/>
    </xf>
    <xf numFmtId="3" fontId="99" fillId="2" borderId="5" xfId="0" applyNumberFormat="1" applyFont="1" applyFill="1" applyBorder="1" applyAlignment="1" applyProtection="1">
      <alignment vertical="center"/>
    </xf>
    <xf numFmtId="3" fontId="99" fillId="2" borderId="9" xfId="0" applyNumberFormat="1" applyFont="1" applyFill="1" applyBorder="1" applyAlignment="1" applyProtection="1">
      <alignment vertical="center"/>
    </xf>
    <xf numFmtId="3" fontId="97" fillId="2" borderId="61" xfId="0" applyNumberFormat="1" applyFont="1" applyFill="1" applyBorder="1" applyAlignment="1" applyProtection="1">
      <alignment vertical="center"/>
    </xf>
    <xf numFmtId="3" fontId="97" fillId="2" borderId="65" xfId="0" applyNumberFormat="1" applyFont="1" applyFill="1" applyBorder="1" applyAlignment="1" applyProtection="1">
      <alignment horizontal="centerContinuous" vertical="center"/>
    </xf>
    <xf numFmtId="3" fontId="97" fillId="2" borderId="65" xfId="0" applyNumberFormat="1" applyFont="1" applyFill="1" applyBorder="1" applyAlignment="1" applyProtection="1">
      <alignment horizontal="center" vertical="center"/>
    </xf>
    <xf numFmtId="3" fontId="97" fillId="2" borderId="72" xfId="0" applyNumberFormat="1" applyFont="1" applyFill="1" applyBorder="1" applyAlignment="1" applyProtection="1">
      <alignment horizontal="center" vertical="center"/>
    </xf>
    <xf numFmtId="3" fontId="97" fillId="2" borderId="7" xfId="0" applyNumberFormat="1" applyFont="1" applyFill="1" applyBorder="1" applyAlignment="1" applyProtection="1">
      <alignment horizontal="center" vertical="center"/>
    </xf>
    <xf numFmtId="3" fontId="97" fillId="2" borderId="7" xfId="0" applyNumberFormat="1" applyFont="1" applyFill="1" applyBorder="1" applyAlignment="1" applyProtection="1">
      <alignment horizontal="centerContinuous" vertical="center"/>
    </xf>
    <xf numFmtId="3" fontId="97" fillId="2" borderId="40" xfId="0" applyNumberFormat="1" applyFont="1" applyFill="1" applyBorder="1" applyAlignment="1" applyProtection="1">
      <alignment horizontal="center" vertical="center"/>
    </xf>
    <xf numFmtId="0" fontId="109" fillId="2" borderId="26" xfId="0" applyFont="1" applyFill="1" applyBorder="1" applyAlignment="1" applyProtection="1">
      <alignment wrapText="1"/>
    </xf>
    <xf numFmtId="3" fontId="116" fillId="2" borderId="0" xfId="0" applyNumberFormat="1" applyFont="1" applyFill="1" applyAlignment="1" applyProtection="1">
      <alignment vertical="center"/>
    </xf>
    <xf numFmtId="1" fontId="111" fillId="2" borderId="81" xfId="0" applyNumberFormat="1" applyFont="1" applyFill="1" applyBorder="1" applyAlignment="1" applyProtection="1">
      <alignment horizontal="center" vertical="center"/>
    </xf>
    <xf numFmtId="3" fontId="96" fillId="2" borderId="81" xfId="0" applyNumberFormat="1" applyFont="1" applyFill="1" applyBorder="1" applyAlignment="1" applyProtection="1">
      <alignment vertical="center" wrapText="1"/>
    </xf>
    <xf numFmtId="164" fontId="99" fillId="2" borderId="5" xfId="0" applyNumberFormat="1" applyFont="1" applyFill="1" applyBorder="1" applyAlignment="1" applyProtection="1">
      <alignment horizontal="center" vertical="center"/>
    </xf>
    <xf numFmtId="3" fontId="97" fillId="2" borderId="9" xfId="0" applyNumberFormat="1" applyFont="1" applyFill="1" applyBorder="1" applyAlignment="1" applyProtection="1">
      <alignment horizontal="left" vertical="center" wrapText="1"/>
    </xf>
    <xf numFmtId="0" fontId="98" fillId="2" borderId="58" xfId="0" applyFont="1" applyFill="1" applyBorder="1" applyAlignment="1" applyProtection="1">
      <alignment vertical="center"/>
    </xf>
    <xf numFmtId="0" fontId="98" fillId="2" borderId="59" xfId="0" applyFont="1" applyFill="1" applyBorder="1" applyAlignment="1" applyProtection="1">
      <alignment horizontal="centerContinuous" vertical="center"/>
    </xf>
    <xf numFmtId="3" fontId="97" fillId="2" borderId="59" xfId="0" applyNumberFormat="1" applyFont="1" applyFill="1" applyBorder="1" applyAlignment="1" applyProtection="1">
      <alignment horizontal="center" vertical="center"/>
    </xf>
    <xf numFmtId="3" fontId="97" fillId="2" borderId="60" xfId="0" applyNumberFormat="1" applyFont="1" applyFill="1" applyBorder="1" applyAlignment="1" applyProtection="1">
      <alignment horizontal="center" vertical="center"/>
    </xf>
    <xf numFmtId="0" fontId="98" fillId="2" borderId="59" xfId="0" applyFont="1" applyFill="1" applyBorder="1" applyAlignment="1" applyProtection="1">
      <alignment vertical="center"/>
    </xf>
    <xf numFmtId="3" fontId="97" fillId="2" borderId="13" xfId="0" applyNumberFormat="1" applyFont="1" applyFill="1" applyBorder="1" applyAlignment="1" applyProtection="1">
      <alignment horizontal="center" vertical="center"/>
    </xf>
    <xf numFmtId="3" fontId="112" fillId="2" borderId="26" xfId="0" applyNumberFormat="1" applyFont="1" applyFill="1" applyBorder="1" applyAlignment="1" applyProtection="1">
      <alignment vertical="center" wrapText="1"/>
    </xf>
    <xf numFmtId="3" fontId="109" fillId="2" borderId="8" xfId="0" applyNumberFormat="1" applyFont="1" applyFill="1" applyBorder="1" applyAlignment="1" applyProtection="1">
      <alignment horizontal="right" vertical="center"/>
    </xf>
    <xf numFmtId="3" fontId="97" fillId="2" borderId="6" xfId="0" applyNumberFormat="1" applyFont="1" applyFill="1" applyBorder="1" applyAlignment="1" applyProtection="1">
      <alignment horizontal="left" vertical="center"/>
    </xf>
    <xf numFmtId="3" fontId="97" fillId="2" borderId="30" xfId="0" applyNumberFormat="1" applyFont="1" applyFill="1" applyBorder="1" applyAlignment="1" applyProtection="1">
      <alignment vertical="center"/>
    </xf>
    <xf numFmtId="3" fontId="97" fillId="2" borderId="65" xfId="0" applyNumberFormat="1" applyFont="1" applyFill="1" applyBorder="1" applyAlignment="1" applyProtection="1">
      <alignment vertical="center"/>
    </xf>
    <xf numFmtId="10" fontId="97" fillId="2" borderId="23" xfId="0" applyNumberFormat="1" applyFont="1" applyFill="1" applyBorder="1" applyAlignment="1" applyProtection="1">
      <alignment vertical="center"/>
    </xf>
    <xf numFmtId="3" fontId="97" fillId="2" borderId="23" xfId="0" applyNumberFormat="1" applyFont="1" applyFill="1" applyBorder="1" applyAlignment="1" applyProtection="1">
      <alignment vertical="center"/>
    </xf>
    <xf numFmtId="3" fontId="97" fillId="2" borderId="24" xfId="0" applyNumberFormat="1" applyFont="1" applyFill="1" applyBorder="1" applyAlignment="1" applyProtection="1">
      <alignment vertical="center"/>
    </xf>
    <xf numFmtId="0" fontId="112" fillId="2" borderId="27" xfId="0" applyFont="1" applyFill="1" applyBorder="1" applyAlignment="1" applyProtection="1">
      <alignment wrapText="1"/>
    </xf>
    <xf numFmtId="3" fontId="112" fillId="2" borderId="16" xfId="0" applyNumberFormat="1" applyFont="1" applyFill="1" applyBorder="1" applyProtection="1"/>
    <xf numFmtId="3" fontId="112" fillId="2" borderId="17" xfId="0" applyNumberFormat="1" applyFont="1" applyFill="1" applyBorder="1" applyProtection="1"/>
    <xf numFmtId="3" fontId="112" fillId="2" borderId="18" xfId="0" applyNumberFormat="1" applyFont="1" applyFill="1" applyBorder="1" applyProtection="1"/>
    <xf numFmtId="3" fontId="98" fillId="2" borderId="26" xfId="0" applyNumberFormat="1" applyFont="1" applyFill="1" applyBorder="1" applyAlignment="1" applyProtection="1">
      <alignment horizontal="left" vertical="center" wrapText="1"/>
    </xf>
    <xf numFmtId="3" fontId="98" fillId="2" borderId="10" xfId="0" applyNumberFormat="1" applyFont="1" applyFill="1" applyBorder="1" applyAlignment="1" applyProtection="1">
      <alignment horizontal="left" vertical="center"/>
    </xf>
    <xf numFmtId="3" fontId="98" fillId="2" borderId="8" xfId="0" applyNumberFormat="1" applyFont="1" applyFill="1" applyBorder="1" applyAlignment="1" applyProtection="1">
      <alignment vertical="center"/>
    </xf>
    <xf numFmtId="3" fontId="98" fillId="2" borderId="9" xfId="0" applyNumberFormat="1" applyFont="1" applyFill="1" applyBorder="1" applyAlignment="1" applyProtection="1">
      <alignment vertical="center"/>
    </xf>
    <xf numFmtId="3" fontId="108" fillId="2" borderId="0" xfId="0" applyNumberFormat="1" applyFont="1" applyFill="1" applyBorder="1" applyAlignment="1" applyProtection="1">
      <alignment horizontal="left" vertical="center"/>
    </xf>
    <xf numFmtId="3" fontId="97" fillId="2" borderId="10" xfId="0" applyNumberFormat="1" applyFont="1" applyFill="1" applyBorder="1" applyAlignment="1" applyProtection="1">
      <alignment vertical="center"/>
    </xf>
    <xf numFmtId="3" fontId="111" fillId="2" borderId="5" xfId="0" applyNumberFormat="1" applyFont="1" applyFill="1" applyBorder="1" applyAlignment="1" applyProtection="1">
      <alignment horizontal="right"/>
    </xf>
    <xf numFmtId="3" fontId="111" fillId="2" borderId="8" xfId="0" applyNumberFormat="1" applyFont="1" applyFill="1" applyBorder="1" applyAlignment="1" applyProtection="1">
      <alignment horizontal="right"/>
    </xf>
    <xf numFmtId="3" fontId="111" fillId="2" borderId="9" xfId="0" applyNumberFormat="1" applyFont="1" applyFill="1" applyBorder="1" applyAlignment="1" applyProtection="1">
      <alignment horizontal="right"/>
    </xf>
    <xf numFmtId="3" fontId="98" fillId="2" borderId="61" xfId="0" applyNumberFormat="1" applyFont="1" applyFill="1" applyBorder="1" applyAlignment="1" applyProtection="1">
      <alignment horizontal="left" vertical="center"/>
    </xf>
    <xf numFmtId="0" fontId="98" fillId="2" borderId="26" xfId="0" applyFont="1" applyFill="1" applyBorder="1" applyAlignment="1" applyProtection="1">
      <alignment vertical="center" wrapText="1"/>
    </xf>
    <xf numFmtId="3" fontId="112" fillId="0" borderId="26" xfId="0" applyNumberFormat="1" applyFont="1" applyFill="1" applyBorder="1" applyAlignment="1" applyProtection="1">
      <alignment vertical="center" wrapText="1"/>
    </xf>
    <xf numFmtId="3" fontId="98" fillId="2" borderId="5" xfId="0" applyNumberFormat="1" applyFont="1" applyFill="1" applyBorder="1" applyAlignment="1" applyProtection="1">
      <alignment horizontal="left" vertical="center"/>
    </xf>
    <xf numFmtId="3" fontId="98" fillId="2" borderId="26" xfId="0" applyNumberFormat="1" applyFont="1" applyFill="1" applyBorder="1" applyAlignment="1" applyProtection="1">
      <alignment vertical="center" wrapText="1"/>
    </xf>
    <xf numFmtId="3" fontId="97" fillId="2" borderId="5" xfId="0" applyNumberFormat="1" applyFont="1" applyFill="1" applyBorder="1" applyAlignment="1" applyProtection="1">
      <alignment horizontal="right" vertical="center"/>
    </xf>
    <xf numFmtId="3" fontId="97" fillId="2" borderId="9" xfId="0" applyNumberFormat="1" applyFont="1" applyFill="1" applyBorder="1" applyAlignment="1" applyProtection="1">
      <alignment horizontal="right" vertical="center"/>
    </xf>
    <xf numFmtId="0" fontId="111" fillId="2" borderId="26" xfId="0" applyFont="1" applyFill="1" applyBorder="1" applyAlignment="1" applyProtection="1">
      <alignment wrapText="1"/>
    </xf>
    <xf numFmtId="3" fontId="98" fillId="2" borderId="39" xfId="0" applyNumberFormat="1" applyFont="1" applyFill="1" applyBorder="1" applyAlignment="1" applyProtection="1">
      <alignment horizontal="left" vertical="center"/>
    </xf>
    <xf numFmtId="3" fontId="98" fillId="2" borderId="59" xfId="0" applyNumberFormat="1" applyFont="1" applyFill="1" applyBorder="1" applyAlignment="1" applyProtection="1">
      <alignment vertical="center"/>
    </xf>
    <xf numFmtId="10" fontId="97" fillId="2" borderId="17" xfId="0" applyNumberFormat="1" applyFont="1" applyFill="1" applyBorder="1" applyAlignment="1" applyProtection="1">
      <alignment vertical="center"/>
    </xf>
    <xf numFmtId="3" fontId="98" fillId="2" borderId="19" xfId="0" applyNumberFormat="1" applyFont="1" applyFill="1" applyBorder="1" applyAlignment="1" applyProtection="1">
      <alignment horizontal="left" vertical="center"/>
    </xf>
    <xf numFmtId="3" fontId="98" fillId="2" borderId="14" xfId="0" applyNumberFormat="1" applyFont="1" applyFill="1" applyBorder="1" applyAlignment="1" applyProtection="1">
      <alignment vertical="center"/>
    </xf>
    <xf numFmtId="10" fontId="97" fillId="2" borderId="21" xfId="0" applyNumberFormat="1" applyFont="1" applyFill="1" applyBorder="1" applyAlignment="1" applyProtection="1">
      <alignment vertical="center"/>
    </xf>
    <xf numFmtId="0" fontId="111" fillId="2" borderId="27" xfId="0" applyFont="1" applyFill="1" applyBorder="1" applyAlignment="1" applyProtection="1">
      <alignment wrapText="1"/>
    </xf>
    <xf numFmtId="3" fontId="111" fillId="2" borderId="16" xfId="0" applyNumberFormat="1" applyFont="1" applyFill="1" applyBorder="1" applyAlignment="1" applyProtection="1">
      <alignment horizontal="right"/>
    </xf>
    <xf numFmtId="3" fontId="111" fillId="2" borderId="17" xfId="0" applyNumberFormat="1" applyFont="1" applyFill="1" applyBorder="1" applyAlignment="1" applyProtection="1">
      <alignment horizontal="right"/>
    </xf>
    <xf numFmtId="3" fontId="111" fillId="2" borderId="18" xfId="0" applyNumberFormat="1" applyFont="1" applyFill="1" applyBorder="1" applyAlignment="1" applyProtection="1">
      <alignment horizontal="right"/>
    </xf>
    <xf numFmtId="3" fontId="98" fillId="2" borderId="20" xfId="0" applyNumberFormat="1" applyFont="1" applyFill="1" applyBorder="1" applyAlignment="1" applyProtection="1">
      <alignment horizontal="left" vertical="center"/>
    </xf>
    <xf numFmtId="10" fontId="97" fillId="2" borderId="16" xfId="0" applyNumberFormat="1" applyFont="1" applyFill="1" applyBorder="1" applyAlignment="1" applyProtection="1">
      <alignment horizontal="center" vertical="justify"/>
    </xf>
    <xf numFmtId="10" fontId="97" fillId="2" borderId="17" xfId="0" applyNumberFormat="1" applyFont="1" applyFill="1" applyBorder="1" applyAlignment="1" applyProtection="1">
      <alignment horizontal="center" vertical="justify"/>
    </xf>
    <xf numFmtId="0" fontId="98" fillId="2" borderId="17" xfId="0" applyFont="1" applyFill="1" applyBorder="1" applyAlignment="1" applyProtection="1">
      <alignment vertical="center"/>
    </xf>
    <xf numFmtId="3" fontId="97" fillId="2" borderId="41" xfId="0" applyNumberFormat="1" applyFont="1" applyFill="1" applyBorder="1" applyAlignment="1" applyProtection="1">
      <alignment vertical="center"/>
    </xf>
    <xf numFmtId="3" fontId="97" fillId="2" borderId="12" xfId="0" applyNumberFormat="1" applyFont="1" applyFill="1" applyBorder="1" applyAlignment="1" applyProtection="1">
      <alignment horizontal="centerContinuous" vertical="center"/>
    </xf>
    <xf numFmtId="3" fontId="97" fillId="2" borderId="35" xfId="0" applyNumberFormat="1" applyFont="1" applyFill="1" applyBorder="1" applyAlignment="1" applyProtection="1">
      <alignment horizontal="centerContinuous" vertical="center"/>
    </xf>
    <xf numFmtId="3" fontId="97" fillId="2" borderId="28" xfId="0" applyNumberFormat="1" applyFont="1" applyFill="1" applyBorder="1" applyAlignment="1" applyProtection="1">
      <alignment horizontal="centerContinuous" vertical="center"/>
    </xf>
    <xf numFmtId="0" fontId="98" fillId="2" borderId="28" xfId="0" applyFont="1" applyFill="1" applyBorder="1" applyAlignment="1" applyProtection="1">
      <alignment horizontal="centerContinuous" vertical="center"/>
    </xf>
    <xf numFmtId="3" fontId="97" fillId="2" borderId="29" xfId="0" applyNumberFormat="1" applyFont="1" applyFill="1" applyBorder="1" applyAlignment="1" applyProtection="1">
      <alignment horizontal="centerContinuous" vertical="center"/>
    </xf>
    <xf numFmtId="3" fontId="97" fillId="2" borderId="64" xfId="0" applyNumberFormat="1" applyFont="1" applyFill="1" applyBorder="1" applyAlignment="1" applyProtection="1">
      <alignment vertical="center"/>
    </xf>
    <xf numFmtId="0" fontId="98" fillId="2" borderId="12" xfId="0" applyFont="1" applyFill="1" applyBorder="1" applyAlignment="1" applyProtection="1">
      <alignment horizontal="left" vertical="center"/>
    </xf>
    <xf numFmtId="0" fontId="98" fillId="2" borderId="13" xfId="0" applyFont="1" applyFill="1" applyBorder="1" applyAlignment="1" applyProtection="1">
      <alignment horizontal="left" vertical="center"/>
    </xf>
    <xf numFmtId="3" fontId="98" fillId="2" borderId="14" xfId="0" applyNumberFormat="1" applyFont="1" applyFill="1" applyBorder="1" applyAlignment="1" applyProtection="1">
      <alignment horizontal="left" vertical="center"/>
    </xf>
    <xf numFmtId="1" fontId="115" fillId="0" borderId="26" xfId="0" applyNumberFormat="1" applyFont="1" applyFill="1" applyBorder="1" applyAlignment="1" applyProtection="1">
      <alignment horizontal="center" vertical="center"/>
      <protection hidden="1"/>
    </xf>
    <xf numFmtId="3" fontId="98" fillId="0" borderId="26" xfId="0" applyNumberFormat="1" applyFont="1" applyFill="1" applyBorder="1" applyAlignment="1" applyProtection="1">
      <alignment vertical="center" wrapText="1"/>
      <protection hidden="1"/>
    </xf>
    <xf numFmtId="3" fontId="97" fillId="0" borderId="0" xfId="0" applyNumberFormat="1" applyFont="1" applyFill="1" applyAlignment="1" applyProtection="1">
      <alignment vertical="center"/>
      <protection hidden="1"/>
    </xf>
    <xf numFmtId="3" fontId="99" fillId="2" borderId="26" xfId="0" applyNumberFormat="1" applyFont="1" applyFill="1" applyBorder="1" applyAlignment="1" applyProtection="1">
      <alignment horizontal="right" vertical="center"/>
    </xf>
    <xf numFmtId="3" fontId="99" fillId="2" borderId="49" xfId="0" applyNumberFormat="1" applyFont="1" applyFill="1" applyBorder="1" applyAlignment="1" applyProtection="1">
      <alignment horizontal="right" vertical="center"/>
    </xf>
    <xf numFmtId="3" fontId="97" fillId="2" borderId="0" xfId="0" applyNumberFormat="1" applyFont="1" applyFill="1" applyBorder="1" applyAlignment="1" applyProtection="1">
      <alignment horizontal="left" vertical="center"/>
    </xf>
    <xf numFmtId="3" fontId="97" fillId="2" borderId="0" xfId="0" applyNumberFormat="1" applyFont="1" applyFill="1" applyBorder="1" applyAlignment="1" applyProtection="1">
      <alignment horizontal="center" vertical="center"/>
    </xf>
    <xf numFmtId="3" fontId="97" fillId="2" borderId="0" xfId="0" applyNumberFormat="1" applyFont="1" applyFill="1" applyBorder="1" applyAlignment="1" applyProtection="1">
      <alignment horizontal="centerContinuous" vertical="center"/>
    </xf>
    <xf numFmtId="3" fontId="112" fillId="2" borderId="26" xfId="0" applyNumberFormat="1" applyFont="1" applyFill="1" applyBorder="1" applyAlignment="1" applyProtection="1">
      <alignment vertical="center" wrapText="1"/>
      <protection locked="0"/>
    </xf>
    <xf numFmtId="3" fontId="98" fillId="2" borderId="27" xfId="0" applyNumberFormat="1" applyFont="1" applyFill="1" applyBorder="1" applyAlignment="1" applyProtection="1">
      <alignment horizontal="left" vertical="center" wrapText="1"/>
    </xf>
    <xf numFmtId="164" fontId="99" fillId="2" borderId="20" xfId="0" applyNumberFormat="1" applyFont="1" applyFill="1" applyBorder="1" applyAlignment="1" applyProtection="1">
      <alignment horizontal="center" vertical="center"/>
    </xf>
    <xf numFmtId="3" fontId="97" fillId="2" borderId="20" xfId="0" applyNumberFormat="1" applyFont="1" applyFill="1" applyBorder="1" applyAlignment="1" applyProtection="1">
      <alignment horizontal="left" vertical="center" wrapText="1"/>
    </xf>
    <xf numFmtId="3" fontId="97" fillId="0" borderId="0" xfId="0" applyNumberFormat="1" applyFont="1" applyFill="1" applyAlignment="1" applyProtection="1">
      <alignment vertical="center"/>
    </xf>
    <xf numFmtId="3" fontId="97" fillId="2" borderId="19" xfId="0" applyNumberFormat="1" applyFont="1" applyFill="1" applyBorder="1" applyAlignment="1" applyProtection="1">
      <alignment vertical="center"/>
    </xf>
    <xf numFmtId="164" fontId="111" fillId="2" borderId="11" xfId="0" applyNumberFormat="1" applyFont="1" applyFill="1" applyBorder="1" applyAlignment="1" applyProtection="1">
      <alignment horizontal="center" vertical="center"/>
    </xf>
    <xf numFmtId="3" fontId="96" fillId="2" borderId="52" xfId="0" applyNumberFormat="1" applyFont="1" applyFill="1" applyBorder="1" applyAlignment="1" applyProtection="1">
      <alignment horizontal="left" vertical="center" wrapText="1"/>
    </xf>
    <xf numFmtId="3" fontId="109" fillId="2" borderId="62" xfId="0" applyNumberFormat="1" applyFont="1" applyFill="1" applyBorder="1" applyAlignment="1" applyProtection="1">
      <alignment vertical="center"/>
    </xf>
    <xf numFmtId="3" fontId="109" fillId="2" borderId="23" xfId="0" applyNumberFormat="1" applyFont="1" applyFill="1" applyBorder="1" applyAlignment="1" applyProtection="1">
      <alignment vertical="center"/>
    </xf>
    <xf numFmtId="3" fontId="109" fillId="2" borderId="24" xfId="0" applyNumberFormat="1" applyFont="1" applyFill="1" applyBorder="1" applyAlignment="1" applyProtection="1">
      <alignment vertical="center"/>
    </xf>
    <xf numFmtId="1" fontId="115" fillId="2" borderId="11" xfId="0" applyNumberFormat="1" applyFont="1" applyFill="1" applyBorder="1" applyAlignment="1" applyProtection="1">
      <alignment horizontal="center" vertical="center"/>
    </xf>
    <xf numFmtId="3" fontId="98" fillId="0" borderId="32" xfId="0" applyNumberFormat="1" applyFont="1" applyFill="1" applyBorder="1" applyAlignment="1" applyProtection="1">
      <alignment horizontal="left" vertical="center" wrapText="1"/>
    </xf>
    <xf numFmtId="3" fontId="114" fillId="4" borderId="10" xfId="0" applyNumberFormat="1" applyFont="1" applyFill="1" applyBorder="1" applyAlignment="1" applyProtection="1">
      <alignment vertical="center"/>
    </xf>
    <xf numFmtId="3" fontId="98" fillId="2" borderId="32" xfId="0" applyNumberFormat="1" applyFont="1" applyFill="1" applyBorder="1" applyAlignment="1" applyProtection="1">
      <alignment horizontal="left" vertical="center" wrapText="1"/>
    </xf>
    <xf numFmtId="3" fontId="98" fillId="0" borderId="0" xfId="0" applyNumberFormat="1" applyFont="1" applyFill="1" applyAlignment="1" applyProtection="1">
      <alignment vertical="center"/>
    </xf>
    <xf numFmtId="3" fontId="97" fillId="0" borderId="0" xfId="0" applyNumberFormat="1" applyFont="1" applyFill="1" applyBorder="1" applyAlignment="1" applyProtection="1">
      <alignment vertical="center"/>
    </xf>
    <xf numFmtId="3" fontId="98" fillId="2" borderId="33" xfId="0" applyNumberFormat="1" applyFont="1" applyFill="1" applyBorder="1" applyAlignment="1" applyProtection="1">
      <alignment horizontal="left" vertical="center" wrapText="1"/>
    </xf>
    <xf numFmtId="3" fontId="114" fillId="4" borderId="39" xfId="0" applyNumberFormat="1" applyFont="1" applyFill="1" applyBorder="1" applyAlignment="1" applyProtection="1">
      <alignment vertical="center"/>
    </xf>
    <xf numFmtId="1" fontId="117" fillId="2" borderId="83" xfId="0" applyNumberFormat="1" applyFont="1" applyFill="1" applyBorder="1" applyAlignment="1" applyProtection="1">
      <alignment horizontal="center" vertical="center"/>
    </xf>
    <xf numFmtId="3" fontId="118" fillId="2" borderId="52" xfId="0" applyNumberFormat="1" applyFont="1" applyFill="1" applyBorder="1" applyAlignment="1" applyProtection="1">
      <alignment horizontal="left" vertical="center" wrapText="1"/>
    </xf>
    <xf numFmtId="1" fontId="119" fillId="2" borderId="83" xfId="0" applyNumberFormat="1" applyFont="1" applyFill="1" applyBorder="1" applyAlignment="1" applyProtection="1">
      <alignment horizontal="center" vertical="center"/>
    </xf>
    <xf numFmtId="3" fontId="120" fillId="2" borderId="32" xfId="0" applyNumberFormat="1" applyFont="1" applyFill="1" applyBorder="1" applyAlignment="1" applyProtection="1">
      <alignment horizontal="left" vertical="center" wrapText="1"/>
    </xf>
    <xf numFmtId="3" fontId="99" fillId="0" borderId="5" xfId="0" applyNumberFormat="1" applyFont="1" applyFill="1" applyBorder="1" applyAlignment="1" applyProtection="1">
      <alignment vertical="center"/>
    </xf>
    <xf numFmtId="3" fontId="99" fillId="0" borderId="9" xfId="0" applyNumberFormat="1" applyFont="1" applyFill="1" applyBorder="1" applyAlignment="1" applyProtection="1">
      <alignment vertical="center"/>
    </xf>
    <xf numFmtId="3" fontId="114" fillId="4" borderId="8" xfId="0" applyNumberFormat="1" applyFont="1" applyFill="1" applyBorder="1" applyAlignment="1" applyProtection="1">
      <alignment vertical="center"/>
    </xf>
    <xf numFmtId="3" fontId="114" fillId="4" borderId="9" xfId="0" applyNumberFormat="1" applyFont="1" applyFill="1" applyBorder="1" applyAlignment="1" applyProtection="1">
      <alignment vertical="center"/>
    </xf>
    <xf numFmtId="164" fontId="111" fillId="2" borderId="46" xfId="0" quotePrefix="1" applyNumberFormat="1" applyFont="1" applyFill="1" applyBorder="1" applyAlignment="1" applyProtection="1">
      <alignment horizontal="center" vertical="center"/>
    </xf>
    <xf numFmtId="3" fontId="109" fillId="2" borderId="46" xfId="0" applyNumberFormat="1" applyFont="1" applyFill="1" applyBorder="1" applyAlignment="1" applyProtection="1">
      <alignment horizontal="left" vertical="center" wrapText="1"/>
    </xf>
    <xf numFmtId="3" fontId="109" fillId="2" borderId="48" xfId="0" applyNumberFormat="1" applyFont="1" applyFill="1" applyBorder="1" applyAlignment="1" applyProtection="1">
      <alignment vertical="center"/>
    </xf>
    <xf numFmtId="3" fontId="109" fillId="2" borderId="47" xfId="0" applyNumberFormat="1" applyFont="1" applyFill="1" applyBorder="1" applyAlignment="1" applyProtection="1">
      <alignment vertical="center"/>
    </xf>
    <xf numFmtId="3" fontId="109" fillId="2" borderId="46" xfId="0" applyNumberFormat="1" applyFont="1" applyFill="1" applyBorder="1" applyAlignment="1" applyProtection="1">
      <alignment vertical="center"/>
    </xf>
    <xf numFmtId="3" fontId="120" fillId="0" borderId="32" xfId="0" applyNumberFormat="1" applyFont="1" applyFill="1" applyBorder="1" applyAlignment="1" applyProtection="1">
      <alignment horizontal="left" vertical="center" wrapText="1"/>
    </xf>
    <xf numFmtId="3" fontId="96" fillId="2" borderId="9" xfId="0" applyNumberFormat="1" applyFont="1" applyFill="1" applyBorder="1" applyAlignment="1" applyProtection="1">
      <alignment horizontal="left" vertical="center" wrapText="1"/>
    </xf>
    <xf numFmtId="3" fontId="114" fillId="2" borderId="10" xfId="0" applyNumberFormat="1" applyFont="1" applyFill="1" applyBorder="1" applyAlignment="1" applyProtection="1">
      <alignment horizontal="right" vertical="center"/>
    </xf>
    <xf numFmtId="3" fontId="114" fillId="2" borderId="8" xfId="0" applyNumberFormat="1" applyFont="1" applyFill="1" applyBorder="1" applyAlignment="1" applyProtection="1">
      <alignment horizontal="right" vertical="center"/>
    </xf>
    <xf numFmtId="3" fontId="114" fillId="2" borderId="11" xfId="0" applyNumberFormat="1" applyFont="1" applyFill="1" applyBorder="1" applyAlignment="1" applyProtection="1">
      <alignment horizontal="right" vertical="center"/>
    </xf>
    <xf numFmtId="3" fontId="115" fillId="2" borderId="33" xfId="0" applyNumberFormat="1" applyFont="1" applyFill="1" applyBorder="1" applyAlignment="1" applyProtection="1">
      <alignment horizontal="left" vertical="center" wrapText="1"/>
    </xf>
    <xf numFmtId="3" fontId="109" fillId="0" borderId="35" xfId="0" applyNumberFormat="1" applyFont="1" applyFill="1" applyBorder="1" applyAlignment="1" applyProtection="1">
      <alignment horizontal="right" vertical="center"/>
    </xf>
    <xf numFmtId="3" fontId="109" fillId="0" borderId="54" xfId="0" applyNumberFormat="1" applyFont="1" applyFill="1" applyBorder="1" applyAlignment="1" applyProtection="1">
      <alignment horizontal="right" vertical="center"/>
    </xf>
    <xf numFmtId="3" fontId="109" fillId="0" borderId="47" xfId="0" applyNumberFormat="1" applyFont="1" applyFill="1" applyBorder="1" applyAlignment="1" applyProtection="1">
      <alignment horizontal="right" vertical="center"/>
    </xf>
    <xf numFmtId="164" fontId="115" fillId="0" borderId="26" xfId="0" quotePrefix="1" applyNumberFormat="1" applyFont="1" applyFill="1" applyBorder="1" applyAlignment="1" applyProtection="1">
      <alignment horizontal="center" vertical="center"/>
    </xf>
    <xf numFmtId="3" fontId="97" fillId="0" borderId="8" xfId="0" applyNumberFormat="1" applyFont="1" applyFill="1" applyBorder="1" applyAlignment="1" applyProtection="1">
      <alignment vertical="center"/>
    </xf>
    <xf numFmtId="3" fontId="97" fillId="0" borderId="11" xfId="0" applyNumberFormat="1" applyFont="1" applyFill="1" applyBorder="1" applyAlignment="1" applyProtection="1">
      <alignment vertical="center"/>
    </xf>
    <xf numFmtId="3" fontId="97" fillId="0" borderId="5" xfId="0" applyNumberFormat="1" applyFont="1" applyFill="1" applyBorder="1" applyAlignment="1" applyProtection="1">
      <alignment vertical="center"/>
    </xf>
    <xf numFmtId="3" fontId="97" fillId="0" borderId="9" xfId="0" applyNumberFormat="1" applyFont="1" applyFill="1" applyBorder="1" applyAlignment="1" applyProtection="1">
      <alignment vertical="center"/>
    </xf>
    <xf numFmtId="3" fontId="97" fillId="0" borderId="10" xfId="0" applyNumberFormat="1" applyFont="1" applyFill="1" applyBorder="1" applyAlignment="1" applyProtection="1">
      <alignment vertical="center"/>
    </xf>
    <xf numFmtId="164" fontId="115" fillId="0" borderId="26" xfId="0" applyNumberFormat="1" applyFont="1" applyFill="1" applyBorder="1" applyAlignment="1" applyProtection="1">
      <alignment horizontal="center" vertical="center"/>
    </xf>
    <xf numFmtId="3" fontId="97" fillId="2" borderId="11" xfId="0" applyNumberFormat="1" applyFont="1" applyFill="1" applyBorder="1" applyAlignment="1" applyProtection="1">
      <alignment vertical="center"/>
    </xf>
    <xf numFmtId="164" fontId="115" fillId="2" borderId="26" xfId="0" quotePrefix="1" applyNumberFormat="1" applyFont="1" applyFill="1" applyBorder="1" applyAlignment="1" applyProtection="1">
      <alignment horizontal="center" vertical="center"/>
    </xf>
    <xf numFmtId="164" fontId="115" fillId="2" borderId="26" xfId="0" applyNumberFormat="1" applyFont="1" applyFill="1" applyBorder="1" applyAlignment="1" applyProtection="1">
      <alignment horizontal="center" vertical="center"/>
    </xf>
    <xf numFmtId="164" fontId="115" fillId="2" borderId="27" xfId="0" applyNumberFormat="1" applyFont="1" applyFill="1" applyBorder="1" applyAlignment="1" applyProtection="1">
      <alignment horizontal="center" vertical="center"/>
    </xf>
    <xf numFmtId="3" fontId="98" fillId="2" borderId="33" xfId="0" applyNumberFormat="1" applyFont="1" applyFill="1" applyBorder="1" applyAlignment="1" applyProtection="1">
      <alignment horizontal="left" vertical="center" wrapText="1"/>
      <protection locked="0"/>
    </xf>
    <xf numFmtId="3" fontId="97" fillId="0" borderId="17" xfId="0" applyNumberFormat="1" applyFont="1" applyFill="1" applyBorder="1" applyAlignment="1" applyProtection="1">
      <alignment vertical="center"/>
    </xf>
    <xf numFmtId="3" fontId="97" fillId="0" borderId="37" xfId="0" applyNumberFormat="1" applyFont="1" applyFill="1" applyBorder="1" applyAlignment="1" applyProtection="1">
      <alignment vertical="center"/>
    </xf>
    <xf numFmtId="3" fontId="97" fillId="2" borderId="37" xfId="0" applyNumberFormat="1" applyFont="1" applyFill="1" applyBorder="1" applyAlignment="1" applyProtection="1">
      <alignment vertical="center"/>
    </xf>
    <xf numFmtId="3" fontId="97" fillId="2" borderId="39" xfId="0" applyNumberFormat="1" applyFont="1" applyFill="1" applyBorder="1" applyAlignment="1" applyProtection="1">
      <alignment vertical="center"/>
    </xf>
    <xf numFmtId="164" fontId="111" fillId="2" borderId="19" xfId="0" quotePrefix="1" applyNumberFormat="1" applyFont="1" applyFill="1" applyBorder="1" applyAlignment="1" applyProtection="1">
      <alignment vertical="center"/>
    </xf>
    <xf numFmtId="3" fontId="109" fillId="2" borderId="19" xfId="0" applyNumberFormat="1" applyFont="1" applyFill="1" applyBorder="1" applyAlignment="1" applyProtection="1">
      <alignment vertical="center" wrapText="1"/>
    </xf>
    <xf numFmtId="3" fontId="109" fillId="2" borderId="55" xfId="0" applyNumberFormat="1" applyFont="1" applyFill="1" applyBorder="1" applyAlignment="1" applyProtection="1">
      <alignment vertical="center"/>
    </xf>
    <xf numFmtId="3" fontId="109" fillId="2" borderId="1" xfId="0" applyNumberFormat="1" applyFont="1" applyFill="1" applyBorder="1" applyAlignment="1" applyProtection="1">
      <alignment vertical="center"/>
    </xf>
    <xf numFmtId="3" fontId="109" fillId="2" borderId="35" xfId="0" applyNumberFormat="1" applyFont="1" applyFill="1" applyBorder="1" applyAlignment="1" applyProtection="1">
      <alignment vertical="center"/>
    </xf>
    <xf numFmtId="3" fontId="109" fillId="2" borderId="29" xfId="0" applyNumberFormat="1" applyFont="1" applyFill="1" applyBorder="1" applyAlignment="1" applyProtection="1">
      <alignment vertical="center"/>
    </xf>
    <xf numFmtId="164" fontId="111" fillId="2" borderId="46" xfId="0" quotePrefix="1" applyNumberFormat="1" applyFont="1" applyFill="1" applyBorder="1" applyAlignment="1" applyProtection="1">
      <alignment vertical="center"/>
    </xf>
    <xf numFmtId="3" fontId="109" fillId="2" borderId="46" xfId="0" applyNumberFormat="1" applyFont="1" applyFill="1" applyBorder="1" applyAlignment="1" applyProtection="1">
      <alignment vertical="center" wrapText="1"/>
    </xf>
    <xf numFmtId="164" fontId="111" fillId="0" borderId="20" xfId="0" quotePrefix="1" applyNumberFormat="1" applyFont="1" applyFill="1" applyBorder="1" applyAlignment="1" applyProtection="1">
      <alignment vertical="center"/>
    </xf>
    <xf numFmtId="3" fontId="109" fillId="0" borderId="20" xfId="0" applyNumberFormat="1" applyFont="1" applyFill="1" applyBorder="1" applyAlignment="1" applyProtection="1">
      <alignment vertical="center" wrapText="1"/>
    </xf>
    <xf numFmtId="3" fontId="109" fillId="0" borderId="44" xfId="0" applyNumberFormat="1" applyFont="1" applyFill="1" applyBorder="1" applyAlignment="1" applyProtection="1">
      <alignment vertical="center"/>
    </xf>
    <xf numFmtId="3" fontId="109" fillId="0" borderId="4" xfId="0" applyNumberFormat="1" applyFont="1" applyFill="1" applyBorder="1" applyAlignment="1" applyProtection="1">
      <alignment vertical="center"/>
    </xf>
    <xf numFmtId="3" fontId="109" fillId="0" borderId="43" xfId="0" applyNumberFormat="1" applyFont="1" applyFill="1" applyBorder="1" applyAlignment="1" applyProtection="1">
      <alignment vertical="center"/>
    </xf>
    <xf numFmtId="164" fontId="111" fillId="2" borderId="41" xfId="0" quotePrefix="1" applyNumberFormat="1" applyFont="1" applyFill="1" applyBorder="1" applyAlignment="1" applyProtection="1">
      <alignment vertical="center"/>
    </xf>
    <xf numFmtId="3" fontId="109" fillId="2" borderId="41" xfId="0" applyNumberFormat="1" applyFont="1" applyFill="1" applyBorder="1" applyAlignment="1" applyProtection="1">
      <alignment vertical="center" wrapText="1"/>
    </xf>
    <xf numFmtId="3" fontId="109" fillId="2" borderId="63" xfId="0" applyNumberFormat="1" applyFont="1" applyFill="1" applyBorder="1" applyAlignment="1" applyProtection="1">
      <alignment vertical="center"/>
    </xf>
    <xf numFmtId="3" fontId="109" fillId="2" borderId="59" xfId="0" applyNumberFormat="1" applyFont="1" applyFill="1" applyBorder="1" applyAlignment="1" applyProtection="1">
      <alignment vertical="center"/>
    </xf>
    <xf numFmtId="3" fontId="109" fillId="2" borderId="73" xfId="0" applyNumberFormat="1" applyFont="1" applyFill="1" applyBorder="1" applyAlignment="1" applyProtection="1">
      <alignment vertical="center"/>
    </xf>
    <xf numFmtId="1" fontId="99" fillId="2" borderId="0" xfId="0" applyNumberFormat="1" applyFont="1" applyFill="1" applyAlignment="1" applyProtection="1">
      <alignment horizontal="center" vertical="center"/>
    </xf>
    <xf numFmtId="3" fontId="97" fillId="2" borderId="0" xfId="0" applyNumberFormat="1" applyFont="1" applyFill="1" applyAlignment="1" applyProtection="1">
      <alignment vertical="center" wrapText="1"/>
    </xf>
    <xf numFmtId="3" fontId="99" fillId="2" borderId="10" xfId="0" applyNumberFormat="1" applyFont="1" applyFill="1" applyBorder="1" applyAlignment="1" applyProtection="1">
      <alignment horizontal="right" vertical="center"/>
    </xf>
    <xf numFmtId="3" fontId="97" fillId="2" borderId="0" xfId="0" applyNumberFormat="1" applyFont="1" applyFill="1" applyBorder="1" applyAlignment="1" applyProtection="1">
      <alignment horizontal="left" vertical="center" wrapText="1"/>
    </xf>
    <xf numFmtId="164" fontId="98" fillId="2" borderId="26" xfId="0" applyNumberFormat="1" applyFont="1" applyFill="1" applyBorder="1" applyAlignment="1" applyProtection="1">
      <alignment horizontal="center" vertical="center"/>
    </xf>
    <xf numFmtId="3" fontId="98" fillId="2" borderId="45" xfId="0" applyNumberFormat="1" applyFont="1" applyFill="1" applyBorder="1" applyAlignment="1" applyProtection="1">
      <alignment horizontal="left" vertical="center" wrapText="1"/>
    </xf>
    <xf numFmtId="3" fontId="99" fillId="2" borderId="45" xfId="0" applyNumberFormat="1" applyFont="1" applyFill="1" applyBorder="1" applyAlignment="1" applyProtection="1">
      <alignment vertical="center"/>
    </xf>
    <xf numFmtId="3" fontId="99" fillId="2" borderId="45" xfId="0" applyNumberFormat="1" applyFont="1" applyFill="1" applyBorder="1" applyAlignment="1" applyProtection="1">
      <alignment horizontal="right" vertical="center"/>
    </xf>
    <xf numFmtId="3" fontId="114" fillId="4" borderId="45" xfId="0" applyNumberFormat="1" applyFont="1" applyFill="1" applyBorder="1" applyAlignment="1" applyProtection="1">
      <alignment vertical="center"/>
      <protection locked="0"/>
    </xf>
    <xf numFmtId="3" fontId="114" fillId="4" borderId="26" xfId="0" applyNumberFormat="1" applyFont="1" applyFill="1" applyBorder="1" applyAlignment="1" applyProtection="1">
      <alignment vertical="center"/>
      <protection locked="0"/>
    </xf>
    <xf numFmtId="3" fontId="114" fillId="4" borderId="49" xfId="0" applyNumberFormat="1" applyFont="1" applyFill="1" applyBorder="1" applyAlignment="1" applyProtection="1">
      <alignment vertical="center"/>
      <protection locked="0"/>
    </xf>
    <xf numFmtId="164" fontId="101" fillId="2" borderId="8" xfId="0" applyNumberFormat="1" applyFont="1" applyFill="1" applyBorder="1" applyAlignment="1" applyProtection="1">
      <alignment horizontal="center" vertical="center"/>
    </xf>
    <xf numFmtId="3" fontId="104" fillId="2" borderId="8" xfId="0" applyNumberFormat="1" applyFont="1" applyFill="1" applyBorder="1" applyAlignment="1" applyProtection="1">
      <alignment vertical="center" wrapText="1"/>
    </xf>
    <xf numFmtId="3" fontId="114" fillId="2" borderId="8" xfId="0" applyNumberFormat="1" applyFont="1" applyFill="1" applyBorder="1" applyAlignment="1" applyProtection="1">
      <alignment horizontal="right" vertical="center"/>
      <protection locked="0"/>
    </xf>
    <xf numFmtId="164" fontId="98" fillId="2" borderId="16" xfId="0" applyNumberFormat="1" applyFont="1" applyFill="1" applyBorder="1" applyAlignment="1" applyProtection="1">
      <alignment horizontal="center" vertical="center"/>
    </xf>
    <xf numFmtId="3" fontId="98" fillId="2" borderId="18" xfId="0" applyNumberFormat="1" applyFont="1" applyFill="1" applyBorder="1" applyAlignment="1" applyProtection="1">
      <alignment horizontal="left" vertical="center" wrapText="1"/>
    </xf>
    <xf numFmtId="3" fontId="99" fillId="2" borderId="39" xfId="0" applyNumberFormat="1" applyFont="1" applyFill="1" applyBorder="1" applyAlignment="1" applyProtection="1">
      <alignment vertical="center"/>
    </xf>
    <xf numFmtId="3" fontId="99" fillId="2" borderId="17" xfId="0" applyNumberFormat="1" applyFont="1" applyFill="1" applyBorder="1" applyAlignment="1" applyProtection="1">
      <alignment horizontal="right" vertical="center"/>
    </xf>
    <xf numFmtId="3" fontId="99" fillId="2" borderId="37" xfId="0" applyNumberFormat="1" applyFont="1" applyFill="1" applyBorder="1" applyAlignment="1" applyProtection="1">
      <alignment horizontal="right" vertical="center"/>
    </xf>
    <xf numFmtId="3" fontId="99" fillId="2" borderId="16" xfId="0" applyNumberFormat="1" applyFont="1" applyFill="1" applyBorder="1" applyAlignment="1" applyProtection="1">
      <alignment horizontal="right" vertical="center"/>
    </xf>
    <xf numFmtId="3" fontId="99" fillId="2" borderId="18" xfId="0" applyNumberFormat="1" applyFont="1" applyFill="1" applyBorder="1" applyAlignment="1" applyProtection="1">
      <alignment horizontal="right" vertical="center"/>
    </xf>
    <xf numFmtId="1" fontId="96" fillId="2" borderId="25" xfId="0" applyNumberFormat="1" applyFont="1" applyFill="1" applyBorder="1" applyAlignment="1" applyProtection="1">
      <alignment horizontal="center" vertical="center" wrapText="1"/>
    </xf>
    <xf numFmtId="3" fontId="96" fillId="2" borderId="2" xfId="0" applyNumberFormat="1" applyFont="1" applyFill="1" applyBorder="1" applyAlignment="1" applyProtection="1">
      <alignment horizontal="center" vertical="center" wrapText="1"/>
    </xf>
    <xf numFmtId="3" fontId="109" fillId="2" borderId="2" xfId="0" applyNumberFormat="1" applyFont="1" applyFill="1" applyBorder="1" applyAlignment="1" applyProtection="1">
      <alignment horizontal="center" vertical="center"/>
    </xf>
    <xf numFmtId="3" fontId="109" fillId="2" borderId="3" xfId="0" applyNumberFormat="1" applyFont="1" applyFill="1" applyBorder="1" applyAlignment="1" applyProtection="1">
      <alignment horizontal="center" vertical="center"/>
    </xf>
    <xf numFmtId="3" fontId="114" fillId="2" borderId="25" xfId="0" applyNumberFormat="1" applyFont="1" applyFill="1" applyBorder="1" applyAlignment="1" applyProtection="1">
      <alignment horizontal="right" vertical="center"/>
    </xf>
    <xf numFmtId="3" fontId="114" fillId="2" borderId="3" xfId="0" applyNumberFormat="1" applyFont="1" applyFill="1" applyBorder="1" applyAlignment="1" applyProtection="1">
      <alignment horizontal="right" vertical="center"/>
    </xf>
    <xf numFmtId="164" fontId="115" fillId="2" borderId="16" xfId="0" applyNumberFormat="1" applyFont="1" applyFill="1" applyBorder="1" applyAlignment="1" applyProtection="1">
      <alignment horizontal="center" vertical="center"/>
    </xf>
    <xf numFmtId="3" fontId="97" fillId="2" borderId="18" xfId="0" applyNumberFormat="1" applyFont="1" applyFill="1" applyBorder="1" applyAlignment="1" applyProtection="1">
      <alignment horizontal="left" vertical="center" wrapText="1"/>
    </xf>
    <xf numFmtId="3" fontId="114" fillId="4" borderId="38" xfId="0" applyNumberFormat="1" applyFont="1" applyFill="1" applyBorder="1" applyAlignment="1" applyProtection="1">
      <alignment vertical="center"/>
      <protection locked="0"/>
    </xf>
    <xf numFmtId="3" fontId="114" fillId="4" borderId="34" xfId="0" applyNumberFormat="1" applyFont="1" applyFill="1" applyBorder="1" applyAlignment="1" applyProtection="1">
      <alignment vertical="center"/>
      <protection locked="0"/>
    </xf>
    <xf numFmtId="1" fontId="96" fillId="2" borderId="20" xfId="0" applyNumberFormat="1" applyFont="1" applyFill="1" applyBorder="1" applyAlignment="1" applyProtection="1">
      <alignment horizontal="center" vertical="center" wrapText="1"/>
    </xf>
    <xf numFmtId="3" fontId="96" fillId="2" borderId="0" xfId="0" applyNumberFormat="1" applyFont="1" applyFill="1" applyBorder="1" applyAlignment="1" applyProtection="1">
      <alignment horizontal="center" vertical="center" wrapText="1"/>
    </xf>
    <xf numFmtId="3" fontId="109" fillId="2" borderId="0" xfId="0" applyNumberFormat="1" applyFont="1" applyFill="1" applyBorder="1" applyAlignment="1" applyProtection="1">
      <alignment horizontal="center" vertical="center"/>
    </xf>
    <xf numFmtId="3" fontId="109" fillId="2" borderId="40" xfId="0" applyNumberFormat="1" applyFont="1" applyFill="1" applyBorder="1" applyAlignment="1" applyProtection="1">
      <alignment horizontal="center" vertical="center"/>
    </xf>
    <xf numFmtId="3" fontId="99" fillId="2" borderId="46" xfId="0" applyNumberFormat="1" applyFont="1" applyFill="1" applyBorder="1" applyAlignment="1" applyProtection="1">
      <alignment horizontal="right" vertical="center"/>
    </xf>
    <xf numFmtId="3" fontId="99" fillId="2" borderId="47" xfId="0" applyNumberFormat="1" applyFont="1" applyFill="1" applyBorder="1" applyAlignment="1" applyProtection="1">
      <alignment horizontal="right" vertical="center"/>
    </xf>
    <xf numFmtId="3" fontId="100" fillId="2" borderId="0" xfId="0" applyNumberFormat="1" applyFont="1" applyFill="1" applyAlignment="1" applyProtection="1">
      <alignment vertical="center"/>
    </xf>
    <xf numFmtId="3" fontId="99" fillId="2" borderId="25" xfId="0" applyNumberFormat="1" applyFont="1" applyFill="1" applyBorder="1" applyAlignment="1" applyProtection="1">
      <alignment horizontal="right" vertical="center"/>
    </xf>
    <xf numFmtId="3" fontId="99" fillId="2" borderId="3" xfId="0" applyNumberFormat="1" applyFont="1" applyFill="1" applyBorder="1" applyAlignment="1" applyProtection="1">
      <alignment horizontal="right" vertical="center"/>
    </xf>
    <xf numFmtId="164" fontId="101" fillId="2" borderId="5" xfId="0" applyNumberFormat="1" applyFont="1" applyFill="1" applyBorder="1" applyAlignment="1" applyProtection="1">
      <alignment horizontal="center" vertical="center"/>
    </xf>
    <xf numFmtId="3" fontId="104" fillId="2" borderId="9" xfId="0" applyNumberFormat="1" applyFont="1" applyFill="1" applyBorder="1" applyAlignment="1" applyProtection="1">
      <alignment vertical="center" wrapText="1"/>
    </xf>
    <xf numFmtId="164" fontId="115" fillId="2" borderId="5" xfId="0" applyNumberFormat="1" applyFont="1" applyFill="1" applyBorder="1" applyAlignment="1" applyProtection="1">
      <alignment horizontal="center" vertical="center"/>
    </xf>
    <xf numFmtId="3" fontId="99" fillId="2" borderId="41" xfId="0" applyNumberFormat="1" applyFont="1" applyFill="1" applyBorder="1" applyAlignment="1" applyProtection="1">
      <alignment horizontal="right" vertical="center"/>
    </xf>
    <xf numFmtId="3" fontId="99" fillId="2" borderId="13" xfId="0" applyNumberFormat="1" applyFont="1" applyFill="1" applyBorder="1" applyAlignment="1" applyProtection="1">
      <alignment horizontal="right" vertical="center"/>
    </xf>
    <xf numFmtId="1" fontId="99" fillId="2" borderId="0" xfId="0" applyNumberFormat="1" applyFont="1" applyFill="1" applyAlignment="1" applyProtection="1">
      <alignment horizontal="center"/>
    </xf>
    <xf numFmtId="3" fontId="97" fillId="2" borderId="0" xfId="0" applyNumberFormat="1" applyFont="1" applyFill="1" applyBorder="1" applyAlignment="1" applyProtection="1">
      <alignment horizontal="left" wrapText="1"/>
    </xf>
    <xf numFmtId="164" fontId="101" fillId="2" borderId="55" xfId="0" applyNumberFormat="1" applyFont="1" applyFill="1" applyBorder="1" applyAlignment="1" applyProtection="1">
      <alignment horizontal="center" vertical="center"/>
    </xf>
    <xf numFmtId="3" fontId="104" fillId="2" borderId="66" xfId="0" applyNumberFormat="1" applyFont="1" applyFill="1" applyBorder="1" applyAlignment="1" applyProtection="1">
      <alignment vertical="center" wrapText="1"/>
    </xf>
    <xf numFmtId="3" fontId="114" fillId="2" borderId="1" xfId="0" applyNumberFormat="1" applyFont="1" applyFill="1" applyBorder="1" applyAlignment="1" applyProtection="1">
      <alignment horizontal="right" vertical="center"/>
    </xf>
    <xf numFmtId="3" fontId="114" fillId="2" borderId="14" xfId="0" applyNumberFormat="1" applyFont="1" applyFill="1" applyBorder="1" applyAlignment="1" applyProtection="1">
      <alignment vertical="center"/>
    </xf>
    <xf numFmtId="3" fontId="114" fillId="2" borderId="42" xfId="0" applyNumberFormat="1" applyFont="1" applyFill="1" applyBorder="1" applyAlignment="1" applyProtection="1">
      <alignment vertical="center"/>
    </xf>
    <xf numFmtId="3" fontId="114" fillId="2" borderId="35" xfId="0" applyNumberFormat="1" applyFont="1" applyFill="1" applyBorder="1" applyAlignment="1" applyProtection="1">
      <alignment vertical="center"/>
    </xf>
    <xf numFmtId="3" fontId="114" fillId="2" borderId="29" xfId="0" applyNumberFormat="1" applyFont="1" applyFill="1" applyBorder="1" applyAlignment="1" applyProtection="1">
      <alignment vertical="center"/>
    </xf>
    <xf numFmtId="164" fontId="111" fillId="2" borderId="55" xfId="0" quotePrefix="1" applyNumberFormat="1" applyFont="1" applyFill="1" applyBorder="1" applyAlignment="1" applyProtection="1">
      <alignment horizontal="left" vertical="center"/>
    </xf>
    <xf numFmtId="3" fontId="109" fillId="2" borderId="56" xfId="0" applyNumberFormat="1" applyFont="1" applyFill="1" applyBorder="1" applyAlignment="1" applyProtection="1">
      <alignment horizontal="left" vertical="center" wrapText="1"/>
    </xf>
    <xf numFmtId="3" fontId="114" fillId="2" borderId="56" xfId="0" applyNumberFormat="1" applyFont="1" applyFill="1" applyBorder="1" applyAlignment="1" applyProtection="1">
      <alignment vertical="center"/>
    </xf>
    <xf numFmtId="3" fontId="114" fillId="2" borderId="66" xfId="0" applyNumberFormat="1" applyFont="1" applyFill="1" applyBorder="1" applyAlignment="1" applyProtection="1">
      <alignment vertical="center"/>
    </xf>
    <xf numFmtId="164" fontId="104" fillId="2" borderId="46" xfId="0" applyNumberFormat="1" applyFont="1" applyFill="1" applyBorder="1" applyAlignment="1" applyProtection="1">
      <alignment vertical="center"/>
    </xf>
    <xf numFmtId="164" fontId="104" fillId="2" borderId="48" xfId="0" applyNumberFormat="1" applyFont="1" applyFill="1" applyBorder="1" applyAlignment="1" applyProtection="1">
      <alignment vertical="center"/>
    </xf>
    <xf numFmtId="3" fontId="114" fillId="2" borderId="48" xfId="0" applyNumberFormat="1" applyFont="1" applyFill="1" applyBorder="1" applyAlignment="1" applyProtection="1">
      <alignment vertical="center"/>
    </xf>
    <xf numFmtId="3" fontId="114" fillId="2" borderId="47" xfId="0" applyNumberFormat="1" applyFont="1" applyFill="1" applyBorder="1" applyAlignment="1" applyProtection="1">
      <alignment vertical="center"/>
    </xf>
    <xf numFmtId="164" fontId="111" fillId="0" borderId="67" xfId="0" quotePrefix="1" applyNumberFormat="1" applyFont="1" applyFill="1" applyBorder="1" applyAlignment="1" applyProtection="1">
      <alignment horizontal="left" vertical="center"/>
    </xf>
    <xf numFmtId="3" fontId="109" fillId="0" borderId="30" xfId="0" applyNumberFormat="1" applyFont="1" applyFill="1" applyBorder="1" applyAlignment="1" applyProtection="1">
      <alignment horizontal="left" vertical="center" wrapText="1"/>
    </xf>
    <xf numFmtId="3" fontId="114" fillId="2" borderId="30" xfId="0" applyNumberFormat="1" applyFont="1" applyFill="1" applyBorder="1" applyAlignment="1" applyProtection="1">
      <alignment vertical="center"/>
    </xf>
    <xf numFmtId="3" fontId="114" fillId="2" borderId="68" xfId="0" applyNumberFormat="1" applyFont="1" applyFill="1" applyBorder="1" applyAlignment="1" applyProtection="1">
      <alignment vertical="center"/>
    </xf>
    <xf numFmtId="164" fontId="111" fillId="2" borderId="16" xfId="0" quotePrefix="1" applyNumberFormat="1" applyFont="1" applyFill="1" applyBorder="1" applyAlignment="1" applyProtection="1">
      <alignment horizontal="left" vertical="center"/>
    </xf>
    <xf numFmtId="3" fontId="109" fillId="2" borderId="17" xfId="0" applyNumberFormat="1" applyFont="1" applyFill="1" applyBorder="1" applyAlignment="1" applyProtection="1">
      <alignment horizontal="left" vertical="center" wrapText="1"/>
    </xf>
    <xf numFmtId="3" fontId="114" fillId="2" borderId="17" xfId="0" applyNumberFormat="1" applyFont="1" applyFill="1" applyBorder="1" applyAlignment="1" applyProtection="1">
      <alignment vertical="center"/>
    </xf>
    <xf numFmtId="3" fontId="114" fillId="2" borderId="18" xfId="0" applyNumberFormat="1" applyFont="1" applyFill="1" applyBorder="1" applyAlignment="1" applyProtection="1">
      <alignment vertical="center"/>
    </xf>
    <xf numFmtId="3" fontId="123" fillId="2" borderId="0" xfId="0" applyNumberFormat="1" applyFont="1" applyFill="1" applyProtection="1"/>
    <xf numFmtId="3" fontId="124" fillId="2" borderId="0" xfId="0" applyNumberFormat="1" applyFont="1" applyFill="1" applyProtection="1"/>
    <xf numFmtId="1" fontId="124" fillId="2" borderId="0" xfId="0" applyNumberFormat="1" applyFont="1" applyFill="1" applyAlignment="1" applyProtection="1">
      <alignment horizontal="center"/>
    </xf>
    <xf numFmtId="3" fontId="123" fillId="2" borderId="0" xfId="0" applyNumberFormat="1" applyFont="1" applyFill="1" applyAlignment="1" applyProtection="1">
      <alignment wrapText="1"/>
    </xf>
    <xf numFmtId="3" fontId="122" fillId="2" borderId="0" xfId="0" applyNumberFormat="1" applyFont="1" applyFill="1" applyProtection="1"/>
    <xf numFmtId="0" fontId="124" fillId="2" borderId="0" xfId="0" applyFont="1" applyFill="1" applyProtection="1"/>
    <xf numFmtId="1" fontId="125" fillId="2" borderId="19" xfId="0" applyNumberFormat="1" applyFont="1" applyFill="1" applyBorder="1" applyAlignment="1" applyProtection="1">
      <alignment horizontal="center"/>
    </xf>
    <xf numFmtId="3" fontId="126" fillId="2" borderId="14" xfId="0" applyNumberFormat="1" applyFont="1" applyFill="1" applyBorder="1" applyAlignment="1" applyProtection="1">
      <alignment horizontal="center" wrapText="1"/>
    </xf>
    <xf numFmtId="3" fontId="123" fillId="2" borderId="19" xfId="0" applyNumberFormat="1" applyFont="1" applyFill="1" applyBorder="1" applyProtection="1"/>
    <xf numFmtId="3" fontId="128" fillId="2" borderId="14" xfId="0" applyNumberFormat="1" applyFont="1" applyFill="1" applyBorder="1" applyAlignment="1" applyProtection="1">
      <alignment horizontal="left" vertical="center" indent="1"/>
    </xf>
    <xf numFmtId="3" fontId="128" fillId="2" borderId="14" xfId="0" applyNumberFormat="1" applyFont="1" applyFill="1" applyBorder="1" applyAlignment="1" applyProtection="1">
      <alignment vertical="center"/>
    </xf>
    <xf numFmtId="3" fontId="122" fillId="2" borderId="42" xfId="0" applyNumberFormat="1" applyFont="1" applyFill="1" applyBorder="1" applyAlignment="1" applyProtection="1"/>
    <xf numFmtId="3" fontId="122" fillId="2" borderId="24" xfId="0" applyNumberFormat="1" applyFont="1" applyFill="1" applyBorder="1" applyAlignment="1" applyProtection="1">
      <alignment horizontal="center" vertical="center"/>
    </xf>
    <xf numFmtId="3" fontId="123" fillId="2" borderId="0" xfId="0" applyNumberFormat="1" applyFont="1" applyFill="1" applyBorder="1" applyProtection="1"/>
    <xf numFmtId="1" fontId="124" fillId="2" borderId="19" xfId="0" applyNumberFormat="1" applyFont="1" applyFill="1" applyBorder="1" applyAlignment="1" applyProtection="1">
      <alignment horizontal="center"/>
    </xf>
    <xf numFmtId="3" fontId="129" fillId="2" borderId="1" xfId="0" applyNumberFormat="1" applyFont="1" applyFill="1" applyBorder="1" applyProtection="1"/>
    <xf numFmtId="3" fontId="126" fillId="2" borderId="25" xfId="0" applyNumberFormat="1" applyFont="1" applyFill="1" applyBorder="1" applyAlignment="1" applyProtection="1">
      <alignment horizontal="centerContinuous"/>
    </xf>
    <xf numFmtId="3" fontId="126" fillId="2" borderId="2" xfId="0" applyNumberFormat="1" applyFont="1" applyFill="1" applyBorder="1" applyAlignment="1" applyProtection="1">
      <alignment horizontal="centerContinuous"/>
    </xf>
    <xf numFmtId="3" fontId="124" fillId="2" borderId="2" xfId="0" applyNumberFormat="1" applyFont="1" applyFill="1" applyBorder="1" applyAlignment="1" applyProtection="1">
      <alignment horizontal="centerContinuous"/>
    </xf>
    <xf numFmtId="3" fontId="124" fillId="2" borderId="3" xfId="0" applyNumberFormat="1" applyFont="1" applyFill="1" applyBorder="1" applyAlignment="1" applyProtection="1">
      <alignment horizontal="centerContinuous"/>
    </xf>
    <xf numFmtId="0" fontId="126" fillId="2" borderId="21" xfId="0" applyFont="1" applyFill="1" applyBorder="1" applyAlignment="1" applyProtection="1">
      <alignment horizontal="center" vertical="center"/>
    </xf>
    <xf numFmtId="1" fontId="125" fillId="2" borderId="20" xfId="0" applyNumberFormat="1" applyFont="1" applyFill="1" applyBorder="1" applyAlignment="1" applyProtection="1">
      <alignment horizontal="center"/>
    </xf>
    <xf numFmtId="3" fontId="130" fillId="2" borderId="20" xfId="0" applyNumberFormat="1" applyFont="1" applyFill="1" applyBorder="1" applyProtection="1"/>
    <xf numFmtId="1" fontId="124" fillId="2" borderId="20" xfId="0" applyNumberFormat="1" applyFont="1" applyFill="1" applyBorder="1" applyAlignment="1" applyProtection="1">
      <alignment horizontal="center"/>
    </xf>
    <xf numFmtId="3" fontId="123" fillId="2" borderId="20" xfId="0" applyNumberFormat="1" applyFont="1" applyFill="1" applyBorder="1" applyProtection="1"/>
    <xf numFmtId="3" fontId="124" fillId="2" borderId="4" xfId="0" applyNumberFormat="1" applyFont="1" applyFill="1" applyBorder="1" applyAlignment="1" applyProtection="1">
      <alignment horizontal="center"/>
    </xf>
    <xf numFmtId="3" fontId="126" fillId="2" borderId="26" xfId="0" applyNumberFormat="1" applyFont="1" applyFill="1" applyBorder="1" applyAlignment="1" applyProtection="1">
      <alignment horizontal="centerContinuous"/>
    </xf>
    <xf numFmtId="3" fontId="126" fillId="2" borderId="45" xfId="0" applyNumberFormat="1" applyFont="1" applyFill="1" applyBorder="1" applyAlignment="1" applyProtection="1">
      <alignment horizontal="centerContinuous"/>
    </xf>
    <xf numFmtId="3" fontId="126" fillId="2" borderId="49" xfId="0" applyNumberFormat="1" applyFont="1" applyFill="1" applyBorder="1" applyAlignment="1" applyProtection="1">
      <alignment horizontal="centerContinuous"/>
    </xf>
    <xf numFmtId="0" fontId="126" fillId="2" borderId="16" xfId="0" applyFont="1" applyFill="1" applyBorder="1" applyAlignment="1" applyProtection="1">
      <alignment horizontal="center" vertical="center"/>
    </xf>
    <xf numFmtId="3" fontId="122" fillId="2" borderId="18" xfId="0" applyNumberFormat="1" applyFont="1" applyFill="1" applyBorder="1" applyAlignment="1" applyProtection="1">
      <alignment horizontal="center" vertical="center"/>
    </xf>
    <xf numFmtId="0" fontId="122" fillId="2" borderId="0" xfId="0" applyFont="1" applyFill="1" applyAlignment="1" applyProtection="1">
      <alignment horizontal="centerContinuous" vertical="center"/>
    </xf>
    <xf numFmtId="3" fontId="123" fillId="2" borderId="41" xfId="0" applyNumberFormat="1" applyFont="1" applyFill="1" applyBorder="1" applyProtection="1"/>
    <xf numFmtId="3" fontId="123" fillId="2" borderId="44" xfId="0" applyNumberFormat="1" applyFont="1" applyFill="1" applyBorder="1" applyProtection="1"/>
    <xf numFmtId="3" fontId="123" fillId="2" borderId="61" xfId="0" applyNumberFormat="1" applyFont="1" applyFill="1" applyBorder="1" applyAlignment="1" applyProtection="1">
      <alignment horizontal="center"/>
    </xf>
    <xf numFmtId="3" fontId="123" fillId="2" borderId="0" xfId="0" applyNumberFormat="1" applyFont="1" applyFill="1" applyBorder="1" applyAlignment="1" applyProtection="1">
      <alignment horizontal="center"/>
    </xf>
    <xf numFmtId="3" fontId="134" fillId="2" borderId="41" xfId="0" applyNumberFormat="1" applyFont="1" applyFill="1" applyBorder="1" applyAlignment="1" applyProtection="1">
      <alignment horizontal="left" vertical="center"/>
    </xf>
    <xf numFmtId="3" fontId="123" fillId="2" borderId="12" xfId="0" applyNumberFormat="1" applyFont="1" applyFill="1" applyBorder="1" applyAlignment="1" applyProtection="1">
      <alignment vertical="center"/>
    </xf>
    <xf numFmtId="3" fontId="122" fillId="2" borderId="13" xfId="0" applyNumberFormat="1" applyFont="1" applyFill="1" applyBorder="1" applyAlignment="1" applyProtection="1">
      <alignment vertical="center"/>
    </xf>
    <xf numFmtId="3" fontId="122" fillId="2" borderId="0" xfId="0" applyNumberFormat="1" applyFont="1" applyFill="1" applyAlignment="1" applyProtection="1">
      <alignment vertical="center"/>
    </xf>
    <xf numFmtId="3" fontId="122" fillId="2" borderId="12" xfId="0" applyNumberFormat="1" applyFont="1" applyFill="1" applyBorder="1" applyAlignment="1" applyProtection="1">
      <alignment vertical="center"/>
    </xf>
    <xf numFmtId="3" fontId="124" fillId="2" borderId="13" xfId="0" applyNumberFormat="1" applyFont="1" applyFill="1" applyBorder="1" applyAlignment="1" applyProtection="1">
      <alignment vertical="center"/>
    </xf>
    <xf numFmtId="3" fontId="135" fillId="2" borderId="0" xfId="0" applyNumberFormat="1" applyFont="1" applyFill="1" applyProtection="1"/>
    <xf numFmtId="3" fontId="123" fillId="2" borderId="0" xfId="0" applyNumberFormat="1" applyFont="1" applyFill="1" applyBorder="1" applyAlignment="1" applyProtection="1">
      <alignment vertical="center"/>
    </xf>
    <xf numFmtId="3" fontId="122" fillId="2" borderId="0" xfId="0" applyNumberFormat="1" applyFont="1" applyFill="1" applyBorder="1" applyAlignment="1" applyProtection="1">
      <alignment vertical="center"/>
    </xf>
    <xf numFmtId="3" fontId="124" fillId="2" borderId="40" xfId="0" applyNumberFormat="1" applyFont="1" applyFill="1" applyBorder="1" applyAlignment="1" applyProtection="1">
      <alignment vertical="center"/>
    </xf>
    <xf numFmtId="3" fontId="136" fillId="2" borderId="62" xfId="0" applyNumberFormat="1" applyFont="1" applyFill="1" applyBorder="1" applyAlignment="1" applyProtection="1">
      <alignment horizontal="centerContinuous" vertical="center"/>
    </xf>
    <xf numFmtId="3" fontId="123" fillId="2" borderId="23" xfId="0" applyNumberFormat="1" applyFont="1" applyFill="1" applyBorder="1" applyAlignment="1" applyProtection="1">
      <alignment horizontal="centerContinuous"/>
    </xf>
    <xf numFmtId="3" fontId="123" fillId="2" borderId="24" xfId="0" applyNumberFormat="1" applyFont="1" applyFill="1" applyBorder="1" applyAlignment="1" applyProtection="1">
      <alignment horizontal="centerContinuous"/>
    </xf>
    <xf numFmtId="3" fontId="136" fillId="2" borderId="21" xfId="0" applyNumberFormat="1" applyFont="1" applyFill="1" applyBorder="1" applyAlignment="1" applyProtection="1">
      <alignment horizontal="centerContinuous" vertical="center" wrapText="1"/>
    </xf>
    <xf numFmtId="3" fontId="123" fillId="2" borderId="4" xfId="0" applyNumberFormat="1" applyFont="1" applyFill="1" applyBorder="1" applyAlignment="1" applyProtection="1">
      <alignment horizontal="center"/>
    </xf>
    <xf numFmtId="3" fontId="123" fillId="2" borderId="44" xfId="0" applyNumberFormat="1" applyFont="1" applyFill="1" applyBorder="1" applyAlignment="1" applyProtection="1">
      <alignment horizontal="center"/>
    </xf>
    <xf numFmtId="3" fontId="123" fillId="2" borderId="40" xfId="0" applyNumberFormat="1" applyFont="1" applyFill="1" applyBorder="1" applyAlignment="1" applyProtection="1">
      <alignment horizontal="center"/>
    </xf>
    <xf numFmtId="0" fontId="136" fillId="2" borderId="1" xfId="0" applyFont="1" applyFill="1" applyBorder="1" applyAlignment="1" applyProtection="1">
      <alignment horizontal="center" vertical="center"/>
    </xf>
    <xf numFmtId="0" fontId="136" fillId="2" borderId="25" xfId="0" applyFont="1" applyFill="1" applyBorder="1" applyAlignment="1" applyProtection="1">
      <alignment horizontal="centerContinuous" vertical="center"/>
    </xf>
    <xf numFmtId="0" fontId="135" fillId="2" borderId="2" xfId="0" applyFont="1" applyFill="1" applyBorder="1" applyAlignment="1" applyProtection="1">
      <alignment horizontal="centerContinuous"/>
    </xf>
    <xf numFmtId="0" fontId="136" fillId="2" borderId="3" xfId="0" applyFont="1" applyFill="1" applyBorder="1" applyAlignment="1" applyProtection="1">
      <alignment horizontal="centerContinuous" vertical="center"/>
    </xf>
    <xf numFmtId="0" fontId="135" fillId="2" borderId="0" xfId="0" applyFont="1" applyFill="1" applyBorder="1" applyAlignment="1" applyProtection="1">
      <alignment horizontal="centerContinuous"/>
    </xf>
    <xf numFmtId="0" fontId="137" fillId="2" borderId="67" xfId="0" applyFont="1" applyFill="1" applyBorder="1" applyAlignment="1" applyProtection="1">
      <alignment horizontal="centerContinuous" vertical="center"/>
    </xf>
    <xf numFmtId="0" fontId="137" fillId="2" borderId="21" xfId="0" applyFont="1" applyFill="1" applyBorder="1" applyAlignment="1" applyProtection="1">
      <alignment horizontal="centerContinuous" vertical="center"/>
    </xf>
    <xf numFmtId="0" fontId="137" fillId="2" borderId="23" xfId="0" applyFont="1" applyFill="1" applyBorder="1" applyAlignment="1" applyProtection="1">
      <alignment horizontal="centerContinuous" vertical="center"/>
    </xf>
    <xf numFmtId="0" fontId="137" fillId="2" borderId="23" xfId="0" applyFont="1" applyFill="1" applyBorder="1" applyAlignment="1" applyProtection="1">
      <alignment horizontal="centerContinuous"/>
    </xf>
    <xf numFmtId="3" fontId="137" fillId="2" borderId="24" xfId="0" applyNumberFormat="1" applyFont="1" applyFill="1" applyBorder="1" applyAlignment="1" applyProtection="1">
      <alignment horizontal="centerContinuous" vertical="center"/>
    </xf>
    <xf numFmtId="3" fontId="135" fillId="2" borderId="38" xfId="0" applyNumberFormat="1" applyFont="1" applyFill="1" applyBorder="1" applyAlignment="1" applyProtection="1">
      <alignment horizontal="center" vertical="center"/>
    </xf>
    <xf numFmtId="3" fontId="135" fillId="2" borderId="7" xfId="0" applyNumberFormat="1" applyFont="1" applyFill="1" applyBorder="1" applyAlignment="1" applyProtection="1">
      <alignment horizontal="center" vertical="center"/>
    </xf>
    <xf numFmtId="3" fontId="135" fillId="2" borderId="34" xfId="0" applyNumberFormat="1" applyFont="1" applyFill="1" applyBorder="1" applyAlignment="1" applyProtection="1">
      <alignment horizontal="center" vertical="center"/>
    </xf>
    <xf numFmtId="3" fontId="135" fillId="2" borderId="44" xfId="0" applyNumberFormat="1" applyFont="1" applyFill="1" applyBorder="1" applyAlignment="1" applyProtection="1">
      <alignment horizontal="center" vertical="center"/>
    </xf>
    <xf numFmtId="3" fontId="135" fillId="2" borderId="43" xfId="0" applyNumberFormat="1" applyFont="1" applyFill="1" applyBorder="1" applyAlignment="1" applyProtection="1">
      <alignment horizontal="center" vertical="center"/>
    </xf>
    <xf numFmtId="3" fontId="135" fillId="2" borderId="39" xfId="0" applyNumberFormat="1" applyFont="1" applyFill="1" applyBorder="1" applyAlignment="1" applyProtection="1">
      <alignment horizontal="center" vertical="center"/>
    </xf>
    <xf numFmtId="3" fontId="135" fillId="2" borderId="17" xfId="0" applyNumberFormat="1" applyFont="1" applyFill="1" applyBorder="1" applyAlignment="1" applyProtection="1">
      <alignment horizontal="center" vertical="center"/>
    </xf>
    <xf numFmtId="3" fontId="135" fillId="2" borderId="18" xfId="0" applyNumberFormat="1" applyFont="1" applyFill="1" applyBorder="1" applyAlignment="1" applyProtection="1">
      <alignment horizontal="center" vertical="center"/>
    </xf>
    <xf numFmtId="3" fontId="135" fillId="2" borderId="16" xfId="0" applyNumberFormat="1" applyFont="1" applyFill="1" applyBorder="1" applyAlignment="1" applyProtection="1">
      <alignment horizontal="center" vertical="center"/>
    </xf>
    <xf numFmtId="3" fontId="123" fillId="2" borderId="31" xfId="0" applyNumberFormat="1" applyFont="1" applyFill="1" applyBorder="1" applyProtection="1"/>
    <xf numFmtId="3" fontId="123" fillId="2" borderId="63" xfId="0" applyNumberFormat="1" applyFont="1" applyFill="1" applyBorder="1" applyProtection="1"/>
    <xf numFmtId="3" fontId="123" fillId="2" borderId="58" xfId="0" applyNumberFormat="1" applyFont="1" applyFill="1" applyBorder="1" applyAlignment="1" applyProtection="1">
      <alignment horizontal="center"/>
    </xf>
    <xf numFmtId="3" fontId="123" fillId="2" borderId="13" xfId="0" applyNumberFormat="1" applyFont="1" applyFill="1" applyBorder="1" applyAlignment="1" applyProtection="1">
      <alignment horizontal="center"/>
    </xf>
    <xf numFmtId="0" fontId="135" fillId="2" borderId="64" xfId="0" applyFont="1" applyFill="1" applyBorder="1" applyAlignment="1" applyProtection="1">
      <alignment horizontal="centerContinuous" vertical="center"/>
    </xf>
    <xf numFmtId="0" fontId="135" fillId="2" borderId="16" xfId="0" applyFont="1" applyFill="1" applyBorder="1" applyAlignment="1" applyProtection="1">
      <alignment horizontal="center" vertical="center" wrapText="1"/>
    </xf>
    <xf numFmtId="0" fontId="135" fillId="2" borderId="17" xfId="0" applyFont="1" applyFill="1" applyBorder="1" applyAlignment="1" applyProtection="1">
      <alignment horizontal="center" vertical="center" wrapText="1"/>
    </xf>
    <xf numFmtId="0" fontId="135" fillId="2" borderId="18" xfId="0" applyFont="1" applyFill="1" applyBorder="1" applyAlignment="1" applyProtection="1">
      <alignment horizontal="center" vertical="center" wrapText="1"/>
    </xf>
    <xf numFmtId="0" fontId="135" fillId="2" borderId="0" xfId="0" applyFont="1" applyFill="1" applyBorder="1" applyAlignment="1" applyProtection="1">
      <alignment horizontal="center" vertical="center" wrapText="1"/>
    </xf>
    <xf numFmtId="0" fontId="137" fillId="2" borderId="5" xfId="0" applyFont="1" applyFill="1" applyBorder="1" applyAlignment="1" applyProtection="1">
      <alignment horizontal="centerContinuous" vertical="center"/>
    </xf>
    <xf numFmtId="0" fontId="137" fillId="2" borderId="8" xfId="0" applyFont="1" applyFill="1" applyBorder="1" applyAlignment="1" applyProtection="1">
      <alignment horizontal="center" vertical="center" wrapText="1"/>
    </xf>
    <xf numFmtId="0" fontId="137" fillId="2" borderId="9" xfId="0" applyFont="1" applyFill="1" applyBorder="1" applyAlignment="1" applyProtection="1">
      <alignment horizontal="center" vertical="center" wrapText="1"/>
    </xf>
    <xf numFmtId="0" fontId="137" fillId="2" borderId="38"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7" fillId="2" borderId="34" xfId="0" applyFont="1" applyFill="1" applyBorder="1" applyAlignment="1" applyProtection="1">
      <alignment horizontal="center" vertical="center" wrapText="1"/>
    </xf>
    <xf numFmtId="1" fontId="122" fillId="2" borderId="46" xfId="0" applyNumberFormat="1" applyFont="1" applyFill="1" applyBorder="1" applyAlignment="1" applyProtection="1">
      <alignment horizontal="center" vertical="center"/>
    </xf>
    <xf numFmtId="3" fontId="122" fillId="2" borderId="48" xfId="0" applyNumberFormat="1" applyFont="1" applyFill="1" applyBorder="1" applyAlignment="1" applyProtection="1">
      <alignment horizontal="center" vertical="center" wrapText="1"/>
    </xf>
    <xf numFmtId="3" fontId="135" fillId="2" borderId="48" xfId="0" applyNumberFormat="1" applyFont="1" applyFill="1" applyBorder="1" applyAlignment="1" applyProtection="1">
      <alignment horizontal="center" vertical="center"/>
    </xf>
    <xf numFmtId="3" fontId="135" fillId="2" borderId="47" xfId="0" applyNumberFormat="1" applyFont="1" applyFill="1" applyBorder="1" applyAlignment="1" applyProtection="1">
      <alignment horizontal="center" vertical="center"/>
    </xf>
    <xf numFmtId="3" fontId="135" fillId="2" borderId="46" xfId="0" applyNumberFormat="1" applyFont="1" applyFill="1" applyBorder="1" applyAlignment="1" applyProtection="1">
      <alignment horizontal="center" vertical="center"/>
    </xf>
    <xf numFmtId="3" fontId="124" fillId="2" borderId="0" xfId="0" applyNumberFormat="1" applyFont="1" applyFill="1" applyAlignment="1" applyProtection="1">
      <alignment vertical="center"/>
    </xf>
    <xf numFmtId="1" fontId="122" fillId="2" borderId="46" xfId="0" applyNumberFormat="1" applyFont="1" applyFill="1" applyBorder="1" applyAlignment="1" applyProtection="1">
      <alignment horizontal="center" vertical="center" wrapText="1"/>
    </xf>
    <xf numFmtId="3" fontId="135" fillId="2" borderId="35" xfId="0" applyNumberFormat="1" applyFont="1" applyFill="1" applyBorder="1" applyAlignment="1" applyProtection="1">
      <alignment horizontal="center" vertical="center"/>
    </xf>
    <xf numFmtId="3" fontId="135" fillId="2" borderId="29" xfId="0" applyNumberFormat="1" applyFont="1" applyFill="1" applyBorder="1" applyAlignment="1" applyProtection="1">
      <alignment horizontal="center" vertical="center"/>
    </xf>
    <xf numFmtId="3" fontId="124" fillId="2" borderId="4" xfId="0" applyNumberFormat="1" applyFont="1" applyFill="1" applyBorder="1" applyAlignment="1" applyProtection="1">
      <alignment horizontal="center" vertical="center"/>
    </xf>
    <xf numFmtId="3" fontId="124" fillId="2" borderId="6" xfId="0" applyNumberFormat="1" applyFont="1" applyFill="1" applyBorder="1" applyAlignment="1" applyProtection="1">
      <alignment horizontal="left" vertical="center"/>
    </xf>
    <xf numFmtId="3" fontId="124" fillId="2" borderId="65" xfId="0" applyNumberFormat="1" applyFont="1" applyFill="1" applyBorder="1" applyAlignment="1" applyProtection="1">
      <alignment vertical="center"/>
    </xf>
    <xf numFmtId="3" fontId="124" fillId="2" borderId="0" xfId="0" applyNumberFormat="1" applyFont="1" applyFill="1" applyBorder="1" applyAlignment="1" applyProtection="1">
      <alignment vertical="center"/>
    </xf>
    <xf numFmtId="10" fontId="124" fillId="2" borderId="30" xfId="0" applyNumberFormat="1" applyFont="1" applyFill="1" applyBorder="1" applyAlignment="1" applyProtection="1">
      <alignment vertical="center"/>
    </xf>
    <xf numFmtId="3" fontId="124" fillId="2" borderId="43" xfId="0" applyNumberFormat="1" applyFont="1" applyFill="1" applyBorder="1" applyAlignment="1" applyProtection="1">
      <alignment vertical="center"/>
    </xf>
    <xf numFmtId="0" fontId="138" fillId="2" borderId="25" xfId="0" applyFont="1" applyFill="1" applyBorder="1" applyAlignment="1" applyProtection="1">
      <alignment wrapText="1"/>
    </xf>
    <xf numFmtId="3" fontId="137" fillId="2" borderId="21" xfId="0" applyNumberFormat="1" applyFont="1" applyFill="1" applyBorder="1" applyProtection="1"/>
    <xf numFmtId="3" fontId="137" fillId="2" borderId="23" xfId="0" applyNumberFormat="1" applyFont="1" applyFill="1" applyBorder="1" applyProtection="1"/>
    <xf numFmtId="3" fontId="137" fillId="2" borderId="24" xfId="0" applyNumberFormat="1" applyFont="1" applyFill="1" applyBorder="1" applyProtection="1"/>
    <xf numFmtId="3" fontId="137" fillId="2" borderId="0" xfId="0" applyNumberFormat="1" applyFont="1" applyFill="1" applyBorder="1" applyProtection="1"/>
    <xf numFmtId="0" fontId="137" fillId="3" borderId="5" xfId="0" applyFont="1" applyFill="1" applyBorder="1" applyAlignment="1" applyProtection="1">
      <alignment wrapText="1"/>
    </xf>
    <xf numFmtId="3" fontId="137" fillId="3" borderId="30" xfId="0" applyNumberFormat="1" applyFont="1" applyFill="1" applyBorder="1" applyAlignment="1" applyProtection="1">
      <alignment horizontal="right"/>
    </xf>
    <xf numFmtId="0" fontId="137" fillId="2" borderId="25" xfId="0" applyFont="1" applyFill="1" applyBorder="1" applyAlignment="1" applyProtection="1">
      <alignment wrapText="1"/>
    </xf>
    <xf numFmtId="3" fontId="137" fillId="2" borderId="21" xfId="0" applyNumberFormat="1" applyFont="1" applyFill="1" applyBorder="1" applyAlignment="1" applyProtection="1">
      <alignment horizontal="right"/>
    </xf>
    <xf numFmtId="3" fontId="137" fillId="2" borderId="23" xfId="0" applyNumberFormat="1" applyFont="1" applyFill="1" applyBorder="1" applyAlignment="1" applyProtection="1">
      <alignment horizontal="right"/>
    </xf>
    <xf numFmtId="3" fontId="137" fillId="2" borderId="24" xfId="0" applyNumberFormat="1" applyFont="1" applyFill="1" applyBorder="1" applyAlignment="1" applyProtection="1">
      <alignment horizontal="right"/>
    </xf>
    <xf numFmtId="1" fontId="137" fillId="2" borderId="46" xfId="0" applyNumberFormat="1" applyFont="1" applyFill="1" applyBorder="1" applyAlignment="1" applyProtection="1">
      <alignment horizontal="center" vertical="center"/>
    </xf>
    <xf numFmtId="3" fontId="139" fillId="2" borderId="35" xfId="0" applyNumberFormat="1" applyFont="1" applyFill="1" applyBorder="1" applyAlignment="1" applyProtection="1">
      <alignment vertical="center" wrapText="1"/>
    </xf>
    <xf numFmtId="3" fontId="135" fillId="2" borderId="28" xfId="0" applyNumberFormat="1" applyFont="1" applyFill="1" applyBorder="1" applyAlignment="1" applyProtection="1">
      <alignment horizontal="right" vertical="center"/>
    </xf>
    <xf numFmtId="3" fontId="123" fillId="2" borderId="0" xfId="0" applyNumberFormat="1" applyFont="1" applyFill="1" applyBorder="1" applyAlignment="1" applyProtection="1">
      <alignment horizontal="right" vertical="center"/>
    </xf>
    <xf numFmtId="3" fontId="135" fillId="2" borderId="35" xfId="0" applyNumberFormat="1" applyFont="1" applyFill="1" applyBorder="1" applyAlignment="1" applyProtection="1">
      <alignment horizontal="right" vertical="center"/>
    </xf>
    <xf numFmtId="3" fontId="135" fillId="2" borderId="29" xfId="0" applyNumberFormat="1" applyFont="1" applyFill="1" applyBorder="1" applyAlignment="1" applyProtection="1">
      <alignment horizontal="right" vertical="center"/>
    </xf>
    <xf numFmtId="164" fontId="125" fillId="2" borderId="35" xfId="0" applyNumberFormat="1" applyFont="1" applyFill="1" applyBorder="1" applyAlignment="1" applyProtection="1">
      <alignment horizontal="center" vertical="center"/>
    </xf>
    <xf numFmtId="3" fontId="127" fillId="2" borderId="29" xfId="0" applyNumberFormat="1" applyFont="1" applyFill="1" applyBorder="1" applyAlignment="1" applyProtection="1">
      <alignment vertical="center" wrapText="1"/>
    </xf>
    <xf numFmtId="3" fontId="140" fillId="2" borderId="54" xfId="0" applyNumberFormat="1" applyFont="1" applyFill="1" applyBorder="1" applyAlignment="1" applyProtection="1">
      <alignment horizontal="right" vertical="center"/>
    </xf>
    <xf numFmtId="3" fontId="140" fillId="2" borderId="28" xfId="0" applyNumberFormat="1" applyFont="1" applyFill="1" applyBorder="1" applyAlignment="1" applyProtection="1">
      <alignment horizontal="right" vertical="center"/>
    </xf>
    <xf numFmtId="3" fontId="140" fillId="2" borderId="36" xfId="0" applyNumberFormat="1" applyFont="1" applyFill="1" applyBorder="1" applyAlignment="1" applyProtection="1">
      <alignment horizontal="right" vertical="center"/>
    </xf>
    <xf numFmtId="3" fontId="140" fillId="2" borderId="35" xfId="0" applyNumberFormat="1" applyFont="1" applyFill="1" applyBorder="1" applyAlignment="1" applyProtection="1">
      <alignment horizontal="right" vertical="center"/>
    </xf>
    <xf numFmtId="3" fontId="140" fillId="2" borderId="29" xfId="0" applyNumberFormat="1" applyFont="1" applyFill="1" applyBorder="1" applyAlignment="1" applyProtection="1">
      <alignment horizontal="right" vertical="center"/>
    </xf>
    <xf numFmtId="3" fontId="140" fillId="2" borderId="55" xfId="0" applyNumberFormat="1" applyFont="1" applyFill="1" applyBorder="1" applyAlignment="1" applyProtection="1">
      <alignment horizontal="right" vertical="center"/>
    </xf>
    <xf numFmtId="3" fontId="140" fillId="2" borderId="66" xfId="0" applyNumberFormat="1" applyFont="1" applyFill="1" applyBorder="1" applyAlignment="1" applyProtection="1">
      <alignment horizontal="right" vertical="center"/>
    </xf>
    <xf numFmtId="3" fontId="124" fillId="2" borderId="7" xfId="0" applyNumberFormat="1" applyFont="1" applyFill="1" applyBorder="1" applyAlignment="1" applyProtection="1">
      <alignment vertical="center"/>
    </xf>
    <xf numFmtId="10" fontId="124" fillId="2" borderId="8" xfId="0" applyNumberFormat="1" applyFont="1" applyFill="1" applyBorder="1" applyAlignment="1" applyProtection="1">
      <alignment vertical="center"/>
    </xf>
    <xf numFmtId="3" fontId="124" fillId="2" borderId="34" xfId="0" applyNumberFormat="1" applyFont="1" applyFill="1" applyBorder="1" applyAlignment="1" applyProtection="1">
      <alignment vertical="center"/>
    </xf>
    <xf numFmtId="0" fontId="138" fillId="2" borderId="26" xfId="0" applyFont="1" applyFill="1" applyBorder="1" applyAlignment="1" applyProtection="1">
      <alignment wrapText="1"/>
    </xf>
    <xf numFmtId="3" fontId="137" fillId="2" borderId="5" xfId="0" applyNumberFormat="1" applyFont="1" applyFill="1" applyBorder="1" applyProtection="1"/>
    <xf numFmtId="3" fontId="137" fillId="2" borderId="8" xfId="0" applyNumberFormat="1" applyFont="1" applyFill="1" applyBorder="1" applyProtection="1"/>
    <xf numFmtId="3" fontId="137" fillId="2" borderId="9" xfId="0" applyNumberFormat="1" applyFont="1" applyFill="1" applyBorder="1" applyProtection="1"/>
    <xf numFmtId="0" fontId="124" fillId="3" borderId="5" xfId="0" applyFont="1" applyFill="1" applyBorder="1" applyAlignment="1" applyProtection="1">
      <alignment wrapText="1"/>
    </xf>
    <xf numFmtId="3" fontId="141" fillId="2" borderId="8" xfId="0" applyNumberFormat="1" applyFont="1" applyFill="1" applyBorder="1" applyAlignment="1" applyProtection="1">
      <alignment horizontal="right" wrapText="1"/>
    </xf>
    <xf numFmtId="0" fontId="124" fillId="2" borderId="26" xfId="0" applyFont="1" applyFill="1" applyBorder="1" applyAlignment="1" applyProtection="1">
      <alignment wrapText="1"/>
    </xf>
    <xf numFmtId="3" fontId="141" fillId="2" borderId="5" xfId="0" applyNumberFormat="1" applyFont="1" applyFill="1" applyBorder="1" applyAlignment="1" applyProtection="1">
      <alignment horizontal="right" wrapText="1"/>
    </xf>
    <xf numFmtId="3" fontId="141" fillId="2" borderId="9" xfId="0" applyNumberFormat="1" applyFont="1" applyFill="1" applyBorder="1" applyAlignment="1" applyProtection="1">
      <alignment horizontal="right" wrapText="1"/>
    </xf>
    <xf numFmtId="1" fontId="137" fillId="2" borderId="20" xfId="0" applyNumberFormat="1" applyFont="1" applyFill="1" applyBorder="1" applyAlignment="1" applyProtection="1">
      <alignment horizontal="center" vertical="center"/>
    </xf>
    <xf numFmtId="3" fontId="127" fillId="2" borderId="20" xfId="0" applyNumberFormat="1" applyFont="1" applyFill="1" applyBorder="1" applyAlignment="1" applyProtection="1">
      <alignment vertical="center" wrapText="1"/>
    </xf>
    <xf numFmtId="3" fontId="135" fillId="2" borderId="0" xfId="0" applyNumberFormat="1" applyFont="1" applyFill="1" applyBorder="1" applyAlignment="1" applyProtection="1">
      <alignment horizontal="right" vertical="center"/>
    </xf>
    <xf numFmtId="3" fontId="135" fillId="2" borderId="40" xfId="0" applyNumberFormat="1" applyFont="1" applyFill="1" applyBorder="1" applyAlignment="1" applyProtection="1">
      <alignment horizontal="right" vertical="center"/>
    </xf>
    <xf numFmtId="3" fontId="135" fillId="2" borderId="20" xfId="0" applyNumberFormat="1" applyFont="1" applyFill="1" applyBorder="1" applyAlignment="1" applyProtection="1">
      <alignment horizontal="right" vertical="center"/>
    </xf>
    <xf numFmtId="3" fontId="140" fillId="2" borderId="46" xfId="0" applyNumberFormat="1" applyFont="1" applyFill="1" applyBorder="1" applyAlignment="1" applyProtection="1">
      <alignment horizontal="right" vertical="center"/>
    </xf>
    <xf numFmtId="3" fontId="140" fillId="2" borderId="47" xfId="0" applyNumberFormat="1" applyFont="1" applyFill="1" applyBorder="1" applyAlignment="1" applyProtection="1">
      <alignment horizontal="right" vertical="center"/>
    </xf>
    <xf numFmtId="3" fontId="123" fillId="2" borderId="4" xfId="0" applyNumberFormat="1" applyFont="1" applyFill="1" applyBorder="1" applyAlignment="1" applyProtection="1">
      <alignment vertical="center"/>
    </xf>
    <xf numFmtId="10" fontId="123" fillId="2" borderId="8" xfId="0" applyNumberFormat="1" applyFont="1" applyFill="1" applyBorder="1" applyAlignment="1" applyProtection="1">
      <alignment vertical="center"/>
    </xf>
    <xf numFmtId="3" fontId="123" fillId="2" borderId="7" xfId="0" applyNumberFormat="1" applyFont="1" applyFill="1" applyBorder="1" applyAlignment="1" applyProtection="1">
      <alignment vertical="center"/>
    </xf>
    <xf numFmtId="3" fontId="123" fillId="2" borderId="34" xfId="0" applyNumberFormat="1" applyFont="1" applyFill="1" applyBorder="1" applyAlignment="1" applyProtection="1">
      <alignment vertical="center"/>
    </xf>
    <xf numFmtId="0" fontId="123" fillId="2" borderId="26" xfId="0" applyFont="1" applyFill="1" applyBorder="1" applyAlignment="1" applyProtection="1">
      <alignment vertical="center" wrapText="1"/>
    </xf>
    <xf numFmtId="3" fontId="141" fillId="2" borderId="5" xfId="0" applyNumberFormat="1" applyFont="1" applyFill="1" applyBorder="1" applyAlignment="1" applyProtection="1">
      <alignment vertical="center"/>
    </xf>
    <xf numFmtId="3" fontId="141" fillId="2" borderId="8" xfId="0" applyNumberFormat="1" applyFont="1" applyFill="1" applyBorder="1" applyAlignment="1" applyProtection="1">
      <alignment vertical="center"/>
    </xf>
    <xf numFmtId="3" fontId="141" fillId="2" borderId="9" xfId="0" applyNumberFormat="1" applyFont="1" applyFill="1" applyBorder="1" applyAlignment="1" applyProtection="1">
      <alignment vertical="center"/>
    </xf>
    <xf numFmtId="3" fontId="141" fillId="2" borderId="0" xfId="0" applyNumberFormat="1" applyFont="1" applyFill="1" applyBorder="1" applyAlignment="1" applyProtection="1">
      <alignment vertical="center"/>
    </xf>
    <xf numFmtId="0" fontId="124" fillId="3" borderId="5" xfId="0" applyFont="1" applyFill="1" applyBorder="1" applyAlignment="1" applyProtection="1">
      <alignment horizontal="left" wrapText="1" indent="1"/>
    </xf>
    <xf numFmtId="3" fontId="141" fillId="2" borderId="8" xfId="0" applyNumberFormat="1" applyFont="1" applyFill="1" applyBorder="1" applyAlignment="1" applyProtection="1">
      <alignment horizontal="right" vertical="center" wrapText="1"/>
    </xf>
    <xf numFmtId="0" fontId="124" fillId="2" borderId="26" xfId="0" applyFont="1" applyFill="1" applyBorder="1" applyAlignment="1" applyProtection="1">
      <alignment horizontal="left" wrapText="1" indent="1"/>
    </xf>
    <xf numFmtId="3" fontId="141" fillId="2" borderId="5" xfId="0" applyNumberFormat="1" applyFont="1" applyFill="1" applyBorder="1" applyAlignment="1" applyProtection="1">
      <alignment horizontal="right" vertical="center" wrapText="1"/>
    </xf>
    <xf numFmtId="3" fontId="141" fillId="2" borderId="9" xfId="0" applyNumberFormat="1" applyFont="1" applyFill="1" applyBorder="1" applyAlignment="1" applyProtection="1">
      <alignment horizontal="right" vertical="center" wrapText="1"/>
    </xf>
    <xf numFmtId="1" fontId="137" fillId="2" borderId="25" xfId="0" applyNumberFormat="1" applyFont="1" applyFill="1" applyBorder="1" applyAlignment="1" applyProtection="1">
      <alignment horizontal="center" vertical="center"/>
    </xf>
    <xf numFmtId="3" fontId="130" fillId="2" borderId="25" xfId="0" applyNumberFormat="1" applyFont="1" applyFill="1" applyBorder="1" applyAlignment="1" applyProtection="1">
      <alignment vertical="center" wrapText="1"/>
    </xf>
    <xf numFmtId="3" fontId="135" fillId="2" borderId="21" xfId="0" applyNumberFormat="1" applyFont="1" applyFill="1" applyBorder="1" applyAlignment="1" applyProtection="1">
      <alignment horizontal="right" vertical="center"/>
    </xf>
    <xf numFmtId="3" fontId="135" fillId="2" borderId="23" xfId="0" applyNumberFormat="1" applyFont="1" applyFill="1" applyBorder="1" applyAlignment="1" applyProtection="1">
      <alignment horizontal="right" vertical="center"/>
    </xf>
    <xf numFmtId="3" fontId="135" fillId="2" borderId="24" xfId="0" applyNumberFormat="1" applyFont="1" applyFill="1" applyBorder="1" applyAlignment="1" applyProtection="1">
      <alignment horizontal="right" vertical="center"/>
    </xf>
    <xf numFmtId="3" fontId="135" fillId="2" borderId="62" xfId="0" applyNumberFormat="1" applyFont="1" applyFill="1" applyBorder="1" applyAlignment="1" applyProtection="1">
      <alignment horizontal="right" vertical="center"/>
    </xf>
    <xf numFmtId="3" fontId="135" fillId="2" borderId="50" xfId="0" applyNumberFormat="1" applyFont="1" applyFill="1" applyBorder="1" applyAlignment="1" applyProtection="1">
      <alignment horizontal="right" vertical="center"/>
    </xf>
    <xf numFmtId="164" fontId="127" fillId="2" borderId="21" xfId="0" applyNumberFormat="1" applyFont="1" applyFill="1" applyBorder="1" applyAlignment="1" applyProtection="1">
      <alignment horizontal="center" vertical="center"/>
    </xf>
    <xf numFmtId="3" fontId="130" fillId="2" borderId="24" xfId="0" applyNumberFormat="1" applyFont="1" applyFill="1" applyBorder="1" applyAlignment="1" applyProtection="1">
      <alignment vertical="center" wrapText="1"/>
    </xf>
    <xf numFmtId="3" fontId="140" fillId="2" borderId="62" xfId="0" applyNumberFormat="1" applyFont="1" applyFill="1" applyBorder="1" applyAlignment="1" applyProtection="1">
      <alignment horizontal="right" vertical="center"/>
    </xf>
    <xf numFmtId="3" fontId="140" fillId="2" borderId="23" xfId="0" applyNumberFormat="1" applyFont="1" applyFill="1" applyBorder="1" applyAlignment="1" applyProtection="1">
      <alignment horizontal="right" vertical="center"/>
    </xf>
    <xf numFmtId="3" fontId="140" fillId="2" borderId="50" xfId="0" applyNumberFormat="1" applyFont="1" applyFill="1" applyBorder="1" applyAlignment="1" applyProtection="1">
      <alignment horizontal="right" vertical="center"/>
    </xf>
    <xf numFmtId="3" fontId="140" fillId="2" borderId="21" xfId="0" applyNumberFormat="1" applyFont="1" applyFill="1" applyBorder="1" applyAlignment="1" applyProtection="1">
      <alignment horizontal="right" vertical="center"/>
    </xf>
    <xf numFmtId="3" fontId="140" fillId="2" borderId="24" xfId="0" applyNumberFormat="1" applyFont="1" applyFill="1" applyBorder="1" applyAlignment="1" applyProtection="1">
      <alignment horizontal="right" vertical="center"/>
    </xf>
    <xf numFmtId="3" fontId="140" fillId="2" borderId="67" xfId="0" applyNumberFormat="1" applyFont="1" applyFill="1" applyBorder="1" applyAlignment="1" applyProtection="1">
      <alignment horizontal="right" vertical="center"/>
    </xf>
    <xf numFmtId="3" fontId="140" fillId="2" borderId="68" xfId="0" applyNumberFormat="1" applyFont="1" applyFill="1" applyBorder="1" applyAlignment="1" applyProtection="1">
      <alignment horizontal="right" vertical="center"/>
    </xf>
    <xf numFmtId="0" fontId="123" fillId="2" borderId="26" xfId="0" applyFont="1" applyFill="1" applyBorder="1" applyAlignment="1" applyProtection="1">
      <alignment horizontal="left" vertical="center" wrapText="1"/>
    </xf>
    <xf numFmtId="3" fontId="141" fillId="2" borderId="8" xfId="0" applyNumberFormat="1" applyFont="1" applyFill="1" applyBorder="1" applyAlignment="1" applyProtection="1">
      <alignment horizontal="right"/>
    </xf>
    <xf numFmtId="165" fontId="125" fillId="2" borderId="26" xfId="0" applyNumberFormat="1" applyFont="1" applyFill="1" applyBorder="1" applyAlignment="1" applyProtection="1">
      <alignment horizontal="left" vertical="center" indent="3"/>
    </xf>
    <xf numFmtId="3" fontId="141" fillId="2" borderId="5" xfId="0" applyNumberFormat="1" applyFont="1" applyFill="1" applyBorder="1" applyAlignment="1" applyProtection="1">
      <alignment horizontal="right"/>
    </xf>
    <xf numFmtId="3" fontId="141" fillId="2" borderId="9" xfId="0" applyNumberFormat="1" applyFont="1" applyFill="1" applyBorder="1" applyAlignment="1" applyProtection="1">
      <alignment horizontal="right"/>
    </xf>
    <xf numFmtId="1" fontId="122" fillId="2" borderId="26" xfId="0" applyNumberFormat="1" applyFont="1" applyFill="1" applyBorder="1" applyAlignment="1" applyProtection="1">
      <alignment horizontal="center" vertical="center" wrapText="1"/>
    </xf>
    <xf numFmtId="3" fontId="122" fillId="2" borderId="45" xfId="0" applyNumberFormat="1" applyFont="1" applyFill="1" applyBorder="1" applyAlignment="1" applyProtection="1">
      <alignment horizontal="center" vertical="center" wrapText="1"/>
    </xf>
    <xf numFmtId="3" fontId="135" fillId="2" borderId="45" xfId="0" applyNumberFormat="1" applyFont="1" applyFill="1" applyBorder="1" applyAlignment="1" applyProtection="1">
      <alignment horizontal="center" vertical="center"/>
    </xf>
    <xf numFmtId="3" fontId="135" fillId="2" borderId="49" xfId="0" applyNumberFormat="1" applyFont="1" applyFill="1" applyBorder="1" applyAlignment="1" applyProtection="1">
      <alignment horizontal="center" vertical="center"/>
    </xf>
    <xf numFmtId="3" fontId="140" fillId="2" borderId="26" xfId="0" applyNumberFormat="1" applyFont="1" applyFill="1" applyBorder="1" applyAlignment="1" applyProtection="1">
      <alignment horizontal="right" vertical="center"/>
    </xf>
    <xf numFmtId="3" fontId="140" fillId="2" borderId="49" xfId="0" applyNumberFormat="1" applyFont="1" applyFill="1" applyBorder="1" applyAlignment="1" applyProtection="1">
      <alignment horizontal="right" vertical="center"/>
    </xf>
    <xf numFmtId="3" fontId="123" fillId="2" borderId="4" xfId="0" applyNumberFormat="1" applyFont="1" applyFill="1" applyBorder="1" applyAlignment="1" applyProtection="1">
      <alignment horizontal="center" vertical="center"/>
    </xf>
    <xf numFmtId="3" fontId="124" fillId="2" borderId="6" xfId="0" applyNumberFormat="1" applyFont="1" applyFill="1" applyBorder="1" applyAlignment="1" applyProtection="1">
      <alignment horizontal="left" vertical="center" wrapText="1"/>
    </xf>
    <xf numFmtId="10" fontId="124" fillId="2" borderId="65" xfId="0" applyNumberFormat="1" applyFont="1" applyFill="1" applyBorder="1" applyAlignment="1" applyProtection="1">
      <alignment horizontal="center" vertical="center"/>
    </xf>
    <xf numFmtId="3" fontId="141" fillId="2" borderId="8" xfId="0" applyNumberFormat="1" applyFont="1" applyFill="1" applyBorder="1" applyAlignment="1" applyProtection="1">
      <alignment horizontal="right" vertical="center"/>
    </xf>
    <xf numFmtId="49" fontId="125" fillId="2" borderId="26" xfId="0" applyNumberFormat="1" applyFont="1" applyFill="1" applyBorder="1" applyAlignment="1" applyProtection="1">
      <alignment horizontal="left" vertical="center" indent="3"/>
    </xf>
    <xf numFmtId="3" fontId="141" fillId="2" borderId="5" xfId="0" applyNumberFormat="1" applyFont="1" applyFill="1" applyBorder="1" applyAlignment="1" applyProtection="1">
      <alignment horizontal="right" vertical="center"/>
    </xf>
    <xf numFmtId="3" fontId="141" fillId="2" borderId="9" xfId="0" applyNumberFormat="1" applyFont="1" applyFill="1" applyBorder="1" applyAlignment="1" applyProtection="1">
      <alignment horizontal="right" vertical="center"/>
    </xf>
    <xf numFmtId="1" fontId="141" fillId="2" borderId="26" xfId="0" applyNumberFormat="1" applyFont="1" applyFill="1" applyBorder="1" applyAlignment="1" applyProtection="1">
      <alignment horizontal="center" vertical="center"/>
    </xf>
    <xf numFmtId="3" fontId="123" fillId="2" borderId="26" xfId="0" applyNumberFormat="1" applyFont="1" applyFill="1" applyBorder="1" applyAlignment="1" applyProtection="1">
      <alignment horizontal="left" vertical="center" wrapText="1"/>
    </xf>
    <xf numFmtId="3" fontId="140" fillId="4" borderId="5" xfId="0" applyNumberFormat="1" applyFont="1" applyFill="1" applyBorder="1" applyAlignment="1" applyProtection="1">
      <alignment vertical="center"/>
    </xf>
    <xf numFmtId="3" fontId="123" fillId="2" borderId="8" xfId="0" applyNumberFormat="1" applyFont="1" applyFill="1" applyBorder="1" applyAlignment="1" applyProtection="1">
      <alignment vertical="center"/>
    </xf>
    <xf numFmtId="3" fontId="123" fillId="2" borderId="9" xfId="0" applyNumberFormat="1" applyFont="1" applyFill="1" applyBorder="1" applyAlignment="1" applyProtection="1">
      <alignment vertical="center"/>
    </xf>
    <xf numFmtId="3" fontId="123" fillId="2" borderId="5" xfId="0" applyNumberFormat="1" applyFont="1" applyFill="1" applyBorder="1" applyAlignment="1" applyProtection="1">
      <alignment vertical="center"/>
    </xf>
    <xf numFmtId="3" fontId="140" fillId="4" borderId="8" xfId="0" applyNumberFormat="1" applyFont="1" applyFill="1" applyBorder="1" applyAlignment="1" applyProtection="1">
      <alignment vertical="center"/>
      <protection locked="0"/>
    </xf>
    <xf numFmtId="3" fontId="140" fillId="0" borderId="8" xfId="0" applyNumberFormat="1" applyFont="1" applyFill="1" applyBorder="1" applyAlignment="1" applyProtection="1">
      <alignment vertical="center"/>
    </xf>
    <xf numFmtId="3" fontId="140" fillId="4" borderId="5" xfId="0" applyNumberFormat="1" applyFont="1" applyFill="1" applyBorder="1" applyAlignment="1" applyProtection="1">
      <alignment vertical="center"/>
      <protection locked="0"/>
    </xf>
    <xf numFmtId="3" fontId="140" fillId="4" borderId="9" xfId="0" applyNumberFormat="1" applyFont="1" applyFill="1" applyBorder="1" applyAlignment="1" applyProtection="1">
      <alignment vertical="center"/>
      <protection locked="0"/>
    </xf>
    <xf numFmtId="164" fontId="122" fillId="2" borderId="67" xfId="0" applyNumberFormat="1" applyFont="1" applyFill="1" applyBorder="1" applyAlignment="1" applyProtection="1">
      <alignment horizontal="center" vertical="center"/>
    </xf>
    <xf numFmtId="3" fontId="122" fillId="2" borderId="68" xfId="0" applyNumberFormat="1" applyFont="1" applyFill="1" applyBorder="1" applyAlignment="1" applyProtection="1">
      <alignment horizontal="left" vertical="center" wrapText="1"/>
    </xf>
    <xf numFmtId="3" fontId="140" fillId="2" borderId="6" xfId="0" applyNumberFormat="1" applyFont="1" applyFill="1" applyBorder="1" applyAlignment="1" applyProtection="1">
      <alignment horizontal="right" vertical="center"/>
    </xf>
    <xf numFmtId="3" fontId="140" fillId="2" borderId="30" xfId="0" applyNumberFormat="1" applyFont="1" applyFill="1" applyBorder="1" applyAlignment="1" applyProtection="1">
      <alignment horizontal="right" vertical="center"/>
    </xf>
    <xf numFmtId="3" fontId="140" fillId="2" borderId="69" xfId="0" applyNumberFormat="1" applyFont="1" applyFill="1" applyBorder="1" applyAlignment="1" applyProtection="1">
      <alignment horizontal="right" vertical="center"/>
    </xf>
    <xf numFmtId="0" fontId="124" fillId="2" borderId="0" xfId="0" applyFont="1" applyFill="1" applyAlignment="1" applyProtection="1">
      <alignment vertical="center"/>
    </xf>
    <xf numFmtId="3" fontId="140" fillId="2" borderId="5" xfId="0" applyNumberFormat="1" applyFont="1" applyFill="1" applyBorder="1" applyAlignment="1" applyProtection="1">
      <alignment horizontal="right" vertical="center"/>
    </xf>
    <xf numFmtId="3" fontId="140" fillId="2" borderId="9" xfId="0" applyNumberFormat="1" applyFont="1" applyFill="1" applyBorder="1" applyAlignment="1" applyProtection="1">
      <alignment horizontal="right" vertical="center"/>
    </xf>
    <xf numFmtId="3" fontId="124" fillId="2" borderId="6" xfId="0" applyNumberFormat="1" applyFont="1" applyFill="1" applyBorder="1" applyAlignment="1" applyProtection="1">
      <alignment horizontal="left" vertical="justify" wrapText="1"/>
    </xf>
    <xf numFmtId="0" fontId="138" fillId="3" borderId="5" xfId="0" applyFont="1" applyFill="1" applyBorder="1" applyAlignment="1" applyProtection="1">
      <alignment wrapText="1"/>
    </xf>
    <xf numFmtId="3" fontId="125" fillId="2" borderId="8" xfId="0" applyNumberFormat="1" applyFont="1" applyFill="1" applyBorder="1" applyAlignment="1" applyProtection="1">
      <alignment horizontal="right" vertical="center"/>
    </xf>
    <xf numFmtId="165" fontId="125" fillId="2" borderId="26" xfId="0" applyNumberFormat="1" applyFont="1" applyFill="1" applyBorder="1" applyAlignment="1" applyProtection="1">
      <alignment horizontal="left" wrapText="1" indent="3"/>
    </xf>
    <xf numFmtId="3" fontId="123" fillId="2" borderId="0" xfId="0" applyNumberFormat="1" applyFont="1" applyFill="1" applyAlignment="1" applyProtection="1">
      <alignment vertical="center"/>
    </xf>
    <xf numFmtId="3" fontId="124" fillId="2" borderId="4" xfId="0" applyNumberFormat="1" applyFont="1" applyFill="1" applyBorder="1" applyAlignment="1" applyProtection="1">
      <alignment vertical="center"/>
    </xf>
    <xf numFmtId="0" fontId="123" fillId="2" borderId="26" xfId="0" applyFont="1" applyFill="1" applyBorder="1" applyAlignment="1" applyProtection="1">
      <alignment horizontal="left" wrapText="1"/>
    </xf>
    <xf numFmtId="3" fontId="137" fillId="2" borderId="5" xfId="0" applyNumberFormat="1" applyFont="1" applyFill="1" applyBorder="1" applyAlignment="1" applyProtection="1">
      <alignment vertical="center"/>
    </xf>
    <xf numFmtId="3" fontId="137" fillId="2" borderId="8" xfId="0" applyNumberFormat="1" applyFont="1" applyFill="1" applyBorder="1" applyAlignment="1" applyProtection="1">
      <alignment vertical="center"/>
    </xf>
    <xf numFmtId="3" fontId="137" fillId="2" borderId="9" xfId="0" applyNumberFormat="1" applyFont="1" applyFill="1" applyBorder="1" applyAlignment="1" applyProtection="1">
      <alignment vertical="center"/>
    </xf>
    <xf numFmtId="3" fontId="137" fillId="2" borderId="0" xfId="0" applyNumberFormat="1" applyFont="1" applyFill="1" applyBorder="1" applyAlignment="1" applyProtection="1">
      <alignment vertical="center"/>
    </xf>
    <xf numFmtId="0" fontId="124" fillId="2" borderId="26" xfId="0" applyFont="1" applyFill="1" applyBorder="1" applyAlignment="1" applyProtection="1">
      <alignment horizontal="left" wrapText="1" indent="2"/>
    </xf>
    <xf numFmtId="164" fontId="122" fillId="2" borderId="5" xfId="0" applyNumberFormat="1" applyFont="1" applyFill="1" applyBorder="1" applyAlignment="1" applyProtection="1">
      <alignment horizontal="center" vertical="center"/>
    </xf>
    <xf numFmtId="3" fontId="135" fillId="2" borderId="9" xfId="0" applyNumberFormat="1" applyFont="1" applyFill="1" applyBorder="1" applyAlignment="1" applyProtection="1">
      <alignment horizontal="left" vertical="center" wrapText="1"/>
    </xf>
    <xf numFmtId="3" fontId="140" fillId="2" borderId="10" xfId="0" applyNumberFormat="1" applyFont="1" applyFill="1" applyBorder="1" applyAlignment="1" applyProtection="1">
      <alignment vertical="center"/>
    </xf>
    <xf numFmtId="3" fontId="140" fillId="2" borderId="8" xfId="0" applyNumberFormat="1" applyFont="1" applyFill="1" applyBorder="1" applyAlignment="1" applyProtection="1">
      <alignment vertical="center"/>
    </xf>
    <xf numFmtId="3" fontId="140" fillId="2" borderId="11" xfId="0" applyNumberFormat="1" applyFont="1" applyFill="1" applyBorder="1" applyAlignment="1" applyProtection="1">
      <alignment vertical="center"/>
    </xf>
    <xf numFmtId="3" fontId="140" fillId="2" borderId="5" xfId="0" applyNumberFormat="1" applyFont="1" applyFill="1" applyBorder="1" applyAlignment="1" applyProtection="1">
      <alignment vertical="center"/>
    </xf>
    <xf numFmtId="3" fontId="140" fillId="2" borderId="9" xfId="0" applyNumberFormat="1" applyFont="1" applyFill="1" applyBorder="1" applyAlignment="1" applyProtection="1">
      <alignment vertical="center"/>
    </xf>
    <xf numFmtId="3" fontId="141" fillId="2" borderId="5" xfId="0" applyNumberFormat="1" applyFont="1" applyFill="1" applyBorder="1" applyProtection="1"/>
    <xf numFmtId="3" fontId="141" fillId="2" borderId="8" xfId="0" applyNumberFormat="1" applyFont="1" applyFill="1" applyBorder="1" applyProtection="1"/>
    <xf numFmtId="3" fontId="141" fillId="2" borderId="9" xfId="0" applyNumberFormat="1" applyFont="1" applyFill="1" applyBorder="1" applyProtection="1"/>
    <xf numFmtId="3" fontId="141" fillId="2" borderId="0" xfId="0" applyNumberFormat="1" applyFont="1" applyFill="1" applyBorder="1" applyProtection="1"/>
    <xf numFmtId="0" fontId="124" fillId="2" borderId="26" xfId="0" applyFont="1" applyFill="1" applyBorder="1" applyAlignment="1" applyProtection="1">
      <alignment horizontal="left" vertical="center" wrapText="1" indent="2"/>
    </xf>
    <xf numFmtId="1" fontId="141" fillId="2" borderId="57" xfId="0" applyNumberFormat="1" applyFont="1" applyFill="1" applyBorder="1" applyAlignment="1" applyProtection="1">
      <alignment horizontal="center" vertical="center"/>
    </xf>
    <xf numFmtId="3" fontId="140" fillId="4" borderId="16" xfId="0" applyNumberFormat="1" applyFont="1" applyFill="1" applyBorder="1" applyAlignment="1" applyProtection="1">
      <alignment vertical="center"/>
    </xf>
    <xf numFmtId="3" fontId="123" fillId="2" borderId="17" xfId="0" applyNumberFormat="1" applyFont="1" applyFill="1" applyBorder="1" applyAlignment="1" applyProtection="1">
      <alignment vertical="center"/>
    </xf>
    <xf numFmtId="3" fontId="123" fillId="2" borderId="18" xfId="0" applyNumberFormat="1" applyFont="1" applyFill="1" applyBorder="1" applyAlignment="1" applyProtection="1">
      <alignment vertical="center"/>
    </xf>
    <xf numFmtId="3" fontId="123" fillId="2" borderId="16" xfId="0" applyNumberFormat="1" applyFont="1" applyFill="1" applyBorder="1" applyAlignment="1" applyProtection="1">
      <alignment vertical="center"/>
    </xf>
    <xf numFmtId="3" fontId="140" fillId="4" borderId="17" xfId="0" applyNumberFormat="1" applyFont="1" applyFill="1" applyBorder="1" applyAlignment="1" applyProtection="1">
      <alignment vertical="center"/>
      <protection locked="0"/>
    </xf>
    <xf numFmtId="3" fontId="140" fillId="0" borderId="17" xfId="0" applyNumberFormat="1" applyFont="1" applyFill="1" applyBorder="1" applyAlignment="1" applyProtection="1">
      <alignment vertical="center"/>
    </xf>
    <xf numFmtId="3" fontId="140" fillId="4" borderId="16" xfId="0" applyNumberFormat="1" applyFont="1" applyFill="1" applyBorder="1" applyAlignment="1" applyProtection="1">
      <alignment vertical="center"/>
      <protection locked="0"/>
    </xf>
    <xf numFmtId="3" fontId="140" fillId="4" borderId="18" xfId="0" applyNumberFormat="1" applyFont="1" applyFill="1" applyBorder="1" applyAlignment="1" applyProtection="1">
      <alignment vertical="center"/>
      <protection locked="0"/>
    </xf>
    <xf numFmtId="3" fontId="125" fillId="2" borderId="26" xfId="0" applyNumberFormat="1" applyFont="1" applyFill="1" applyBorder="1" applyAlignment="1" applyProtection="1">
      <alignment vertical="center"/>
    </xf>
    <xf numFmtId="3" fontId="125" fillId="2" borderId="49" xfId="0" applyNumberFormat="1" applyFont="1" applyFill="1" applyBorder="1" applyAlignment="1" applyProtection="1">
      <alignment vertical="center"/>
    </xf>
    <xf numFmtId="1" fontId="141" fillId="2" borderId="19" xfId="0" applyNumberFormat="1" applyFont="1" applyFill="1" applyBorder="1" applyAlignment="1" applyProtection="1">
      <alignment horizontal="center" vertical="center"/>
    </xf>
    <xf numFmtId="3" fontId="123" fillId="2" borderId="19" xfId="0" applyNumberFormat="1" applyFont="1" applyFill="1" applyBorder="1" applyAlignment="1" applyProtection="1">
      <alignment horizontal="left" vertical="justify" wrapText="1"/>
    </xf>
    <xf numFmtId="3" fontId="123" fillId="2" borderId="14" xfId="0" applyNumberFormat="1" applyFont="1" applyFill="1" applyBorder="1" applyAlignment="1" applyProtection="1">
      <alignment vertical="center"/>
    </xf>
    <xf numFmtId="3" fontId="123" fillId="2" borderId="42" xfId="0" applyNumberFormat="1" applyFont="1" applyFill="1" applyBorder="1" applyAlignment="1" applyProtection="1">
      <alignment vertical="center"/>
    </xf>
    <xf numFmtId="3" fontId="123" fillId="2" borderId="46" xfId="0" applyNumberFormat="1" applyFont="1" applyFill="1" applyBorder="1" applyAlignment="1" applyProtection="1">
      <alignment vertical="center"/>
    </xf>
    <xf numFmtId="3" fontId="123" fillId="2" borderId="47" xfId="0" applyNumberFormat="1" applyFont="1" applyFill="1" applyBorder="1" applyAlignment="1" applyProtection="1">
      <alignment vertical="center"/>
    </xf>
    <xf numFmtId="164" fontId="137" fillId="2" borderId="5" xfId="0" applyNumberFormat="1" applyFont="1" applyFill="1" applyBorder="1" applyAlignment="1" applyProtection="1">
      <alignment horizontal="center" vertical="center"/>
    </xf>
    <xf numFmtId="3" fontId="137" fillId="2" borderId="9" xfId="0" quotePrefix="1" applyNumberFormat="1" applyFont="1" applyFill="1" applyBorder="1" applyAlignment="1" applyProtection="1">
      <alignment horizontal="left" vertical="center" wrapText="1"/>
    </xf>
    <xf numFmtId="3" fontId="124" fillId="2" borderId="58" xfId="0" applyNumberFormat="1" applyFont="1" applyFill="1" applyBorder="1" applyAlignment="1" applyProtection="1">
      <alignment horizontal="left" vertical="center"/>
    </xf>
    <xf numFmtId="3" fontId="124" fillId="2" borderId="17" xfId="0" applyNumberFormat="1" applyFont="1" applyFill="1" applyBorder="1" applyAlignment="1" applyProtection="1">
      <alignment vertical="center"/>
    </xf>
    <xf numFmtId="10" fontId="124" fillId="2" borderId="17" xfId="0" applyNumberFormat="1" applyFont="1" applyFill="1" applyBorder="1" applyAlignment="1" applyProtection="1">
      <alignment vertical="center"/>
    </xf>
    <xf numFmtId="3" fontId="124" fillId="2" borderId="18" xfId="0" applyNumberFormat="1" applyFont="1" applyFill="1" applyBorder="1" applyAlignment="1" applyProtection="1">
      <alignment vertical="center"/>
    </xf>
    <xf numFmtId="3" fontId="137" fillId="3" borderId="8" xfId="0" applyNumberFormat="1" applyFont="1" applyFill="1" applyBorder="1" applyAlignment="1" applyProtection="1">
      <alignment horizontal="right"/>
    </xf>
    <xf numFmtId="3" fontId="130" fillId="2" borderId="51" xfId="0" applyNumberFormat="1" applyFont="1" applyFill="1" applyBorder="1" applyAlignment="1" applyProtection="1">
      <alignment vertical="center" wrapText="1"/>
    </xf>
    <xf numFmtId="164" fontId="124" fillId="2" borderId="5" xfId="0" applyNumberFormat="1" applyFont="1" applyFill="1" applyBorder="1" applyAlignment="1" applyProtection="1">
      <alignment horizontal="center" vertical="center"/>
    </xf>
    <xf numFmtId="3" fontId="124" fillId="2" borderId="9" xfId="0" applyNumberFormat="1" applyFont="1" applyFill="1" applyBorder="1" applyAlignment="1" applyProtection="1">
      <alignment horizontal="left" vertical="center" wrapText="1"/>
    </xf>
    <xf numFmtId="3" fontId="125" fillId="2" borderId="10" xfId="0" applyNumberFormat="1" applyFont="1" applyFill="1" applyBorder="1" applyAlignment="1" applyProtection="1">
      <alignment vertical="center"/>
    </xf>
    <xf numFmtId="3" fontId="125" fillId="2" borderId="11" xfId="0" applyNumberFormat="1" applyFont="1" applyFill="1" applyBorder="1" applyAlignment="1" applyProtection="1">
      <alignment horizontal="right" vertical="center"/>
    </xf>
    <xf numFmtId="3" fontId="125" fillId="2" borderId="5" xfId="0" applyNumberFormat="1" applyFont="1" applyFill="1" applyBorder="1" applyAlignment="1" applyProtection="1">
      <alignment horizontal="right" vertical="center"/>
    </xf>
    <xf numFmtId="3" fontId="125" fillId="2" borderId="9" xfId="0" applyNumberFormat="1" applyFont="1" applyFill="1" applyBorder="1" applyAlignment="1" applyProtection="1">
      <alignment horizontal="right" vertical="center"/>
    </xf>
    <xf numFmtId="3" fontId="123" fillId="2" borderId="48" xfId="0" applyNumberFormat="1" applyFont="1" applyFill="1" applyBorder="1" applyAlignment="1" applyProtection="1">
      <alignment vertical="center"/>
    </xf>
    <xf numFmtId="3" fontId="123" fillId="2" borderId="54" xfId="0" applyNumberFormat="1" applyFont="1" applyFill="1" applyBorder="1" applyAlignment="1" applyProtection="1">
      <alignment vertical="center"/>
    </xf>
    <xf numFmtId="3" fontId="123" fillId="2" borderId="28" xfId="0" applyNumberFormat="1" applyFont="1" applyFill="1" applyBorder="1" applyAlignment="1" applyProtection="1">
      <alignment vertical="center"/>
    </xf>
    <xf numFmtId="3" fontId="123" fillId="2" borderId="36" xfId="0" applyNumberFormat="1" applyFont="1" applyFill="1" applyBorder="1" applyAlignment="1" applyProtection="1">
      <alignment vertical="center"/>
    </xf>
    <xf numFmtId="3" fontId="123" fillId="2" borderId="59" xfId="0" applyNumberFormat="1" applyFont="1" applyFill="1" applyBorder="1" applyAlignment="1" applyProtection="1">
      <alignment vertical="center"/>
    </xf>
    <xf numFmtId="3" fontId="124" fillId="2" borderId="28" xfId="0" applyNumberFormat="1" applyFont="1" applyFill="1" applyBorder="1" applyAlignment="1" applyProtection="1">
      <alignment vertical="center"/>
    </xf>
    <xf numFmtId="3" fontId="123" fillId="2" borderId="29" xfId="0" applyNumberFormat="1" applyFont="1" applyFill="1" applyBorder="1" applyAlignment="1" applyProtection="1">
      <alignment vertical="center"/>
    </xf>
    <xf numFmtId="0" fontId="137" fillId="3" borderId="16" xfId="0" applyFont="1" applyFill="1" applyBorder="1" applyAlignment="1" applyProtection="1">
      <alignment wrapText="1"/>
    </xf>
    <xf numFmtId="3" fontId="137" fillId="3" borderId="17" xfId="0" applyNumberFormat="1" applyFont="1" applyFill="1" applyBorder="1" applyAlignment="1" applyProtection="1">
      <alignment horizontal="right"/>
    </xf>
    <xf numFmtId="3" fontId="135" fillId="2" borderId="20" xfId="0" applyNumberFormat="1" applyFont="1" applyFill="1" applyBorder="1" applyAlignment="1" applyProtection="1">
      <alignment horizontal="left" vertical="center" wrapText="1"/>
    </xf>
    <xf numFmtId="3" fontId="123" fillId="2" borderId="40" xfId="0" applyNumberFormat="1" applyFont="1" applyFill="1" applyBorder="1" applyAlignment="1" applyProtection="1">
      <alignment vertical="center"/>
    </xf>
    <xf numFmtId="3" fontId="123" fillId="2" borderId="26" xfId="0" applyNumberFormat="1" applyFont="1" applyFill="1" applyBorder="1" applyAlignment="1" applyProtection="1">
      <alignment vertical="center"/>
    </xf>
    <xf numFmtId="3" fontId="123" fillId="2" borderId="49" xfId="0" applyNumberFormat="1" applyFont="1" applyFill="1" applyBorder="1" applyAlignment="1" applyProtection="1">
      <alignment vertical="center"/>
    </xf>
    <xf numFmtId="1" fontId="137" fillId="2" borderId="26" xfId="0" applyNumberFormat="1" applyFont="1" applyFill="1" applyBorder="1" applyAlignment="1" applyProtection="1">
      <alignment horizontal="center" vertical="center"/>
    </xf>
    <xf numFmtId="3" fontId="122" fillId="2" borderId="51" xfId="0" applyNumberFormat="1" applyFont="1" applyFill="1" applyBorder="1" applyAlignment="1" applyProtection="1">
      <alignment vertical="center" wrapText="1"/>
    </xf>
    <xf numFmtId="3" fontId="135" fillId="2" borderId="5" xfId="0" applyNumberFormat="1" applyFont="1" applyFill="1" applyBorder="1" applyAlignment="1" applyProtection="1">
      <alignment horizontal="right" vertical="center"/>
    </xf>
    <xf numFmtId="3" fontId="135" fillId="2" borderId="9" xfId="0" applyNumberFormat="1" applyFont="1" applyFill="1" applyBorder="1" applyAlignment="1" applyProtection="1">
      <alignment horizontal="right" vertical="center"/>
    </xf>
    <xf numFmtId="3" fontId="124" fillId="2" borderId="70" xfId="0" applyNumberFormat="1" applyFont="1" applyFill="1" applyBorder="1" applyAlignment="1" applyProtection="1">
      <alignment horizontal="left" vertical="center"/>
    </xf>
    <xf numFmtId="3" fontId="124" fillId="2" borderId="70" xfId="0" applyNumberFormat="1" applyFont="1" applyFill="1" applyBorder="1" applyAlignment="1" applyProtection="1">
      <alignment horizontal="center" vertical="center"/>
    </xf>
    <xf numFmtId="3" fontId="124" fillId="2" borderId="56" xfId="0" applyNumberFormat="1" applyFont="1" applyFill="1" applyBorder="1" applyAlignment="1" applyProtection="1">
      <alignment horizontal="center" vertical="center"/>
    </xf>
    <xf numFmtId="3" fontId="124" fillId="2" borderId="71" xfId="0" applyNumberFormat="1" applyFont="1" applyFill="1" applyBorder="1" applyAlignment="1" applyProtection="1">
      <alignment horizontal="center" vertical="center"/>
    </xf>
    <xf numFmtId="10" fontId="124" fillId="2" borderId="62" xfId="0" applyNumberFormat="1" applyFont="1" applyFill="1" applyBorder="1" applyAlignment="1" applyProtection="1">
      <alignment horizontal="center" vertical="center"/>
    </xf>
    <xf numFmtId="10" fontId="124" fillId="2" borderId="23" xfId="0" applyNumberFormat="1" applyFont="1" applyFill="1" applyBorder="1" applyAlignment="1" applyProtection="1">
      <alignment horizontal="center" vertical="center"/>
    </xf>
    <xf numFmtId="0" fontId="123" fillId="2" borderId="26" xfId="0" applyFont="1" applyFill="1" applyBorder="1" applyAlignment="1" applyProtection="1">
      <alignment wrapText="1"/>
    </xf>
    <xf numFmtId="3" fontId="141" fillId="0" borderId="5" xfId="0" applyNumberFormat="1" applyFont="1" applyFill="1" applyBorder="1" applyProtection="1"/>
    <xf numFmtId="3" fontId="135" fillId="2" borderId="81" xfId="0" applyNumberFormat="1" applyFont="1" applyFill="1" applyBorder="1" applyAlignment="1" applyProtection="1">
      <alignment horizontal="left" vertical="center" wrapText="1"/>
    </xf>
    <xf numFmtId="3" fontId="125" fillId="0" borderId="8" xfId="0" applyNumberFormat="1" applyFont="1" applyFill="1" applyBorder="1" applyAlignment="1" applyProtection="1">
      <alignment vertical="center"/>
    </xf>
    <xf numFmtId="3" fontId="125" fillId="2" borderId="5" xfId="0" applyNumberFormat="1" applyFont="1" applyFill="1" applyBorder="1" applyAlignment="1" applyProtection="1">
      <alignment vertical="center"/>
    </xf>
    <xf numFmtId="3" fontId="125" fillId="2" borderId="9" xfId="0" applyNumberFormat="1" applyFont="1" applyFill="1" applyBorder="1" applyAlignment="1" applyProtection="1">
      <alignment vertical="center"/>
    </xf>
    <xf numFmtId="3" fontId="123" fillId="2" borderId="61" xfId="0" applyNumberFormat="1" applyFont="1" applyFill="1" applyBorder="1" applyAlignment="1" applyProtection="1">
      <alignment vertical="center"/>
    </xf>
    <xf numFmtId="3" fontId="123" fillId="2" borderId="65" xfId="0" applyNumberFormat="1" applyFont="1" applyFill="1" applyBorder="1" applyAlignment="1" applyProtection="1">
      <alignment horizontal="centerContinuous" vertical="center"/>
    </xf>
    <xf numFmtId="3" fontId="123" fillId="2" borderId="65" xfId="0" applyNumberFormat="1" applyFont="1" applyFill="1" applyBorder="1" applyAlignment="1" applyProtection="1">
      <alignment horizontal="center" vertical="center"/>
    </xf>
    <xf numFmtId="3" fontId="123" fillId="2" borderId="72" xfId="0" applyNumberFormat="1" applyFont="1" applyFill="1" applyBorder="1" applyAlignment="1" applyProtection="1">
      <alignment horizontal="center" vertical="center"/>
    </xf>
    <xf numFmtId="3" fontId="123" fillId="2" borderId="7" xfId="0" applyNumberFormat="1" applyFont="1" applyFill="1" applyBorder="1" applyAlignment="1" applyProtection="1">
      <alignment horizontal="center" vertical="center"/>
    </xf>
    <xf numFmtId="3" fontId="123" fillId="2" borderId="7" xfId="0" applyNumberFormat="1" applyFont="1" applyFill="1" applyBorder="1" applyAlignment="1" applyProtection="1">
      <alignment horizontal="centerContinuous" vertical="center"/>
    </xf>
    <xf numFmtId="3" fontId="123" fillId="2" borderId="40" xfId="0" applyNumberFormat="1" applyFont="1" applyFill="1" applyBorder="1" applyAlignment="1" applyProtection="1">
      <alignment horizontal="center" vertical="center"/>
    </xf>
    <xf numFmtId="0" fontId="135" fillId="2" borderId="26" xfId="0" applyFont="1" applyFill="1" applyBorder="1" applyAlignment="1" applyProtection="1">
      <alignment wrapText="1"/>
    </xf>
    <xf numFmtId="3" fontId="142" fillId="2" borderId="0" xfId="0" applyNumberFormat="1" applyFont="1" applyFill="1" applyAlignment="1" applyProtection="1">
      <alignment vertical="center"/>
    </xf>
    <xf numFmtId="1" fontId="137" fillId="2" borderId="81" xfId="0" applyNumberFormat="1" applyFont="1" applyFill="1" applyBorder="1" applyAlignment="1" applyProtection="1">
      <alignment horizontal="center" vertical="center"/>
    </xf>
    <xf numFmtId="3" fontId="122" fillId="2" borderId="81" xfId="0" applyNumberFormat="1" applyFont="1" applyFill="1" applyBorder="1" applyAlignment="1" applyProtection="1">
      <alignment vertical="center" wrapText="1"/>
    </xf>
    <xf numFmtId="164" fontId="125" fillId="2" borderId="5" xfId="0" applyNumberFormat="1" applyFont="1" applyFill="1" applyBorder="1" applyAlignment="1" applyProtection="1">
      <alignment horizontal="center" vertical="center"/>
    </xf>
    <xf numFmtId="3" fontId="123" fillId="2" borderId="9" xfId="0" applyNumberFormat="1" applyFont="1" applyFill="1" applyBorder="1" applyAlignment="1" applyProtection="1">
      <alignment horizontal="left" vertical="center" wrapText="1"/>
    </xf>
    <xf numFmtId="0" fontId="124" fillId="2" borderId="58" xfId="0" applyFont="1" applyFill="1" applyBorder="1" applyAlignment="1" applyProtection="1">
      <alignment vertical="center"/>
    </xf>
    <xf numFmtId="0" fontId="124" fillId="2" borderId="59" xfId="0" applyFont="1" applyFill="1" applyBorder="1" applyAlignment="1" applyProtection="1">
      <alignment horizontal="centerContinuous" vertical="center"/>
    </xf>
    <xf numFmtId="3" fontId="123" fillId="2" borderId="59" xfId="0" applyNumberFormat="1" applyFont="1" applyFill="1" applyBorder="1" applyAlignment="1" applyProtection="1">
      <alignment horizontal="center" vertical="center"/>
    </xf>
    <xf numFmtId="3" fontId="123" fillId="2" borderId="60" xfId="0" applyNumberFormat="1" applyFont="1" applyFill="1" applyBorder="1" applyAlignment="1" applyProtection="1">
      <alignment horizontal="center" vertical="center"/>
    </xf>
    <xf numFmtId="0" fontId="124" fillId="2" borderId="59" xfId="0" applyFont="1" applyFill="1" applyBorder="1" applyAlignment="1" applyProtection="1">
      <alignment vertical="center"/>
    </xf>
    <xf numFmtId="3" fontId="123" fillId="2" borderId="13" xfId="0" applyNumberFormat="1" applyFont="1" applyFill="1" applyBorder="1" applyAlignment="1" applyProtection="1">
      <alignment horizontal="center" vertical="center"/>
    </xf>
    <xf numFmtId="3" fontId="138" fillId="2" borderId="26" xfId="0" applyNumberFormat="1" applyFont="1" applyFill="1" applyBorder="1" applyAlignment="1" applyProtection="1">
      <alignment vertical="center" wrapText="1"/>
    </xf>
    <xf numFmtId="3" fontId="135" fillId="2" borderId="8" xfId="0" applyNumberFormat="1" applyFont="1" applyFill="1" applyBorder="1" applyAlignment="1" applyProtection="1">
      <alignment horizontal="right" vertical="center"/>
    </xf>
    <xf numFmtId="3" fontId="123" fillId="2" borderId="6" xfId="0" applyNumberFormat="1" applyFont="1" applyFill="1" applyBorder="1" applyAlignment="1" applyProtection="1">
      <alignment horizontal="left" vertical="center"/>
    </xf>
    <xf numFmtId="3" fontId="123" fillId="2" borderId="30" xfId="0" applyNumberFormat="1" applyFont="1" applyFill="1" applyBorder="1" applyAlignment="1" applyProtection="1">
      <alignment vertical="center"/>
    </xf>
    <xf numFmtId="3" fontId="123" fillId="2" borderId="65" xfId="0" applyNumberFormat="1" applyFont="1" applyFill="1" applyBorder="1" applyAlignment="1" applyProtection="1">
      <alignment vertical="center"/>
    </xf>
    <xf numFmtId="10" fontId="123" fillId="2" borderId="23" xfId="0" applyNumberFormat="1" applyFont="1" applyFill="1" applyBorder="1" applyAlignment="1" applyProtection="1">
      <alignment vertical="center"/>
    </xf>
    <xf numFmtId="3" fontId="123" fillId="2" borderId="23" xfId="0" applyNumberFormat="1" applyFont="1" applyFill="1" applyBorder="1" applyAlignment="1" applyProtection="1">
      <alignment vertical="center"/>
    </xf>
    <xf numFmtId="3" fontId="123" fillId="2" borderId="24" xfId="0" applyNumberFormat="1" applyFont="1" applyFill="1" applyBorder="1" applyAlignment="1" applyProtection="1">
      <alignment vertical="center"/>
    </xf>
    <xf numFmtId="0" fontId="138" fillId="2" borderId="27" xfId="0" applyFont="1" applyFill="1" applyBorder="1" applyAlignment="1" applyProtection="1">
      <alignment wrapText="1"/>
    </xf>
    <xf numFmtId="3" fontId="138" fillId="2" borderId="16" xfId="0" applyNumberFormat="1" applyFont="1" applyFill="1" applyBorder="1" applyProtection="1"/>
    <xf numFmtId="3" fontId="138" fillId="2" borderId="17" xfId="0" applyNumberFormat="1" applyFont="1" applyFill="1" applyBorder="1" applyProtection="1"/>
    <xf numFmtId="3" fontId="138" fillId="2" borderId="18" xfId="0" applyNumberFormat="1" applyFont="1" applyFill="1" applyBorder="1" applyProtection="1"/>
    <xf numFmtId="3" fontId="124" fillId="2" borderId="26" xfId="0" applyNumberFormat="1" applyFont="1" applyFill="1" applyBorder="1" applyAlignment="1" applyProtection="1">
      <alignment horizontal="left" vertical="center" wrapText="1"/>
    </xf>
    <xf numFmtId="3" fontId="124" fillId="2" borderId="10" xfId="0" applyNumberFormat="1" applyFont="1" applyFill="1" applyBorder="1" applyAlignment="1" applyProtection="1">
      <alignment horizontal="left" vertical="center"/>
    </xf>
    <xf numFmtId="3" fontId="124" fillId="2" borderId="8" xfId="0" applyNumberFormat="1" applyFont="1" applyFill="1" applyBorder="1" applyAlignment="1" applyProtection="1">
      <alignment vertical="center"/>
    </xf>
    <xf numFmtId="3" fontId="124" fillId="2" borderId="9" xfId="0" applyNumberFormat="1" applyFont="1" applyFill="1" applyBorder="1" applyAlignment="1" applyProtection="1">
      <alignment vertical="center"/>
    </xf>
    <xf numFmtId="3" fontId="134" fillId="2" borderId="0" xfId="0" applyNumberFormat="1" applyFont="1" applyFill="1" applyBorder="1" applyAlignment="1" applyProtection="1">
      <alignment horizontal="left" vertical="center"/>
    </xf>
    <xf numFmtId="3" fontId="123" fillId="2" borderId="10" xfId="0" applyNumberFormat="1" applyFont="1" applyFill="1" applyBorder="1" applyAlignment="1" applyProtection="1">
      <alignment vertical="center"/>
    </xf>
    <xf numFmtId="3" fontId="137" fillId="2" borderId="5" xfId="0" applyNumberFormat="1" applyFont="1" applyFill="1" applyBorder="1" applyAlignment="1" applyProtection="1">
      <alignment horizontal="right"/>
    </xf>
    <xf numFmtId="3" fontId="137" fillId="2" borderId="8" xfId="0" applyNumberFormat="1" applyFont="1" applyFill="1" applyBorder="1" applyAlignment="1" applyProtection="1">
      <alignment horizontal="right"/>
    </xf>
    <xf numFmtId="3" fontId="137" fillId="2" borderId="9" xfId="0" applyNumberFormat="1" applyFont="1" applyFill="1" applyBorder="1" applyAlignment="1" applyProtection="1">
      <alignment horizontal="right"/>
    </xf>
    <xf numFmtId="3" fontId="124" fillId="2" borderId="61" xfId="0" applyNumberFormat="1" applyFont="1" applyFill="1" applyBorder="1" applyAlignment="1" applyProtection="1">
      <alignment horizontal="left" vertical="center"/>
    </xf>
    <xf numFmtId="0" fontId="124" fillId="2" borderId="26" xfId="0" applyFont="1" applyFill="1" applyBorder="1" applyAlignment="1" applyProtection="1">
      <alignment vertical="center" wrapText="1"/>
    </xf>
    <xf numFmtId="3" fontId="138" fillId="0" borderId="26" xfId="0" applyNumberFormat="1" applyFont="1" applyFill="1" applyBorder="1" applyAlignment="1" applyProtection="1">
      <alignment vertical="center" wrapText="1"/>
    </xf>
    <xf numFmtId="3" fontId="124" fillId="2" borderId="5" xfId="0" applyNumberFormat="1" applyFont="1" applyFill="1" applyBorder="1" applyAlignment="1" applyProtection="1">
      <alignment horizontal="left" vertical="center"/>
    </xf>
    <xf numFmtId="3" fontId="124" fillId="2" borderId="26" xfId="0" applyNumberFormat="1" applyFont="1" applyFill="1" applyBorder="1" applyAlignment="1" applyProtection="1">
      <alignment vertical="center" wrapText="1"/>
    </xf>
    <xf numFmtId="3" fontId="123" fillId="2" borderId="5" xfId="0" applyNumberFormat="1" applyFont="1" applyFill="1" applyBorder="1" applyAlignment="1" applyProtection="1">
      <alignment horizontal="right" vertical="center"/>
    </xf>
    <xf numFmtId="3" fontId="123" fillId="2" borderId="9" xfId="0" applyNumberFormat="1" applyFont="1" applyFill="1" applyBorder="1" applyAlignment="1" applyProtection="1">
      <alignment horizontal="right" vertical="center"/>
    </xf>
    <xf numFmtId="0" fontId="137" fillId="2" borderId="26" xfId="0" applyFont="1" applyFill="1" applyBorder="1" applyAlignment="1" applyProtection="1">
      <alignment wrapText="1"/>
    </xf>
    <xf numFmtId="3" fontId="124" fillId="2" borderId="39" xfId="0" applyNumberFormat="1" applyFont="1" applyFill="1" applyBorder="1" applyAlignment="1" applyProtection="1">
      <alignment horizontal="left" vertical="center"/>
    </xf>
    <xf numFmtId="3" fontId="124" fillId="2" borderId="59" xfId="0" applyNumberFormat="1" applyFont="1" applyFill="1" applyBorder="1" applyAlignment="1" applyProtection="1">
      <alignment vertical="center"/>
    </xf>
    <xf numFmtId="10" fontId="123" fillId="2" borderId="17" xfId="0" applyNumberFormat="1" applyFont="1" applyFill="1" applyBorder="1" applyAlignment="1" applyProtection="1">
      <alignment vertical="center"/>
    </xf>
    <xf numFmtId="3" fontId="124" fillId="2" borderId="19" xfId="0" applyNumberFormat="1" applyFont="1" applyFill="1" applyBorder="1" applyAlignment="1" applyProtection="1">
      <alignment horizontal="left" vertical="center"/>
    </xf>
    <xf numFmtId="3" fontId="124" fillId="2" borderId="14" xfId="0" applyNumberFormat="1" applyFont="1" applyFill="1" applyBorder="1" applyAlignment="1" applyProtection="1">
      <alignment vertical="center"/>
    </xf>
    <xf numFmtId="10" fontId="123" fillId="2" borderId="21" xfId="0" applyNumberFormat="1" applyFont="1" applyFill="1" applyBorder="1" applyAlignment="1" applyProtection="1">
      <alignment vertical="center"/>
    </xf>
    <xf numFmtId="0" fontId="137" fillId="2" borderId="27" xfId="0" applyFont="1" applyFill="1" applyBorder="1" applyAlignment="1" applyProtection="1">
      <alignment wrapText="1"/>
    </xf>
    <xf numFmtId="3" fontId="137" fillId="2" borderId="16" xfId="0" applyNumberFormat="1" applyFont="1" applyFill="1" applyBorder="1" applyAlignment="1" applyProtection="1">
      <alignment horizontal="right"/>
    </xf>
    <xf numFmtId="3" fontId="137" fillId="2" borderId="17" xfId="0" applyNumberFormat="1" applyFont="1" applyFill="1" applyBorder="1" applyAlignment="1" applyProtection="1">
      <alignment horizontal="right"/>
    </xf>
    <xf numFmtId="3" fontId="137" fillId="2" borderId="18" xfId="0" applyNumberFormat="1" applyFont="1" applyFill="1" applyBorder="1" applyAlignment="1" applyProtection="1">
      <alignment horizontal="right"/>
    </xf>
    <xf numFmtId="3" fontId="124" fillId="2" borderId="20" xfId="0" applyNumberFormat="1" applyFont="1" applyFill="1" applyBorder="1" applyAlignment="1" applyProtection="1">
      <alignment horizontal="left" vertical="center"/>
    </xf>
    <xf numFmtId="10" fontId="123" fillId="2" borderId="16" xfId="0" applyNumberFormat="1" applyFont="1" applyFill="1" applyBorder="1" applyAlignment="1" applyProtection="1">
      <alignment horizontal="center" vertical="justify"/>
    </xf>
    <xf numFmtId="10" fontId="123" fillId="2" borderId="17" xfId="0" applyNumberFormat="1" applyFont="1" applyFill="1" applyBorder="1" applyAlignment="1" applyProtection="1">
      <alignment horizontal="center" vertical="justify"/>
    </xf>
    <xf numFmtId="0" fontId="124" fillId="2" borderId="17" xfId="0" applyFont="1" applyFill="1" applyBorder="1" applyAlignment="1" applyProtection="1">
      <alignment vertical="center"/>
    </xf>
    <xf numFmtId="3" fontId="123" fillId="2" borderId="41" xfId="0" applyNumberFormat="1" applyFont="1" applyFill="1" applyBorder="1" applyAlignment="1" applyProtection="1">
      <alignment vertical="center"/>
    </xf>
    <xf numFmtId="3" fontId="123" fillId="2" borderId="12" xfId="0" applyNumberFormat="1" applyFont="1" applyFill="1" applyBorder="1" applyAlignment="1" applyProtection="1">
      <alignment horizontal="centerContinuous" vertical="center"/>
    </xf>
    <xf numFmtId="3" fontId="123" fillId="2" borderId="35" xfId="0" applyNumberFormat="1" applyFont="1" applyFill="1" applyBorder="1" applyAlignment="1" applyProtection="1">
      <alignment horizontal="centerContinuous" vertical="center"/>
    </xf>
    <xf numFmtId="3" fontId="123" fillId="2" borderId="28" xfId="0" applyNumberFormat="1" applyFont="1" applyFill="1" applyBorder="1" applyAlignment="1" applyProtection="1">
      <alignment horizontal="centerContinuous" vertical="center"/>
    </xf>
    <xf numFmtId="0" fontId="124" fillId="2" borderId="28" xfId="0" applyFont="1" applyFill="1" applyBorder="1" applyAlignment="1" applyProtection="1">
      <alignment horizontal="centerContinuous" vertical="center"/>
    </xf>
    <xf numFmtId="3" fontId="123" fillId="2" borderId="29" xfId="0" applyNumberFormat="1" applyFont="1" applyFill="1" applyBorder="1" applyAlignment="1" applyProtection="1">
      <alignment horizontal="centerContinuous" vertical="center"/>
    </xf>
    <xf numFmtId="3" fontId="123" fillId="2" borderId="64" xfId="0" applyNumberFormat="1" applyFont="1" applyFill="1" applyBorder="1" applyAlignment="1" applyProtection="1">
      <alignment vertical="center"/>
    </xf>
    <xf numFmtId="0" fontId="124" fillId="2" borderId="12"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3" fontId="124" fillId="2" borderId="14" xfId="0" applyNumberFormat="1" applyFont="1" applyFill="1" applyBorder="1" applyAlignment="1" applyProtection="1">
      <alignment horizontal="left" vertical="center"/>
    </xf>
    <xf numFmtId="1" fontId="141" fillId="0" borderId="26" xfId="0" applyNumberFormat="1" applyFont="1" applyFill="1" applyBorder="1" applyAlignment="1" applyProtection="1">
      <alignment horizontal="center" vertical="center"/>
      <protection hidden="1"/>
    </xf>
    <xf numFmtId="3" fontId="124" fillId="0" borderId="26" xfId="0" applyNumberFormat="1" applyFont="1" applyFill="1" applyBorder="1" applyAlignment="1" applyProtection="1">
      <alignment vertical="center" wrapText="1"/>
      <protection hidden="1"/>
    </xf>
    <xf numFmtId="3" fontId="123" fillId="0" borderId="0" xfId="0" applyNumberFormat="1" applyFont="1" applyFill="1" applyAlignment="1" applyProtection="1">
      <alignment vertical="center"/>
      <protection hidden="1"/>
    </xf>
    <xf numFmtId="3" fontId="125" fillId="2" borderId="26" xfId="0" applyNumberFormat="1" applyFont="1" applyFill="1" applyBorder="1" applyAlignment="1" applyProtection="1">
      <alignment horizontal="right" vertical="center"/>
    </xf>
    <xf numFmtId="3" fontId="125" fillId="2" borderId="49" xfId="0" applyNumberFormat="1" applyFont="1" applyFill="1" applyBorder="1" applyAlignment="1" applyProtection="1">
      <alignment horizontal="right" vertical="center"/>
    </xf>
    <xf numFmtId="3" fontId="123" fillId="2" borderId="0" xfId="0" applyNumberFormat="1" applyFont="1" applyFill="1" applyBorder="1" applyAlignment="1" applyProtection="1">
      <alignment horizontal="left" vertical="center"/>
    </xf>
    <xf numFmtId="3" fontId="123" fillId="2" borderId="0" xfId="0" applyNumberFormat="1" applyFont="1" applyFill="1" applyBorder="1" applyAlignment="1" applyProtection="1">
      <alignment horizontal="center" vertical="center"/>
    </xf>
    <xf numFmtId="3" fontId="123" fillId="2" borderId="0" xfId="0" applyNumberFormat="1" applyFont="1" applyFill="1" applyBorder="1" applyAlignment="1" applyProtection="1">
      <alignment horizontal="centerContinuous" vertical="center"/>
    </xf>
    <xf numFmtId="3" fontId="138" fillId="2" borderId="26" xfId="0" applyNumberFormat="1" applyFont="1" applyFill="1" applyBorder="1" applyAlignment="1" applyProtection="1">
      <alignment vertical="center" wrapText="1"/>
      <protection locked="0"/>
    </xf>
    <xf numFmtId="3" fontId="124" fillId="2" borderId="27" xfId="0" applyNumberFormat="1" applyFont="1" applyFill="1" applyBorder="1" applyAlignment="1" applyProtection="1">
      <alignment horizontal="left" vertical="center" wrapText="1"/>
    </xf>
    <xf numFmtId="164" fontId="125" fillId="2" borderId="20" xfId="0" applyNumberFormat="1" applyFont="1" applyFill="1" applyBorder="1" applyAlignment="1" applyProtection="1">
      <alignment horizontal="center" vertical="center"/>
    </xf>
    <xf numFmtId="3" fontId="123" fillId="2" borderId="20" xfId="0" applyNumberFormat="1" applyFont="1" applyFill="1" applyBorder="1" applyAlignment="1" applyProtection="1">
      <alignment horizontal="left" vertical="center" wrapText="1"/>
    </xf>
    <xf numFmtId="3" fontId="123" fillId="0" borderId="0" xfId="0" applyNumberFormat="1" applyFont="1" applyFill="1" applyAlignment="1" applyProtection="1">
      <alignment vertical="center"/>
    </xf>
    <xf numFmtId="3" fontId="123" fillId="2" borderId="19" xfId="0" applyNumberFormat="1" applyFont="1" applyFill="1" applyBorder="1" applyAlignment="1" applyProtection="1">
      <alignment vertical="center"/>
    </xf>
    <xf numFmtId="164" fontId="137" fillId="2" borderId="11" xfId="0" applyNumberFormat="1" applyFont="1" applyFill="1" applyBorder="1" applyAlignment="1" applyProtection="1">
      <alignment horizontal="center" vertical="center"/>
    </xf>
    <xf numFmtId="3" fontId="122" fillId="2" borderId="52" xfId="0" applyNumberFormat="1" applyFont="1" applyFill="1" applyBorder="1" applyAlignment="1" applyProtection="1">
      <alignment horizontal="left" vertical="center" wrapText="1"/>
    </xf>
    <xf numFmtId="3" fontId="135" fillId="2" borderId="62" xfId="0" applyNumberFormat="1" applyFont="1" applyFill="1" applyBorder="1" applyAlignment="1" applyProtection="1">
      <alignment vertical="center"/>
    </xf>
    <xf numFmtId="3" fontId="135" fillId="2" borderId="23" xfId="0" applyNumberFormat="1" applyFont="1" applyFill="1" applyBorder="1" applyAlignment="1" applyProtection="1">
      <alignment vertical="center"/>
    </xf>
    <xf numFmtId="3" fontId="135" fillId="2" borderId="24" xfId="0" applyNumberFormat="1" applyFont="1" applyFill="1" applyBorder="1" applyAlignment="1" applyProtection="1">
      <alignment vertical="center"/>
    </xf>
    <xf numFmtId="1" fontId="141" fillId="2" borderId="11" xfId="0" applyNumberFormat="1" applyFont="1" applyFill="1" applyBorder="1" applyAlignment="1" applyProtection="1">
      <alignment horizontal="center" vertical="center"/>
    </xf>
    <xf numFmtId="3" fontId="124" fillId="0" borderId="32" xfId="0" applyNumberFormat="1" applyFont="1" applyFill="1" applyBorder="1" applyAlignment="1" applyProtection="1">
      <alignment horizontal="left" vertical="center" wrapText="1"/>
    </xf>
    <xf numFmtId="3" fontId="140" fillId="4" borderId="10" xfId="0" applyNumberFormat="1" applyFont="1" applyFill="1" applyBorder="1" applyAlignment="1" applyProtection="1">
      <alignment vertical="center"/>
    </xf>
    <xf numFmtId="3" fontId="124" fillId="2" borderId="32" xfId="0" applyNumberFormat="1" applyFont="1" applyFill="1" applyBorder="1" applyAlignment="1" applyProtection="1">
      <alignment horizontal="left" vertical="center" wrapText="1"/>
    </xf>
    <xf numFmtId="3" fontId="124" fillId="0" borderId="0" xfId="0" applyNumberFormat="1" applyFont="1" applyFill="1" applyAlignment="1" applyProtection="1">
      <alignment vertical="center"/>
    </xf>
    <xf numFmtId="3" fontId="123" fillId="0" borderId="0" xfId="0" applyNumberFormat="1" applyFont="1" applyFill="1" applyBorder="1" applyAlignment="1" applyProtection="1">
      <alignment vertical="center"/>
    </xf>
    <xf numFmtId="3" fontId="124" fillId="2" borderId="33" xfId="0" applyNumberFormat="1" applyFont="1" applyFill="1" applyBorder="1" applyAlignment="1" applyProtection="1">
      <alignment horizontal="left" vertical="center" wrapText="1"/>
    </xf>
    <xf numFmtId="3" fontId="140" fillId="4" borderId="39" xfId="0" applyNumberFormat="1" applyFont="1" applyFill="1" applyBorder="1" applyAlignment="1" applyProtection="1">
      <alignment vertical="center"/>
    </xf>
    <xf numFmtId="1" fontId="143" fillId="2" borderId="83" xfId="0" applyNumberFormat="1" applyFont="1" applyFill="1" applyBorder="1" applyAlignment="1" applyProtection="1">
      <alignment horizontal="center" vertical="center"/>
    </xf>
    <xf numFmtId="3" fontId="144" fillId="2" borderId="52" xfId="0" applyNumberFormat="1" applyFont="1" applyFill="1" applyBorder="1" applyAlignment="1" applyProtection="1">
      <alignment horizontal="left" vertical="center" wrapText="1"/>
    </xf>
    <xf numFmtId="1" fontId="145" fillId="2" borderId="83" xfId="0" applyNumberFormat="1" applyFont="1" applyFill="1" applyBorder="1" applyAlignment="1" applyProtection="1">
      <alignment horizontal="center" vertical="center"/>
    </xf>
    <xf numFmtId="3" fontId="146" fillId="2" borderId="32" xfId="0" applyNumberFormat="1" applyFont="1" applyFill="1" applyBorder="1" applyAlignment="1" applyProtection="1">
      <alignment horizontal="left" vertical="center" wrapText="1"/>
    </xf>
    <xf numFmtId="3" fontId="125" fillId="0" borderId="5" xfId="0" applyNumberFormat="1" applyFont="1" applyFill="1" applyBorder="1" applyAlignment="1" applyProtection="1">
      <alignment vertical="center"/>
    </xf>
    <xf numFmtId="3" fontId="125" fillId="0" borderId="9" xfId="0" applyNumberFormat="1" applyFont="1" applyFill="1" applyBorder="1" applyAlignment="1" applyProtection="1">
      <alignment vertical="center"/>
    </xf>
    <xf numFmtId="3" fontId="140" fillId="4" borderId="8" xfId="0" applyNumberFormat="1" applyFont="1" applyFill="1" applyBorder="1" applyAlignment="1" applyProtection="1">
      <alignment vertical="center"/>
    </xf>
    <xf numFmtId="3" fontId="140" fillId="4" borderId="9" xfId="0" applyNumberFormat="1" applyFont="1" applyFill="1" applyBorder="1" applyAlignment="1" applyProtection="1">
      <alignment vertical="center"/>
    </xf>
    <xf numFmtId="164" fontId="137" fillId="2" borderId="46" xfId="0" quotePrefix="1" applyNumberFormat="1" applyFont="1" applyFill="1" applyBorder="1" applyAlignment="1" applyProtection="1">
      <alignment horizontal="center" vertical="center"/>
    </xf>
    <xf numFmtId="3" fontId="135" fillId="2" borderId="46" xfId="0" applyNumberFormat="1" applyFont="1" applyFill="1" applyBorder="1" applyAlignment="1" applyProtection="1">
      <alignment horizontal="left" vertical="center" wrapText="1"/>
    </xf>
    <xf numFmtId="3" fontId="135" fillId="2" borderId="48" xfId="0" applyNumberFormat="1" applyFont="1" applyFill="1" applyBorder="1" applyAlignment="1" applyProtection="1">
      <alignment vertical="center"/>
    </xf>
    <xf numFmtId="3" fontId="135" fillId="2" borderId="47" xfId="0" applyNumberFormat="1" applyFont="1" applyFill="1" applyBorder="1" applyAlignment="1" applyProtection="1">
      <alignment vertical="center"/>
    </xf>
    <xf numFmtId="3" fontId="135" fillId="2" borderId="46" xfId="0" applyNumberFormat="1" applyFont="1" applyFill="1" applyBorder="1" applyAlignment="1" applyProtection="1">
      <alignment vertical="center"/>
    </xf>
    <xf numFmtId="3" fontId="146" fillId="0" borderId="32" xfId="0" applyNumberFormat="1" applyFont="1" applyFill="1" applyBorder="1" applyAlignment="1" applyProtection="1">
      <alignment horizontal="left" vertical="center" wrapText="1"/>
    </xf>
    <xf numFmtId="3" fontId="122" fillId="2" borderId="9" xfId="0" applyNumberFormat="1" applyFont="1" applyFill="1" applyBorder="1" applyAlignment="1" applyProtection="1">
      <alignment horizontal="left" vertical="center" wrapText="1"/>
    </xf>
    <xf numFmtId="3" fontId="140" fillId="2" borderId="10" xfId="0" applyNumberFormat="1" applyFont="1" applyFill="1" applyBorder="1" applyAlignment="1" applyProtection="1">
      <alignment horizontal="right" vertical="center"/>
    </xf>
    <xf numFmtId="3" fontId="140" fillId="2" borderId="8" xfId="0" applyNumberFormat="1" applyFont="1" applyFill="1" applyBorder="1" applyAlignment="1" applyProtection="1">
      <alignment horizontal="right" vertical="center"/>
    </xf>
    <xf numFmtId="3" fontId="140" fillId="2" borderId="11" xfId="0" applyNumberFormat="1" applyFont="1" applyFill="1" applyBorder="1" applyAlignment="1" applyProtection="1">
      <alignment horizontal="right" vertical="center"/>
    </xf>
    <xf numFmtId="3" fontId="141" fillId="2" borderId="33" xfId="0" applyNumberFormat="1" applyFont="1" applyFill="1" applyBorder="1" applyAlignment="1" applyProtection="1">
      <alignment horizontal="left" vertical="center" wrapText="1"/>
    </xf>
    <xf numFmtId="3" fontId="135" fillId="0" borderId="35" xfId="0" applyNumberFormat="1" applyFont="1" applyFill="1" applyBorder="1" applyAlignment="1" applyProtection="1">
      <alignment horizontal="right" vertical="center"/>
    </xf>
    <xf numFmtId="3" fontId="135" fillId="0" borderId="54" xfId="0" applyNumberFormat="1" applyFont="1" applyFill="1" applyBorder="1" applyAlignment="1" applyProtection="1">
      <alignment horizontal="right" vertical="center"/>
    </xf>
    <xf numFmtId="3" fontId="135" fillId="0" borderId="47" xfId="0" applyNumberFormat="1" applyFont="1" applyFill="1" applyBorder="1" applyAlignment="1" applyProtection="1">
      <alignment horizontal="right" vertical="center"/>
    </xf>
    <xf numFmtId="164" fontId="141" fillId="0" borderId="26" xfId="0" quotePrefix="1" applyNumberFormat="1" applyFont="1" applyFill="1" applyBorder="1" applyAlignment="1" applyProtection="1">
      <alignment horizontal="center" vertical="center"/>
    </xf>
    <xf numFmtId="3" fontId="123" fillId="0" borderId="8" xfId="0" applyNumberFormat="1" applyFont="1" applyFill="1" applyBorder="1" applyAlignment="1" applyProtection="1">
      <alignment vertical="center"/>
    </xf>
    <xf numFmtId="3" fontId="123" fillId="0" borderId="11" xfId="0" applyNumberFormat="1" applyFont="1" applyFill="1" applyBorder="1" applyAlignment="1" applyProtection="1">
      <alignment vertical="center"/>
    </xf>
    <xf numFmtId="3" fontId="123" fillId="0" borderId="5" xfId="0" applyNumberFormat="1" applyFont="1" applyFill="1" applyBorder="1" applyAlignment="1" applyProtection="1">
      <alignment vertical="center"/>
    </xf>
    <xf numFmtId="3" fontId="123" fillId="0" borderId="9" xfId="0" applyNumberFormat="1" applyFont="1" applyFill="1" applyBorder="1" applyAlignment="1" applyProtection="1">
      <alignment vertical="center"/>
    </xf>
    <xf numFmtId="3" fontId="123" fillId="0" borderId="10" xfId="0" applyNumberFormat="1" applyFont="1" applyFill="1" applyBorder="1" applyAlignment="1" applyProtection="1">
      <alignment vertical="center"/>
    </xf>
    <xf numFmtId="164" fontId="141" fillId="0" borderId="26" xfId="0" applyNumberFormat="1" applyFont="1" applyFill="1" applyBorder="1" applyAlignment="1" applyProtection="1">
      <alignment horizontal="center" vertical="center"/>
    </xf>
    <xf numFmtId="3" fontId="123" fillId="2" borderId="11" xfId="0" applyNumberFormat="1" applyFont="1" applyFill="1" applyBorder="1" applyAlignment="1" applyProtection="1">
      <alignment vertical="center"/>
    </xf>
    <xf numFmtId="164" fontId="141" fillId="2" borderId="26" xfId="0" quotePrefix="1" applyNumberFormat="1" applyFont="1" applyFill="1" applyBorder="1" applyAlignment="1" applyProtection="1">
      <alignment horizontal="center" vertical="center"/>
    </xf>
    <xf numFmtId="164" fontId="141" fillId="2" borderId="26" xfId="0" applyNumberFormat="1" applyFont="1" applyFill="1" applyBorder="1" applyAlignment="1" applyProtection="1">
      <alignment horizontal="center" vertical="center"/>
    </xf>
    <xf numFmtId="164" fontId="141" fillId="2" borderId="27" xfId="0" applyNumberFormat="1" applyFont="1" applyFill="1" applyBorder="1" applyAlignment="1" applyProtection="1">
      <alignment horizontal="center" vertical="center"/>
    </xf>
    <xf numFmtId="3" fontId="124" fillId="2" borderId="33" xfId="0" applyNumberFormat="1" applyFont="1" applyFill="1" applyBorder="1" applyAlignment="1" applyProtection="1">
      <alignment horizontal="left" vertical="center" wrapText="1"/>
      <protection locked="0"/>
    </xf>
    <xf numFmtId="3" fontId="123" fillId="0" borderId="17" xfId="0" applyNumberFormat="1" applyFont="1" applyFill="1" applyBorder="1" applyAlignment="1" applyProtection="1">
      <alignment vertical="center"/>
    </xf>
    <xf numFmtId="3" fontId="123" fillId="0" borderId="37" xfId="0" applyNumberFormat="1" applyFont="1" applyFill="1" applyBorder="1" applyAlignment="1" applyProtection="1">
      <alignment vertical="center"/>
    </xf>
    <xf numFmtId="3" fontId="123" fillId="2" borderId="37" xfId="0" applyNumberFormat="1" applyFont="1" applyFill="1" applyBorder="1" applyAlignment="1" applyProtection="1">
      <alignment vertical="center"/>
    </xf>
    <xf numFmtId="3" fontId="123" fillId="2" borderId="39" xfId="0" applyNumberFormat="1" applyFont="1" applyFill="1" applyBorder="1" applyAlignment="1" applyProtection="1">
      <alignment vertical="center"/>
    </xf>
    <xf numFmtId="164" fontId="137" fillId="2" borderId="19" xfId="0" quotePrefix="1" applyNumberFormat="1" applyFont="1" applyFill="1" applyBorder="1" applyAlignment="1" applyProtection="1">
      <alignment horizontal="left" vertical="center"/>
    </xf>
    <xf numFmtId="3" fontId="135" fillId="2" borderId="19" xfId="0" applyNumberFormat="1" applyFont="1" applyFill="1" applyBorder="1" applyAlignment="1" applyProtection="1">
      <alignment horizontal="left" vertical="center" wrapText="1"/>
    </xf>
    <xf numFmtId="3" fontId="135" fillId="2" borderId="55" xfId="0" applyNumberFormat="1" applyFont="1" applyFill="1" applyBorder="1" applyAlignment="1" applyProtection="1">
      <alignment vertical="center"/>
    </xf>
    <xf numFmtId="3" fontId="135" fillId="2" borderId="1" xfId="0" applyNumberFormat="1" applyFont="1" applyFill="1" applyBorder="1" applyAlignment="1" applyProtection="1">
      <alignment vertical="center"/>
    </xf>
    <xf numFmtId="3" fontId="135" fillId="2" borderId="35" xfId="0" applyNumberFormat="1" applyFont="1" applyFill="1" applyBorder="1" applyAlignment="1" applyProtection="1">
      <alignment vertical="center"/>
    </xf>
    <xf numFmtId="3" fontId="135" fillId="2" borderId="29" xfId="0" applyNumberFormat="1" applyFont="1" applyFill="1" applyBorder="1" applyAlignment="1" applyProtection="1">
      <alignment vertical="center"/>
    </xf>
    <xf numFmtId="164" fontId="137" fillId="2" borderId="46" xfId="0" quotePrefix="1" applyNumberFormat="1" applyFont="1" applyFill="1" applyBorder="1" applyAlignment="1" applyProtection="1">
      <alignment horizontal="left" vertical="center"/>
    </xf>
    <xf numFmtId="164" fontId="137" fillId="0" borderId="20" xfId="0" quotePrefix="1" applyNumberFormat="1" applyFont="1" applyFill="1" applyBorder="1" applyAlignment="1" applyProtection="1">
      <alignment horizontal="left" vertical="center"/>
    </xf>
    <xf numFmtId="3" fontId="135" fillId="0" borderId="20" xfId="0" applyNumberFormat="1" applyFont="1" applyFill="1" applyBorder="1" applyAlignment="1" applyProtection="1">
      <alignment horizontal="left" vertical="center" wrapText="1"/>
    </xf>
    <xf numFmtId="3" fontId="135" fillId="0" borderId="44" xfId="0" applyNumberFormat="1" applyFont="1" applyFill="1" applyBorder="1" applyAlignment="1" applyProtection="1">
      <alignment vertical="center"/>
    </xf>
    <xf numFmtId="3" fontId="135" fillId="0" borderId="4" xfId="0" applyNumberFormat="1" applyFont="1" applyFill="1" applyBorder="1" applyAlignment="1" applyProtection="1">
      <alignment vertical="center"/>
    </xf>
    <xf numFmtId="3" fontId="135" fillId="0" borderId="43" xfId="0" applyNumberFormat="1" applyFont="1" applyFill="1" applyBorder="1" applyAlignment="1" applyProtection="1">
      <alignment vertical="center"/>
    </xf>
    <xf numFmtId="164" fontId="137" fillId="2" borderId="41" xfId="0" quotePrefix="1" applyNumberFormat="1" applyFont="1" applyFill="1" applyBorder="1" applyAlignment="1" applyProtection="1">
      <alignment horizontal="left" vertical="center"/>
    </xf>
    <xf numFmtId="3" fontId="135" fillId="2" borderId="41" xfId="0" applyNumberFormat="1" applyFont="1" applyFill="1" applyBorder="1" applyAlignment="1" applyProtection="1">
      <alignment horizontal="left" vertical="center" wrapText="1"/>
    </xf>
    <xf numFmtId="3" fontId="135" fillId="2" borderId="63" xfId="0" applyNumberFormat="1" applyFont="1" applyFill="1" applyBorder="1" applyAlignment="1" applyProtection="1">
      <alignment vertical="center"/>
    </xf>
    <xf numFmtId="3" fontId="135" fillId="2" borderId="59" xfId="0" applyNumberFormat="1" applyFont="1" applyFill="1" applyBorder="1" applyAlignment="1" applyProtection="1">
      <alignment vertical="center"/>
    </xf>
    <xf numFmtId="3" fontId="135" fillId="2" borderId="73" xfId="0" applyNumberFormat="1" applyFont="1" applyFill="1" applyBorder="1" applyAlignment="1" applyProtection="1">
      <alignment vertical="center"/>
    </xf>
    <xf numFmtId="1" fontId="125" fillId="2" borderId="0" xfId="0" applyNumberFormat="1" applyFont="1" applyFill="1" applyAlignment="1" applyProtection="1">
      <alignment horizontal="center" vertical="center"/>
    </xf>
    <xf numFmtId="3" fontId="123" fillId="2" borderId="0" xfId="0" applyNumberFormat="1" applyFont="1" applyFill="1" applyAlignment="1" applyProtection="1">
      <alignment vertical="center" wrapText="1"/>
    </xf>
    <xf numFmtId="3" fontId="125" fillId="2" borderId="10" xfId="0" applyNumberFormat="1" applyFont="1" applyFill="1" applyBorder="1" applyAlignment="1" applyProtection="1">
      <alignment horizontal="right" vertical="center"/>
    </xf>
    <xf numFmtId="3" fontId="123" fillId="2" borderId="0" xfId="0" applyNumberFormat="1" applyFont="1" applyFill="1" applyBorder="1" applyAlignment="1" applyProtection="1">
      <alignment horizontal="left" vertical="center" wrapText="1"/>
    </xf>
    <xf numFmtId="164" fontId="124" fillId="2" borderId="26" xfId="0" applyNumberFormat="1" applyFont="1" applyFill="1" applyBorder="1" applyAlignment="1" applyProtection="1">
      <alignment horizontal="center" vertical="center"/>
    </xf>
    <xf numFmtId="3" fontId="124" fillId="2" borderId="45" xfId="0" applyNumberFormat="1" applyFont="1" applyFill="1" applyBorder="1" applyAlignment="1" applyProtection="1">
      <alignment horizontal="left" vertical="center" wrapText="1"/>
    </xf>
    <xf numFmtId="3" fontId="125" fillId="2" borderId="45" xfId="0" applyNumberFormat="1" applyFont="1" applyFill="1" applyBorder="1" applyAlignment="1" applyProtection="1">
      <alignment vertical="center"/>
    </xf>
    <xf numFmtId="3" fontId="125" fillId="2" borderId="45" xfId="0" applyNumberFormat="1" applyFont="1" applyFill="1" applyBorder="1" applyAlignment="1" applyProtection="1">
      <alignment horizontal="right" vertical="center"/>
    </xf>
    <xf numFmtId="3" fontId="140" fillId="4" borderId="45" xfId="0" applyNumberFormat="1" applyFont="1" applyFill="1" applyBorder="1" applyAlignment="1" applyProtection="1">
      <alignment vertical="center"/>
      <protection locked="0"/>
    </xf>
    <xf numFmtId="3" fontId="140" fillId="4" borderId="26" xfId="0" applyNumberFormat="1" applyFont="1" applyFill="1" applyBorder="1" applyAlignment="1" applyProtection="1">
      <alignment vertical="center"/>
      <protection locked="0"/>
    </xf>
    <xf numFmtId="3" fontId="140" fillId="4" borderId="49" xfId="0" applyNumberFormat="1" applyFont="1" applyFill="1" applyBorder="1" applyAlignment="1" applyProtection="1">
      <alignment vertical="center"/>
      <protection locked="0"/>
    </xf>
    <xf numFmtId="164" fontId="127" fillId="2" borderId="8" xfId="0" applyNumberFormat="1" applyFont="1" applyFill="1" applyBorder="1" applyAlignment="1" applyProtection="1">
      <alignment horizontal="center" vertical="center"/>
    </xf>
    <xf numFmtId="3" fontId="130" fillId="2" borderId="8" xfId="0" applyNumberFormat="1" applyFont="1" applyFill="1" applyBorder="1" applyAlignment="1" applyProtection="1">
      <alignment vertical="center" wrapText="1"/>
    </xf>
    <xf numFmtId="3" fontId="140" fillId="2" borderId="8" xfId="0" applyNumberFormat="1" applyFont="1" applyFill="1" applyBorder="1" applyAlignment="1" applyProtection="1">
      <alignment horizontal="right" vertical="center"/>
      <protection locked="0"/>
    </xf>
    <xf numFmtId="164" fontId="124" fillId="2" borderId="16" xfId="0" applyNumberFormat="1" applyFont="1" applyFill="1" applyBorder="1" applyAlignment="1" applyProtection="1">
      <alignment horizontal="center" vertical="center"/>
    </xf>
    <xf numFmtId="3" fontId="124" fillId="2" borderId="18" xfId="0" applyNumberFormat="1" applyFont="1" applyFill="1" applyBorder="1" applyAlignment="1" applyProtection="1">
      <alignment horizontal="left" vertical="center" wrapText="1"/>
    </xf>
    <xf numFmtId="3" fontId="125" fillId="2" borderId="39" xfId="0" applyNumberFormat="1" applyFont="1" applyFill="1" applyBorder="1" applyAlignment="1" applyProtection="1">
      <alignment vertical="center"/>
    </xf>
    <xf numFmtId="3" fontId="125" fillId="2" borderId="17" xfId="0" applyNumberFormat="1" applyFont="1" applyFill="1" applyBorder="1" applyAlignment="1" applyProtection="1">
      <alignment horizontal="right" vertical="center"/>
    </xf>
    <xf numFmtId="3" fontId="125" fillId="2" borderId="37" xfId="0" applyNumberFormat="1" applyFont="1" applyFill="1" applyBorder="1" applyAlignment="1" applyProtection="1">
      <alignment horizontal="right" vertical="center"/>
    </xf>
    <xf numFmtId="3" fontId="125" fillId="2" borderId="16" xfId="0" applyNumberFormat="1" applyFont="1" applyFill="1" applyBorder="1" applyAlignment="1" applyProtection="1">
      <alignment horizontal="right" vertical="center"/>
    </xf>
    <xf numFmtId="3" fontId="125" fillId="2" borderId="18" xfId="0" applyNumberFormat="1" applyFont="1" applyFill="1" applyBorder="1" applyAlignment="1" applyProtection="1">
      <alignment horizontal="right" vertical="center"/>
    </xf>
    <xf numFmtId="1" fontId="122" fillId="2" borderId="25" xfId="0" applyNumberFormat="1" applyFont="1" applyFill="1" applyBorder="1" applyAlignment="1" applyProtection="1">
      <alignment horizontal="center" vertical="center" wrapText="1"/>
    </xf>
    <xf numFmtId="3" fontId="122" fillId="2" borderId="2" xfId="0" applyNumberFormat="1" applyFont="1" applyFill="1" applyBorder="1" applyAlignment="1" applyProtection="1">
      <alignment horizontal="center" vertical="center" wrapText="1"/>
    </xf>
    <xf numFmtId="3" fontId="135" fillId="2" borderId="2" xfId="0" applyNumberFormat="1" applyFont="1" applyFill="1" applyBorder="1" applyAlignment="1" applyProtection="1">
      <alignment horizontal="center" vertical="center"/>
    </xf>
    <xf numFmtId="3" fontId="135" fillId="2" borderId="3" xfId="0" applyNumberFormat="1" applyFont="1" applyFill="1" applyBorder="1" applyAlignment="1" applyProtection="1">
      <alignment horizontal="center" vertical="center"/>
    </xf>
    <xf numFmtId="3" fontId="140" fillId="2" borderId="25" xfId="0" applyNumberFormat="1" applyFont="1" applyFill="1" applyBorder="1" applyAlignment="1" applyProtection="1">
      <alignment horizontal="right" vertical="center"/>
    </xf>
    <xf numFmtId="3" fontId="140" fillId="2" borderId="3" xfId="0" applyNumberFormat="1" applyFont="1" applyFill="1" applyBorder="1" applyAlignment="1" applyProtection="1">
      <alignment horizontal="right" vertical="center"/>
    </xf>
    <xf numFmtId="164" fontId="141" fillId="2" borderId="16" xfId="0" applyNumberFormat="1" applyFont="1" applyFill="1" applyBorder="1" applyAlignment="1" applyProtection="1">
      <alignment horizontal="center" vertical="center"/>
    </xf>
    <xf numFmtId="3" fontId="123" fillId="2" borderId="18" xfId="0" applyNumberFormat="1" applyFont="1" applyFill="1" applyBorder="1" applyAlignment="1" applyProtection="1">
      <alignment horizontal="left" vertical="center" wrapText="1"/>
    </xf>
    <xf numFmtId="3" fontId="140" fillId="4" borderId="38" xfId="0" applyNumberFormat="1" applyFont="1" applyFill="1" applyBorder="1" applyAlignment="1" applyProtection="1">
      <alignment vertical="center"/>
      <protection locked="0"/>
    </xf>
    <xf numFmtId="3" fontId="140" fillId="4" borderId="34" xfId="0" applyNumberFormat="1" applyFont="1" applyFill="1" applyBorder="1" applyAlignment="1" applyProtection="1">
      <alignment vertical="center"/>
      <protection locked="0"/>
    </xf>
    <xf numFmtId="1" fontId="122" fillId="2" borderId="20" xfId="0" applyNumberFormat="1" applyFont="1" applyFill="1" applyBorder="1" applyAlignment="1" applyProtection="1">
      <alignment horizontal="center" vertical="center" wrapText="1"/>
    </xf>
    <xf numFmtId="3" fontId="122" fillId="2" borderId="0" xfId="0" applyNumberFormat="1" applyFont="1" applyFill="1" applyBorder="1" applyAlignment="1" applyProtection="1">
      <alignment horizontal="center" vertical="center" wrapText="1"/>
    </xf>
    <xf numFmtId="3" fontId="135" fillId="2" borderId="0" xfId="0" applyNumberFormat="1" applyFont="1" applyFill="1" applyBorder="1" applyAlignment="1" applyProtection="1">
      <alignment horizontal="center" vertical="center"/>
    </xf>
    <xf numFmtId="3" fontId="135" fillId="2" borderId="40" xfId="0" applyNumberFormat="1" applyFont="1" applyFill="1" applyBorder="1" applyAlignment="1" applyProtection="1">
      <alignment horizontal="center" vertical="center"/>
    </xf>
    <xf numFmtId="3" fontId="125" fillId="2" borderId="46" xfId="0" applyNumberFormat="1" applyFont="1" applyFill="1" applyBorder="1" applyAlignment="1" applyProtection="1">
      <alignment horizontal="right" vertical="center"/>
    </xf>
    <xf numFmtId="3" fontId="125" fillId="2" borderId="47" xfId="0" applyNumberFormat="1" applyFont="1" applyFill="1" applyBorder="1" applyAlignment="1" applyProtection="1">
      <alignment horizontal="right" vertical="center"/>
    </xf>
    <xf numFmtId="3" fontId="126" fillId="2" borderId="0" xfId="0" applyNumberFormat="1" applyFont="1" applyFill="1" applyAlignment="1" applyProtection="1">
      <alignment vertical="center"/>
    </xf>
    <xf numFmtId="3" fontId="125" fillId="2" borderId="25" xfId="0" applyNumberFormat="1" applyFont="1" applyFill="1" applyBorder="1" applyAlignment="1" applyProtection="1">
      <alignment horizontal="right" vertical="center"/>
    </xf>
    <xf numFmtId="3" fontId="125" fillId="2" borderId="3" xfId="0" applyNumberFormat="1" applyFont="1" applyFill="1" applyBorder="1" applyAlignment="1" applyProtection="1">
      <alignment horizontal="right" vertical="center"/>
    </xf>
    <xf numFmtId="164" fontId="127" fillId="2" borderId="5" xfId="0" applyNumberFormat="1" applyFont="1" applyFill="1" applyBorder="1" applyAlignment="1" applyProtection="1">
      <alignment horizontal="center" vertical="center"/>
    </xf>
    <xf numFmtId="3" fontId="130" fillId="2" borderId="9" xfId="0" applyNumberFormat="1" applyFont="1" applyFill="1" applyBorder="1" applyAlignment="1" applyProtection="1">
      <alignment vertical="center" wrapText="1"/>
    </xf>
    <xf numFmtId="164" fontId="141" fillId="2" borderId="5" xfId="0" applyNumberFormat="1" applyFont="1" applyFill="1" applyBorder="1" applyAlignment="1" applyProtection="1">
      <alignment horizontal="center" vertical="center"/>
    </xf>
    <xf numFmtId="3" fontId="125" fillId="2" borderId="41" xfId="0" applyNumberFormat="1" applyFont="1" applyFill="1" applyBorder="1" applyAlignment="1" applyProtection="1">
      <alignment horizontal="right" vertical="center"/>
    </xf>
    <xf numFmtId="3" fontId="125" fillId="2" borderId="13" xfId="0" applyNumberFormat="1" applyFont="1" applyFill="1" applyBorder="1" applyAlignment="1" applyProtection="1">
      <alignment horizontal="right" vertical="center"/>
    </xf>
    <xf numFmtId="164" fontId="127" fillId="2" borderId="55" xfId="0" applyNumberFormat="1" applyFont="1" applyFill="1" applyBorder="1" applyAlignment="1" applyProtection="1">
      <alignment horizontal="center" vertical="center"/>
    </xf>
    <xf numFmtId="3" fontId="130" fillId="2" borderId="66" xfId="0" applyNumberFormat="1" applyFont="1" applyFill="1" applyBorder="1" applyAlignment="1" applyProtection="1">
      <alignment vertical="center" wrapText="1"/>
    </xf>
    <xf numFmtId="3" fontId="140" fillId="2" borderId="1" xfId="0" applyNumberFormat="1" applyFont="1" applyFill="1" applyBorder="1" applyAlignment="1" applyProtection="1">
      <alignment horizontal="right" vertical="center"/>
    </xf>
    <xf numFmtId="1" fontId="125" fillId="2" borderId="0" xfId="0" applyNumberFormat="1" applyFont="1" applyFill="1" applyAlignment="1" applyProtection="1">
      <alignment horizontal="center"/>
    </xf>
    <xf numFmtId="3" fontId="123" fillId="2" borderId="0" xfId="0" applyNumberFormat="1" applyFont="1" applyFill="1" applyBorder="1" applyAlignment="1" applyProtection="1">
      <alignment horizontal="left" wrapText="1"/>
    </xf>
    <xf numFmtId="3" fontId="140" fillId="2" borderId="14" xfId="0" applyNumberFormat="1" applyFont="1" applyFill="1" applyBorder="1" applyAlignment="1" applyProtection="1">
      <alignment vertical="center"/>
    </xf>
    <xf numFmtId="3" fontId="140" fillId="2" borderId="42" xfId="0" applyNumberFormat="1" applyFont="1" applyFill="1" applyBorder="1" applyAlignment="1" applyProtection="1">
      <alignment vertical="center"/>
    </xf>
    <xf numFmtId="3" fontId="140" fillId="2" borderId="35" xfId="0" applyNumberFormat="1" applyFont="1" applyFill="1" applyBorder="1" applyAlignment="1" applyProtection="1">
      <alignment vertical="center"/>
    </xf>
    <xf numFmtId="3" fontId="140" fillId="2" borderId="29" xfId="0" applyNumberFormat="1" applyFont="1" applyFill="1" applyBorder="1" applyAlignment="1" applyProtection="1">
      <alignment vertical="center"/>
    </xf>
    <xf numFmtId="164" fontId="137" fillId="2" borderId="55" xfId="0" quotePrefix="1" applyNumberFormat="1" applyFont="1" applyFill="1" applyBorder="1" applyAlignment="1" applyProtection="1">
      <alignment horizontal="left" vertical="center"/>
    </xf>
    <xf numFmtId="3" fontId="135" fillId="2" borderId="56" xfId="0" applyNumberFormat="1" applyFont="1" applyFill="1" applyBorder="1" applyAlignment="1" applyProtection="1">
      <alignment horizontal="left" vertical="center" wrapText="1"/>
    </xf>
    <xf numFmtId="3" fontId="140" fillId="2" borderId="56" xfId="0" applyNumberFormat="1" applyFont="1" applyFill="1" applyBorder="1" applyAlignment="1" applyProtection="1">
      <alignment vertical="center"/>
    </xf>
    <xf numFmtId="3" fontId="140" fillId="2" borderId="66" xfId="0" applyNumberFormat="1" applyFont="1" applyFill="1" applyBorder="1" applyAlignment="1" applyProtection="1">
      <alignment vertical="center"/>
    </xf>
    <xf numFmtId="164" fontId="130" fillId="2" borderId="46" xfId="0" applyNumberFormat="1" applyFont="1" applyFill="1" applyBorder="1" applyAlignment="1" applyProtection="1">
      <alignment vertical="center"/>
    </xf>
    <xf numFmtId="164" fontId="130" fillId="2" borderId="48" xfId="0" applyNumberFormat="1" applyFont="1" applyFill="1" applyBorder="1" applyAlignment="1" applyProtection="1">
      <alignment vertical="center"/>
    </xf>
    <xf numFmtId="3" fontId="140" fillId="2" borderId="48" xfId="0" applyNumberFormat="1" applyFont="1" applyFill="1" applyBorder="1" applyAlignment="1" applyProtection="1">
      <alignment vertical="center"/>
    </xf>
    <xf numFmtId="3" fontId="140" fillId="2" borderId="47" xfId="0" applyNumberFormat="1" applyFont="1" applyFill="1" applyBorder="1" applyAlignment="1" applyProtection="1">
      <alignment vertical="center"/>
    </xf>
    <xf numFmtId="164" fontId="137" fillId="0" borderId="67" xfId="0" quotePrefix="1" applyNumberFormat="1" applyFont="1" applyFill="1" applyBorder="1" applyAlignment="1" applyProtection="1">
      <alignment horizontal="left" vertical="center"/>
    </xf>
    <xf numFmtId="3" fontId="135" fillId="0" borderId="30" xfId="0" applyNumberFormat="1" applyFont="1" applyFill="1" applyBorder="1" applyAlignment="1" applyProtection="1">
      <alignment horizontal="left" vertical="center" wrapText="1"/>
    </xf>
    <xf numFmtId="3" fontId="140" fillId="2" borderId="30" xfId="0" applyNumberFormat="1" applyFont="1" applyFill="1" applyBorder="1" applyAlignment="1" applyProtection="1">
      <alignment vertical="center"/>
    </xf>
    <xf numFmtId="3" fontId="140" fillId="2" borderId="68" xfId="0" applyNumberFormat="1" applyFont="1" applyFill="1" applyBorder="1" applyAlignment="1" applyProtection="1">
      <alignment vertical="center"/>
    </xf>
    <xf numFmtId="164" fontId="137" fillId="2" borderId="16" xfId="0" quotePrefix="1" applyNumberFormat="1" applyFont="1" applyFill="1" applyBorder="1" applyAlignment="1" applyProtection="1">
      <alignment horizontal="left" vertical="center"/>
    </xf>
    <xf numFmtId="3" fontId="135" fillId="2" borderId="17" xfId="0" applyNumberFormat="1" applyFont="1" applyFill="1" applyBorder="1" applyAlignment="1" applyProtection="1">
      <alignment horizontal="left" vertical="center" wrapText="1"/>
    </xf>
    <xf numFmtId="3" fontId="140" fillId="2" borderId="17" xfId="0" applyNumberFormat="1" applyFont="1" applyFill="1" applyBorder="1" applyAlignment="1" applyProtection="1">
      <alignment vertical="center"/>
    </xf>
    <xf numFmtId="3" fontId="140" fillId="2" borderId="18" xfId="0" applyNumberFormat="1" applyFont="1" applyFill="1" applyBorder="1" applyAlignment="1" applyProtection="1">
      <alignment vertical="center"/>
    </xf>
    <xf numFmtId="3" fontId="149" fillId="2" borderId="0" xfId="0" applyNumberFormat="1" applyFont="1" applyFill="1" applyProtection="1"/>
    <xf numFmtId="3" fontId="150" fillId="2" borderId="0" xfId="0" applyNumberFormat="1" applyFont="1" applyFill="1" applyProtection="1"/>
    <xf numFmtId="1" fontId="150" fillId="2" borderId="0" xfId="0" applyNumberFormat="1" applyFont="1" applyFill="1" applyAlignment="1" applyProtection="1">
      <alignment horizontal="center"/>
    </xf>
    <xf numFmtId="3" fontId="149" fillId="2" borderId="0" xfId="0" applyNumberFormat="1" applyFont="1" applyFill="1" applyAlignment="1" applyProtection="1">
      <alignment wrapText="1"/>
    </xf>
    <xf numFmtId="3" fontId="148" fillId="2" borderId="0" xfId="0" applyNumberFormat="1" applyFont="1" applyFill="1" applyProtection="1"/>
    <xf numFmtId="0" fontId="150" fillId="2" borderId="0" xfId="0" applyFont="1" applyFill="1" applyProtection="1"/>
    <xf numFmtId="1" fontId="151" fillId="2" borderId="19" xfId="0" applyNumberFormat="1" applyFont="1" applyFill="1" applyBorder="1" applyAlignment="1" applyProtection="1">
      <alignment horizontal="center"/>
    </xf>
    <xf numFmtId="3" fontId="152" fillId="2" borderId="14" xfId="0" applyNumberFormat="1" applyFont="1" applyFill="1" applyBorder="1" applyAlignment="1" applyProtection="1">
      <alignment horizontal="center" wrapText="1"/>
    </xf>
    <xf numFmtId="3" fontId="149" fillId="2" borderId="19" xfId="0" applyNumberFormat="1" applyFont="1" applyFill="1" applyBorder="1" applyProtection="1"/>
    <xf numFmtId="3" fontId="154" fillId="2" borderId="14" xfId="0" applyNumberFormat="1" applyFont="1" applyFill="1" applyBorder="1" applyAlignment="1" applyProtection="1">
      <alignment horizontal="left" vertical="center" indent="1"/>
    </xf>
    <xf numFmtId="3" fontId="154" fillId="2" borderId="14" xfId="0" applyNumberFormat="1" applyFont="1" applyFill="1" applyBorder="1" applyAlignment="1" applyProtection="1">
      <alignment vertical="center"/>
    </xf>
    <xf numFmtId="3" fontId="148" fillId="2" borderId="42" xfId="0" applyNumberFormat="1" applyFont="1" applyFill="1" applyBorder="1" applyAlignment="1" applyProtection="1"/>
    <xf numFmtId="3" fontId="148" fillId="2" borderId="24" xfId="0" applyNumberFormat="1" applyFont="1" applyFill="1" applyBorder="1" applyAlignment="1" applyProtection="1">
      <alignment horizontal="center" vertical="center"/>
    </xf>
    <xf numFmtId="3" fontId="149" fillId="2" borderId="0" xfId="0" applyNumberFormat="1" applyFont="1" applyFill="1" applyBorder="1" applyProtection="1"/>
    <xf numFmtId="1" fontId="150" fillId="2" borderId="19" xfId="0" applyNumberFormat="1" applyFont="1" applyFill="1" applyBorder="1" applyAlignment="1" applyProtection="1">
      <alignment horizontal="center"/>
    </xf>
    <xf numFmtId="3" fontId="155" fillId="2" borderId="1" xfId="0" applyNumberFormat="1" applyFont="1" applyFill="1" applyBorder="1" applyProtection="1"/>
    <xf numFmtId="3" fontId="152" fillId="2" borderId="25" xfId="0" applyNumberFormat="1" applyFont="1" applyFill="1" applyBorder="1" applyAlignment="1" applyProtection="1">
      <alignment horizontal="centerContinuous"/>
    </xf>
    <xf numFmtId="3" fontId="152" fillId="2" borderId="2" xfId="0" applyNumberFormat="1" applyFont="1" applyFill="1" applyBorder="1" applyAlignment="1" applyProtection="1">
      <alignment horizontal="centerContinuous"/>
    </xf>
    <xf numFmtId="3" fontId="150" fillId="2" borderId="2" xfId="0" applyNumberFormat="1" applyFont="1" applyFill="1" applyBorder="1" applyAlignment="1" applyProtection="1">
      <alignment horizontal="centerContinuous"/>
    </xf>
    <xf numFmtId="3" fontId="150" fillId="2" borderId="3" xfId="0" applyNumberFormat="1" applyFont="1" applyFill="1" applyBorder="1" applyAlignment="1" applyProtection="1">
      <alignment horizontal="centerContinuous"/>
    </xf>
    <xf numFmtId="0" fontId="152" fillId="2" borderId="21" xfId="0" applyFont="1" applyFill="1" applyBorder="1" applyAlignment="1" applyProtection="1">
      <alignment horizontal="center" vertical="center"/>
    </xf>
    <xf numFmtId="1" fontId="151" fillId="2" borderId="20" xfId="0" applyNumberFormat="1" applyFont="1" applyFill="1" applyBorder="1" applyAlignment="1" applyProtection="1">
      <alignment horizontal="center"/>
    </xf>
    <xf numFmtId="3" fontId="156" fillId="2" borderId="20" xfId="0" applyNumberFormat="1" applyFont="1" applyFill="1" applyBorder="1" applyProtection="1"/>
    <xf numFmtId="1" fontId="150" fillId="2" borderId="20" xfId="0" applyNumberFormat="1" applyFont="1" applyFill="1" applyBorder="1" applyAlignment="1" applyProtection="1">
      <alignment horizontal="center"/>
    </xf>
    <xf numFmtId="3" fontId="149" fillId="2" borderId="20" xfId="0" applyNumberFormat="1" applyFont="1" applyFill="1" applyBorder="1" applyProtection="1"/>
    <xf numFmtId="3" fontId="150" fillId="2" borderId="4" xfId="0" applyNumberFormat="1" applyFont="1" applyFill="1" applyBorder="1" applyAlignment="1" applyProtection="1">
      <alignment horizontal="center"/>
    </xf>
    <xf numFmtId="3" fontId="152" fillId="2" borderId="26" xfId="0" applyNumberFormat="1" applyFont="1" applyFill="1" applyBorder="1" applyAlignment="1" applyProtection="1">
      <alignment horizontal="centerContinuous"/>
    </xf>
    <xf numFmtId="3" fontId="152" fillId="2" borderId="45" xfId="0" applyNumberFormat="1" applyFont="1" applyFill="1" applyBorder="1" applyAlignment="1" applyProtection="1">
      <alignment horizontal="centerContinuous"/>
    </xf>
    <xf numFmtId="3" fontId="152" fillId="2" borderId="49" xfId="0" applyNumberFormat="1" applyFont="1" applyFill="1" applyBorder="1" applyAlignment="1" applyProtection="1">
      <alignment horizontal="centerContinuous"/>
    </xf>
    <xf numFmtId="0" fontId="152" fillId="2" borderId="16" xfId="0" applyFont="1" applyFill="1" applyBorder="1" applyAlignment="1" applyProtection="1">
      <alignment horizontal="center" vertical="center"/>
    </xf>
    <xf numFmtId="3" fontId="148" fillId="2" borderId="18" xfId="0" applyNumberFormat="1" applyFont="1" applyFill="1" applyBorder="1" applyAlignment="1" applyProtection="1">
      <alignment horizontal="center" vertical="center"/>
    </xf>
    <xf numFmtId="0" fontId="148" fillId="2" borderId="0" xfId="0" applyFont="1" applyFill="1" applyAlignment="1" applyProtection="1">
      <alignment horizontal="centerContinuous" vertical="center"/>
    </xf>
    <xf numFmtId="3" fontId="149" fillId="2" borderId="41" xfId="0" applyNumberFormat="1" applyFont="1" applyFill="1" applyBorder="1" applyProtection="1"/>
    <xf numFmtId="3" fontId="149" fillId="2" borderId="44" xfId="0" applyNumberFormat="1" applyFont="1" applyFill="1" applyBorder="1" applyProtection="1"/>
    <xf numFmtId="3" fontId="149" fillId="2" borderId="61" xfId="0" applyNumberFormat="1" applyFont="1" applyFill="1" applyBorder="1" applyAlignment="1" applyProtection="1">
      <alignment horizontal="center"/>
    </xf>
    <xf numFmtId="3" fontId="149" fillId="2" borderId="0" xfId="0" applyNumberFormat="1" applyFont="1" applyFill="1" applyBorder="1" applyAlignment="1" applyProtection="1">
      <alignment horizontal="center"/>
    </xf>
    <xf numFmtId="3" fontId="160" fillId="2" borderId="41" xfId="0" applyNumberFormat="1" applyFont="1" applyFill="1" applyBorder="1" applyAlignment="1" applyProtection="1">
      <alignment horizontal="left" vertical="center"/>
    </xf>
    <xf numFmtId="3" fontId="149" fillId="2" borderId="12" xfId="0" applyNumberFormat="1" applyFont="1" applyFill="1" applyBorder="1" applyAlignment="1" applyProtection="1">
      <alignment vertical="center"/>
    </xf>
    <xf numFmtId="3" fontId="148" fillId="2" borderId="13" xfId="0" applyNumberFormat="1" applyFont="1" applyFill="1" applyBorder="1" applyAlignment="1" applyProtection="1">
      <alignment vertical="center"/>
    </xf>
    <xf numFmtId="3" fontId="148" fillId="2" borderId="0" xfId="0" applyNumberFormat="1" applyFont="1" applyFill="1" applyAlignment="1" applyProtection="1">
      <alignment vertical="center"/>
    </xf>
    <xf numFmtId="3" fontId="148" fillId="2" borderId="12" xfId="0" applyNumberFormat="1" applyFont="1" applyFill="1" applyBorder="1" applyAlignment="1" applyProtection="1">
      <alignment vertical="center"/>
    </xf>
    <xf numFmtId="3" fontId="150" fillId="2" borderId="13" xfId="0" applyNumberFormat="1" applyFont="1" applyFill="1" applyBorder="1" applyAlignment="1" applyProtection="1">
      <alignment vertical="center"/>
    </xf>
    <xf numFmtId="3" fontId="161" fillId="2" borderId="0" xfId="0" applyNumberFormat="1" applyFont="1" applyFill="1" applyProtection="1"/>
    <xf numFmtId="3" fontId="149" fillId="2" borderId="0" xfId="0" applyNumberFormat="1" applyFont="1" applyFill="1" applyBorder="1" applyAlignment="1" applyProtection="1">
      <alignment vertical="center"/>
    </xf>
    <xf numFmtId="3" fontId="148" fillId="2" borderId="0" xfId="0" applyNumberFormat="1" applyFont="1" applyFill="1" applyBorder="1" applyAlignment="1" applyProtection="1">
      <alignment vertical="center"/>
    </xf>
    <xf numFmtId="3" fontId="150" fillId="2" borderId="40" xfId="0" applyNumberFormat="1" applyFont="1" applyFill="1" applyBorder="1" applyAlignment="1" applyProtection="1">
      <alignment vertical="center"/>
    </xf>
    <xf numFmtId="3" fontId="162" fillId="2" borderId="62" xfId="0" applyNumberFormat="1" applyFont="1" applyFill="1" applyBorder="1" applyAlignment="1" applyProtection="1">
      <alignment horizontal="centerContinuous" vertical="center"/>
    </xf>
    <xf numFmtId="3" fontId="149" fillId="2" borderId="23" xfId="0" applyNumberFormat="1" applyFont="1" applyFill="1" applyBorder="1" applyAlignment="1" applyProtection="1">
      <alignment horizontal="centerContinuous"/>
    </xf>
    <xf numFmtId="3" fontId="149" fillId="2" borderId="24" xfId="0" applyNumberFormat="1" applyFont="1" applyFill="1" applyBorder="1" applyAlignment="1" applyProtection="1">
      <alignment horizontal="centerContinuous"/>
    </xf>
    <xf numFmtId="3" fontId="162" fillId="2" borderId="21" xfId="0" applyNumberFormat="1" applyFont="1" applyFill="1" applyBorder="1" applyAlignment="1" applyProtection="1">
      <alignment horizontal="centerContinuous" vertical="center" wrapText="1"/>
    </xf>
    <xf numFmtId="3" fontId="149" fillId="2" borderId="4" xfId="0" applyNumberFormat="1" applyFont="1" applyFill="1" applyBorder="1" applyAlignment="1" applyProtection="1">
      <alignment horizontal="center"/>
    </xf>
    <xf numFmtId="3" fontId="149" fillId="2" borderId="44" xfId="0" applyNumberFormat="1" applyFont="1" applyFill="1" applyBorder="1" applyAlignment="1" applyProtection="1">
      <alignment horizontal="center"/>
    </xf>
    <xf numFmtId="3" fontId="149" fillId="2" borderId="40" xfId="0" applyNumberFormat="1" applyFont="1" applyFill="1" applyBorder="1" applyAlignment="1" applyProtection="1">
      <alignment horizontal="center"/>
    </xf>
    <xf numFmtId="0" fontId="162" fillId="2" borderId="1" xfId="0" applyFont="1" applyFill="1" applyBorder="1" applyAlignment="1" applyProtection="1">
      <alignment horizontal="center" vertical="center"/>
    </xf>
    <xf numFmtId="0" fontId="162" fillId="2" borderId="25" xfId="0" applyFont="1" applyFill="1" applyBorder="1" applyAlignment="1" applyProtection="1">
      <alignment horizontal="centerContinuous" vertical="center"/>
    </xf>
    <xf numFmtId="0" fontId="161" fillId="2" borderId="2" xfId="0" applyFont="1" applyFill="1" applyBorder="1" applyAlignment="1" applyProtection="1">
      <alignment horizontal="centerContinuous"/>
    </xf>
    <xf numFmtId="0" fontId="162" fillId="2" borderId="3" xfId="0" applyFont="1" applyFill="1" applyBorder="1" applyAlignment="1" applyProtection="1">
      <alignment horizontal="centerContinuous" vertical="center"/>
    </xf>
    <xf numFmtId="0" fontId="161" fillId="2" borderId="0" xfId="0" applyFont="1" applyFill="1" applyBorder="1" applyAlignment="1" applyProtection="1">
      <alignment horizontal="centerContinuous"/>
    </xf>
    <xf numFmtId="0" fontId="163" fillId="2" borderId="67" xfId="0" applyFont="1" applyFill="1" applyBorder="1" applyAlignment="1" applyProtection="1">
      <alignment horizontal="centerContinuous" vertical="center"/>
    </xf>
    <xf numFmtId="0" fontId="163" fillId="2" borderId="21" xfId="0" applyFont="1" applyFill="1" applyBorder="1" applyAlignment="1" applyProtection="1">
      <alignment horizontal="centerContinuous" vertical="center"/>
    </xf>
    <xf numFmtId="0" fontId="163" fillId="2" borderId="23" xfId="0" applyFont="1" applyFill="1" applyBorder="1" applyAlignment="1" applyProtection="1">
      <alignment horizontal="centerContinuous" vertical="center"/>
    </xf>
    <xf numFmtId="0" fontId="163" fillId="2" borderId="23" xfId="0" applyFont="1" applyFill="1" applyBorder="1" applyAlignment="1" applyProtection="1">
      <alignment horizontal="centerContinuous"/>
    </xf>
    <xf numFmtId="3" fontId="163" fillId="2" borderId="24" xfId="0" applyNumberFormat="1" applyFont="1" applyFill="1" applyBorder="1" applyAlignment="1" applyProtection="1">
      <alignment horizontal="centerContinuous" vertical="center"/>
    </xf>
    <xf numFmtId="3" fontId="161" fillId="2" borderId="38" xfId="0" applyNumberFormat="1" applyFont="1" applyFill="1" applyBorder="1" applyAlignment="1" applyProtection="1">
      <alignment horizontal="center" vertical="center"/>
    </xf>
    <xf numFmtId="3" fontId="161" fillId="2" borderId="7" xfId="0" applyNumberFormat="1" applyFont="1" applyFill="1" applyBorder="1" applyAlignment="1" applyProtection="1">
      <alignment horizontal="center" vertical="center"/>
    </xf>
    <xf numFmtId="3" fontId="161" fillId="2" borderId="34" xfId="0" applyNumberFormat="1" applyFont="1" applyFill="1" applyBorder="1" applyAlignment="1" applyProtection="1">
      <alignment horizontal="center" vertical="center"/>
    </xf>
    <xf numFmtId="3" fontId="161" fillId="2" borderId="44" xfId="0" applyNumberFormat="1" applyFont="1" applyFill="1" applyBorder="1" applyAlignment="1" applyProtection="1">
      <alignment horizontal="center" vertical="center"/>
    </xf>
    <xf numFmtId="3" fontId="161" fillId="2" borderId="43" xfId="0" applyNumberFormat="1" applyFont="1" applyFill="1" applyBorder="1" applyAlignment="1" applyProtection="1">
      <alignment horizontal="center" vertical="center"/>
    </xf>
    <xf numFmtId="3" fontId="161" fillId="2" borderId="39" xfId="0" applyNumberFormat="1" applyFont="1" applyFill="1" applyBorder="1" applyAlignment="1" applyProtection="1">
      <alignment horizontal="center" vertical="center"/>
    </xf>
    <xf numFmtId="3" fontId="161" fillId="2" borderId="17" xfId="0" applyNumberFormat="1" applyFont="1" applyFill="1" applyBorder="1" applyAlignment="1" applyProtection="1">
      <alignment horizontal="center" vertical="center"/>
    </xf>
    <xf numFmtId="3" fontId="161" fillId="2" borderId="18" xfId="0" applyNumberFormat="1" applyFont="1" applyFill="1" applyBorder="1" applyAlignment="1" applyProtection="1">
      <alignment horizontal="center" vertical="center"/>
    </xf>
    <xf numFmtId="3" fontId="161" fillId="2" borderId="16" xfId="0" applyNumberFormat="1" applyFont="1" applyFill="1" applyBorder="1" applyAlignment="1" applyProtection="1">
      <alignment horizontal="center" vertical="center"/>
    </xf>
    <xf numFmtId="3" fontId="149" fillId="2" borderId="31" xfId="0" applyNumberFormat="1" applyFont="1" applyFill="1" applyBorder="1" applyProtection="1"/>
    <xf numFmtId="3" fontId="149" fillId="2" borderId="63" xfId="0" applyNumberFormat="1" applyFont="1" applyFill="1" applyBorder="1" applyProtection="1"/>
    <xf numFmtId="3" fontId="149" fillId="2" borderId="58" xfId="0" applyNumberFormat="1" applyFont="1" applyFill="1" applyBorder="1" applyAlignment="1" applyProtection="1">
      <alignment horizontal="center"/>
    </xf>
    <xf numFmtId="3" fontId="149" fillId="2" borderId="13" xfId="0" applyNumberFormat="1" applyFont="1" applyFill="1" applyBorder="1" applyAlignment="1" applyProtection="1">
      <alignment horizontal="center"/>
    </xf>
    <xf numFmtId="0" fontId="161" fillId="2" borderId="64" xfId="0" applyFont="1" applyFill="1" applyBorder="1" applyAlignment="1" applyProtection="1">
      <alignment horizontal="centerContinuous" vertical="center"/>
    </xf>
    <xf numFmtId="0" fontId="161" fillId="2" borderId="16" xfId="0" applyFont="1" applyFill="1" applyBorder="1" applyAlignment="1" applyProtection="1">
      <alignment horizontal="center" vertical="center" wrapText="1"/>
    </xf>
    <xf numFmtId="0" fontId="161" fillId="2" borderId="17" xfId="0" applyFont="1" applyFill="1" applyBorder="1" applyAlignment="1" applyProtection="1">
      <alignment horizontal="center" vertical="center" wrapText="1"/>
    </xf>
    <xf numFmtId="0" fontId="161" fillId="2" borderId="18" xfId="0" applyFont="1" applyFill="1" applyBorder="1" applyAlignment="1" applyProtection="1">
      <alignment horizontal="center" vertical="center" wrapText="1"/>
    </xf>
    <xf numFmtId="0" fontId="161" fillId="2" borderId="0" xfId="0" applyFont="1" applyFill="1" applyBorder="1" applyAlignment="1" applyProtection="1">
      <alignment horizontal="center" vertical="center" wrapText="1"/>
    </xf>
    <xf numFmtId="0" fontId="163" fillId="2" borderId="5" xfId="0" applyFont="1" applyFill="1" applyBorder="1" applyAlignment="1" applyProtection="1">
      <alignment horizontal="centerContinuous" vertical="center"/>
    </xf>
    <xf numFmtId="0" fontId="163" fillId="2" borderId="8"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0" fontId="163" fillId="2" borderId="38" xfId="0" applyFont="1" applyFill="1" applyBorder="1" applyAlignment="1" applyProtection="1">
      <alignment horizontal="center" vertical="center" wrapText="1"/>
    </xf>
    <xf numFmtId="0" fontId="163" fillId="2" borderId="7" xfId="0" applyFont="1" applyFill="1" applyBorder="1" applyAlignment="1" applyProtection="1">
      <alignment horizontal="center" vertical="center" wrapText="1"/>
    </xf>
    <xf numFmtId="0" fontId="163" fillId="2" borderId="34" xfId="0" applyFont="1" applyFill="1" applyBorder="1" applyAlignment="1" applyProtection="1">
      <alignment horizontal="center" vertical="center" wrapText="1"/>
    </xf>
    <xf numFmtId="1" fontId="148" fillId="2" borderId="46" xfId="0" applyNumberFormat="1" applyFont="1" applyFill="1" applyBorder="1" applyAlignment="1" applyProtection="1">
      <alignment horizontal="center" vertical="center"/>
    </xf>
    <xf numFmtId="3" fontId="148" fillId="2" borderId="48" xfId="0" applyNumberFormat="1" applyFont="1" applyFill="1" applyBorder="1" applyAlignment="1" applyProtection="1">
      <alignment horizontal="center" vertical="center" wrapText="1"/>
    </xf>
    <xf numFmtId="3" fontId="161" fillId="2" borderId="48" xfId="0" applyNumberFormat="1" applyFont="1" applyFill="1" applyBorder="1" applyAlignment="1" applyProtection="1">
      <alignment horizontal="center" vertical="center"/>
    </xf>
    <xf numFmtId="3" fontId="161" fillId="2" borderId="47" xfId="0" applyNumberFormat="1" applyFont="1" applyFill="1" applyBorder="1" applyAlignment="1" applyProtection="1">
      <alignment horizontal="center" vertical="center"/>
    </xf>
    <xf numFmtId="3" fontId="161" fillId="2" borderId="46" xfId="0" applyNumberFormat="1" applyFont="1" applyFill="1" applyBorder="1" applyAlignment="1" applyProtection="1">
      <alignment horizontal="center" vertical="center"/>
    </xf>
    <xf numFmtId="3" fontId="150" fillId="2" borderId="0" xfId="0" applyNumberFormat="1" applyFont="1" applyFill="1" applyAlignment="1" applyProtection="1">
      <alignment vertical="center"/>
    </xf>
    <xf numFmtId="1" fontId="148" fillId="2" borderId="46" xfId="0" applyNumberFormat="1" applyFont="1" applyFill="1" applyBorder="1" applyAlignment="1" applyProtection="1">
      <alignment horizontal="center" vertical="center" wrapText="1"/>
    </xf>
    <xf numFmtId="3" fontId="161" fillId="2" borderId="35" xfId="0" applyNumberFormat="1" applyFont="1" applyFill="1" applyBorder="1" applyAlignment="1" applyProtection="1">
      <alignment horizontal="center" vertical="center"/>
    </xf>
    <xf numFmtId="3" fontId="161" fillId="2" borderId="29" xfId="0" applyNumberFormat="1" applyFont="1" applyFill="1" applyBorder="1" applyAlignment="1" applyProtection="1">
      <alignment horizontal="center" vertical="center"/>
    </xf>
    <xf numFmtId="3" fontId="150" fillId="2" borderId="4" xfId="0" applyNumberFormat="1" applyFont="1" applyFill="1" applyBorder="1" applyAlignment="1" applyProtection="1">
      <alignment horizontal="center" vertical="center"/>
    </xf>
    <xf numFmtId="3" fontId="150" fillId="2" borderId="6" xfId="0" applyNumberFormat="1" applyFont="1" applyFill="1" applyBorder="1" applyAlignment="1" applyProtection="1">
      <alignment horizontal="left" vertical="center"/>
    </xf>
    <xf numFmtId="3" fontId="150" fillId="2" borderId="65" xfId="0" applyNumberFormat="1" applyFont="1" applyFill="1" applyBorder="1" applyAlignment="1" applyProtection="1">
      <alignment vertical="center"/>
    </xf>
    <xf numFmtId="3" fontId="150" fillId="2" borderId="0" xfId="0" applyNumberFormat="1" applyFont="1" applyFill="1" applyBorder="1" applyAlignment="1" applyProtection="1">
      <alignment vertical="center"/>
    </xf>
    <xf numFmtId="10" fontId="150" fillId="2" borderId="30" xfId="0" applyNumberFormat="1" applyFont="1" applyFill="1" applyBorder="1" applyAlignment="1" applyProtection="1">
      <alignment vertical="center"/>
    </xf>
    <xf numFmtId="3" fontId="150" fillId="2" borderId="43" xfId="0" applyNumberFormat="1" applyFont="1" applyFill="1" applyBorder="1" applyAlignment="1" applyProtection="1">
      <alignment vertical="center"/>
    </xf>
    <xf numFmtId="0" fontId="164" fillId="2" borderId="25" xfId="0" applyFont="1" applyFill="1" applyBorder="1" applyAlignment="1" applyProtection="1">
      <alignment wrapText="1"/>
    </xf>
    <xf numFmtId="3" fontId="163" fillId="2" borderId="21" xfId="0" applyNumberFormat="1" applyFont="1" applyFill="1" applyBorder="1" applyProtection="1"/>
    <xf numFmtId="3" fontId="163" fillId="2" borderId="23" xfId="0" applyNumberFormat="1" applyFont="1" applyFill="1" applyBorder="1" applyProtection="1"/>
    <xf numFmtId="3" fontId="163" fillId="2" borderId="24" xfId="0" applyNumberFormat="1" applyFont="1" applyFill="1" applyBorder="1" applyProtection="1"/>
    <xf numFmtId="3" fontId="163" fillId="2" borderId="0" xfId="0" applyNumberFormat="1" applyFont="1" applyFill="1" applyBorder="1" applyProtection="1"/>
    <xf numFmtId="0" fontId="163" fillId="3" borderId="5" xfId="0" applyFont="1" applyFill="1" applyBorder="1" applyAlignment="1" applyProtection="1">
      <alignment wrapText="1"/>
    </xf>
    <xf numFmtId="3" fontId="163" fillId="3" borderId="30" xfId="0" applyNumberFormat="1" applyFont="1" applyFill="1" applyBorder="1" applyAlignment="1" applyProtection="1">
      <alignment horizontal="right"/>
    </xf>
    <xf numFmtId="0" fontId="163" fillId="2" borderId="25" xfId="0" applyFont="1" applyFill="1" applyBorder="1" applyAlignment="1" applyProtection="1">
      <alignment wrapText="1"/>
    </xf>
    <xf numFmtId="3" fontId="163" fillId="2" borderId="21" xfId="0" applyNumberFormat="1" applyFont="1" applyFill="1" applyBorder="1" applyAlignment="1" applyProtection="1">
      <alignment horizontal="right"/>
    </xf>
    <xf numFmtId="3" fontId="163" fillId="2" borderId="23" xfId="0" applyNumberFormat="1" applyFont="1" applyFill="1" applyBorder="1" applyAlignment="1" applyProtection="1">
      <alignment horizontal="right"/>
    </xf>
    <xf numFmtId="3" fontId="163" fillId="2" borderId="24" xfId="0" applyNumberFormat="1" applyFont="1" applyFill="1" applyBorder="1" applyAlignment="1" applyProtection="1">
      <alignment horizontal="right"/>
    </xf>
    <xf numFmtId="1" fontId="163" fillId="2" borderId="46" xfId="0" applyNumberFormat="1" applyFont="1" applyFill="1" applyBorder="1" applyAlignment="1" applyProtection="1">
      <alignment horizontal="center" vertical="center"/>
    </xf>
    <xf numFmtId="3" fontId="165" fillId="2" borderId="35" xfId="0" applyNumberFormat="1" applyFont="1" applyFill="1" applyBorder="1" applyAlignment="1" applyProtection="1">
      <alignment vertical="center" wrapText="1"/>
    </xf>
    <xf numFmtId="3" fontId="161" fillId="2" borderId="28" xfId="0" applyNumberFormat="1" applyFont="1" applyFill="1" applyBorder="1" applyAlignment="1" applyProtection="1">
      <alignment horizontal="right" vertical="center"/>
    </xf>
    <xf numFmtId="3" fontId="149" fillId="2" borderId="0" xfId="0" applyNumberFormat="1" applyFont="1" applyFill="1" applyBorder="1" applyAlignment="1" applyProtection="1">
      <alignment horizontal="right" vertical="center"/>
    </xf>
    <xf numFmtId="3" fontId="161" fillId="2" borderId="35" xfId="0" applyNumberFormat="1" applyFont="1" applyFill="1" applyBorder="1" applyAlignment="1" applyProtection="1">
      <alignment horizontal="right" vertical="center"/>
    </xf>
    <xf numFmtId="3" fontId="161" fillId="2" borderId="29" xfId="0" applyNumberFormat="1" applyFont="1" applyFill="1" applyBorder="1" applyAlignment="1" applyProtection="1">
      <alignment horizontal="right" vertical="center"/>
    </xf>
    <xf numFmtId="164" fontId="151" fillId="2" borderId="35" xfId="0" applyNumberFormat="1" applyFont="1" applyFill="1" applyBorder="1" applyAlignment="1" applyProtection="1">
      <alignment horizontal="center" vertical="center"/>
    </xf>
    <xf numFmtId="3" fontId="153" fillId="2" borderId="29" xfId="0" applyNumberFormat="1" applyFont="1" applyFill="1" applyBorder="1" applyAlignment="1" applyProtection="1">
      <alignment vertical="center" wrapText="1"/>
    </xf>
    <xf numFmtId="3" fontId="166" fillId="2" borderId="54" xfId="0" applyNumberFormat="1" applyFont="1" applyFill="1" applyBorder="1" applyAlignment="1" applyProtection="1">
      <alignment horizontal="right" vertical="center"/>
    </xf>
    <xf numFmtId="3" fontId="166" fillId="2" borderId="28" xfId="0" applyNumberFormat="1" applyFont="1" applyFill="1" applyBorder="1" applyAlignment="1" applyProtection="1">
      <alignment horizontal="right" vertical="center"/>
    </xf>
    <xf numFmtId="3" fontId="166" fillId="2" borderId="36" xfId="0" applyNumberFormat="1" applyFont="1" applyFill="1" applyBorder="1" applyAlignment="1" applyProtection="1">
      <alignment horizontal="right" vertical="center"/>
    </xf>
    <xf numFmtId="3" fontId="166" fillId="2" borderId="35" xfId="0" applyNumberFormat="1" applyFont="1" applyFill="1" applyBorder="1" applyAlignment="1" applyProtection="1">
      <alignment horizontal="right" vertical="center"/>
    </xf>
    <xf numFmtId="3" fontId="166" fillId="2" borderId="29" xfId="0" applyNumberFormat="1" applyFont="1" applyFill="1" applyBorder="1" applyAlignment="1" applyProtection="1">
      <alignment horizontal="right" vertical="center"/>
    </xf>
    <xf numFmtId="3" fontId="166" fillId="2" borderId="55" xfId="0" applyNumberFormat="1" applyFont="1" applyFill="1" applyBorder="1" applyAlignment="1" applyProtection="1">
      <alignment horizontal="right" vertical="center"/>
    </xf>
    <xf numFmtId="3" fontId="166" fillId="2" borderId="66" xfId="0" applyNumberFormat="1" applyFont="1" applyFill="1" applyBorder="1" applyAlignment="1" applyProtection="1">
      <alignment horizontal="right" vertical="center"/>
    </xf>
    <xf numFmtId="3" fontId="150" fillId="2" borderId="7" xfId="0" applyNumberFormat="1" applyFont="1" applyFill="1" applyBorder="1" applyAlignment="1" applyProtection="1">
      <alignment vertical="center"/>
    </xf>
    <xf numFmtId="10" fontId="150" fillId="2" borderId="8" xfId="0" applyNumberFormat="1" applyFont="1" applyFill="1" applyBorder="1" applyAlignment="1" applyProtection="1">
      <alignment vertical="center"/>
    </xf>
    <xf numFmtId="3" fontId="150" fillId="2" borderId="34" xfId="0" applyNumberFormat="1" applyFont="1" applyFill="1" applyBorder="1" applyAlignment="1" applyProtection="1">
      <alignment vertical="center"/>
    </xf>
    <xf numFmtId="0" fontId="164" fillId="2" borderId="26" xfId="0" applyFont="1" applyFill="1" applyBorder="1" applyAlignment="1" applyProtection="1">
      <alignment wrapText="1"/>
    </xf>
    <xf numFmtId="3" fontId="163" fillId="2" borderId="5" xfId="0" applyNumberFormat="1" applyFont="1" applyFill="1" applyBorder="1" applyProtection="1"/>
    <xf numFmtId="3" fontId="163" fillId="2" borderId="8" xfId="0" applyNumberFormat="1" applyFont="1" applyFill="1" applyBorder="1" applyProtection="1"/>
    <xf numFmtId="3" fontId="163" fillId="2" borderId="9" xfId="0" applyNumberFormat="1" applyFont="1" applyFill="1" applyBorder="1" applyProtection="1"/>
    <xf numFmtId="0" fontId="150" fillId="3" borderId="5" xfId="0" applyFont="1" applyFill="1" applyBorder="1" applyAlignment="1" applyProtection="1">
      <alignment wrapText="1"/>
    </xf>
    <xf numFmtId="3" fontId="167" fillId="2" borderId="8" xfId="0" applyNumberFormat="1" applyFont="1" applyFill="1" applyBorder="1" applyAlignment="1" applyProtection="1">
      <alignment horizontal="right" wrapText="1"/>
    </xf>
    <xf numFmtId="0" fontId="150" fillId="2" borderId="26" xfId="0" applyFont="1" applyFill="1" applyBorder="1" applyAlignment="1" applyProtection="1">
      <alignment wrapText="1"/>
    </xf>
    <xf numFmtId="3" fontId="167" fillId="2" borderId="5" xfId="0" applyNumberFormat="1" applyFont="1" applyFill="1" applyBorder="1" applyAlignment="1" applyProtection="1">
      <alignment horizontal="right" wrapText="1"/>
    </xf>
    <xf numFmtId="3" fontId="167" fillId="2" borderId="9" xfId="0" applyNumberFormat="1" applyFont="1" applyFill="1" applyBorder="1" applyAlignment="1" applyProtection="1">
      <alignment horizontal="right" wrapText="1"/>
    </xf>
    <xf numFmtId="1" fontId="163" fillId="2" borderId="20" xfId="0" applyNumberFormat="1" applyFont="1" applyFill="1" applyBorder="1" applyAlignment="1" applyProtection="1">
      <alignment horizontal="center" vertical="center"/>
    </xf>
    <xf numFmtId="3" fontId="153" fillId="2" borderId="20" xfId="0" applyNumberFormat="1" applyFont="1" applyFill="1" applyBorder="1" applyAlignment="1" applyProtection="1">
      <alignment vertical="center" wrapText="1"/>
    </xf>
    <xf numFmtId="3" fontId="161" fillId="2" borderId="0" xfId="0" applyNumberFormat="1" applyFont="1" applyFill="1" applyBorder="1" applyAlignment="1" applyProtection="1">
      <alignment horizontal="right" vertical="center"/>
    </xf>
    <xf numFmtId="3" fontId="161" fillId="2" borderId="40" xfId="0" applyNumberFormat="1" applyFont="1" applyFill="1" applyBorder="1" applyAlignment="1" applyProtection="1">
      <alignment horizontal="right" vertical="center"/>
    </xf>
    <xf numFmtId="3" fontId="161" fillId="2" borderId="20" xfId="0" applyNumberFormat="1" applyFont="1" applyFill="1" applyBorder="1" applyAlignment="1" applyProtection="1">
      <alignment horizontal="right" vertical="center"/>
    </xf>
    <xf numFmtId="3" fontId="166" fillId="2" borderId="46" xfId="0" applyNumberFormat="1" applyFont="1" applyFill="1" applyBorder="1" applyAlignment="1" applyProtection="1">
      <alignment horizontal="right" vertical="center"/>
    </xf>
    <xf numFmtId="3" fontId="166" fillId="2" borderId="47" xfId="0" applyNumberFormat="1" applyFont="1" applyFill="1" applyBorder="1" applyAlignment="1" applyProtection="1">
      <alignment horizontal="right" vertical="center"/>
    </xf>
    <xf numFmtId="3" fontId="149" fillId="2" borderId="4" xfId="0" applyNumberFormat="1" applyFont="1" applyFill="1" applyBorder="1" applyAlignment="1" applyProtection="1">
      <alignment vertical="center"/>
    </xf>
    <xf numFmtId="10" fontId="149" fillId="2" borderId="8" xfId="0" applyNumberFormat="1" applyFont="1" applyFill="1" applyBorder="1" applyAlignment="1" applyProtection="1">
      <alignment vertical="center"/>
    </xf>
    <xf numFmtId="3" fontId="149" fillId="2" borderId="7" xfId="0" applyNumberFormat="1" applyFont="1" applyFill="1" applyBorder="1" applyAlignment="1" applyProtection="1">
      <alignment vertical="center"/>
    </xf>
    <xf numFmtId="3" fontId="149" fillId="2" borderId="34" xfId="0" applyNumberFormat="1" applyFont="1" applyFill="1" applyBorder="1" applyAlignment="1" applyProtection="1">
      <alignment vertical="center"/>
    </xf>
    <xf numFmtId="0" fontId="149" fillId="2" borderId="26" xfId="0" applyFont="1" applyFill="1" applyBorder="1" applyAlignment="1" applyProtection="1">
      <alignment vertical="center" wrapText="1"/>
    </xf>
    <xf numFmtId="3" fontId="167" fillId="2" borderId="5" xfId="0" applyNumberFormat="1" applyFont="1" applyFill="1" applyBorder="1" applyAlignment="1" applyProtection="1">
      <alignment vertical="center"/>
    </xf>
    <xf numFmtId="3" fontId="167" fillId="2" borderId="8" xfId="0" applyNumberFormat="1" applyFont="1" applyFill="1" applyBorder="1" applyAlignment="1" applyProtection="1">
      <alignment vertical="center"/>
    </xf>
    <xf numFmtId="3" fontId="167" fillId="2" borderId="9" xfId="0" applyNumberFormat="1" applyFont="1" applyFill="1" applyBorder="1" applyAlignment="1" applyProtection="1">
      <alignment vertical="center"/>
    </xf>
    <xf numFmtId="3" fontId="167" fillId="2" borderId="0" xfId="0" applyNumberFormat="1" applyFont="1" applyFill="1" applyBorder="1" applyAlignment="1" applyProtection="1">
      <alignment vertical="center"/>
    </xf>
    <xf numFmtId="0" fontId="150" fillId="3" borderId="5" xfId="0" applyFont="1" applyFill="1" applyBorder="1" applyAlignment="1" applyProtection="1">
      <alignment horizontal="left" wrapText="1" indent="1"/>
    </xf>
    <xf numFmtId="3" fontId="167" fillId="2" borderId="8" xfId="0" applyNumberFormat="1" applyFont="1" applyFill="1" applyBorder="1" applyAlignment="1" applyProtection="1">
      <alignment horizontal="right" vertical="center" wrapText="1"/>
    </xf>
    <xf numFmtId="0" fontId="150" fillId="2" borderId="26" xfId="0" applyFont="1" applyFill="1" applyBorder="1" applyAlignment="1" applyProtection="1">
      <alignment horizontal="left" wrapText="1" indent="1"/>
    </xf>
    <xf numFmtId="3" fontId="167" fillId="2" borderId="5" xfId="0" applyNumberFormat="1" applyFont="1" applyFill="1" applyBorder="1" applyAlignment="1" applyProtection="1">
      <alignment horizontal="right" vertical="center" wrapText="1"/>
    </xf>
    <xf numFmtId="3" fontId="167" fillId="2" borderId="9" xfId="0" applyNumberFormat="1" applyFont="1" applyFill="1" applyBorder="1" applyAlignment="1" applyProtection="1">
      <alignment horizontal="right" vertical="center" wrapText="1"/>
    </xf>
    <xf numFmtId="1" fontId="163" fillId="2" borderId="25" xfId="0" applyNumberFormat="1" applyFont="1" applyFill="1" applyBorder="1" applyAlignment="1" applyProtection="1">
      <alignment horizontal="center" vertical="center"/>
    </xf>
    <xf numFmtId="3" fontId="156" fillId="2" borderId="25" xfId="0" applyNumberFormat="1" applyFont="1" applyFill="1" applyBorder="1" applyAlignment="1" applyProtection="1">
      <alignment vertical="center" wrapText="1"/>
    </xf>
    <xf numFmtId="3" fontId="161" fillId="2" borderId="21" xfId="0" applyNumberFormat="1" applyFont="1" applyFill="1" applyBorder="1" applyAlignment="1" applyProtection="1">
      <alignment horizontal="right" vertical="center"/>
    </xf>
    <xf numFmtId="3" fontId="161" fillId="2" borderId="23" xfId="0" applyNumberFormat="1" applyFont="1" applyFill="1" applyBorder="1" applyAlignment="1" applyProtection="1">
      <alignment horizontal="right" vertical="center"/>
    </xf>
    <xf numFmtId="3" fontId="161" fillId="2" borderId="24" xfId="0" applyNumberFormat="1" applyFont="1" applyFill="1" applyBorder="1" applyAlignment="1" applyProtection="1">
      <alignment horizontal="right" vertical="center"/>
    </xf>
    <xf numFmtId="3" fontId="161" fillId="2" borderId="62" xfId="0" applyNumberFormat="1" applyFont="1" applyFill="1" applyBorder="1" applyAlignment="1" applyProtection="1">
      <alignment horizontal="right" vertical="center"/>
    </xf>
    <xf numFmtId="3" fontId="161" fillId="2" borderId="50" xfId="0" applyNumberFormat="1" applyFont="1" applyFill="1" applyBorder="1" applyAlignment="1" applyProtection="1">
      <alignment horizontal="right" vertical="center"/>
    </xf>
    <xf numFmtId="164" fontId="153" fillId="2" borderId="21" xfId="0" applyNumberFormat="1" applyFont="1" applyFill="1" applyBorder="1" applyAlignment="1" applyProtection="1">
      <alignment horizontal="center" vertical="center"/>
    </xf>
    <xf numFmtId="3" fontId="156" fillId="2" borderId="24" xfId="0" applyNumberFormat="1" applyFont="1" applyFill="1" applyBorder="1" applyAlignment="1" applyProtection="1">
      <alignment vertical="center" wrapText="1"/>
    </xf>
    <xf numFmtId="3" fontId="166" fillId="2" borderId="62" xfId="0" applyNumberFormat="1" applyFont="1" applyFill="1" applyBorder="1" applyAlignment="1" applyProtection="1">
      <alignment horizontal="right" vertical="center"/>
    </xf>
    <xf numFmtId="3" fontId="166" fillId="2" borderId="23" xfId="0" applyNumberFormat="1" applyFont="1" applyFill="1" applyBorder="1" applyAlignment="1" applyProtection="1">
      <alignment horizontal="right" vertical="center"/>
    </xf>
    <xf numFmtId="3" fontId="166" fillId="2" borderId="50" xfId="0" applyNumberFormat="1" applyFont="1" applyFill="1" applyBorder="1" applyAlignment="1" applyProtection="1">
      <alignment horizontal="right" vertical="center"/>
    </xf>
    <xf numFmtId="3" fontId="166" fillId="2" borderId="21" xfId="0" applyNumberFormat="1" applyFont="1" applyFill="1" applyBorder="1" applyAlignment="1" applyProtection="1">
      <alignment horizontal="right" vertical="center"/>
    </xf>
    <xf numFmtId="3" fontId="166" fillId="2" borderId="24" xfId="0" applyNumberFormat="1" applyFont="1" applyFill="1" applyBorder="1" applyAlignment="1" applyProtection="1">
      <alignment horizontal="right" vertical="center"/>
    </xf>
    <xf numFmtId="3" fontId="166" fillId="2" borderId="67" xfId="0" applyNumberFormat="1" applyFont="1" applyFill="1" applyBorder="1" applyAlignment="1" applyProtection="1">
      <alignment horizontal="right" vertical="center"/>
    </xf>
    <xf numFmtId="3" fontId="166" fillId="2" borderId="68" xfId="0" applyNumberFormat="1" applyFont="1" applyFill="1" applyBorder="1" applyAlignment="1" applyProtection="1">
      <alignment horizontal="right" vertical="center"/>
    </xf>
    <xf numFmtId="0" fontId="149" fillId="2" borderId="26" xfId="0" applyFont="1" applyFill="1" applyBorder="1" applyAlignment="1" applyProtection="1">
      <alignment horizontal="left" vertical="center" wrapText="1"/>
    </xf>
    <xf numFmtId="3" fontId="167" fillId="2" borderId="8" xfId="0" applyNumberFormat="1" applyFont="1" applyFill="1" applyBorder="1" applyAlignment="1" applyProtection="1">
      <alignment horizontal="right"/>
    </xf>
    <xf numFmtId="165" fontId="151" fillId="2" borderId="26" xfId="0" applyNumberFormat="1" applyFont="1" applyFill="1" applyBorder="1" applyAlignment="1" applyProtection="1">
      <alignment horizontal="left" vertical="center" indent="3"/>
    </xf>
    <xf numFmtId="3" fontId="167" fillId="2" borderId="5" xfId="0" applyNumberFormat="1" applyFont="1" applyFill="1" applyBorder="1" applyAlignment="1" applyProtection="1">
      <alignment horizontal="right"/>
    </xf>
    <xf numFmtId="3" fontId="167" fillId="2" borderId="9" xfId="0" applyNumberFormat="1" applyFont="1" applyFill="1" applyBorder="1" applyAlignment="1" applyProtection="1">
      <alignment horizontal="right"/>
    </xf>
    <xf numFmtId="1" fontId="148" fillId="2" borderId="26" xfId="0" applyNumberFormat="1" applyFont="1" applyFill="1" applyBorder="1" applyAlignment="1" applyProtection="1">
      <alignment horizontal="center" vertical="center" wrapText="1"/>
    </xf>
    <xf numFmtId="3" fontId="148" fillId="2" borderId="45" xfId="0" applyNumberFormat="1" applyFont="1" applyFill="1" applyBorder="1" applyAlignment="1" applyProtection="1">
      <alignment horizontal="center" vertical="center" wrapText="1"/>
    </xf>
    <xf numFmtId="3" fontId="161" fillId="2" borderId="45" xfId="0" applyNumberFormat="1" applyFont="1" applyFill="1" applyBorder="1" applyAlignment="1" applyProtection="1">
      <alignment horizontal="center" vertical="center"/>
    </xf>
    <xf numFmtId="3" fontId="161" fillId="2" borderId="49" xfId="0" applyNumberFormat="1" applyFont="1" applyFill="1" applyBorder="1" applyAlignment="1" applyProtection="1">
      <alignment horizontal="center" vertical="center"/>
    </xf>
    <xf numFmtId="3" fontId="166" fillId="2" borderId="26" xfId="0" applyNumberFormat="1" applyFont="1" applyFill="1" applyBorder="1" applyAlignment="1" applyProtection="1">
      <alignment horizontal="right" vertical="center"/>
    </xf>
    <xf numFmtId="3" fontId="166" fillId="2" borderId="49" xfId="0" applyNumberFormat="1" applyFont="1" applyFill="1" applyBorder="1" applyAlignment="1" applyProtection="1">
      <alignment horizontal="right" vertical="center"/>
    </xf>
    <xf numFmtId="3" fontId="149" fillId="2" borderId="4" xfId="0" applyNumberFormat="1" applyFont="1" applyFill="1" applyBorder="1" applyAlignment="1" applyProtection="1">
      <alignment horizontal="center" vertical="center"/>
    </xf>
    <xf numFmtId="3" fontId="150" fillId="2" borderId="6" xfId="0" applyNumberFormat="1" applyFont="1" applyFill="1" applyBorder="1" applyAlignment="1" applyProtection="1">
      <alignment horizontal="left" vertical="center" wrapText="1"/>
    </xf>
    <xf numFmtId="10" fontId="150" fillId="2" borderId="65" xfId="0" applyNumberFormat="1" applyFont="1" applyFill="1" applyBorder="1" applyAlignment="1" applyProtection="1">
      <alignment horizontal="center" vertical="center"/>
    </xf>
    <xf numFmtId="3" fontId="167" fillId="2" borderId="8" xfId="0" applyNumberFormat="1" applyFont="1" applyFill="1" applyBorder="1" applyAlignment="1" applyProtection="1">
      <alignment horizontal="right" vertical="center"/>
    </xf>
    <xf numFmtId="49" fontId="151" fillId="2" borderId="26" xfId="0" applyNumberFormat="1" applyFont="1" applyFill="1" applyBorder="1" applyAlignment="1" applyProtection="1">
      <alignment horizontal="left" vertical="center" indent="3"/>
    </xf>
    <xf numFmtId="3" fontId="167" fillId="2" borderId="5" xfId="0" applyNumberFormat="1" applyFont="1" applyFill="1" applyBorder="1" applyAlignment="1" applyProtection="1">
      <alignment horizontal="right" vertical="center"/>
    </xf>
    <xf numFmtId="3" fontId="167" fillId="2" borderId="9" xfId="0" applyNumberFormat="1" applyFont="1" applyFill="1" applyBorder="1" applyAlignment="1" applyProtection="1">
      <alignment horizontal="right" vertical="center"/>
    </xf>
    <xf numFmtId="1" fontId="167" fillId="2" borderId="26" xfId="0" applyNumberFormat="1" applyFont="1" applyFill="1" applyBorder="1" applyAlignment="1" applyProtection="1">
      <alignment horizontal="center" vertical="center"/>
    </xf>
    <xf numFmtId="3" fontId="149" fillId="2" borderId="26" xfId="0" applyNumberFormat="1" applyFont="1" applyFill="1" applyBorder="1" applyAlignment="1" applyProtection="1">
      <alignment horizontal="left" vertical="center" wrapText="1"/>
    </xf>
    <xf numFmtId="3" fontId="166" fillId="4" borderId="5" xfId="0" applyNumberFormat="1" applyFont="1" applyFill="1" applyBorder="1" applyAlignment="1" applyProtection="1">
      <alignment vertical="center"/>
    </xf>
    <xf numFmtId="3" fontId="149" fillId="2" borderId="8" xfId="0" applyNumberFormat="1" applyFont="1" applyFill="1" applyBorder="1" applyAlignment="1" applyProtection="1">
      <alignment vertical="center"/>
    </xf>
    <xf numFmtId="3" fontId="149" fillId="2" borderId="9" xfId="0" applyNumberFormat="1" applyFont="1" applyFill="1" applyBorder="1" applyAlignment="1" applyProtection="1">
      <alignment vertical="center"/>
    </xf>
    <xf numFmtId="3" fontId="149" fillId="2" borderId="5" xfId="0" applyNumberFormat="1" applyFont="1" applyFill="1" applyBorder="1" applyAlignment="1" applyProtection="1">
      <alignment vertical="center"/>
    </xf>
    <xf numFmtId="3" fontId="166" fillId="4" borderId="8" xfId="0" applyNumberFormat="1" applyFont="1" applyFill="1" applyBorder="1" applyAlignment="1" applyProtection="1">
      <alignment vertical="center"/>
      <protection locked="0"/>
    </xf>
    <xf numFmtId="3" fontId="166" fillId="0" borderId="8" xfId="0" applyNumberFormat="1" applyFont="1" applyFill="1" applyBorder="1" applyAlignment="1" applyProtection="1">
      <alignment vertical="center"/>
    </xf>
    <xf numFmtId="3" fontId="166" fillId="4" borderId="5" xfId="0" applyNumberFormat="1" applyFont="1" applyFill="1" applyBorder="1" applyAlignment="1" applyProtection="1">
      <alignment vertical="center"/>
      <protection locked="0"/>
    </xf>
    <xf numFmtId="3" fontId="166" fillId="4" borderId="9" xfId="0" applyNumberFormat="1" applyFont="1" applyFill="1" applyBorder="1" applyAlignment="1" applyProtection="1">
      <alignment vertical="center"/>
      <protection locked="0"/>
    </xf>
    <xf numFmtId="164" fontId="148" fillId="2" borderId="67" xfId="0" applyNumberFormat="1" applyFont="1" applyFill="1" applyBorder="1" applyAlignment="1" applyProtection="1">
      <alignment horizontal="center" vertical="center"/>
    </xf>
    <xf numFmtId="3" fontId="148" fillId="2" borderId="68" xfId="0" applyNumberFormat="1" applyFont="1" applyFill="1" applyBorder="1" applyAlignment="1" applyProtection="1">
      <alignment horizontal="left" vertical="center" wrapText="1"/>
    </xf>
    <xf numFmtId="3" fontId="166" fillId="2" borderId="6" xfId="0" applyNumberFormat="1" applyFont="1" applyFill="1" applyBorder="1" applyAlignment="1" applyProtection="1">
      <alignment horizontal="right" vertical="center"/>
    </xf>
    <xf numFmtId="3" fontId="166" fillId="2" borderId="30" xfId="0" applyNumberFormat="1" applyFont="1" applyFill="1" applyBorder="1" applyAlignment="1" applyProtection="1">
      <alignment horizontal="right" vertical="center"/>
    </xf>
    <xf numFmtId="3" fontId="166" fillId="2" borderId="69" xfId="0" applyNumberFormat="1" applyFont="1" applyFill="1" applyBorder="1" applyAlignment="1" applyProtection="1">
      <alignment horizontal="right" vertical="center"/>
    </xf>
    <xf numFmtId="0" fontId="150" fillId="2" borderId="0" xfId="0" applyFont="1" applyFill="1" applyAlignment="1" applyProtection="1">
      <alignment vertical="center"/>
    </xf>
    <xf numFmtId="3" fontId="166" fillId="2" borderId="5" xfId="0" applyNumberFormat="1" applyFont="1" applyFill="1" applyBorder="1" applyAlignment="1" applyProtection="1">
      <alignment horizontal="right" vertical="center"/>
    </xf>
    <xf numFmtId="3" fontId="166" fillId="2" borderId="9" xfId="0" applyNumberFormat="1" applyFont="1" applyFill="1" applyBorder="1" applyAlignment="1" applyProtection="1">
      <alignment horizontal="right" vertical="center"/>
    </xf>
    <xf numFmtId="3" fontId="150" fillId="2" borderId="6" xfId="0" applyNumberFormat="1" applyFont="1" applyFill="1" applyBorder="1" applyAlignment="1" applyProtection="1">
      <alignment horizontal="left" vertical="justify" wrapText="1"/>
    </xf>
    <xf numFmtId="0" fontId="164" fillId="3" borderId="5" xfId="0" applyFont="1" applyFill="1" applyBorder="1" applyAlignment="1" applyProtection="1">
      <alignment wrapText="1"/>
    </xf>
    <xf numFmtId="3" fontId="151" fillId="2" borderId="8" xfId="0" applyNumberFormat="1" applyFont="1" applyFill="1" applyBorder="1" applyAlignment="1" applyProtection="1">
      <alignment horizontal="right" vertical="center"/>
    </xf>
    <xf numFmtId="165" fontId="151" fillId="2" borderId="26" xfId="0" applyNumberFormat="1" applyFont="1" applyFill="1" applyBorder="1" applyAlignment="1" applyProtection="1">
      <alignment horizontal="left" wrapText="1" indent="3"/>
    </xf>
    <xf numFmtId="3" fontId="149" fillId="2" borderId="0" xfId="0" applyNumberFormat="1" applyFont="1" applyFill="1" applyAlignment="1" applyProtection="1">
      <alignment vertical="center"/>
    </xf>
    <xf numFmtId="3" fontId="150" fillId="2" borderId="4" xfId="0" applyNumberFormat="1" applyFont="1" applyFill="1" applyBorder="1" applyAlignment="1" applyProtection="1">
      <alignment vertical="center"/>
    </xf>
    <xf numFmtId="0" fontId="149" fillId="2" borderId="26" xfId="0" applyFont="1" applyFill="1" applyBorder="1" applyAlignment="1" applyProtection="1">
      <alignment horizontal="left" wrapText="1"/>
    </xf>
    <xf numFmtId="3" fontId="163" fillId="2" borderId="5" xfId="0" applyNumberFormat="1" applyFont="1" applyFill="1" applyBorder="1" applyAlignment="1" applyProtection="1">
      <alignment vertical="center"/>
    </xf>
    <xf numFmtId="3" fontId="163" fillId="2" borderId="8" xfId="0" applyNumberFormat="1" applyFont="1" applyFill="1" applyBorder="1" applyAlignment="1" applyProtection="1">
      <alignment vertical="center"/>
    </xf>
    <xf numFmtId="3" fontId="163" fillId="2" borderId="9" xfId="0" applyNumberFormat="1" applyFont="1" applyFill="1" applyBorder="1" applyAlignment="1" applyProtection="1">
      <alignment vertical="center"/>
    </xf>
    <xf numFmtId="3" fontId="163" fillId="2" borderId="0" xfId="0" applyNumberFormat="1" applyFont="1" applyFill="1" applyBorder="1" applyAlignment="1" applyProtection="1">
      <alignment vertical="center"/>
    </xf>
    <xf numFmtId="0" fontId="150" fillId="2" borderId="26" xfId="0" applyFont="1" applyFill="1" applyBorder="1" applyAlignment="1" applyProtection="1">
      <alignment horizontal="left" wrapText="1" indent="2"/>
    </xf>
    <xf numFmtId="164" fontId="148" fillId="2" borderId="5" xfId="0" applyNumberFormat="1" applyFont="1" applyFill="1" applyBorder="1" applyAlignment="1" applyProtection="1">
      <alignment horizontal="center" vertical="center"/>
    </xf>
    <xf numFmtId="3" fontId="161" fillId="2" borderId="9" xfId="0" applyNumberFormat="1" applyFont="1" applyFill="1" applyBorder="1" applyAlignment="1" applyProtection="1">
      <alignment horizontal="left" vertical="center" wrapText="1"/>
    </xf>
    <xf numFmtId="3" fontId="166" fillId="2" borderId="10" xfId="0" applyNumberFormat="1" applyFont="1" applyFill="1" applyBorder="1" applyAlignment="1" applyProtection="1">
      <alignment vertical="center"/>
    </xf>
    <xf numFmtId="3" fontId="166" fillId="2" borderId="8" xfId="0" applyNumberFormat="1" applyFont="1" applyFill="1" applyBorder="1" applyAlignment="1" applyProtection="1">
      <alignment vertical="center"/>
    </xf>
    <xf numFmtId="3" fontId="166" fillId="2" borderId="11" xfId="0" applyNumberFormat="1" applyFont="1" applyFill="1" applyBorder="1" applyAlignment="1" applyProtection="1">
      <alignment vertical="center"/>
    </xf>
    <xf numFmtId="3" fontId="166" fillId="2" borderId="5" xfId="0" applyNumberFormat="1" applyFont="1" applyFill="1" applyBorder="1" applyAlignment="1" applyProtection="1">
      <alignment vertical="center"/>
    </xf>
    <xf numFmtId="3" fontId="166" fillId="2" borderId="9" xfId="0" applyNumberFormat="1" applyFont="1" applyFill="1" applyBorder="1" applyAlignment="1" applyProtection="1">
      <alignment vertical="center"/>
    </xf>
    <xf numFmtId="3" fontId="167" fillId="2" borderId="5" xfId="0" applyNumberFormat="1" applyFont="1" applyFill="1" applyBorder="1" applyProtection="1"/>
    <xf numFmtId="3" fontId="167" fillId="2" borderId="8" xfId="0" applyNumberFormat="1" applyFont="1" applyFill="1" applyBorder="1" applyProtection="1"/>
    <xf numFmtId="3" fontId="167" fillId="2" borderId="9" xfId="0" applyNumberFormat="1" applyFont="1" applyFill="1" applyBorder="1" applyProtection="1"/>
    <xf numFmtId="3" fontId="167" fillId="2" borderId="0" xfId="0" applyNumberFormat="1" applyFont="1" applyFill="1" applyBorder="1" applyProtection="1"/>
    <xf numFmtId="0" fontId="150" fillId="2" borderId="26" xfId="0" applyFont="1" applyFill="1" applyBorder="1" applyAlignment="1" applyProtection="1">
      <alignment horizontal="left" vertical="center" wrapText="1" indent="2"/>
    </xf>
    <xf numFmtId="1" fontId="167" fillId="2" borderId="57" xfId="0" applyNumberFormat="1" applyFont="1" applyFill="1" applyBorder="1" applyAlignment="1" applyProtection="1">
      <alignment horizontal="center" vertical="center"/>
    </xf>
    <xf numFmtId="3" fontId="166" fillId="4" borderId="16" xfId="0" applyNumberFormat="1" applyFont="1" applyFill="1" applyBorder="1" applyAlignment="1" applyProtection="1">
      <alignment vertical="center"/>
    </xf>
    <xf numFmtId="3" fontId="149" fillId="2" borderId="17" xfId="0" applyNumberFormat="1" applyFont="1" applyFill="1" applyBorder="1" applyAlignment="1" applyProtection="1">
      <alignment vertical="center"/>
    </xf>
    <xf numFmtId="3" fontId="149" fillId="2" borderId="18" xfId="0" applyNumberFormat="1" applyFont="1" applyFill="1" applyBorder="1" applyAlignment="1" applyProtection="1">
      <alignment vertical="center"/>
    </xf>
    <xf numFmtId="3" fontId="149" fillId="2" borderId="16" xfId="0" applyNumberFormat="1" applyFont="1" applyFill="1" applyBorder="1" applyAlignment="1" applyProtection="1">
      <alignment vertical="center"/>
    </xf>
    <xf numFmtId="3" fontId="166" fillId="4" borderId="17" xfId="0" applyNumberFormat="1" applyFont="1" applyFill="1" applyBorder="1" applyAlignment="1" applyProtection="1">
      <alignment vertical="center"/>
      <protection locked="0"/>
    </xf>
    <xf numFmtId="3" fontId="166" fillId="0" borderId="17" xfId="0" applyNumberFormat="1" applyFont="1" applyFill="1" applyBorder="1" applyAlignment="1" applyProtection="1">
      <alignment vertical="center"/>
    </xf>
    <xf numFmtId="3" fontId="166" fillId="4" borderId="16" xfId="0" applyNumberFormat="1" applyFont="1" applyFill="1" applyBorder="1" applyAlignment="1" applyProtection="1">
      <alignment vertical="center"/>
      <protection locked="0"/>
    </xf>
    <xf numFmtId="3" fontId="166" fillId="4" borderId="18" xfId="0" applyNumberFormat="1" applyFont="1" applyFill="1" applyBorder="1" applyAlignment="1" applyProtection="1">
      <alignment vertical="center"/>
      <protection locked="0"/>
    </xf>
    <xf numFmtId="3" fontId="151" fillId="2" borderId="26" xfId="0" applyNumberFormat="1" applyFont="1" applyFill="1" applyBorder="1" applyAlignment="1" applyProtection="1">
      <alignment vertical="center"/>
    </xf>
    <xf numFmtId="3" fontId="151" fillId="2" borderId="49" xfId="0" applyNumberFormat="1" applyFont="1" applyFill="1" applyBorder="1" applyAlignment="1" applyProtection="1">
      <alignment vertical="center"/>
    </xf>
    <xf numFmtId="1" fontId="167" fillId="2" borderId="19" xfId="0" applyNumberFormat="1" applyFont="1" applyFill="1" applyBorder="1" applyAlignment="1" applyProtection="1">
      <alignment horizontal="center" vertical="center"/>
    </xf>
    <xf numFmtId="3" fontId="149" fillId="2" borderId="19" xfId="0" applyNumberFormat="1" applyFont="1" applyFill="1" applyBorder="1" applyAlignment="1" applyProtection="1">
      <alignment horizontal="left" vertical="justify" wrapText="1"/>
    </xf>
    <xf numFmtId="3" fontId="149" fillId="2" borderId="14" xfId="0" applyNumberFormat="1" applyFont="1" applyFill="1" applyBorder="1" applyAlignment="1" applyProtection="1">
      <alignment vertical="center"/>
    </xf>
    <xf numFmtId="3" fontId="149" fillId="2" borderId="42" xfId="0" applyNumberFormat="1" applyFont="1" applyFill="1" applyBorder="1" applyAlignment="1" applyProtection="1">
      <alignment vertical="center"/>
    </xf>
    <xf numFmtId="3" fontId="149" fillId="2" borderId="46" xfId="0" applyNumberFormat="1" applyFont="1" applyFill="1" applyBorder="1" applyAlignment="1" applyProtection="1">
      <alignment vertical="center"/>
    </xf>
    <xf numFmtId="3" fontId="149" fillId="2" borderId="47" xfId="0" applyNumberFormat="1" applyFont="1" applyFill="1" applyBorder="1" applyAlignment="1" applyProtection="1">
      <alignment vertical="center"/>
    </xf>
    <xf numFmtId="164" fontId="163" fillId="2" borderId="5" xfId="0" applyNumberFormat="1" applyFont="1" applyFill="1" applyBorder="1" applyAlignment="1" applyProtection="1">
      <alignment horizontal="center" vertical="center"/>
    </xf>
    <xf numFmtId="3" fontId="163" fillId="2" borderId="9" xfId="0" quotePrefix="1" applyNumberFormat="1" applyFont="1" applyFill="1" applyBorder="1" applyAlignment="1" applyProtection="1">
      <alignment horizontal="left" vertical="center" wrapText="1"/>
    </xf>
    <xf numFmtId="3" fontId="150" fillId="2" borderId="58" xfId="0" applyNumberFormat="1" applyFont="1" applyFill="1" applyBorder="1" applyAlignment="1" applyProtection="1">
      <alignment horizontal="left" vertical="center"/>
    </xf>
    <xf numFmtId="3" fontId="150" fillId="2" borderId="17" xfId="0" applyNumberFormat="1" applyFont="1" applyFill="1" applyBorder="1" applyAlignment="1" applyProtection="1">
      <alignment vertical="center"/>
    </xf>
    <xf numFmtId="10" fontId="150" fillId="2" borderId="17" xfId="0" applyNumberFormat="1" applyFont="1" applyFill="1" applyBorder="1" applyAlignment="1" applyProtection="1">
      <alignment vertical="center"/>
    </xf>
    <xf numFmtId="3" fontId="150" fillId="2" borderId="18" xfId="0" applyNumberFormat="1" applyFont="1" applyFill="1" applyBorder="1" applyAlignment="1" applyProtection="1">
      <alignment vertical="center"/>
    </xf>
    <xf numFmtId="3" fontId="163" fillId="3" borderId="8" xfId="0" applyNumberFormat="1" applyFont="1" applyFill="1" applyBorder="1" applyAlignment="1" applyProtection="1">
      <alignment horizontal="right"/>
    </xf>
    <xf numFmtId="3" fontId="156" fillId="2" borderId="51" xfId="0" applyNumberFormat="1" applyFont="1" applyFill="1" applyBorder="1" applyAlignment="1" applyProtection="1">
      <alignment vertical="center" wrapText="1"/>
    </xf>
    <xf numFmtId="164" fontId="150" fillId="2" borderId="5" xfId="0" applyNumberFormat="1" applyFont="1" applyFill="1" applyBorder="1" applyAlignment="1" applyProtection="1">
      <alignment horizontal="center" vertical="center"/>
    </xf>
    <xf numFmtId="3" fontId="150" fillId="2" borderId="9" xfId="0" applyNumberFormat="1" applyFont="1" applyFill="1" applyBorder="1" applyAlignment="1" applyProtection="1">
      <alignment horizontal="left" vertical="center" wrapText="1"/>
    </xf>
    <xf numFmtId="3" fontId="151" fillId="2" borderId="10" xfId="0" applyNumberFormat="1" applyFont="1" applyFill="1" applyBorder="1" applyAlignment="1" applyProtection="1">
      <alignment vertical="center"/>
    </xf>
    <xf numFmtId="3" fontId="151" fillId="2" borderId="11" xfId="0" applyNumberFormat="1" applyFont="1" applyFill="1" applyBorder="1" applyAlignment="1" applyProtection="1">
      <alignment horizontal="right" vertical="center"/>
    </xf>
    <xf numFmtId="3" fontId="151" fillId="2" borderId="5" xfId="0" applyNumberFormat="1" applyFont="1" applyFill="1" applyBorder="1" applyAlignment="1" applyProtection="1">
      <alignment horizontal="right" vertical="center"/>
    </xf>
    <xf numFmtId="3" fontId="151" fillId="2" borderId="9" xfId="0" applyNumberFormat="1" applyFont="1" applyFill="1" applyBorder="1" applyAlignment="1" applyProtection="1">
      <alignment horizontal="right" vertical="center"/>
    </xf>
    <xf numFmtId="3" fontId="149" fillId="2" borderId="48" xfId="0" applyNumberFormat="1" applyFont="1" applyFill="1" applyBorder="1" applyAlignment="1" applyProtection="1">
      <alignment vertical="center"/>
    </xf>
    <xf numFmtId="3" fontId="149" fillId="2" borderId="54" xfId="0" applyNumberFormat="1" applyFont="1" applyFill="1" applyBorder="1" applyAlignment="1" applyProtection="1">
      <alignment vertical="center"/>
    </xf>
    <xf numFmtId="3" fontId="149" fillId="2" borderId="28" xfId="0" applyNumberFormat="1" applyFont="1" applyFill="1" applyBorder="1" applyAlignment="1" applyProtection="1">
      <alignment vertical="center"/>
    </xf>
    <xf numFmtId="3" fontId="149" fillId="2" borderId="36" xfId="0" applyNumberFormat="1" applyFont="1" applyFill="1" applyBorder="1" applyAlignment="1" applyProtection="1">
      <alignment vertical="center"/>
    </xf>
    <xf numFmtId="3" fontId="149" fillId="2" borderId="59" xfId="0" applyNumberFormat="1" applyFont="1" applyFill="1" applyBorder="1" applyAlignment="1" applyProtection="1">
      <alignment vertical="center"/>
    </xf>
    <xf numFmtId="3" fontId="150" fillId="2" borderId="28" xfId="0" applyNumberFormat="1" applyFont="1" applyFill="1" applyBorder="1" applyAlignment="1" applyProtection="1">
      <alignment vertical="center"/>
    </xf>
    <xf numFmtId="3" fontId="149" fillId="2" borderId="29" xfId="0" applyNumberFormat="1" applyFont="1" applyFill="1" applyBorder="1" applyAlignment="1" applyProtection="1">
      <alignment vertical="center"/>
    </xf>
    <xf numFmtId="0" fontId="163" fillId="3" borderId="16" xfId="0" applyFont="1" applyFill="1" applyBorder="1" applyAlignment="1" applyProtection="1">
      <alignment wrapText="1"/>
    </xf>
    <xf numFmtId="3" fontId="163" fillId="3" borderId="17" xfId="0" applyNumberFormat="1" applyFont="1" applyFill="1" applyBorder="1" applyAlignment="1" applyProtection="1">
      <alignment horizontal="right"/>
    </xf>
    <xf numFmtId="3" fontId="161" fillId="2" borderId="20" xfId="0" applyNumberFormat="1" applyFont="1" applyFill="1" applyBorder="1" applyAlignment="1" applyProtection="1">
      <alignment horizontal="left" vertical="center" wrapText="1"/>
    </xf>
    <xf numFmtId="3" fontId="149" fillId="2" borderId="40" xfId="0" applyNumberFormat="1" applyFont="1" applyFill="1" applyBorder="1" applyAlignment="1" applyProtection="1">
      <alignment vertical="center"/>
    </xf>
    <xf numFmtId="3" fontId="149" fillId="2" borderId="26" xfId="0" applyNumberFormat="1" applyFont="1" applyFill="1" applyBorder="1" applyAlignment="1" applyProtection="1">
      <alignment vertical="center"/>
    </xf>
    <xf numFmtId="3" fontId="149" fillId="2" borderId="49" xfId="0" applyNumberFormat="1" applyFont="1" applyFill="1" applyBorder="1" applyAlignment="1" applyProtection="1">
      <alignment vertical="center"/>
    </xf>
    <xf numFmtId="1" fontId="163" fillId="2" borderId="26" xfId="0" applyNumberFormat="1" applyFont="1" applyFill="1" applyBorder="1" applyAlignment="1" applyProtection="1">
      <alignment horizontal="center" vertical="center"/>
    </xf>
    <xf numFmtId="3" fontId="148" fillId="2" borderId="51" xfId="0" applyNumberFormat="1" applyFont="1" applyFill="1" applyBorder="1" applyAlignment="1" applyProtection="1">
      <alignment vertical="center" wrapText="1"/>
    </xf>
    <xf numFmtId="3" fontId="161" fillId="2" borderId="5" xfId="0" applyNumberFormat="1" applyFont="1" applyFill="1" applyBorder="1" applyAlignment="1" applyProtection="1">
      <alignment horizontal="right" vertical="center"/>
    </xf>
    <xf numFmtId="3" fontId="161" fillId="2" borderId="9" xfId="0" applyNumberFormat="1" applyFont="1" applyFill="1" applyBorder="1" applyAlignment="1" applyProtection="1">
      <alignment horizontal="right" vertical="center"/>
    </xf>
    <xf numFmtId="3" fontId="150" fillId="2" borderId="70" xfId="0" applyNumberFormat="1" applyFont="1" applyFill="1" applyBorder="1" applyAlignment="1" applyProtection="1">
      <alignment horizontal="left" vertical="center"/>
    </xf>
    <xf numFmtId="3" fontId="150" fillId="2" borderId="70" xfId="0" applyNumberFormat="1" applyFont="1" applyFill="1" applyBorder="1" applyAlignment="1" applyProtection="1">
      <alignment horizontal="center" vertical="center"/>
    </xf>
    <xf numFmtId="3" fontId="150" fillId="2" borderId="56" xfId="0" applyNumberFormat="1" applyFont="1" applyFill="1" applyBorder="1" applyAlignment="1" applyProtection="1">
      <alignment horizontal="center" vertical="center"/>
    </xf>
    <xf numFmtId="3" fontId="150" fillId="2" borderId="71" xfId="0" applyNumberFormat="1" applyFont="1" applyFill="1" applyBorder="1" applyAlignment="1" applyProtection="1">
      <alignment horizontal="center" vertical="center"/>
    </xf>
    <xf numFmtId="10" fontId="150" fillId="2" borderId="62" xfId="0" applyNumberFormat="1" applyFont="1" applyFill="1" applyBorder="1" applyAlignment="1" applyProtection="1">
      <alignment horizontal="center" vertical="center"/>
    </xf>
    <xf numFmtId="10" fontId="150" fillId="2" borderId="23" xfId="0" applyNumberFormat="1" applyFont="1" applyFill="1" applyBorder="1" applyAlignment="1" applyProtection="1">
      <alignment horizontal="center" vertical="center"/>
    </xf>
    <xf numFmtId="0" fontId="149" fillId="2" borderId="26" xfId="0" applyFont="1" applyFill="1" applyBorder="1" applyAlignment="1" applyProtection="1">
      <alignment wrapText="1"/>
    </xf>
    <xf numFmtId="3" fontId="167" fillId="0" borderId="5" xfId="0" applyNumberFormat="1" applyFont="1" applyFill="1" applyBorder="1" applyProtection="1"/>
    <xf numFmtId="3" fontId="161" fillId="2" borderId="81" xfId="0" applyNumberFormat="1" applyFont="1" applyFill="1" applyBorder="1" applyAlignment="1" applyProtection="1">
      <alignment horizontal="left" vertical="center" wrapText="1"/>
    </xf>
    <xf numFmtId="3" fontId="151" fillId="0" borderId="8" xfId="0" applyNumberFormat="1" applyFont="1" applyFill="1" applyBorder="1" applyAlignment="1" applyProtection="1">
      <alignment vertical="center"/>
    </xf>
    <xf numFmtId="3" fontId="151" fillId="2" borderId="5" xfId="0" applyNumberFormat="1" applyFont="1" applyFill="1" applyBorder="1" applyAlignment="1" applyProtection="1">
      <alignment vertical="center"/>
    </xf>
    <xf numFmtId="3" fontId="151" fillId="2" borderId="9" xfId="0" applyNumberFormat="1" applyFont="1" applyFill="1" applyBorder="1" applyAlignment="1" applyProtection="1">
      <alignment vertical="center"/>
    </xf>
    <xf numFmtId="3" fontId="149" fillId="2" borderId="61" xfId="0" applyNumberFormat="1" applyFont="1" applyFill="1" applyBorder="1" applyAlignment="1" applyProtection="1">
      <alignment vertical="center"/>
    </xf>
    <xf numFmtId="3" fontId="149" fillId="2" borderId="65" xfId="0" applyNumberFormat="1" applyFont="1" applyFill="1" applyBorder="1" applyAlignment="1" applyProtection="1">
      <alignment horizontal="centerContinuous" vertical="center"/>
    </xf>
    <xf numFmtId="3" fontId="149" fillId="2" borderId="65" xfId="0" applyNumberFormat="1" applyFont="1" applyFill="1" applyBorder="1" applyAlignment="1" applyProtection="1">
      <alignment horizontal="center" vertical="center"/>
    </xf>
    <xf numFmtId="3" fontId="149" fillId="2" borderId="72" xfId="0" applyNumberFormat="1" applyFont="1" applyFill="1" applyBorder="1" applyAlignment="1" applyProtection="1">
      <alignment horizontal="center" vertical="center"/>
    </xf>
    <xf numFmtId="3" fontId="149" fillId="2" borderId="7" xfId="0" applyNumberFormat="1" applyFont="1" applyFill="1" applyBorder="1" applyAlignment="1" applyProtection="1">
      <alignment horizontal="center" vertical="center"/>
    </xf>
    <xf numFmtId="3" fontId="149" fillId="2" borderId="7" xfId="0" applyNumberFormat="1" applyFont="1" applyFill="1" applyBorder="1" applyAlignment="1" applyProtection="1">
      <alignment horizontal="centerContinuous" vertical="center"/>
    </xf>
    <xf numFmtId="3" fontId="149" fillId="2" borderId="40" xfId="0" applyNumberFormat="1" applyFont="1" applyFill="1" applyBorder="1" applyAlignment="1" applyProtection="1">
      <alignment horizontal="center" vertical="center"/>
    </xf>
    <xf numFmtId="0" fontId="161" fillId="2" borderId="26" xfId="0" applyFont="1" applyFill="1" applyBorder="1" applyAlignment="1" applyProtection="1">
      <alignment wrapText="1"/>
    </xf>
    <xf numFmtId="3" fontId="168" fillId="2" borderId="0" xfId="0" applyNumberFormat="1" applyFont="1" applyFill="1" applyAlignment="1" applyProtection="1">
      <alignment vertical="center"/>
    </xf>
    <xf numFmtId="1" fontId="163" fillId="2" borderId="81" xfId="0" applyNumberFormat="1" applyFont="1" applyFill="1" applyBorder="1" applyAlignment="1" applyProtection="1">
      <alignment horizontal="center" vertical="center"/>
    </xf>
    <xf numFmtId="3" fontId="148" fillId="2" borderId="81" xfId="0" applyNumberFormat="1" applyFont="1" applyFill="1" applyBorder="1" applyAlignment="1" applyProtection="1">
      <alignment vertical="center" wrapText="1"/>
    </xf>
    <xf numFmtId="164" fontId="151" fillId="2" borderId="5" xfId="0" applyNumberFormat="1" applyFont="1" applyFill="1" applyBorder="1" applyAlignment="1" applyProtection="1">
      <alignment horizontal="center" vertical="center"/>
    </xf>
    <xf numFmtId="3" fontId="149" fillId="2" borderId="9" xfId="0" applyNumberFormat="1" applyFont="1" applyFill="1" applyBorder="1" applyAlignment="1" applyProtection="1">
      <alignment horizontal="left" vertical="center" wrapText="1"/>
    </xf>
    <xf numFmtId="0" fontId="150" fillId="2" borderId="58" xfId="0" applyFont="1" applyFill="1" applyBorder="1" applyAlignment="1" applyProtection="1">
      <alignment vertical="center"/>
    </xf>
    <xf numFmtId="0" fontId="150" fillId="2" borderId="59" xfId="0" applyFont="1" applyFill="1" applyBorder="1" applyAlignment="1" applyProtection="1">
      <alignment horizontal="centerContinuous" vertical="center"/>
    </xf>
    <xf numFmtId="3" fontId="149" fillId="2" borderId="59" xfId="0" applyNumberFormat="1" applyFont="1" applyFill="1" applyBorder="1" applyAlignment="1" applyProtection="1">
      <alignment horizontal="center" vertical="center"/>
    </xf>
    <xf numFmtId="3" fontId="149" fillId="2" borderId="60" xfId="0" applyNumberFormat="1" applyFont="1" applyFill="1" applyBorder="1" applyAlignment="1" applyProtection="1">
      <alignment horizontal="center" vertical="center"/>
    </xf>
    <xf numFmtId="0" fontId="150" fillId="2" borderId="59" xfId="0" applyFont="1" applyFill="1" applyBorder="1" applyAlignment="1" applyProtection="1">
      <alignment vertical="center"/>
    </xf>
    <xf numFmtId="3" fontId="149" fillId="2" borderId="13" xfId="0" applyNumberFormat="1" applyFont="1" applyFill="1" applyBorder="1" applyAlignment="1" applyProtection="1">
      <alignment horizontal="center" vertical="center"/>
    </xf>
    <xf numFmtId="3" fontId="164" fillId="2" borderId="26" xfId="0" applyNumberFormat="1" applyFont="1" applyFill="1" applyBorder="1" applyAlignment="1" applyProtection="1">
      <alignment vertical="center" wrapText="1"/>
    </xf>
    <xf numFmtId="3" fontId="161" fillId="2" borderId="8" xfId="0" applyNumberFormat="1" applyFont="1" applyFill="1" applyBorder="1" applyAlignment="1" applyProtection="1">
      <alignment horizontal="right" vertical="center"/>
    </xf>
    <xf numFmtId="3" fontId="149" fillId="2" borderId="6" xfId="0" applyNumberFormat="1" applyFont="1" applyFill="1" applyBorder="1" applyAlignment="1" applyProtection="1">
      <alignment horizontal="left" vertical="center"/>
    </xf>
    <xf numFmtId="3" fontId="149" fillId="2" borderId="30" xfId="0" applyNumberFormat="1" applyFont="1" applyFill="1" applyBorder="1" applyAlignment="1" applyProtection="1">
      <alignment vertical="center"/>
    </xf>
    <xf numFmtId="3" fontId="149" fillId="2" borderId="65" xfId="0" applyNumberFormat="1" applyFont="1" applyFill="1" applyBorder="1" applyAlignment="1" applyProtection="1">
      <alignment vertical="center"/>
    </xf>
    <xf numFmtId="10" fontId="149" fillId="2" borderId="23" xfId="0" applyNumberFormat="1" applyFont="1" applyFill="1" applyBorder="1" applyAlignment="1" applyProtection="1">
      <alignment vertical="center"/>
    </xf>
    <xf numFmtId="3" fontId="149" fillId="2" borderId="23" xfId="0" applyNumberFormat="1" applyFont="1" applyFill="1" applyBorder="1" applyAlignment="1" applyProtection="1">
      <alignment vertical="center"/>
    </xf>
    <xf numFmtId="3" fontId="149" fillId="2" borderId="24" xfId="0" applyNumberFormat="1" applyFont="1" applyFill="1" applyBorder="1" applyAlignment="1" applyProtection="1">
      <alignment vertical="center"/>
    </xf>
    <xf numFmtId="0" fontId="164" fillId="2" borderId="27" xfId="0" applyFont="1" applyFill="1" applyBorder="1" applyAlignment="1" applyProtection="1">
      <alignment wrapText="1"/>
    </xf>
    <xf numFmtId="3" fontId="164" fillId="2" borderId="16" xfId="0" applyNumberFormat="1" applyFont="1" applyFill="1" applyBorder="1" applyProtection="1"/>
    <xf numFmtId="3" fontId="164" fillId="2" borderId="17" xfId="0" applyNumberFormat="1" applyFont="1" applyFill="1" applyBorder="1" applyProtection="1"/>
    <xf numFmtId="3" fontId="164" fillId="2" borderId="18" xfId="0" applyNumberFormat="1" applyFont="1" applyFill="1" applyBorder="1" applyProtection="1"/>
    <xf numFmtId="3" fontId="150" fillId="2" borderId="26" xfId="0" applyNumberFormat="1" applyFont="1" applyFill="1" applyBorder="1" applyAlignment="1" applyProtection="1">
      <alignment horizontal="left" vertical="center" wrapText="1"/>
    </xf>
    <xf numFmtId="3" fontId="150" fillId="2" borderId="10" xfId="0" applyNumberFormat="1" applyFont="1" applyFill="1" applyBorder="1" applyAlignment="1" applyProtection="1">
      <alignment horizontal="left" vertical="center"/>
    </xf>
    <xf numFmtId="3" fontId="150" fillId="2" borderId="8" xfId="0" applyNumberFormat="1" applyFont="1" applyFill="1" applyBorder="1" applyAlignment="1" applyProtection="1">
      <alignment vertical="center"/>
    </xf>
    <xf numFmtId="3" fontId="150" fillId="2" borderId="9" xfId="0" applyNumberFormat="1" applyFont="1" applyFill="1" applyBorder="1" applyAlignment="1" applyProtection="1">
      <alignment vertical="center"/>
    </xf>
    <xf numFmtId="3" fontId="160" fillId="2" borderId="0" xfId="0" applyNumberFormat="1" applyFont="1" applyFill="1" applyBorder="1" applyAlignment="1" applyProtection="1">
      <alignment horizontal="left" vertical="center"/>
    </xf>
    <xf numFmtId="3" fontId="149" fillId="2" borderId="10" xfId="0" applyNumberFormat="1" applyFont="1" applyFill="1" applyBorder="1" applyAlignment="1" applyProtection="1">
      <alignment vertical="center"/>
    </xf>
    <xf numFmtId="3" fontId="163" fillId="2" borderId="5" xfId="0" applyNumberFormat="1" applyFont="1" applyFill="1" applyBorder="1" applyAlignment="1" applyProtection="1">
      <alignment horizontal="right"/>
    </xf>
    <xf numFmtId="3" fontId="163" fillId="2" borderId="8" xfId="0" applyNumberFormat="1" applyFont="1" applyFill="1" applyBorder="1" applyAlignment="1" applyProtection="1">
      <alignment horizontal="right"/>
    </xf>
    <xf numFmtId="3" fontId="163" fillId="2" borderId="9" xfId="0" applyNumberFormat="1" applyFont="1" applyFill="1" applyBorder="1" applyAlignment="1" applyProtection="1">
      <alignment horizontal="right"/>
    </xf>
    <xf numFmtId="3" fontId="150" fillId="2" borderId="61" xfId="0" applyNumberFormat="1" applyFont="1" applyFill="1" applyBorder="1" applyAlignment="1" applyProtection="1">
      <alignment horizontal="left" vertical="center"/>
    </xf>
    <xf numFmtId="0" fontId="150" fillId="2" borderId="26" xfId="0" applyFont="1" applyFill="1" applyBorder="1" applyAlignment="1" applyProtection="1">
      <alignment vertical="center" wrapText="1"/>
    </xf>
    <xf numFmtId="3" fontId="164" fillId="0" borderId="26" xfId="0" applyNumberFormat="1" applyFont="1" applyFill="1" applyBorder="1" applyAlignment="1" applyProtection="1">
      <alignment vertical="center" wrapText="1"/>
    </xf>
    <xf numFmtId="3" fontId="150" fillId="2" borderId="5" xfId="0" applyNumberFormat="1" applyFont="1" applyFill="1" applyBorder="1" applyAlignment="1" applyProtection="1">
      <alignment horizontal="left" vertical="center"/>
    </xf>
    <xf numFmtId="3" fontId="150" fillId="2" borderId="26" xfId="0" applyNumberFormat="1" applyFont="1" applyFill="1" applyBorder="1" applyAlignment="1" applyProtection="1">
      <alignment vertical="center" wrapText="1"/>
    </xf>
    <xf numFmtId="3" fontId="149" fillId="2" borderId="5" xfId="0" applyNumberFormat="1" applyFont="1" applyFill="1" applyBorder="1" applyAlignment="1" applyProtection="1">
      <alignment horizontal="right" vertical="center"/>
    </xf>
    <xf numFmtId="3" fontId="149" fillId="2" borderId="9" xfId="0" applyNumberFormat="1" applyFont="1" applyFill="1" applyBorder="1" applyAlignment="1" applyProtection="1">
      <alignment horizontal="right" vertical="center"/>
    </xf>
    <xf numFmtId="0" fontId="163" fillId="2" borderId="26" xfId="0" applyFont="1" applyFill="1" applyBorder="1" applyAlignment="1" applyProtection="1">
      <alignment wrapText="1"/>
    </xf>
    <xf numFmtId="3" fontId="150" fillId="2" borderId="39" xfId="0" applyNumberFormat="1" applyFont="1" applyFill="1" applyBorder="1" applyAlignment="1" applyProtection="1">
      <alignment horizontal="left" vertical="center"/>
    </xf>
    <xf numFmtId="3" fontId="150" fillId="2" borderId="59" xfId="0" applyNumberFormat="1" applyFont="1" applyFill="1" applyBorder="1" applyAlignment="1" applyProtection="1">
      <alignment vertical="center"/>
    </xf>
    <xf numFmtId="10" fontId="149" fillId="2" borderId="17" xfId="0" applyNumberFormat="1" applyFont="1" applyFill="1" applyBorder="1" applyAlignment="1" applyProtection="1">
      <alignment vertical="center"/>
    </xf>
    <xf numFmtId="3" fontId="150" fillId="2" borderId="19" xfId="0" applyNumberFormat="1" applyFont="1" applyFill="1" applyBorder="1" applyAlignment="1" applyProtection="1">
      <alignment horizontal="left" vertical="center"/>
    </xf>
    <xf numFmtId="3" fontId="150" fillId="2" borderId="14" xfId="0" applyNumberFormat="1" applyFont="1" applyFill="1" applyBorder="1" applyAlignment="1" applyProtection="1">
      <alignment vertical="center"/>
    </xf>
    <xf numFmtId="10" fontId="149" fillId="2" borderId="21" xfId="0" applyNumberFormat="1" applyFont="1" applyFill="1" applyBorder="1" applyAlignment="1" applyProtection="1">
      <alignment vertical="center"/>
    </xf>
    <xf numFmtId="0" fontId="163" fillId="2" borderId="27" xfId="0" applyFont="1" applyFill="1" applyBorder="1" applyAlignment="1" applyProtection="1">
      <alignment wrapText="1"/>
    </xf>
    <xf numFmtId="3" fontId="163" fillId="2" borderId="16" xfId="0" applyNumberFormat="1" applyFont="1" applyFill="1" applyBorder="1" applyAlignment="1" applyProtection="1">
      <alignment horizontal="right"/>
    </xf>
    <xf numFmtId="3" fontId="163" fillId="2" borderId="17" xfId="0" applyNumberFormat="1" applyFont="1" applyFill="1" applyBorder="1" applyAlignment="1" applyProtection="1">
      <alignment horizontal="right"/>
    </xf>
    <xf numFmtId="3" fontId="163" fillId="2" borderId="18" xfId="0" applyNumberFormat="1" applyFont="1" applyFill="1" applyBorder="1" applyAlignment="1" applyProtection="1">
      <alignment horizontal="right"/>
    </xf>
    <xf numFmtId="3" fontId="150" fillId="2" borderId="20" xfId="0" applyNumberFormat="1" applyFont="1" applyFill="1" applyBorder="1" applyAlignment="1" applyProtection="1">
      <alignment horizontal="left" vertical="center"/>
    </xf>
    <xf numFmtId="10" fontId="149" fillId="2" borderId="16" xfId="0" applyNumberFormat="1" applyFont="1" applyFill="1" applyBorder="1" applyAlignment="1" applyProtection="1">
      <alignment horizontal="center" vertical="justify"/>
    </xf>
    <xf numFmtId="10" fontId="149" fillId="2" borderId="17" xfId="0" applyNumberFormat="1" applyFont="1" applyFill="1" applyBorder="1" applyAlignment="1" applyProtection="1">
      <alignment horizontal="center" vertical="justify"/>
    </xf>
    <xf numFmtId="0" fontId="150" fillId="2" borderId="17" xfId="0" applyFont="1" applyFill="1" applyBorder="1" applyAlignment="1" applyProtection="1">
      <alignment vertical="center"/>
    </xf>
    <xf numFmtId="3" fontId="149" fillId="2" borderId="41" xfId="0" applyNumberFormat="1" applyFont="1" applyFill="1" applyBorder="1" applyAlignment="1" applyProtection="1">
      <alignment vertical="center"/>
    </xf>
    <xf numFmtId="3" fontId="149" fillId="2" borderId="12" xfId="0" applyNumberFormat="1" applyFont="1" applyFill="1" applyBorder="1" applyAlignment="1" applyProtection="1">
      <alignment horizontal="centerContinuous" vertical="center"/>
    </xf>
    <xf numFmtId="3" fontId="149" fillId="2" borderId="35" xfId="0" applyNumberFormat="1" applyFont="1" applyFill="1" applyBorder="1" applyAlignment="1" applyProtection="1">
      <alignment horizontal="centerContinuous" vertical="center"/>
    </xf>
    <xf numFmtId="3" fontId="149" fillId="2" borderId="28" xfId="0" applyNumberFormat="1" applyFont="1" applyFill="1" applyBorder="1" applyAlignment="1" applyProtection="1">
      <alignment horizontal="centerContinuous" vertical="center"/>
    </xf>
    <xf numFmtId="0" fontId="150" fillId="2" borderId="28" xfId="0" applyFont="1" applyFill="1" applyBorder="1" applyAlignment="1" applyProtection="1">
      <alignment horizontal="centerContinuous" vertical="center"/>
    </xf>
    <xf numFmtId="3" fontId="149" fillId="2" borderId="29" xfId="0" applyNumberFormat="1" applyFont="1" applyFill="1" applyBorder="1" applyAlignment="1" applyProtection="1">
      <alignment horizontal="centerContinuous" vertical="center"/>
    </xf>
    <xf numFmtId="3" fontId="149" fillId="2" borderId="64" xfId="0" applyNumberFormat="1" applyFont="1" applyFill="1" applyBorder="1" applyAlignment="1" applyProtection="1">
      <alignment vertical="center"/>
    </xf>
    <xf numFmtId="0" fontId="150" fillId="2" borderId="12" xfId="0" applyFont="1" applyFill="1" applyBorder="1" applyAlignment="1" applyProtection="1">
      <alignment horizontal="left" vertical="center"/>
    </xf>
    <xf numFmtId="0" fontId="150" fillId="2" borderId="13" xfId="0" applyFont="1" applyFill="1" applyBorder="1" applyAlignment="1" applyProtection="1">
      <alignment horizontal="left" vertical="center"/>
    </xf>
    <xf numFmtId="3" fontId="150" fillId="2" borderId="14" xfId="0" applyNumberFormat="1" applyFont="1" applyFill="1" applyBorder="1" applyAlignment="1" applyProtection="1">
      <alignment horizontal="left" vertical="center"/>
    </xf>
    <xf numFmtId="1" fontId="167" fillId="0" borderId="26" xfId="0" applyNumberFormat="1" applyFont="1" applyFill="1" applyBorder="1" applyAlignment="1" applyProtection="1">
      <alignment horizontal="center" vertical="center"/>
      <protection hidden="1"/>
    </xf>
    <xf numFmtId="3" fontId="150" fillId="0" borderId="26" xfId="0" applyNumberFormat="1" applyFont="1" applyFill="1" applyBorder="1" applyAlignment="1" applyProtection="1">
      <alignment vertical="center" wrapText="1"/>
      <protection hidden="1"/>
    </xf>
    <xf numFmtId="3" fontId="149" fillId="0" borderId="0" xfId="0" applyNumberFormat="1" applyFont="1" applyFill="1" applyAlignment="1" applyProtection="1">
      <alignment vertical="center"/>
      <protection hidden="1"/>
    </xf>
    <xf numFmtId="3" fontId="151" fillId="2" borderId="26" xfId="0" applyNumberFormat="1" applyFont="1" applyFill="1" applyBorder="1" applyAlignment="1" applyProtection="1">
      <alignment horizontal="right" vertical="center"/>
    </xf>
    <xf numFmtId="3" fontId="151" fillId="2" borderId="49" xfId="0" applyNumberFormat="1" applyFont="1" applyFill="1" applyBorder="1" applyAlignment="1" applyProtection="1">
      <alignment horizontal="right" vertical="center"/>
    </xf>
    <xf numFmtId="3" fontId="149" fillId="2" borderId="0" xfId="0" applyNumberFormat="1" applyFont="1" applyFill="1" applyBorder="1" applyAlignment="1" applyProtection="1">
      <alignment horizontal="left" vertical="center"/>
    </xf>
    <xf numFmtId="3" fontId="149" fillId="2" borderId="0" xfId="0" applyNumberFormat="1" applyFont="1" applyFill="1" applyBorder="1" applyAlignment="1" applyProtection="1">
      <alignment horizontal="center" vertical="center"/>
    </xf>
    <xf numFmtId="3" fontId="149" fillId="2" borderId="0" xfId="0" applyNumberFormat="1" applyFont="1" applyFill="1" applyBorder="1" applyAlignment="1" applyProtection="1">
      <alignment horizontal="centerContinuous" vertical="center"/>
    </xf>
    <xf numFmtId="3" fontId="164" fillId="2" borderId="26" xfId="0" applyNumberFormat="1" applyFont="1" applyFill="1" applyBorder="1" applyAlignment="1" applyProtection="1">
      <alignment vertical="center" wrapText="1"/>
      <protection locked="0"/>
    </xf>
    <xf numFmtId="3" fontId="150" fillId="2" borderId="27" xfId="0" applyNumberFormat="1" applyFont="1" applyFill="1" applyBorder="1" applyAlignment="1" applyProtection="1">
      <alignment horizontal="left" vertical="center" wrapText="1"/>
    </xf>
    <xf numFmtId="164" fontId="151" fillId="2" borderId="20" xfId="0" applyNumberFormat="1" applyFont="1" applyFill="1" applyBorder="1" applyAlignment="1" applyProtection="1">
      <alignment horizontal="center" vertical="center"/>
    </xf>
    <xf numFmtId="3" fontId="149" fillId="2" borderId="20" xfId="0" applyNumberFormat="1" applyFont="1" applyFill="1" applyBorder="1" applyAlignment="1" applyProtection="1">
      <alignment horizontal="left" vertical="center" wrapText="1"/>
    </xf>
    <xf numFmtId="3" fontId="149" fillId="0" borderId="0" xfId="0" applyNumberFormat="1" applyFont="1" applyFill="1" applyAlignment="1" applyProtection="1">
      <alignment vertical="center"/>
    </xf>
    <xf numFmtId="3" fontId="149" fillId="2" borderId="19" xfId="0" applyNumberFormat="1" applyFont="1" applyFill="1" applyBorder="1" applyAlignment="1" applyProtection="1">
      <alignment vertical="center"/>
    </xf>
    <xf numFmtId="164" fontId="163" fillId="2" borderId="11" xfId="0" applyNumberFormat="1" applyFont="1" applyFill="1" applyBorder="1" applyAlignment="1" applyProtection="1">
      <alignment horizontal="center" vertical="center"/>
    </xf>
    <xf numFmtId="3" fontId="148" fillId="2" borderId="52" xfId="0" applyNumberFormat="1" applyFont="1" applyFill="1" applyBorder="1" applyAlignment="1" applyProtection="1">
      <alignment horizontal="left" vertical="center" wrapText="1"/>
    </xf>
    <xf numFmtId="3" fontId="161" fillId="2" borderId="62" xfId="0" applyNumberFormat="1" applyFont="1" applyFill="1" applyBorder="1" applyAlignment="1" applyProtection="1">
      <alignment vertical="center"/>
    </xf>
    <xf numFmtId="3" fontId="161" fillId="2" borderId="23" xfId="0" applyNumberFormat="1" applyFont="1" applyFill="1" applyBorder="1" applyAlignment="1" applyProtection="1">
      <alignment vertical="center"/>
    </xf>
    <xf numFmtId="3" fontId="161" fillId="2" borderId="24" xfId="0" applyNumberFormat="1" applyFont="1" applyFill="1" applyBorder="1" applyAlignment="1" applyProtection="1">
      <alignment vertical="center"/>
    </xf>
    <xf numFmtId="1" fontId="167" fillId="2" borderId="11" xfId="0" applyNumberFormat="1" applyFont="1" applyFill="1" applyBorder="1" applyAlignment="1" applyProtection="1">
      <alignment horizontal="center" vertical="center"/>
    </xf>
    <xf numFmtId="3" fontId="150" fillId="0" borderId="32" xfId="0" applyNumberFormat="1" applyFont="1" applyFill="1" applyBorder="1" applyAlignment="1" applyProtection="1">
      <alignment horizontal="left" vertical="center" wrapText="1"/>
    </xf>
    <xf numFmtId="3" fontId="166" fillId="4" borderId="10" xfId="0" applyNumberFormat="1" applyFont="1" applyFill="1" applyBorder="1" applyAlignment="1" applyProtection="1">
      <alignment vertical="center"/>
    </xf>
    <xf numFmtId="3" fontId="150" fillId="2" borderId="32" xfId="0" applyNumberFormat="1" applyFont="1" applyFill="1" applyBorder="1" applyAlignment="1" applyProtection="1">
      <alignment horizontal="left" vertical="center" wrapText="1"/>
    </xf>
    <xf numFmtId="3" fontId="150" fillId="0" borderId="0" xfId="0" applyNumberFormat="1" applyFont="1" applyFill="1" applyAlignment="1" applyProtection="1">
      <alignment vertical="center"/>
    </xf>
    <xf numFmtId="3" fontId="149" fillId="0" borderId="0" xfId="0" applyNumberFormat="1" applyFont="1" applyFill="1" applyBorder="1" applyAlignment="1" applyProtection="1">
      <alignment vertical="center"/>
    </xf>
    <xf numFmtId="3" fontId="150" fillId="2" borderId="33" xfId="0" applyNumberFormat="1" applyFont="1" applyFill="1" applyBorder="1" applyAlignment="1" applyProtection="1">
      <alignment horizontal="left" vertical="center" wrapText="1"/>
    </xf>
    <xf numFmtId="3" fontId="166" fillId="4" borderId="39" xfId="0" applyNumberFormat="1" applyFont="1" applyFill="1" applyBorder="1" applyAlignment="1" applyProtection="1">
      <alignment vertical="center"/>
    </xf>
    <xf numFmtId="1" fontId="169" fillId="2" borderId="83" xfId="0" applyNumberFormat="1" applyFont="1" applyFill="1" applyBorder="1" applyAlignment="1" applyProtection="1">
      <alignment horizontal="center" vertical="center"/>
    </xf>
    <xf numFmtId="3" fontId="170" fillId="2" borderId="52" xfId="0" applyNumberFormat="1" applyFont="1" applyFill="1" applyBorder="1" applyAlignment="1" applyProtection="1">
      <alignment horizontal="left" vertical="center" wrapText="1"/>
    </xf>
    <xf numFmtId="1" fontId="171" fillId="2" borderId="83" xfId="0" applyNumberFormat="1" applyFont="1" applyFill="1" applyBorder="1" applyAlignment="1" applyProtection="1">
      <alignment horizontal="center" vertical="center"/>
    </xf>
    <xf numFmtId="3" fontId="172" fillId="2" borderId="32" xfId="0" applyNumberFormat="1" applyFont="1" applyFill="1" applyBorder="1" applyAlignment="1" applyProtection="1">
      <alignment horizontal="left" vertical="center" wrapText="1"/>
    </xf>
    <xf numFmtId="3" fontId="151" fillId="0" borderId="5" xfId="0" applyNumberFormat="1" applyFont="1" applyFill="1" applyBorder="1" applyAlignment="1" applyProtection="1">
      <alignment vertical="center"/>
    </xf>
    <xf numFmtId="3" fontId="151" fillId="0" borderId="9" xfId="0" applyNumberFormat="1" applyFont="1" applyFill="1" applyBorder="1" applyAlignment="1" applyProtection="1">
      <alignment vertical="center"/>
    </xf>
    <xf numFmtId="3" fontId="166" fillId="4" borderId="8" xfId="0" applyNumberFormat="1" applyFont="1" applyFill="1" applyBorder="1" applyAlignment="1" applyProtection="1">
      <alignment vertical="center"/>
    </xf>
    <xf numFmtId="3" fontId="166" fillId="4" borderId="9" xfId="0" applyNumberFormat="1" applyFont="1" applyFill="1" applyBorder="1" applyAlignment="1" applyProtection="1">
      <alignment vertical="center"/>
    </xf>
    <xf numFmtId="164" fontId="163" fillId="2" borderId="46" xfId="0" quotePrefix="1" applyNumberFormat="1" applyFont="1" applyFill="1" applyBorder="1" applyAlignment="1" applyProtection="1">
      <alignment horizontal="center" vertical="center"/>
    </xf>
    <xf numFmtId="3" fontId="161" fillId="2" borderId="46" xfId="0" applyNumberFormat="1" applyFont="1" applyFill="1" applyBorder="1" applyAlignment="1" applyProtection="1">
      <alignment horizontal="left" vertical="center" wrapText="1"/>
    </xf>
    <xf numFmtId="3" fontId="161" fillId="2" borderId="48" xfId="0" applyNumberFormat="1" applyFont="1" applyFill="1" applyBorder="1" applyAlignment="1" applyProtection="1">
      <alignment vertical="center"/>
    </xf>
    <xf numFmtId="3" fontId="161" fillId="2" borderId="47" xfId="0" applyNumberFormat="1" applyFont="1" applyFill="1" applyBorder="1" applyAlignment="1" applyProtection="1">
      <alignment vertical="center"/>
    </xf>
    <xf numFmtId="3" fontId="161" fillId="2" borderId="46" xfId="0" applyNumberFormat="1" applyFont="1" applyFill="1" applyBorder="1" applyAlignment="1" applyProtection="1">
      <alignment vertical="center"/>
    </xf>
    <xf numFmtId="3" fontId="172" fillId="0" borderId="32" xfId="0" applyNumberFormat="1" applyFont="1" applyFill="1" applyBorder="1" applyAlignment="1" applyProtection="1">
      <alignment horizontal="left" vertical="center" wrapText="1"/>
    </xf>
    <xf numFmtId="3" fontId="148" fillId="2" borderId="9" xfId="0" applyNumberFormat="1" applyFont="1" applyFill="1" applyBorder="1" applyAlignment="1" applyProtection="1">
      <alignment horizontal="left" vertical="center" wrapText="1"/>
    </xf>
    <xf numFmtId="3" fontId="166" fillId="2" borderId="10" xfId="0" applyNumberFormat="1" applyFont="1" applyFill="1" applyBorder="1" applyAlignment="1" applyProtection="1">
      <alignment horizontal="right" vertical="center"/>
    </xf>
    <xf numFmtId="3" fontId="166" fillId="2" borderId="8" xfId="0" applyNumberFormat="1" applyFont="1" applyFill="1" applyBorder="1" applyAlignment="1" applyProtection="1">
      <alignment horizontal="right" vertical="center"/>
    </xf>
    <xf numFmtId="3" fontId="166" fillId="2" borderId="11" xfId="0" applyNumberFormat="1" applyFont="1" applyFill="1" applyBorder="1" applyAlignment="1" applyProtection="1">
      <alignment horizontal="right" vertical="center"/>
    </xf>
    <xf numFmtId="3" fontId="167" fillId="2" borderId="33" xfId="0" applyNumberFormat="1" applyFont="1" applyFill="1" applyBorder="1" applyAlignment="1" applyProtection="1">
      <alignment horizontal="left" vertical="center" wrapText="1"/>
    </xf>
    <xf numFmtId="3" fontId="161" fillId="0" borderId="35" xfId="0" applyNumberFormat="1" applyFont="1" applyFill="1" applyBorder="1" applyAlignment="1" applyProtection="1">
      <alignment horizontal="right" vertical="center"/>
    </xf>
    <xf numFmtId="3" fontId="161" fillId="0" borderId="54" xfId="0" applyNumberFormat="1" applyFont="1" applyFill="1" applyBorder="1" applyAlignment="1" applyProtection="1">
      <alignment horizontal="right" vertical="center"/>
    </xf>
    <xf numFmtId="3" fontId="161" fillId="0" borderId="47" xfId="0" applyNumberFormat="1" applyFont="1" applyFill="1" applyBorder="1" applyAlignment="1" applyProtection="1">
      <alignment horizontal="right" vertical="center"/>
    </xf>
    <xf numFmtId="164" fontId="167" fillId="0" borderId="26" xfId="0" quotePrefix="1" applyNumberFormat="1" applyFont="1" applyFill="1" applyBorder="1" applyAlignment="1" applyProtection="1">
      <alignment horizontal="center" vertical="center"/>
    </xf>
    <xf numFmtId="3" fontId="149" fillId="0" borderId="8" xfId="0" applyNumberFormat="1" applyFont="1" applyFill="1" applyBorder="1" applyAlignment="1" applyProtection="1">
      <alignment vertical="center"/>
    </xf>
    <xf numFmtId="3" fontId="149" fillId="0" borderId="11" xfId="0" applyNumberFormat="1" applyFont="1" applyFill="1" applyBorder="1" applyAlignment="1" applyProtection="1">
      <alignment vertical="center"/>
    </xf>
    <xf numFmtId="3" fontId="149" fillId="0" borderId="5" xfId="0" applyNumberFormat="1" applyFont="1" applyFill="1" applyBorder="1" applyAlignment="1" applyProtection="1">
      <alignment vertical="center"/>
    </xf>
    <xf numFmtId="3" fontId="149" fillId="0" borderId="9" xfId="0" applyNumberFormat="1" applyFont="1" applyFill="1" applyBorder="1" applyAlignment="1" applyProtection="1">
      <alignment vertical="center"/>
    </xf>
    <xf numFmtId="3" fontId="149" fillId="0" borderId="10" xfId="0" applyNumberFormat="1" applyFont="1" applyFill="1" applyBorder="1" applyAlignment="1" applyProtection="1">
      <alignment vertical="center"/>
    </xf>
    <xf numFmtId="164" fontId="167" fillId="0" borderId="26" xfId="0" applyNumberFormat="1" applyFont="1" applyFill="1" applyBorder="1" applyAlignment="1" applyProtection="1">
      <alignment horizontal="center" vertical="center"/>
    </xf>
    <xf numFmtId="3" fontId="149" fillId="2" borderId="11" xfId="0" applyNumberFormat="1" applyFont="1" applyFill="1" applyBorder="1" applyAlignment="1" applyProtection="1">
      <alignment vertical="center"/>
    </xf>
    <xf numFmtId="164" fontId="167" fillId="2" borderId="26" xfId="0" quotePrefix="1" applyNumberFormat="1" applyFont="1" applyFill="1" applyBorder="1" applyAlignment="1" applyProtection="1">
      <alignment horizontal="center" vertical="center"/>
    </xf>
    <xf numFmtId="164" fontId="167" fillId="2" borderId="26" xfId="0" applyNumberFormat="1" applyFont="1" applyFill="1" applyBorder="1" applyAlignment="1" applyProtection="1">
      <alignment horizontal="center" vertical="center"/>
    </xf>
    <xf numFmtId="164" fontId="167" fillId="2" borderId="27" xfId="0" applyNumberFormat="1" applyFont="1" applyFill="1" applyBorder="1" applyAlignment="1" applyProtection="1">
      <alignment horizontal="center" vertical="center"/>
    </xf>
    <xf numFmtId="3" fontId="150" fillId="2" borderId="33" xfId="0" applyNumberFormat="1" applyFont="1" applyFill="1" applyBorder="1" applyAlignment="1" applyProtection="1">
      <alignment horizontal="left" vertical="center" wrapText="1"/>
      <protection locked="0"/>
    </xf>
    <xf numFmtId="3" fontId="149" fillId="0" borderId="17" xfId="0" applyNumberFormat="1" applyFont="1" applyFill="1" applyBorder="1" applyAlignment="1" applyProtection="1">
      <alignment vertical="center"/>
    </xf>
    <xf numFmtId="3" fontId="149" fillId="0" borderId="37" xfId="0" applyNumberFormat="1" applyFont="1" applyFill="1" applyBorder="1" applyAlignment="1" applyProtection="1">
      <alignment vertical="center"/>
    </xf>
    <xf numFmtId="3" fontId="149" fillId="2" borderId="37" xfId="0" applyNumberFormat="1" applyFont="1" applyFill="1" applyBorder="1" applyAlignment="1" applyProtection="1">
      <alignment vertical="center"/>
    </xf>
    <xf numFmtId="3" fontId="149" fillId="2" borderId="39" xfId="0" applyNumberFormat="1" applyFont="1" applyFill="1" applyBorder="1" applyAlignment="1" applyProtection="1">
      <alignment vertical="center"/>
    </xf>
    <xf numFmtId="164" fontId="163" fillId="2" borderId="19" xfId="0" quotePrefix="1" applyNumberFormat="1" applyFont="1" applyFill="1" applyBorder="1" applyAlignment="1" applyProtection="1">
      <alignment horizontal="left" vertical="center"/>
    </xf>
    <xf numFmtId="3" fontId="161" fillId="2" borderId="19" xfId="0" applyNumberFormat="1" applyFont="1" applyFill="1" applyBorder="1" applyAlignment="1" applyProtection="1">
      <alignment horizontal="left" vertical="center" wrapText="1"/>
    </xf>
    <xf numFmtId="3" fontId="161" fillId="2" borderId="55" xfId="0" applyNumberFormat="1" applyFont="1" applyFill="1" applyBorder="1" applyAlignment="1" applyProtection="1">
      <alignment vertical="center"/>
    </xf>
    <xf numFmtId="3" fontId="161" fillId="2" borderId="1" xfId="0" applyNumberFormat="1" applyFont="1" applyFill="1" applyBorder="1" applyAlignment="1" applyProtection="1">
      <alignment vertical="center"/>
    </xf>
    <xf numFmtId="3" fontId="161" fillId="2" borderId="35" xfId="0" applyNumberFormat="1" applyFont="1" applyFill="1" applyBorder="1" applyAlignment="1" applyProtection="1">
      <alignment vertical="center"/>
    </xf>
    <xf numFmtId="3" fontId="161" fillId="2" borderId="29" xfId="0" applyNumberFormat="1" applyFont="1" applyFill="1" applyBorder="1" applyAlignment="1" applyProtection="1">
      <alignment vertical="center"/>
    </xf>
    <xf numFmtId="164" fontId="163" fillId="2" borderId="46" xfId="0" quotePrefix="1" applyNumberFormat="1" applyFont="1" applyFill="1" applyBorder="1" applyAlignment="1" applyProtection="1">
      <alignment horizontal="left" vertical="center"/>
    </xf>
    <xf numFmtId="164" fontId="163" fillId="0" borderId="20" xfId="0" quotePrefix="1" applyNumberFormat="1" applyFont="1" applyFill="1" applyBorder="1" applyAlignment="1" applyProtection="1">
      <alignment horizontal="left" vertical="center"/>
    </xf>
    <xf numFmtId="3" fontId="161" fillId="0" borderId="20" xfId="0" applyNumberFormat="1" applyFont="1" applyFill="1" applyBorder="1" applyAlignment="1" applyProtection="1">
      <alignment horizontal="left" vertical="center" wrapText="1"/>
    </xf>
    <xf numFmtId="3" fontId="161" fillId="0" borderId="44" xfId="0" applyNumberFormat="1" applyFont="1" applyFill="1" applyBorder="1" applyAlignment="1" applyProtection="1">
      <alignment vertical="center"/>
    </xf>
    <xf numFmtId="3" fontId="161" fillId="0" borderId="4" xfId="0" applyNumberFormat="1" applyFont="1" applyFill="1" applyBorder="1" applyAlignment="1" applyProtection="1">
      <alignment vertical="center"/>
    </xf>
    <xf numFmtId="3" fontId="161" fillId="0" borderId="43" xfId="0" applyNumberFormat="1" applyFont="1" applyFill="1" applyBorder="1" applyAlignment="1" applyProtection="1">
      <alignment vertical="center"/>
    </xf>
    <xf numFmtId="164" fontId="163" fillId="2" borderId="41" xfId="0" quotePrefix="1" applyNumberFormat="1" applyFont="1" applyFill="1" applyBorder="1" applyAlignment="1" applyProtection="1">
      <alignment horizontal="left" vertical="center"/>
    </xf>
    <xf numFmtId="3" fontId="161" fillId="2" borderId="41" xfId="0" applyNumberFormat="1" applyFont="1" applyFill="1" applyBorder="1" applyAlignment="1" applyProtection="1">
      <alignment horizontal="left" vertical="center" wrapText="1"/>
    </xf>
    <xf numFmtId="3" fontId="161" fillId="2" borderId="63" xfId="0" applyNumberFormat="1" applyFont="1" applyFill="1" applyBorder="1" applyAlignment="1" applyProtection="1">
      <alignment vertical="center"/>
    </xf>
    <xf numFmtId="3" fontId="161" fillId="2" borderId="59" xfId="0" applyNumberFormat="1" applyFont="1" applyFill="1" applyBorder="1" applyAlignment="1" applyProtection="1">
      <alignment vertical="center"/>
    </xf>
    <xf numFmtId="3" fontId="161" fillId="2" borderId="73" xfId="0" applyNumberFormat="1" applyFont="1" applyFill="1" applyBorder="1" applyAlignment="1" applyProtection="1">
      <alignment vertical="center"/>
    </xf>
    <xf numFmtId="1" fontId="151" fillId="2" borderId="0" xfId="0" applyNumberFormat="1" applyFont="1" applyFill="1" applyAlignment="1" applyProtection="1">
      <alignment horizontal="center" vertical="center"/>
    </xf>
    <xf numFmtId="3" fontId="149" fillId="2" borderId="0" xfId="0" applyNumberFormat="1" applyFont="1" applyFill="1" applyAlignment="1" applyProtection="1">
      <alignment vertical="center" wrapText="1"/>
    </xf>
    <xf numFmtId="3" fontId="151" fillId="2" borderId="10" xfId="0" applyNumberFormat="1" applyFont="1" applyFill="1" applyBorder="1" applyAlignment="1" applyProtection="1">
      <alignment horizontal="right" vertical="center"/>
    </xf>
    <xf numFmtId="3" fontId="149" fillId="2" borderId="0" xfId="0" applyNumberFormat="1" applyFont="1" applyFill="1" applyBorder="1" applyAlignment="1" applyProtection="1">
      <alignment horizontal="left" vertical="center" wrapText="1"/>
    </xf>
    <xf numFmtId="164" fontId="153" fillId="2" borderId="8" xfId="0" applyNumberFormat="1" applyFont="1" applyFill="1" applyBorder="1" applyAlignment="1" applyProtection="1">
      <alignment horizontal="center" vertical="center"/>
    </xf>
    <xf numFmtId="3" fontId="156" fillId="2" borderId="8" xfId="0" applyNumberFormat="1" applyFont="1" applyFill="1" applyBorder="1" applyAlignment="1" applyProtection="1">
      <alignment vertical="center" wrapText="1"/>
    </xf>
    <xf numFmtId="3" fontId="166" fillId="2" borderId="8" xfId="0" applyNumberFormat="1" applyFont="1" applyFill="1" applyBorder="1" applyAlignment="1" applyProtection="1">
      <alignment horizontal="right" vertical="center"/>
      <protection locked="0"/>
    </xf>
    <xf numFmtId="164" fontId="150" fillId="2" borderId="16" xfId="0" applyNumberFormat="1" applyFont="1" applyFill="1" applyBorder="1" applyAlignment="1" applyProtection="1">
      <alignment horizontal="center" vertical="center"/>
    </xf>
    <xf numFmtId="3" fontId="150" fillId="2" borderId="18" xfId="0" applyNumberFormat="1" applyFont="1" applyFill="1" applyBorder="1" applyAlignment="1" applyProtection="1">
      <alignment horizontal="left" vertical="center" wrapText="1"/>
    </xf>
    <xf numFmtId="3" fontId="151" fillId="2" borderId="39" xfId="0" applyNumberFormat="1" applyFont="1" applyFill="1" applyBorder="1" applyAlignment="1" applyProtection="1">
      <alignment vertical="center"/>
    </xf>
    <xf numFmtId="3" fontId="151" fillId="2" borderId="17" xfId="0" applyNumberFormat="1" applyFont="1" applyFill="1" applyBorder="1" applyAlignment="1" applyProtection="1">
      <alignment horizontal="right" vertical="center"/>
    </xf>
    <xf numFmtId="3" fontId="151" fillId="2" borderId="37" xfId="0" applyNumberFormat="1" applyFont="1" applyFill="1" applyBorder="1" applyAlignment="1" applyProtection="1">
      <alignment horizontal="right" vertical="center"/>
    </xf>
    <xf numFmtId="3" fontId="151" fillId="2" borderId="16" xfId="0" applyNumberFormat="1" applyFont="1" applyFill="1" applyBorder="1" applyAlignment="1" applyProtection="1">
      <alignment horizontal="right" vertical="center"/>
    </xf>
    <xf numFmtId="3" fontId="151" fillId="2" borderId="18" xfId="0" applyNumberFormat="1" applyFont="1" applyFill="1" applyBorder="1" applyAlignment="1" applyProtection="1">
      <alignment horizontal="right" vertical="center"/>
    </xf>
    <xf numFmtId="1" fontId="148" fillId="2" borderId="25" xfId="0" applyNumberFormat="1" applyFont="1" applyFill="1" applyBorder="1" applyAlignment="1" applyProtection="1">
      <alignment horizontal="center" vertical="center" wrapText="1"/>
    </xf>
    <xf numFmtId="3" fontId="148" fillId="2" borderId="2" xfId="0" applyNumberFormat="1" applyFont="1" applyFill="1" applyBorder="1" applyAlignment="1" applyProtection="1">
      <alignment horizontal="center" vertical="center" wrapText="1"/>
    </xf>
    <xf numFmtId="3" fontId="161" fillId="2" borderId="2" xfId="0" applyNumberFormat="1" applyFont="1" applyFill="1" applyBorder="1" applyAlignment="1" applyProtection="1">
      <alignment horizontal="center" vertical="center"/>
    </xf>
    <xf numFmtId="3" fontId="161" fillId="2" borderId="3" xfId="0" applyNumberFormat="1" applyFont="1" applyFill="1" applyBorder="1" applyAlignment="1" applyProtection="1">
      <alignment horizontal="center" vertical="center"/>
    </xf>
    <xf numFmtId="3" fontId="166" fillId="2" borderId="25" xfId="0" applyNumberFormat="1" applyFont="1" applyFill="1" applyBorder="1" applyAlignment="1" applyProtection="1">
      <alignment horizontal="right" vertical="center"/>
    </xf>
    <xf numFmtId="3" fontId="166" fillId="2" borderId="3" xfId="0" applyNumberFormat="1" applyFont="1" applyFill="1" applyBorder="1" applyAlignment="1" applyProtection="1">
      <alignment horizontal="right" vertical="center"/>
    </xf>
    <xf numFmtId="164" fontId="167" fillId="2" borderId="16" xfId="0" applyNumberFormat="1" applyFont="1" applyFill="1" applyBorder="1" applyAlignment="1" applyProtection="1">
      <alignment horizontal="center" vertical="center"/>
    </xf>
    <xf numFmtId="3" fontId="149" fillId="2" borderId="18" xfId="0" applyNumberFormat="1" applyFont="1" applyFill="1" applyBorder="1" applyAlignment="1" applyProtection="1">
      <alignment horizontal="left" vertical="center" wrapText="1"/>
    </xf>
    <xf numFmtId="3" fontId="166" fillId="4" borderId="38" xfId="0" applyNumberFormat="1" applyFont="1" applyFill="1" applyBorder="1" applyAlignment="1" applyProtection="1">
      <alignment vertical="center"/>
      <protection locked="0"/>
    </xf>
    <xf numFmtId="3" fontId="166" fillId="4" borderId="34" xfId="0" applyNumberFormat="1" applyFont="1" applyFill="1" applyBorder="1" applyAlignment="1" applyProtection="1">
      <alignment vertical="center"/>
      <protection locked="0"/>
    </xf>
    <xf numFmtId="1" fontId="148" fillId="2" borderId="20" xfId="0" applyNumberFormat="1" applyFont="1" applyFill="1" applyBorder="1" applyAlignment="1" applyProtection="1">
      <alignment horizontal="center" vertical="center" wrapText="1"/>
    </xf>
    <xf numFmtId="3" fontId="148" fillId="2" borderId="0" xfId="0" applyNumberFormat="1" applyFont="1" applyFill="1" applyBorder="1" applyAlignment="1" applyProtection="1">
      <alignment horizontal="center" vertical="center" wrapText="1"/>
    </xf>
    <xf numFmtId="3" fontId="161" fillId="2" borderId="0" xfId="0" applyNumberFormat="1" applyFont="1" applyFill="1" applyBorder="1" applyAlignment="1" applyProtection="1">
      <alignment horizontal="center" vertical="center"/>
    </xf>
    <xf numFmtId="3" fontId="161" fillId="2" borderId="40" xfId="0" applyNumberFormat="1" applyFont="1" applyFill="1" applyBorder="1" applyAlignment="1" applyProtection="1">
      <alignment horizontal="center" vertical="center"/>
    </xf>
    <xf numFmtId="3" fontId="151" fillId="2" borderId="46" xfId="0" applyNumberFormat="1" applyFont="1" applyFill="1" applyBorder="1" applyAlignment="1" applyProtection="1">
      <alignment horizontal="right" vertical="center"/>
    </xf>
    <xf numFmtId="3" fontId="151" fillId="2" borderId="47" xfId="0" applyNumberFormat="1" applyFont="1" applyFill="1" applyBorder="1" applyAlignment="1" applyProtection="1">
      <alignment horizontal="right" vertical="center"/>
    </xf>
    <xf numFmtId="3" fontId="152" fillId="2" borderId="0" xfId="0" applyNumberFormat="1" applyFont="1" applyFill="1" applyAlignment="1" applyProtection="1">
      <alignment vertical="center"/>
    </xf>
    <xf numFmtId="3" fontId="151" fillId="2" borderId="25" xfId="0" applyNumberFormat="1" applyFont="1" applyFill="1" applyBorder="1" applyAlignment="1" applyProtection="1">
      <alignment horizontal="right" vertical="center"/>
    </xf>
    <xf numFmtId="3" fontId="151" fillId="2" borderId="3" xfId="0" applyNumberFormat="1" applyFont="1" applyFill="1" applyBorder="1" applyAlignment="1" applyProtection="1">
      <alignment horizontal="right" vertical="center"/>
    </xf>
    <xf numFmtId="164" fontId="153" fillId="2" borderId="5" xfId="0" applyNumberFormat="1" applyFont="1" applyFill="1" applyBorder="1" applyAlignment="1" applyProtection="1">
      <alignment horizontal="center" vertical="center"/>
    </xf>
    <xf numFmtId="3" fontId="156" fillId="2" borderId="9" xfId="0" applyNumberFormat="1" applyFont="1" applyFill="1" applyBorder="1" applyAlignment="1" applyProtection="1">
      <alignment vertical="center" wrapText="1"/>
    </xf>
    <xf numFmtId="164" fontId="167" fillId="2" borderId="5" xfId="0" applyNumberFormat="1" applyFont="1" applyFill="1" applyBorder="1" applyAlignment="1" applyProtection="1">
      <alignment horizontal="center" vertical="center"/>
    </xf>
    <xf numFmtId="3" fontId="151" fillId="2" borderId="41" xfId="0" applyNumberFormat="1" applyFont="1" applyFill="1" applyBorder="1" applyAlignment="1" applyProtection="1">
      <alignment horizontal="right" vertical="center"/>
    </xf>
    <xf numFmtId="3" fontId="151" fillId="2" borderId="13" xfId="0" applyNumberFormat="1" applyFont="1" applyFill="1" applyBorder="1" applyAlignment="1" applyProtection="1">
      <alignment horizontal="right" vertical="center"/>
    </xf>
    <xf numFmtId="1" fontId="151" fillId="2" borderId="0" xfId="0" applyNumberFormat="1" applyFont="1" applyFill="1" applyAlignment="1" applyProtection="1">
      <alignment horizontal="center"/>
    </xf>
    <xf numFmtId="3" fontId="149" fillId="2" borderId="0" xfId="0" applyNumberFormat="1" applyFont="1" applyFill="1" applyBorder="1" applyAlignment="1" applyProtection="1">
      <alignment horizontal="left" wrapText="1"/>
    </xf>
    <xf numFmtId="164" fontId="153" fillId="2" borderId="55" xfId="0" applyNumberFormat="1" applyFont="1" applyFill="1" applyBorder="1" applyAlignment="1" applyProtection="1">
      <alignment horizontal="center" vertical="center"/>
    </xf>
    <xf numFmtId="3" fontId="156" fillId="2" borderId="66" xfId="0" applyNumberFormat="1" applyFont="1" applyFill="1" applyBorder="1" applyAlignment="1" applyProtection="1">
      <alignment vertical="center" wrapText="1"/>
    </xf>
    <xf numFmtId="3" fontId="166" fillId="2" borderId="1" xfId="0" applyNumberFormat="1" applyFont="1" applyFill="1" applyBorder="1" applyAlignment="1" applyProtection="1">
      <alignment horizontal="right" vertical="center"/>
    </xf>
    <xf numFmtId="3" fontId="166" fillId="2" borderId="14" xfId="0" applyNumberFormat="1" applyFont="1" applyFill="1" applyBorder="1" applyAlignment="1" applyProtection="1">
      <alignment vertical="center"/>
    </xf>
    <xf numFmtId="3" fontId="166" fillId="2" borderId="42" xfId="0" applyNumberFormat="1" applyFont="1" applyFill="1" applyBorder="1" applyAlignment="1" applyProtection="1">
      <alignment vertical="center"/>
    </xf>
    <xf numFmtId="3" fontId="166" fillId="2" borderId="35" xfId="0" applyNumberFormat="1" applyFont="1" applyFill="1" applyBorder="1" applyAlignment="1" applyProtection="1">
      <alignment vertical="center"/>
    </xf>
    <xf numFmtId="3" fontId="166" fillId="2" borderId="29" xfId="0" applyNumberFormat="1" applyFont="1" applyFill="1" applyBorder="1" applyAlignment="1" applyProtection="1">
      <alignment vertical="center"/>
    </xf>
    <xf numFmtId="164" fontId="163" fillId="2" borderId="55" xfId="0" quotePrefix="1" applyNumberFormat="1" applyFont="1" applyFill="1" applyBorder="1" applyAlignment="1" applyProtection="1">
      <alignment horizontal="left" vertical="center"/>
    </xf>
    <xf numFmtId="3" fontId="161" fillId="2" borderId="56" xfId="0" applyNumberFormat="1" applyFont="1" applyFill="1" applyBorder="1" applyAlignment="1" applyProtection="1">
      <alignment horizontal="left" vertical="center" wrapText="1"/>
    </xf>
    <xf numFmtId="3" fontId="166" fillId="2" borderId="56" xfId="0" applyNumberFormat="1" applyFont="1" applyFill="1" applyBorder="1" applyAlignment="1" applyProtection="1">
      <alignment vertical="center"/>
    </xf>
    <xf numFmtId="3" fontId="166" fillId="2" borderId="66" xfId="0" applyNumberFormat="1" applyFont="1" applyFill="1" applyBorder="1" applyAlignment="1" applyProtection="1">
      <alignment vertical="center"/>
    </xf>
    <xf numFmtId="164" fontId="156" fillId="2" borderId="46" xfId="0" applyNumberFormat="1" applyFont="1" applyFill="1" applyBorder="1" applyAlignment="1" applyProtection="1">
      <alignment vertical="center"/>
    </xf>
    <xf numFmtId="164" fontId="156" fillId="2" borderId="48" xfId="0" applyNumberFormat="1" applyFont="1" applyFill="1" applyBorder="1" applyAlignment="1" applyProtection="1">
      <alignment vertical="center"/>
    </xf>
    <xf numFmtId="3" fontId="166" fillId="2" borderId="48" xfId="0" applyNumberFormat="1" applyFont="1" applyFill="1" applyBorder="1" applyAlignment="1" applyProtection="1">
      <alignment vertical="center"/>
    </xf>
    <xf numFmtId="3" fontId="166" fillId="2" borderId="47" xfId="0" applyNumberFormat="1" applyFont="1" applyFill="1" applyBorder="1" applyAlignment="1" applyProtection="1">
      <alignment vertical="center"/>
    </xf>
    <xf numFmtId="164" fontId="163" fillId="0" borderId="67" xfId="0" quotePrefix="1" applyNumberFormat="1" applyFont="1" applyFill="1" applyBorder="1" applyAlignment="1" applyProtection="1">
      <alignment horizontal="left" vertical="center"/>
    </xf>
    <xf numFmtId="3" fontId="161" fillId="0" borderId="30" xfId="0" applyNumberFormat="1" applyFont="1" applyFill="1" applyBorder="1" applyAlignment="1" applyProtection="1">
      <alignment horizontal="left" vertical="center" wrapText="1"/>
    </xf>
    <xf numFmtId="3" fontId="166" fillId="2" borderId="30" xfId="0" applyNumberFormat="1" applyFont="1" applyFill="1" applyBorder="1" applyAlignment="1" applyProtection="1">
      <alignment vertical="center"/>
    </xf>
    <xf numFmtId="3" fontId="166" fillId="2" borderId="68" xfId="0" applyNumberFormat="1" applyFont="1" applyFill="1" applyBorder="1" applyAlignment="1" applyProtection="1">
      <alignment vertical="center"/>
    </xf>
    <xf numFmtId="164" fontId="163" fillId="2" borderId="16" xfId="0" quotePrefix="1" applyNumberFormat="1" applyFont="1" applyFill="1" applyBorder="1" applyAlignment="1" applyProtection="1">
      <alignment horizontal="left" vertical="center"/>
    </xf>
    <xf numFmtId="3" fontId="161" fillId="2" borderId="17" xfId="0" applyNumberFormat="1" applyFont="1" applyFill="1" applyBorder="1" applyAlignment="1" applyProtection="1">
      <alignment horizontal="left" vertical="center" wrapText="1"/>
    </xf>
    <xf numFmtId="3" fontId="166" fillId="2" borderId="17" xfId="0" applyNumberFormat="1" applyFont="1" applyFill="1" applyBorder="1" applyAlignment="1" applyProtection="1">
      <alignment vertical="center"/>
    </xf>
    <xf numFmtId="3" fontId="166" fillId="2" borderId="18" xfId="0" applyNumberFormat="1" applyFont="1" applyFill="1" applyBorder="1" applyAlignment="1" applyProtection="1">
      <alignment vertical="center"/>
    </xf>
    <xf numFmtId="3" fontId="58" fillId="4" borderId="17" xfId="0" applyNumberFormat="1" applyFont="1" applyFill="1" applyBorder="1" applyAlignment="1" applyProtection="1">
      <alignment vertical="center"/>
      <protection locked="0"/>
    </xf>
    <xf numFmtId="3" fontId="63" fillId="2" borderId="9" xfId="0" applyNumberFormat="1" applyFont="1" applyFill="1" applyBorder="1" applyAlignment="1" applyProtection="1">
      <alignment vertical="center"/>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8" borderId="1" xfId="0" applyNumberFormat="1" applyFont="1" applyFill="1" applyBorder="1" applyAlignment="1" applyProtection="1">
      <alignment horizontal="center" vertical="center" wrapText="1"/>
    </xf>
    <xf numFmtId="3" fontId="14" fillId="8"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14" fillId="2" borderId="19" xfId="0" applyNumberFormat="1" applyFont="1" applyFill="1" applyBorder="1" applyAlignment="1" applyProtection="1">
      <alignment horizontal="center" vertical="center"/>
    </xf>
    <xf numFmtId="3" fontId="14" fillId="2" borderId="42"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1" fontId="60" fillId="2" borderId="55" xfId="0" applyNumberFormat="1" applyFont="1" applyFill="1" applyBorder="1" applyAlignment="1" applyProtection="1">
      <alignment horizontal="center" vertical="center"/>
    </xf>
    <xf numFmtId="1" fontId="60" fillId="2" borderId="44" xfId="0" applyNumberFormat="1" applyFont="1" applyFill="1" applyBorder="1" applyAlignment="1" applyProtection="1">
      <alignment horizontal="center" vertical="center"/>
    </xf>
    <xf numFmtId="3" fontId="60" fillId="2" borderId="66" xfId="0" applyNumberFormat="1" applyFont="1" applyFill="1" applyBorder="1" applyAlignment="1" applyProtection="1">
      <alignment horizontal="center" vertical="center" wrapText="1"/>
    </xf>
    <xf numFmtId="3" fontId="60" fillId="2" borderId="43" xfId="0" applyNumberFormat="1" applyFont="1" applyFill="1" applyBorder="1" applyAlignment="1" applyProtection="1">
      <alignment horizontal="center" vertical="center" wrapText="1"/>
    </xf>
    <xf numFmtId="3" fontId="78" fillId="2" borderId="25" xfId="0" applyNumberFormat="1" applyFont="1" applyFill="1" applyBorder="1" applyAlignment="1" applyProtection="1">
      <alignment horizontal="center" vertical="center"/>
    </xf>
    <xf numFmtId="3" fontId="78" fillId="2" borderId="2" xfId="0" applyNumberFormat="1" applyFont="1" applyFill="1" applyBorder="1" applyAlignment="1" applyProtection="1">
      <alignment horizontal="center" vertical="center"/>
    </xf>
    <xf numFmtId="3" fontId="78" fillId="2" borderId="3" xfId="0" applyNumberFormat="1" applyFont="1" applyFill="1" applyBorder="1" applyAlignment="1" applyProtection="1">
      <alignment horizontal="center" vertical="center"/>
    </xf>
    <xf numFmtId="3" fontId="77" fillId="2" borderId="25" xfId="0" applyNumberFormat="1" applyFont="1" applyFill="1" applyBorder="1" applyAlignment="1" applyProtection="1">
      <alignment horizontal="center" vertical="center" wrapText="1"/>
    </xf>
    <xf numFmtId="3" fontId="77" fillId="2" borderId="2" xfId="0" applyNumberFormat="1" applyFont="1" applyFill="1" applyBorder="1" applyAlignment="1" applyProtection="1">
      <alignment horizontal="center" vertical="center" wrapText="1"/>
    </xf>
    <xf numFmtId="3" fontId="77" fillId="2" borderId="3" xfId="0" applyNumberFormat="1" applyFont="1" applyFill="1" applyBorder="1" applyAlignment="1" applyProtection="1">
      <alignment horizontal="center" vertical="center" wrapText="1"/>
    </xf>
    <xf numFmtId="3" fontId="69" fillId="2" borderId="0" xfId="0" applyNumberFormat="1" applyFont="1" applyFill="1" applyBorder="1" applyAlignment="1" applyProtection="1">
      <alignment horizontal="center" vertical="center" wrapText="1"/>
    </xf>
    <xf numFmtId="3" fontId="69" fillId="2" borderId="12" xfId="0" applyNumberFormat="1" applyFont="1" applyFill="1" applyBorder="1" applyAlignment="1" applyProtection="1">
      <alignment horizontal="center" vertical="center" wrapText="1"/>
    </xf>
    <xf numFmtId="3" fontId="62" fillId="2" borderId="50" xfId="0" applyNumberFormat="1" applyFont="1" applyFill="1" applyBorder="1" applyAlignment="1" applyProtection="1">
      <alignment horizontal="center" vertical="center"/>
    </xf>
    <xf numFmtId="3" fontId="62" fillId="2" borderId="2" xfId="0" applyNumberFormat="1" applyFont="1" applyFill="1" applyBorder="1" applyAlignment="1" applyProtection="1">
      <alignment horizontal="center" vertical="center"/>
    </xf>
    <xf numFmtId="3" fontId="62" fillId="2" borderId="3" xfId="0" applyNumberFormat="1" applyFont="1" applyFill="1" applyBorder="1" applyAlignment="1" applyProtection="1">
      <alignment horizontal="center" vertical="center"/>
    </xf>
    <xf numFmtId="3" fontId="64" fillId="2" borderId="11" xfId="0" applyNumberFormat="1" applyFont="1" applyFill="1" applyBorder="1" applyAlignment="1" applyProtection="1">
      <alignment horizontal="center"/>
    </xf>
    <xf numFmtId="3" fontId="64" fillId="2" borderId="45" xfId="0" applyNumberFormat="1" applyFont="1" applyFill="1" applyBorder="1" applyAlignment="1" applyProtection="1">
      <alignment horizontal="center"/>
    </xf>
    <xf numFmtId="3" fontId="64" fillId="2" borderId="49" xfId="0" applyNumberFormat="1" applyFont="1" applyFill="1" applyBorder="1" applyAlignment="1" applyProtection="1">
      <alignment horizontal="center"/>
    </xf>
    <xf numFmtId="3" fontId="60" fillId="2" borderId="12" xfId="0" applyNumberFormat="1" applyFont="1" applyFill="1" applyBorder="1" applyAlignment="1" applyProtection="1">
      <alignment horizontal="left" vertical="center" wrapText="1"/>
    </xf>
    <xf numFmtId="3" fontId="60" fillId="2" borderId="12" xfId="0" applyNumberFormat="1" applyFont="1" applyFill="1" applyBorder="1" applyAlignment="1" applyProtection="1">
      <alignment horizontal="left" vertical="top" wrapText="1"/>
    </xf>
    <xf numFmtId="3" fontId="66" fillId="2" borderId="14" xfId="0" applyNumberFormat="1" applyFont="1" applyFill="1" applyBorder="1" applyAlignment="1" applyProtection="1">
      <alignment horizontal="left" vertical="center" indent="5"/>
    </xf>
    <xf numFmtId="0" fontId="80" fillId="2" borderId="44" xfId="0" applyFont="1" applyFill="1" applyBorder="1" applyAlignment="1" applyProtection="1">
      <alignment horizontal="center" vertical="center"/>
    </xf>
    <xf numFmtId="0" fontId="80" fillId="2" borderId="63" xfId="0" applyFont="1" applyFill="1" applyBorder="1" applyAlignment="1" applyProtection="1">
      <alignment horizontal="center" vertical="center"/>
    </xf>
    <xf numFmtId="3" fontId="60" fillId="2" borderId="19" xfId="0" applyNumberFormat="1" applyFont="1" applyFill="1" applyBorder="1" applyAlignment="1" applyProtection="1">
      <alignment horizontal="center" vertical="center"/>
    </xf>
    <xf numFmtId="3" fontId="60" fillId="2" borderId="14" xfId="0" applyNumberFormat="1" applyFont="1" applyFill="1" applyBorder="1" applyAlignment="1" applyProtection="1">
      <alignment horizontal="center" vertical="center"/>
    </xf>
    <xf numFmtId="3" fontId="78" fillId="2" borderId="25" xfId="0" applyNumberFormat="1" applyFont="1" applyFill="1" applyBorder="1" applyAlignment="1" applyProtection="1">
      <alignment horizontal="center" vertical="center" wrapText="1"/>
    </xf>
    <xf numFmtId="3" fontId="78" fillId="2" borderId="2" xfId="0" applyNumberFormat="1" applyFont="1" applyFill="1" applyBorder="1" applyAlignment="1" applyProtection="1">
      <alignment horizontal="center" vertical="center" wrapText="1"/>
    </xf>
    <xf numFmtId="3" fontId="78" fillId="2" borderId="3" xfId="0" applyNumberFormat="1" applyFont="1" applyFill="1" applyBorder="1" applyAlignment="1" applyProtection="1">
      <alignment horizontal="center" vertical="center" wrapText="1"/>
    </xf>
    <xf numFmtId="3" fontId="60" fillId="2" borderId="62" xfId="0" applyNumberFormat="1" applyFont="1" applyFill="1" applyBorder="1" applyAlignment="1" applyProtection="1">
      <alignment horizontal="center" vertical="center"/>
    </xf>
    <xf numFmtId="3" fontId="60" fillId="2" borderId="23" xfId="0" applyNumberFormat="1" applyFont="1" applyFill="1" applyBorder="1" applyAlignment="1" applyProtection="1">
      <alignment horizontal="center" vertical="center"/>
    </xf>
    <xf numFmtId="3" fontId="70" fillId="2" borderId="9" xfId="0" applyNumberFormat="1" applyFont="1" applyFill="1" applyBorder="1" applyAlignment="1" applyProtection="1">
      <alignment horizontal="center" vertical="center"/>
    </xf>
    <xf numFmtId="3" fontId="70" fillId="2" borderId="18" xfId="0" applyNumberFormat="1" applyFont="1" applyFill="1" applyBorder="1" applyAlignment="1" applyProtection="1">
      <alignment horizontal="center" vertical="center"/>
    </xf>
    <xf numFmtId="3" fontId="70" fillId="2" borderId="10" xfId="0" applyNumberFormat="1" applyFont="1" applyFill="1" applyBorder="1" applyAlignment="1" applyProtection="1">
      <alignment horizontal="center" vertical="center"/>
    </xf>
    <xf numFmtId="3" fontId="70" fillId="2" borderId="8" xfId="0" applyNumberFormat="1" applyFont="1" applyFill="1" applyBorder="1" applyAlignment="1" applyProtection="1">
      <alignment horizontal="center" vertical="center"/>
    </xf>
    <xf numFmtId="3" fontId="70" fillId="2" borderId="39" xfId="0" applyNumberFormat="1" applyFont="1" applyFill="1" applyBorder="1" applyAlignment="1" applyProtection="1">
      <alignment horizontal="center" vertical="center"/>
    </xf>
    <xf numFmtId="3" fontId="70" fillId="2" borderId="17" xfId="0" applyNumberFormat="1" applyFont="1" applyFill="1" applyBorder="1" applyAlignment="1" applyProtection="1">
      <alignment horizontal="center" vertical="center"/>
    </xf>
    <xf numFmtId="0" fontId="80" fillId="2" borderId="19" xfId="0" applyFont="1" applyFill="1" applyBorder="1" applyAlignment="1" applyProtection="1">
      <alignment horizontal="center" vertical="center"/>
    </xf>
    <xf numFmtId="0" fontId="80" fillId="2" borderId="20" xfId="0" applyFont="1" applyFill="1" applyBorder="1" applyAlignment="1" applyProtection="1">
      <alignment horizontal="center" vertical="center"/>
    </xf>
    <xf numFmtId="3" fontId="66" fillId="2" borderId="14" xfId="0" applyNumberFormat="1" applyFont="1" applyFill="1" applyBorder="1" applyAlignment="1" applyProtection="1">
      <alignment horizontal="right" vertical="center"/>
    </xf>
    <xf numFmtId="3" fontId="60" fillId="2" borderId="42" xfId="0" applyNumberFormat="1" applyFont="1" applyFill="1" applyBorder="1" applyAlignment="1" applyProtection="1">
      <alignment horizontal="center" vertical="center"/>
    </xf>
    <xf numFmtId="3" fontId="67" fillId="2" borderId="0" xfId="0" applyNumberFormat="1" applyFont="1" applyFill="1" applyBorder="1" applyAlignment="1" applyProtection="1">
      <alignment horizontal="left" vertical="center"/>
    </xf>
    <xf numFmtId="3" fontId="67" fillId="2" borderId="40" xfId="0" applyNumberFormat="1" applyFont="1" applyFill="1" applyBorder="1" applyAlignment="1" applyProtection="1">
      <alignment horizontal="left" vertical="center"/>
    </xf>
    <xf numFmtId="3" fontId="67" fillId="2" borderId="12" xfId="0" applyNumberFormat="1" applyFont="1" applyFill="1" applyBorder="1" applyAlignment="1" applyProtection="1">
      <alignment horizontal="left" vertical="center"/>
    </xf>
    <xf numFmtId="3" fontId="67" fillId="2" borderId="13" xfId="0" applyNumberFormat="1" applyFont="1" applyFill="1" applyBorder="1" applyAlignment="1" applyProtection="1">
      <alignment horizontal="left" vertical="center"/>
    </xf>
    <xf numFmtId="3" fontId="67" fillId="2" borderId="14" xfId="0" applyNumberFormat="1" applyFont="1" applyFill="1" applyBorder="1" applyAlignment="1" applyProtection="1">
      <alignment horizontal="left" vertical="center"/>
    </xf>
    <xf numFmtId="3" fontId="67" fillId="2" borderId="42" xfId="0" applyNumberFormat="1" applyFont="1" applyFill="1" applyBorder="1" applyAlignment="1" applyProtection="1">
      <alignment horizontal="left" vertical="center"/>
    </xf>
    <xf numFmtId="3" fontId="60" fillId="2" borderId="20" xfId="0" applyNumberFormat="1" applyFont="1" applyFill="1" applyBorder="1" applyAlignment="1" applyProtection="1">
      <alignment horizontal="center" vertical="center"/>
    </xf>
    <xf numFmtId="3" fontId="60" fillId="2" borderId="0" xfId="0" applyNumberFormat="1" applyFont="1" applyFill="1" applyBorder="1" applyAlignment="1" applyProtection="1">
      <alignment horizontal="center" vertical="center"/>
    </xf>
    <xf numFmtId="0" fontId="73" fillId="0" borderId="55" xfId="0" applyFont="1" applyBorder="1" applyAlignment="1">
      <alignment horizontal="center" vertical="center" wrapText="1"/>
    </xf>
    <xf numFmtId="0" fontId="75" fillId="0" borderId="44" xfId="0" applyFont="1" applyBorder="1" applyAlignment="1">
      <alignment horizontal="center" vertical="center" wrapText="1"/>
    </xf>
    <xf numFmtId="0" fontId="75" fillId="0" borderId="63" xfId="0" applyFont="1" applyBorder="1" applyAlignment="1">
      <alignment horizontal="center" vertical="center" wrapText="1"/>
    </xf>
    <xf numFmtId="3" fontId="66" fillId="2" borderId="0" xfId="0" applyNumberFormat="1" applyFont="1" applyFill="1" applyBorder="1" applyAlignment="1" applyProtection="1">
      <alignment horizontal="right" vertical="center"/>
    </xf>
    <xf numFmtId="3" fontId="66" fillId="2" borderId="12" xfId="0" applyNumberFormat="1" applyFont="1" applyFill="1" applyBorder="1" applyAlignment="1" applyProtection="1">
      <alignment horizontal="right" vertical="center"/>
    </xf>
    <xf numFmtId="3" fontId="66" fillId="2" borderId="0" xfId="0" applyNumberFormat="1" applyFont="1" applyFill="1" applyBorder="1" applyAlignment="1" applyProtection="1">
      <alignment horizontal="left" vertical="center" indent="5"/>
    </xf>
    <xf numFmtId="3" fontId="66" fillId="2" borderId="12" xfId="0" applyNumberFormat="1" applyFont="1" applyFill="1" applyBorder="1" applyAlignment="1" applyProtection="1">
      <alignment horizontal="left" vertical="center" indent="5"/>
    </xf>
    <xf numFmtId="0" fontId="71" fillId="0" borderId="66" xfId="0" applyFont="1" applyBorder="1" applyAlignment="1">
      <alignment horizontal="center" vertical="center" wrapText="1"/>
    </xf>
    <xf numFmtId="0" fontId="74" fillId="0" borderId="43" xfId="0" applyFont="1" applyBorder="1" applyAlignment="1">
      <alignment horizontal="center" vertical="center" wrapText="1"/>
    </xf>
    <xf numFmtId="0" fontId="74" fillId="0" borderId="73" xfId="0" applyFont="1" applyBorder="1" applyAlignment="1">
      <alignment horizontal="center" vertical="center" wrapText="1"/>
    </xf>
    <xf numFmtId="0" fontId="80" fillId="2" borderId="50" xfId="0" applyFont="1" applyFill="1" applyBorder="1" applyAlignment="1" applyProtection="1">
      <alignment horizontal="center" vertical="center"/>
    </xf>
    <xf numFmtId="0" fontId="80" fillId="2" borderId="2" xfId="0" applyFont="1" applyFill="1" applyBorder="1" applyAlignment="1" applyProtection="1">
      <alignment horizontal="center" vertical="center"/>
    </xf>
    <xf numFmtId="0" fontId="80" fillId="2" borderId="3" xfId="0" applyFont="1" applyFill="1" applyBorder="1" applyAlignment="1" applyProtection="1">
      <alignment horizontal="center" vertical="center"/>
    </xf>
    <xf numFmtId="164" fontId="69" fillId="2" borderId="19" xfId="0" applyNumberFormat="1" applyFont="1" applyFill="1" applyBorder="1" applyAlignment="1" applyProtection="1">
      <alignment horizontal="center" vertical="center"/>
    </xf>
    <xf numFmtId="164" fontId="69" fillId="2" borderId="14" xfId="0" applyNumberFormat="1" applyFont="1" applyFill="1" applyBorder="1" applyAlignment="1" applyProtection="1">
      <alignment horizontal="center" vertical="center"/>
    </xf>
    <xf numFmtId="3" fontId="60" fillId="2" borderId="25" xfId="0" applyNumberFormat="1" applyFont="1" applyFill="1" applyBorder="1" applyAlignment="1" applyProtection="1">
      <alignment horizontal="center" vertical="center" wrapText="1"/>
    </xf>
    <xf numFmtId="3" fontId="60" fillId="2" borderId="3" xfId="0" applyNumberFormat="1" applyFont="1" applyFill="1" applyBorder="1" applyAlignment="1" applyProtection="1">
      <alignment horizontal="center" vertical="center" wrapText="1"/>
    </xf>
    <xf numFmtId="3" fontId="70" fillId="2" borderId="34" xfId="0" applyNumberFormat="1" applyFont="1" applyFill="1" applyBorder="1" applyAlignment="1" applyProtection="1">
      <alignment horizontal="center" vertical="center"/>
    </xf>
    <xf numFmtId="3" fontId="70" fillId="2" borderId="73" xfId="0" applyNumberFormat="1" applyFont="1" applyFill="1" applyBorder="1" applyAlignment="1" applyProtection="1">
      <alignment horizontal="center" vertical="center"/>
    </xf>
    <xf numFmtId="3" fontId="60" fillId="2" borderId="25" xfId="0" applyNumberFormat="1" applyFont="1" applyFill="1" applyBorder="1" applyAlignment="1" applyProtection="1">
      <alignment horizontal="center" vertical="center"/>
    </xf>
    <xf numFmtId="3" fontId="70" fillId="2" borderId="57" xfId="0" applyNumberFormat="1" applyFont="1" applyFill="1" applyBorder="1" applyAlignment="1" applyProtection="1">
      <alignment horizontal="center" vertical="center"/>
    </xf>
    <xf numFmtId="3" fontId="70" fillId="2" borderId="75" xfId="0" applyNumberFormat="1" applyFont="1" applyFill="1" applyBorder="1" applyAlignment="1" applyProtection="1">
      <alignment horizontal="center" vertical="center"/>
    </xf>
    <xf numFmtId="3" fontId="70" fillId="2" borderId="41" xfId="0" applyNumberFormat="1" applyFont="1" applyFill="1" applyBorder="1" applyAlignment="1" applyProtection="1">
      <alignment horizontal="center" vertical="center"/>
    </xf>
    <xf numFmtId="3" fontId="70" fillId="2" borderId="58" xfId="0" applyNumberFormat="1" applyFont="1" applyFill="1" applyBorder="1" applyAlignment="1" applyProtection="1">
      <alignment horizontal="center" vertical="center"/>
    </xf>
    <xf numFmtId="3" fontId="59" fillId="2" borderId="0" xfId="0" applyNumberFormat="1" applyFont="1" applyFill="1" applyBorder="1" applyAlignment="1" applyProtection="1">
      <alignment horizontal="center" vertical="center" wrapText="1"/>
    </xf>
    <xf numFmtId="1" fontId="59" fillId="2" borderId="21" xfId="0" applyNumberFormat="1" applyFont="1" applyFill="1" applyBorder="1" applyAlignment="1" applyProtection="1">
      <alignment horizontal="center" vertical="center" wrapText="1"/>
    </xf>
    <xf numFmtId="1" fontId="59" fillId="2" borderId="16" xfId="0" applyNumberFormat="1" applyFont="1" applyFill="1" applyBorder="1" applyAlignment="1" applyProtection="1">
      <alignment horizontal="center" vertical="center" wrapText="1"/>
    </xf>
    <xf numFmtId="3" fontId="60" fillId="2" borderId="24" xfId="0" applyNumberFormat="1" applyFont="1" applyFill="1" applyBorder="1" applyAlignment="1" applyProtection="1">
      <alignment horizontal="center" vertical="center" wrapText="1"/>
    </xf>
    <xf numFmtId="3" fontId="60" fillId="2" borderId="18" xfId="0" applyNumberFormat="1" applyFont="1" applyFill="1" applyBorder="1" applyAlignment="1" applyProtection="1">
      <alignment horizontal="center" vertical="center" wrapText="1"/>
    </xf>
    <xf numFmtId="3" fontId="69" fillId="2" borderId="25" xfId="0" applyNumberFormat="1" applyFont="1" applyFill="1" applyBorder="1" applyAlignment="1" applyProtection="1">
      <alignment horizontal="center" vertical="center"/>
    </xf>
    <xf numFmtId="3" fontId="69" fillId="2" borderId="2" xfId="0" applyNumberFormat="1" applyFont="1" applyFill="1" applyBorder="1" applyAlignment="1" applyProtection="1">
      <alignment horizontal="center" vertical="center"/>
    </xf>
    <xf numFmtId="3" fontId="69" fillId="2" borderId="3" xfId="0" applyNumberFormat="1" applyFont="1" applyFill="1" applyBorder="1" applyAlignment="1" applyProtection="1">
      <alignment horizontal="center" vertical="center"/>
    </xf>
    <xf numFmtId="0" fontId="71" fillId="0" borderId="55" xfId="0" applyFont="1" applyBorder="1" applyAlignment="1">
      <alignment horizontal="center" vertical="center" wrapText="1"/>
    </xf>
    <xf numFmtId="0" fontId="74" fillId="0" borderId="44" xfId="0" applyFont="1" applyBorder="1" applyAlignment="1">
      <alignment horizontal="center" vertical="center" wrapText="1"/>
    </xf>
    <xf numFmtId="0" fontId="74" fillId="0" borderId="63" xfId="0" applyFont="1" applyBorder="1" applyAlignment="1">
      <alignment horizontal="center" vertical="center" wrapText="1"/>
    </xf>
    <xf numFmtId="3" fontId="67" fillId="2" borderId="0" xfId="0" applyNumberFormat="1" applyFont="1" applyFill="1" applyBorder="1" applyAlignment="1" applyProtection="1">
      <alignment horizontal="left" vertical="center" indent="1"/>
    </xf>
    <xf numFmtId="3" fontId="67" fillId="2" borderId="40" xfId="0" applyNumberFormat="1" applyFont="1" applyFill="1" applyBorder="1" applyAlignment="1" applyProtection="1">
      <alignment horizontal="left" vertical="center" indent="1"/>
    </xf>
    <xf numFmtId="3" fontId="67" fillId="2" borderId="12" xfId="0" applyNumberFormat="1" applyFont="1" applyFill="1" applyBorder="1" applyAlignment="1" applyProtection="1">
      <alignment horizontal="left" vertical="center" indent="1"/>
    </xf>
    <xf numFmtId="3" fontId="67" fillId="2" borderId="13" xfId="0" applyNumberFormat="1" applyFont="1" applyFill="1" applyBorder="1" applyAlignment="1" applyProtection="1">
      <alignment horizontal="left" vertical="center" indent="1"/>
    </xf>
    <xf numFmtId="3" fontId="14" fillId="2" borderId="12" xfId="0" applyNumberFormat="1" applyFont="1" applyFill="1" applyBorder="1" applyAlignment="1" applyProtection="1">
      <alignment horizontal="left" vertical="center" wrapText="1"/>
    </xf>
    <xf numFmtId="3" fontId="30" fillId="2" borderId="12" xfId="0" applyNumberFormat="1" applyFont="1" applyFill="1" applyBorder="1" applyAlignment="1" applyProtection="1">
      <alignment horizontal="center"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3" fontId="98" fillId="2" borderId="50" xfId="0" applyNumberFormat="1" applyFont="1" applyFill="1" applyBorder="1" applyAlignment="1" applyProtection="1">
      <alignment horizontal="center" vertical="center"/>
    </xf>
    <xf numFmtId="3" fontId="98" fillId="2" borderId="2" xfId="0" applyNumberFormat="1" applyFont="1" applyFill="1" applyBorder="1" applyAlignment="1" applyProtection="1">
      <alignment horizontal="center" vertical="center"/>
    </xf>
    <xf numFmtId="3" fontId="98" fillId="2" borderId="3" xfId="0" applyNumberFormat="1" applyFont="1" applyFill="1" applyBorder="1" applyAlignment="1" applyProtection="1">
      <alignment horizontal="center" vertical="center"/>
    </xf>
    <xf numFmtId="3" fontId="96" fillId="2" borderId="12" xfId="0" applyNumberFormat="1" applyFont="1" applyFill="1" applyBorder="1" applyAlignment="1" applyProtection="1">
      <alignment horizontal="left" vertical="center" wrapText="1"/>
    </xf>
    <xf numFmtId="3" fontId="104" fillId="2" borderId="0" xfId="0" applyNumberFormat="1" applyFont="1" applyFill="1" applyBorder="1" applyAlignment="1" applyProtection="1">
      <alignment horizontal="center" vertical="center" wrapText="1"/>
    </xf>
    <xf numFmtId="3" fontId="104" fillId="2" borderId="12" xfId="0" applyNumberFormat="1" applyFont="1" applyFill="1" applyBorder="1" applyAlignment="1" applyProtection="1">
      <alignment horizontal="center" vertical="center" wrapText="1"/>
    </xf>
    <xf numFmtId="3" fontId="101" fillId="2" borderId="0" xfId="0" applyNumberFormat="1" applyFont="1" applyFill="1" applyBorder="1" applyAlignment="1" applyProtection="1">
      <alignment horizontal="right" vertical="center"/>
    </xf>
    <xf numFmtId="3" fontId="101" fillId="2" borderId="12" xfId="0" applyNumberFormat="1" applyFont="1" applyFill="1" applyBorder="1" applyAlignment="1" applyProtection="1">
      <alignment horizontal="right" vertical="center"/>
    </xf>
    <xf numFmtId="3" fontId="102" fillId="2" borderId="0" xfId="0" applyNumberFormat="1" applyFont="1" applyFill="1" applyBorder="1" applyAlignment="1" applyProtection="1">
      <alignment horizontal="left" vertical="center" indent="1"/>
    </xf>
    <xf numFmtId="3" fontId="102" fillId="2" borderId="40" xfId="0" applyNumberFormat="1" applyFont="1" applyFill="1" applyBorder="1" applyAlignment="1" applyProtection="1">
      <alignment horizontal="left" vertical="center" indent="1"/>
    </xf>
    <xf numFmtId="3" fontId="102" fillId="2" borderId="12" xfId="0" applyNumberFormat="1" applyFont="1" applyFill="1" applyBorder="1" applyAlignment="1" applyProtection="1">
      <alignment horizontal="left" vertical="center" indent="1"/>
    </xf>
    <xf numFmtId="3" fontId="102" fillId="2" borderId="13" xfId="0" applyNumberFormat="1" applyFont="1" applyFill="1" applyBorder="1" applyAlignment="1" applyProtection="1">
      <alignment horizontal="left" vertical="center" indent="1"/>
    </xf>
    <xf numFmtId="1" fontId="95" fillId="2" borderId="12" xfId="0" applyNumberFormat="1" applyFont="1" applyFill="1" applyBorder="1" applyAlignment="1" applyProtection="1">
      <alignment horizontal="left" vertical="center"/>
    </xf>
    <xf numFmtId="3" fontId="96" fillId="2" borderId="12" xfId="0" applyNumberFormat="1" applyFont="1" applyFill="1" applyBorder="1" applyAlignment="1" applyProtection="1">
      <alignment horizontal="left" vertical="top" wrapText="1"/>
    </xf>
    <xf numFmtId="3" fontId="101" fillId="2" borderId="14" xfId="0" applyNumberFormat="1" applyFont="1" applyFill="1" applyBorder="1" applyAlignment="1" applyProtection="1">
      <alignment horizontal="right" vertical="center"/>
    </xf>
    <xf numFmtId="3" fontId="96" fillId="2" borderId="19" xfId="0" applyNumberFormat="1" applyFont="1" applyFill="1" applyBorder="1" applyAlignment="1" applyProtection="1">
      <alignment horizontal="center" vertical="center"/>
    </xf>
    <xf numFmtId="3" fontId="96" fillId="2" borderId="42" xfId="0" applyNumberFormat="1" applyFont="1" applyFill="1" applyBorder="1" applyAlignment="1" applyProtection="1">
      <alignment horizontal="center" vertical="center"/>
    </xf>
    <xf numFmtId="3" fontId="96" fillId="2" borderId="25" xfId="0" applyNumberFormat="1" applyFont="1" applyFill="1" applyBorder="1" applyAlignment="1" applyProtection="1">
      <alignment horizontal="center" vertical="center"/>
    </xf>
    <xf numFmtId="3" fontId="96" fillId="2" borderId="62" xfId="0" applyNumberFormat="1" applyFont="1" applyFill="1" applyBorder="1" applyAlignment="1" applyProtection="1">
      <alignment horizontal="center" vertical="center"/>
    </xf>
    <xf numFmtId="3" fontId="110" fillId="2" borderId="25" xfId="0" applyNumberFormat="1" applyFont="1" applyFill="1" applyBorder="1" applyAlignment="1" applyProtection="1">
      <alignment horizontal="center" vertical="center" wrapText="1"/>
    </xf>
    <xf numFmtId="3" fontId="110" fillId="2" borderId="2" xfId="0" applyNumberFormat="1" applyFont="1" applyFill="1" applyBorder="1" applyAlignment="1" applyProtection="1">
      <alignment horizontal="center" vertical="center" wrapText="1"/>
    </xf>
    <xf numFmtId="3" fontId="110" fillId="2" borderId="3" xfId="0" applyNumberFormat="1" applyFont="1" applyFill="1" applyBorder="1" applyAlignment="1" applyProtection="1">
      <alignment horizontal="center" vertical="center" wrapText="1"/>
    </xf>
    <xf numFmtId="3" fontId="109" fillId="2" borderId="25" xfId="0" applyNumberFormat="1" applyFont="1" applyFill="1" applyBorder="1" applyAlignment="1" applyProtection="1">
      <alignment horizontal="center" vertical="center" wrapText="1"/>
    </xf>
    <xf numFmtId="3" fontId="109" fillId="2" borderId="2" xfId="0" applyNumberFormat="1" applyFont="1" applyFill="1" applyBorder="1" applyAlignment="1" applyProtection="1">
      <alignment horizontal="center" vertical="center" wrapText="1"/>
    </xf>
    <xf numFmtId="3" fontId="109" fillId="2" borderId="3" xfId="0" applyNumberFormat="1" applyFont="1" applyFill="1" applyBorder="1" applyAlignment="1" applyProtection="1">
      <alignment horizontal="center" vertical="center" wrapText="1"/>
    </xf>
    <xf numFmtId="0" fontId="106" fillId="0" borderId="55" xfId="0" applyFont="1" applyBorder="1" applyAlignment="1">
      <alignment horizontal="center" vertical="center" wrapText="1"/>
    </xf>
    <xf numFmtId="0" fontId="107" fillId="0" borderId="44" xfId="0" applyFont="1" applyBorder="1" applyAlignment="1">
      <alignment horizontal="center" vertical="center" wrapText="1"/>
    </xf>
    <xf numFmtId="0" fontId="107" fillId="0" borderId="63" xfId="0" applyFont="1" applyBorder="1" applyAlignment="1">
      <alignment horizontal="center" vertical="center" wrapText="1"/>
    </xf>
    <xf numFmtId="3" fontId="96" fillId="2" borderId="25" xfId="0" applyNumberFormat="1" applyFont="1" applyFill="1" applyBorder="1" applyAlignment="1" applyProtection="1">
      <alignment horizontal="center" vertical="center" wrapText="1"/>
    </xf>
    <xf numFmtId="3" fontId="96" fillId="2" borderId="3" xfId="0" applyNumberFormat="1" applyFont="1" applyFill="1" applyBorder="1" applyAlignment="1" applyProtection="1">
      <alignment horizontal="center" vertical="center" wrapText="1"/>
    </xf>
    <xf numFmtId="3" fontId="104" fillId="2" borderId="25" xfId="0" applyNumberFormat="1" applyFont="1" applyFill="1" applyBorder="1" applyAlignment="1" applyProtection="1">
      <alignment horizontal="center" vertical="center"/>
    </xf>
    <xf numFmtId="3" fontId="104" fillId="2" borderId="2" xfId="0" applyNumberFormat="1" applyFont="1" applyFill="1" applyBorder="1" applyAlignment="1" applyProtection="1">
      <alignment horizontal="center" vertical="center"/>
    </xf>
    <xf numFmtId="3" fontId="104" fillId="2" borderId="3" xfId="0" applyNumberFormat="1" applyFont="1" applyFill="1" applyBorder="1" applyAlignment="1" applyProtection="1">
      <alignment horizontal="center" vertical="center"/>
    </xf>
    <xf numFmtId="0" fontId="106" fillId="0" borderId="66" xfId="0" applyFont="1" applyBorder="1" applyAlignment="1">
      <alignment horizontal="center" vertical="center" wrapText="1"/>
    </xf>
    <xf numFmtId="0" fontId="107" fillId="0" borderId="43" xfId="0" applyFont="1" applyBorder="1" applyAlignment="1">
      <alignment horizontal="center" vertical="center" wrapText="1"/>
    </xf>
    <xf numFmtId="0" fontId="107" fillId="0" borderId="73" xfId="0" applyFont="1" applyBorder="1" applyAlignment="1">
      <alignment horizontal="center" vertical="center" wrapText="1"/>
    </xf>
    <xf numFmtId="3" fontId="96" fillId="2" borderId="14" xfId="0" applyNumberFormat="1" applyFont="1" applyFill="1" applyBorder="1" applyAlignment="1" applyProtection="1">
      <alignment horizontal="center" vertical="center"/>
    </xf>
    <xf numFmtId="3" fontId="96" fillId="2" borderId="20" xfId="0" applyNumberFormat="1" applyFont="1" applyFill="1" applyBorder="1" applyAlignment="1" applyProtection="1">
      <alignment horizontal="center" vertical="center"/>
    </xf>
    <xf numFmtId="3" fontId="96" fillId="2" borderId="0" xfId="0" applyNumberFormat="1" applyFont="1" applyFill="1" applyBorder="1" applyAlignment="1" applyProtection="1">
      <alignment horizontal="center" vertical="center"/>
    </xf>
    <xf numFmtId="3" fontId="101" fillId="2" borderId="14" xfId="0" applyNumberFormat="1" applyFont="1" applyFill="1" applyBorder="1" applyAlignment="1" applyProtection="1">
      <alignment horizontal="left" vertical="center" indent="5"/>
    </xf>
    <xf numFmtId="3" fontId="102" fillId="2" borderId="0" xfId="0" applyNumberFormat="1" applyFont="1" applyFill="1" applyBorder="1" applyAlignment="1" applyProtection="1">
      <alignment horizontal="left" vertical="center"/>
    </xf>
    <xf numFmtId="3" fontId="102" fillId="2" borderId="40" xfId="0" applyNumberFormat="1" applyFont="1" applyFill="1" applyBorder="1" applyAlignment="1" applyProtection="1">
      <alignment horizontal="left" vertical="center"/>
    </xf>
    <xf numFmtId="3" fontId="102" fillId="2" borderId="12" xfId="0" applyNumberFormat="1" applyFont="1" applyFill="1" applyBorder="1" applyAlignment="1" applyProtection="1">
      <alignment horizontal="left" vertical="center"/>
    </xf>
    <xf numFmtId="3" fontId="102" fillId="2" borderId="13" xfId="0" applyNumberFormat="1" applyFont="1" applyFill="1" applyBorder="1" applyAlignment="1" applyProtection="1">
      <alignment horizontal="left" vertical="center"/>
    </xf>
    <xf numFmtId="3" fontId="102" fillId="2" borderId="14" xfId="0" applyNumberFormat="1" applyFont="1" applyFill="1" applyBorder="1" applyAlignment="1" applyProtection="1">
      <alignment horizontal="left" vertical="center"/>
    </xf>
    <xf numFmtId="3" fontId="102" fillId="2" borderId="42" xfId="0" applyNumberFormat="1" applyFont="1" applyFill="1" applyBorder="1" applyAlignment="1" applyProtection="1">
      <alignment horizontal="left" vertical="center"/>
    </xf>
    <xf numFmtId="3" fontId="105" fillId="2" borderId="10" xfId="0" applyNumberFormat="1" applyFont="1" applyFill="1" applyBorder="1" applyAlignment="1" applyProtection="1">
      <alignment horizontal="center" vertical="center"/>
    </xf>
    <xf numFmtId="3" fontId="105" fillId="2" borderId="8" xfId="0" applyNumberFormat="1" applyFont="1" applyFill="1" applyBorder="1" applyAlignment="1" applyProtection="1">
      <alignment horizontal="center" vertical="center"/>
    </xf>
    <xf numFmtId="3" fontId="105" fillId="2" borderId="39" xfId="0" applyNumberFormat="1" applyFont="1" applyFill="1" applyBorder="1" applyAlignment="1" applyProtection="1">
      <alignment horizontal="center" vertical="center"/>
    </xf>
    <xf numFmtId="3" fontId="105" fillId="2" borderId="17" xfId="0" applyNumberFormat="1" applyFont="1" applyFill="1" applyBorder="1" applyAlignment="1" applyProtection="1">
      <alignment horizontal="center" vertical="center"/>
    </xf>
    <xf numFmtId="3" fontId="105" fillId="2" borderId="9" xfId="0" applyNumberFormat="1" applyFont="1" applyFill="1" applyBorder="1" applyAlignment="1" applyProtection="1">
      <alignment horizontal="center" vertical="center"/>
    </xf>
    <xf numFmtId="3" fontId="105" fillId="2" borderId="18" xfId="0" applyNumberFormat="1" applyFont="1" applyFill="1" applyBorder="1" applyAlignment="1" applyProtection="1">
      <alignment horizontal="center" vertical="center"/>
    </xf>
    <xf numFmtId="3" fontId="96" fillId="2" borderId="23" xfId="0" applyNumberFormat="1" applyFont="1" applyFill="1" applyBorder="1" applyAlignment="1" applyProtection="1">
      <alignment horizontal="center" vertical="center"/>
    </xf>
    <xf numFmtId="164" fontId="104" fillId="2" borderId="19" xfId="0" applyNumberFormat="1" applyFont="1" applyFill="1" applyBorder="1" applyAlignment="1" applyProtection="1">
      <alignment horizontal="center" vertical="center"/>
    </xf>
    <xf numFmtId="164" fontId="104" fillId="2" borderId="14" xfId="0" applyNumberFormat="1" applyFont="1" applyFill="1" applyBorder="1" applyAlignment="1" applyProtection="1">
      <alignment horizontal="center" vertical="center"/>
    </xf>
    <xf numFmtId="0" fontId="111" fillId="2" borderId="19" xfId="0" applyFont="1" applyFill="1" applyBorder="1" applyAlignment="1" applyProtection="1">
      <alignment horizontal="center" vertical="center"/>
    </xf>
    <xf numFmtId="0" fontId="111" fillId="2" borderId="20" xfId="0" applyFont="1" applyFill="1" applyBorder="1" applyAlignment="1" applyProtection="1">
      <alignment horizontal="center" vertical="center"/>
    </xf>
    <xf numFmtId="0" fontId="109" fillId="2" borderId="77" xfId="0" applyFont="1" applyFill="1" applyBorder="1" applyAlignment="1" applyProtection="1">
      <alignment horizontal="center" vertical="center" wrapText="1"/>
    </xf>
    <xf numFmtId="0" fontId="109" fillId="2" borderId="78" xfId="0" applyFont="1" applyFill="1" applyBorder="1" applyAlignment="1" applyProtection="1">
      <alignment horizontal="center" vertical="center" wrapText="1"/>
    </xf>
    <xf numFmtId="3" fontId="99" fillId="2" borderId="11" xfId="0" applyNumberFormat="1" applyFont="1" applyFill="1" applyBorder="1" applyAlignment="1" applyProtection="1">
      <alignment horizontal="center"/>
    </xf>
    <xf numFmtId="3" fontId="99" fillId="2" borderId="45" xfId="0" applyNumberFormat="1" applyFont="1" applyFill="1" applyBorder="1" applyAlignment="1" applyProtection="1">
      <alignment horizontal="center"/>
    </xf>
    <xf numFmtId="3" fontId="99" fillId="2" borderId="49" xfId="0" applyNumberFormat="1" applyFont="1" applyFill="1" applyBorder="1" applyAlignment="1" applyProtection="1">
      <alignment horizontal="center"/>
    </xf>
    <xf numFmtId="0" fontId="111" fillId="2" borderId="50" xfId="0" applyFont="1" applyFill="1" applyBorder="1" applyAlignment="1" applyProtection="1">
      <alignment horizontal="center" vertical="center"/>
    </xf>
    <xf numFmtId="0" fontId="111" fillId="2" borderId="2" xfId="0" applyFont="1" applyFill="1" applyBorder="1" applyAlignment="1" applyProtection="1">
      <alignment horizontal="center" vertical="center"/>
    </xf>
    <xf numFmtId="0" fontId="111" fillId="2" borderId="76" xfId="0" applyFont="1" applyFill="1" applyBorder="1" applyAlignment="1" applyProtection="1">
      <alignment horizontal="center" vertical="center"/>
    </xf>
    <xf numFmtId="0" fontId="109" fillId="2" borderId="79" xfId="0" applyFont="1" applyFill="1" applyBorder="1" applyAlignment="1" applyProtection="1">
      <alignment horizontal="center" vertical="center" wrapText="1"/>
    </xf>
    <xf numFmtId="0" fontId="109" fillId="2" borderId="80" xfId="0" applyFont="1" applyFill="1" applyBorder="1" applyAlignment="1" applyProtection="1">
      <alignment horizontal="center" vertical="center" wrapText="1"/>
    </xf>
    <xf numFmtId="3" fontId="96" fillId="2" borderId="24" xfId="0" applyNumberFormat="1" applyFont="1" applyFill="1" applyBorder="1" applyAlignment="1" applyProtection="1">
      <alignment horizontal="center" vertical="center" wrapText="1"/>
    </xf>
    <xf numFmtId="3" fontId="96" fillId="2" borderId="18" xfId="0" applyNumberFormat="1" applyFont="1" applyFill="1" applyBorder="1" applyAlignment="1" applyProtection="1">
      <alignment horizontal="center" vertical="center" wrapText="1"/>
    </xf>
    <xf numFmtId="3" fontId="101" fillId="2" borderId="0" xfId="0" applyNumberFormat="1" applyFont="1" applyFill="1" applyBorder="1" applyAlignment="1" applyProtection="1">
      <alignment horizontal="left" vertical="center" indent="5"/>
    </xf>
    <xf numFmtId="3" fontId="101" fillId="2" borderId="12" xfId="0" applyNumberFormat="1" applyFont="1" applyFill="1" applyBorder="1" applyAlignment="1" applyProtection="1">
      <alignment horizontal="left" vertical="center" indent="5"/>
    </xf>
    <xf numFmtId="1" fontId="96" fillId="2" borderId="21" xfId="0" applyNumberFormat="1" applyFont="1" applyFill="1" applyBorder="1" applyAlignment="1" applyProtection="1">
      <alignment horizontal="center" vertical="center" wrapText="1"/>
    </xf>
    <xf numFmtId="1" fontId="96" fillId="2" borderId="16" xfId="0" applyNumberFormat="1" applyFont="1" applyFill="1" applyBorder="1" applyAlignment="1" applyProtection="1">
      <alignment horizontal="center" vertical="center" wrapText="1"/>
    </xf>
    <xf numFmtId="1" fontId="96" fillId="2" borderId="55" xfId="0" applyNumberFormat="1" applyFont="1" applyFill="1" applyBorder="1" applyAlignment="1" applyProtection="1">
      <alignment horizontal="center" vertical="center"/>
    </xf>
    <xf numFmtId="1" fontId="96" fillId="2" borderId="44" xfId="0" applyNumberFormat="1" applyFont="1" applyFill="1" applyBorder="1" applyAlignment="1" applyProtection="1">
      <alignment horizontal="center" vertical="center"/>
    </xf>
    <xf numFmtId="3" fontId="96" fillId="2" borderId="66" xfId="0" applyNumberFormat="1" applyFont="1" applyFill="1" applyBorder="1" applyAlignment="1" applyProtection="1">
      <alignment horizontal="center" vertical="center" wrapText="1"/>
    </xf>
    <xf numFmtId="3" fontId="96" fillId="2" borderId="43" xfId="0" applyNumberFormat="1" applyFont="1" applyFill="1" applyBorder="1" applyAlignment="1" applyProtection="1">
      <alignment horizontal="center" vertical="center" wrapText="1"/>
    </xf>
    <xf numFmtId="3" fontId="105" fillId="2" borderId="34" xfId="0" applyNumberFormat="1" applyFont="1" applyFill="1" applyBorder="1" applyAlignment="1" applyProtection="1">
      <alignment horizontal="center" vertical="center"/>
    </xf>
    <xf numFmtId="3" fontId="105" fillId="2" borderId="73" xfId="0" applyNumberFormat="1" applyFont="1" applyFill="1" applyBorder="1" applyAlignment="1" applyProtection="1">
      <alignment horizontal="center" vertical="center"/>
    </xf>
    <xf numFmtId="3" fontId="105" fillId="2" borderId="57" xfId="0" applyNumberFormat="1" applyFont="1" applyFill="1" applyBorder="1" applyAlignment="1" applyProtection="1">
      <alignment horizontal="center" vertical="center"/>
    </xf>
    <xf numFmtId="3" fontId="105" fillId="2" borderId="75" xfId="0" applyNumberFormat="1" applyFont="1" applyFill="1" applyBorder="1" applyAlignment="1" applyProtection="1">
      <alignment horizontal="center" vertical="center"/>
    </xf>
    <xf numFmtId="3" fontId="105" fillId="2" borderId="41" xfId="0" applyNumberFormat="1" applyFont="1" applyFill="1" applyBorder="1" applyAlignment="1" applyProtection="1">
      <alignment horizontal="center" vertical="center"/>
    </xf>
    <xf numFmtId="3" fontId="105" fillId="2" borderId="58" xfId="0" applyNumberFormat="1" applyFont="1" applyFill="1" applyBorder="1" applyAlignment="1" applyProtection="1">
      <alignment horizontal="center" vertical="center"/>
    </xf>
    <xf numFmtId="3" fontId="110" fillId="2" borderId="25" xfId="0" applyNumberFormat="1" applyFont="1" applyFill="1" applyBorder="1" applyAlignment="1" applyProtection="1">
      <alignment horizontal="center" vertical="center"/>
    </xf>
    <xf numFmtId="3" fontId="110" fillId="2" borderId="2" xfId="0" applyNumberFormat="1" applyFont="1" applyFill="1" applyBorder="1" applyAlignment="1" applyProtection="1">
      <alignment horizontal="center" vertical="center"/>
    </xf>
    <xf numFmtId="3" fontId="110" fillId="2" borderId="3" xfId="0" applyNumberFormat="1" applyFont="1" applyFill="1" applyBorder="1" applyAlignment="1" applyProtection="1">
      <alignment horizontal="center" vertical="center"/>
    </xf>
    <xf numFmtId="3" fontId="124" fillId="2" borderId="50" xfId="0" applyNumberFormat="1" applyFont="1" applyFill="1" applyBorder="1" applyAlignment="1" applyProtection="1">
      <alignment horizontal="center" vertical="center"/>
    </xf>
    <xf numFmtId="3" fontId="124" fillId="2" borderId="2" xfId="0" applyNumberFormat="1" applyFont="1" applyFill="1" applyBorder="1" applyAlignment="1" applyProtection="1">
      <alignment horizontal="center" vertical="center"/>
    </xf>
    <xf numFmtId="3" fontId="124" fillId="2" borderId="3" xfId="0" applyNumberFormat="1" applyFont="1" applyFill="1" applyBorder="1" applyAlignment="1" applyProtection="1">
      <alignment horizontal="center" vertical="center"/>
    </xf>
    <xf numFmtId="1" fontId="121" fillId="2" borderId="12" xfId="0" applyNumberFormat="1" applyFont="1" applyFill="1" applyBorder="1" applyAlignment="1" applyProtection="1">
      <alignment horizontal="left" vertical="center"/>
    </xf>
    <xf numFmtId="3" fontId="122" fillId="2" borderId="12" xfId="0" applyNumberFormat="1" applyFont="1" applyFill="1" applyBorder="1" applyAlignment="1" applyProtection="1">
      <alignment horizontal="left" vertical="top" wrapText="1"/>
    </xf>
    <xf numFmtId="3" fontId="127" fillId="2" borderId="14" xfId="0" applyNumberFormat="1" applyFont="1" applyFill="1" applyBorder="1" applyAlignment="1" applyProtection="1">
      <alignment horizontal="right" vertical="center"/>
    </xf>
    <xf numFmtId="3" fontId="122" fillId="2" borderId="19" xfId="0" applyNumberFormat="1" applyFont="1" applyFill="1" applyBorder="1" applyAlignment="1" applyProtection="1">
      <alignment horizontal="center" vertical="center"/>
    </xf>
    <xf numFmtId="3" fontId="122" fillId="2" borderId="14" xfId="0" applyNumberFormat="1" applyFont="1" applyFill="1" applyBorder="1" applyAlignment="1" applyProtection="1">
      <alignment horizontal="center" vertical="center"/>
    </xf>
    <xf numFmtId="3" fontId="122" fillId="2" borderId="42" xfId="0" applyNumberFormat="1" applyFont="1" applyFill="1" applyBorder="1" applyAlignment="1" applyProtection="1">
      <alignment horizontal="center" vertical="center"/>
    </xf>
    <xf numFmtId="3" fontId="128" fillId="2" borderId="14" xfId="0" applyNumberFormat="1" applyFont="1" applyFill="1" applyBorder="1" applyAlignment="1" applyProtection="1">
      <alignment horizontal="left" vertical="center"/>
    </xf>
    <xf numFmtId="3" fontId="128" fillId="2" borderId="42" xfId="0" applyNumberFormat="1" applyFont="1" applyFill="1" applyBorder="1" applyAlignment="1" applyProtection="1">
      <alignment horizontal="left" vertical="center"/>
    </xf>
    <xf numFmtId="3" fontId="122" fillId="2" borderId="62" xfId="0" applyNumberFormat="1" applyFont="1" applyFill="1" applyBorder="1" applyAlignment="1" applyProtection="1">
      <alignment horizontal="center" vertical="center"/>
    </xf>
    <xf numFmtId="3" fontId="122" fillId="2" borderId="23" xfId="0" applyNumberFormat="1" applyFont="1" applyFill="1" applyBorder="1" applyAlignment="1" applyProtection="1">
      <alignment horizontal="center" vertical="center"/>
    </xf>
    <xf numFmtId="3" fontId="122" fillId="2" borderId="12" xfId="0" applyNumberFormat="1" applyFont="1" applyFill="1" applyBorder="1" applyAlignment="1" applyProtection="1">
      <alignment horizontal="left" vertical="center" wrapText="1"/>
    </xf>
    <xf numFmtId="3" fontId="122" fillId="2" borderId="25" xfId="0" applyNumberFormat="1" applyFont="1" applyFill="1" applyBorder="1" applyAlignment="1" applyProtection="1">
      <alignment horizontal="center" vertical="center"/>
    </xf>
    <xf numFmtId="0" fontId="137" fillId="2" borderId="19" xfId="0" applyFont="1" applyFill="1" applyBorder="1" applyAlignment="1" applyProtection="1">
      <alignment horizontal="center" vertical="center"/>
    </xf>
    <xf numFmtId="0" fontId="137" fillId="2" borderId="20" xfId="0" applyFont="1" applyFill="1" applyBorder="1" applyAlignment="1" applyProtection="1">
      <alignment horizontal="center" vertical="center"/>
    </xf>
    <xf numFmtId="3" fontId="136" fillId="2" borderId="25" xfId="0" applyNumberFormat="1" applyFont="1" applyFill="1" applyBorder="1" applyAlignment="1" applyProtection="1">
      <alignment horizontal="center" vertical="center" wrapText="1"/>
    </xf>
    <xf numFmtId="3" fontId="136" fillId="2" borderId="2" xfId="0" applyNumberFormat="1" applyFont="1" applyFill="1" applyBorder="1" applyAlignment="1" applyProtection="1">
      <alignment horizontal="center" vertical="center" wrapText="1"/>
    </xf>
    <xf numFmtId="3" fontId="136" fillId="2" borderId="3" xfId="0" applyNumberFormat="1" applyFont="1" applyFill="1" applyBorder="1" applyAlignment="1" applyProtection="1">
      <alignment horizontal="center" vertical="center" wrapText="1"/>
    </xf>
    <xf numFmtId="3" fontId="131" fillId="2" borderId="9" xfId="0" applyNumberFormat="1" applyFont="1" applyFill="1" applyBorder="1" applyAlignment="1" applyProtection="1">
      <alignment horizontal="center" vertical="center"/>
    </xf>
    <xf numFmtId="3" fontId="131" fillId="2" borderId="18" xfId="0" applyNumberFormat="1" applyFont="1" applyFill="1" applyBorder="1" applyAlignment="1" applyProtection="1">
      <alignment horizontal="center" vertical="center"/>
    </xf>
    <xf numFmtId="3" fontId="122" fillId="2" borderId="20" xfId="0" applyNumberFormat="1" applyFont="1" applyFill="1" applyBorder="1" applyAlignment="1" applyProtection="1">
      <alignment horizontal="center" vertical="center"/>
    </xf>
    <xf numFmtId="3" fontId="122" fillId="2" borderId="0" xfId="0" applyNumberFormat="1" applyFont="1" applyFill="1" applyBorder="1" applyAlignment="1" applyProtection="1">
      <alignment horizontal="center" vertical="center"/>
    </xf>
    <xf numFmtId="3" fontId="127" fillId="2" borderId="0" xfId="0" applyNumberFormat="1" applyFont="1" applyFill="1" applyBorder="1" applyAlignment="1" applyProtection="1">
      <alignment horizontal="left" vertical="center" indent="5"/>
    </xf>
    <xf numFmtId="3" fontId="127" fillId="2" borderId="12" xfId="0" applyNumberFormat="1" applyFont="1" applyFill="1" applyBorder="1" applyAlignment="1" applyProtection="1">
      <alignment horizontal="left" vertical="center" indent="5"/>
    </xf>
    <xf numFmtId="3" fontId="127" fillId="2" borderId="14" xfId="0" applyNumberFormat="1" applyFont="1" applyFill="1" applyBorder="1" applyAlignment="1" applyProtection="1">
      <alignment horizontal="left" vertical="center" indent="5"/>
    </xf>
    <xf numFmtId="3" fontId="128" fillId="2" borderId="0" xfId="0" applyNumberFormat="1" applyFont="1" applyFill="1" applyBorder="1" applyAlignment="1" applyProtection="1">
      <alignment horizontal="left" vertical="center"/>
    </xf>
    <xf numFmtId="3" fontId="128" fillId="2" borderId="40" xfId="0" applyNumberFormat="1" applyFont="1" applyFill="1" applyBorder="1" applyAlignment="1" applyProtection="1">
      <alignment horizontal="left" vertical="center"/>
    </xf>
    <xf numFmtId="3" fontId="128" fillId="2" borderId="12" xfId="0" applyNumberFormat="1" applyFont="1" applyFill="1" applyBorder="1" applyAlignment="1" applyProtection="1">
      <alignment horizontal="left" vertical="center"/>
    </xf>
    <xf numFmtId="3" fontId="128" fillId="2" borderId="13" xfId="0" applyNumberFormat="1" applyFont="1" applyFill="1" applyBorder="1" applyAlignment="1" applyProtection="1">
      <alignment horizontal="left" vertical="center"/>
    </xf>
    <xf numFmtId="3" fontId="125" fillId="2" borderId="11" xfId="0" applyNumberFormat="1" applyFont="1" applyFill="1" applyBorder="1" applyAlignment="1" applyProtection="1">
      <alignment horizontal="center"/>
    </xf>
    <xf numFmtId="3" fontId="125" fillId="2" borderId="45" xfId="0" applyNumberFormat="1" applyFont="1" applyFill="1" applyBorder="1" applyAlignment="1" applyProtection="1">
      <alignment horizontal="center"/>
    </xf>
    <xf numFmtId="3" fontId="125" fillId="2" borderId="49" xfId="0" applyNumberFormat="1" applyFont="1" applyFill="1" applyBorder="1" applyAlignment="1" applyProtection="1">
      <alignment horizontal="center"/>
    </xf>
    <xf numFmtId="3" fontId="131" fillId="2" borderId="10" xfId="0" applyNumberFormat="1" applyFont="1" applyFill="1" applyBorder="1" applyAlignment="1" applyProtection="1">
      <alignment horizontal="center" vertical="center"/>
    </xf>
    <xf numFmtId="3" fontId="131" fillId="2" borderId="8" xfId="0" applyNumberFormat="1" applyFont="1" applyFill="1" applyBorder="1" applyAlignment="1" applyProtection="1">
      <alignment horizontal="center" vertical="center"/>
    </xf>
    <xf numFmtId="3" fontId="131" fillId="2" borderId="39" xfId="0" applyNumberFormat="1" applyFont="1" applyFill="1" applyBorder="1" applyAlignment="1" applyProtection="1">
      <alignment horizontal="center" vertical="center"/>
    </xf>
    <xf numFmtId="3" fontId="131" fillId="2" borderId="17" xfId="0" applyNumberFormat="1" applyFont="1" applyFill="1" applyBorder="1" applyAlignment="1" applyProtection="1">
      <alignment horizontal="center" vertical="center"/>
    </xf>
    <xf numFmtId="0" fontId="137" fillId="2" borderId="50" xfId="0" applyFont="1" applyFill="1" applyBorder="1" applyAlignment="1" applyProtection="1">
      <alignment horizontal="center" vertical="center"/>
    </xf>
    <xf numFmtId="0" fontId="137" fillId="2" borderId="2" xfId="0" applyFont="1" applyFill="1" applyBorder="1" applyAlignment="1" applyProtection="1">
      <alignment horizontal="center" vertical="center"/>
    </xf>
    <xf numFmtId="0" fontId="137" fillId="2" borderId="3" xfId="0" applyFont="1" applyFill="1" applyBorder="1" applyAlignment="1" applyProtection="1">
      <alignment horizontal="center" vertical="center"/>
    </xf>
    <xf numFmtId="0" fontId="132" fillId="0" borderId="55" xfId="0" applyFont="1" applyBorder="1" applyAlignment="1">
      <alignment horizontal="center" vertical="center" wrapText="1"/>
    </xf>
    <xf numFmtId="0" fontId="133" fillId="0" borderId="44" xfId="0" applyFont="1" applyBorder="1" applyAlignment="1">
      <alignment horizontal="center" vertical="center" wrapText="1"/>
    </xf>
    <xf numFmtId="0" fontId="133" fillId="0" borderId="63" xfId="0" applyFont="1" applyBorder="1" applyAlignment="1">
      <alignment horizontal="center" vertical="center" wrapText="1"/>
    </xf>
    <xf numFmtId="0" fontId="132" fillId="0" borderId="66" xfId="0" applyFont="1" applyBorder="1" applyAlignment="1">
      <alignment horizontal="center" vertical="center" wrapText="1"/>
    </xf>
    <xf numFmtId="0" fontId="133" fillId="0" borderId="43" xfId="0" applyFont="1" applyBorder="1" applyAlignment="1">
      <alignment horizontal="center" vertical="center" wrapText="1"/>
    </xf>
    <xf numFmtId="0" fontId="133" fillId="0" borderId="73" xfId="0" applyFont="1" applyBorder="1" applyAlignment="1">
      <alignment horizontal="center" vertical="center" wrapText="1"/>
    </xf>
    <xf numFmtId="3" fontId="130" fillId="2" borderId="0" xfId="0" applyNumberFormat="1" applyFont="1" applyFill="1" applyBorder="1" applyAlignment="1" applyProtection="1">
      <alignment horizontal="center" vertical="center" wrapText="1"/>
    </xf>
    <xf numFmtId="3" fontId="130" fillId="2" borderId="12" xfId="0" applyNumberFormat="1" applyFont="1" applyFill="1" applyBorder="1" applyAlignment="1" applyProtection="1">
      <alignment horizontal="center" vertical="center" wrapText="1"/>
    </xf>
    <xf numFmtId="3" fontId="127" fillId="2" borderId="0" xfId="0" applyNumberFormat="1" applyFont="1" applyFill="1" applyBorder="1" applyAlignment="1" applyProtection="1">
      <alignment horizontal="right" vertical="center"/>
    </xf>
    <xf numFmtId="3" fontId="127" fillId="2" borderId="12" xfId="0" applyNumberFormat="1" applyFont="1" applyFill="1" applyBorder="1" applyAlignment="1" applyProtection="1">
      <alignment horizontal="right" vertical="center"/>
    </xf>
    <xf numFmtId="3" fontId="128" fillId="2" borderId="0" xfId="0" applyNumberFormat="1" applyFont="1" applyFill="1" applyBorder="1" applyAlignment="1" applyProtection="1">
      <alignment horizontal="left" vertical="center" indent="1"/>
    </xf>
    <xf numFmtId="3" fontId="128" fillId="2" borderId="40" xfId="0" applyNumberFormat="1" applyFont="1" applyFill="1" applyBorder="1" applyAlignment="1" applyProtection="1">
      <alignment horizontal="left" vertical="center" indent="1"/>
    </xf>
    <xf numFmtId="3" fontId="128" fillId="2" borderId="12" xfId="0" applyNumberFormat="1" applyFont="1" applyFill="1" applyBorder="1" applyAlignment="1" applyProtection="1">
      <alignment horizontal="left" vertical="center" indent="1"/>
    </xf>
    <xf numFmtId="3" fontId="128" fillId="2" borderId="13" xfId="0" applyNumberFormat="1" applyFont="1" applyFill="1" applyBorder="1" applyAlignment="1" applyProtection="1">
      <alignment horizontal="left" vertical="center" indent="1"/>
    </xf>
    <xf numFmtId="3" fontId="131" fillId="2" borderId="34" xfId="0" applyNumberFormat="1" applyFont="1" applyFill="1" applyBorder="1" applyAlignment="1" applyProtection="1">
      <alignment horizontal="center" vertical="center"/>
    </xf>
    <xf numFmtId="3" fontId="131" fillId="2" borderId="73" xfId="0" applyNumberFormat="1" applyFont="1" applyFill="1" applyBorder="1" applyAlignment="1" applyProtection="1">
      <alignment horizontal="center" vertical="center"/>
    </xf>
    <xf numFmtId="3" fontId="131" fillId="2" borderId="57" xfId="0" applyNumberFormat="1" applyFont="1" applyFill="1" applyBorder="1" applyAlignment="1" applyProtection="1">
      <alignment horizontal="center" vertical="center"/>
    </xf>
    <xf numFmtId="3" fontId="131" fillId="2" borderId="75" xfId="0" applyNumberFormat="1" applyFont="1" applyFill="1" applyBorder="1" applyAlignment="1" applyProtection="1">
      <alignment horizontal="center" vertical="center"/>
    </xf>
    <xf numFmtId="3" fontId="131" fillId="2" borderId="41" xfId="0" applyNumberFormat="1" applyFont="1" applyFill="1" applyBorder="1" applyAlignment="1" applyProtection="1">
      <alignment horizontal="center" vertical="center"/>
    </xf>
    <xf numFmtId="3" fontId="131" fillId="2" borderId="58" xfId="0" applyNumberFormat="1" applyFont="1" applyFill="1" applyBorder="1" applyAlignment="1" applyProtection="1">
      <alignment horizontal="center" vertical="center"/>
    </xf>
    <xf numFmtId="164" fontId="130" fillId="2" borderId="19" xfId="0" applyNumberFormat="1" applyFont="1" applyFill="1" applyBorder="1" applyAlignment="1" applyProtection="1">
      <alignment horizontal="center" vertical="center"/>
    </xf>
    <xf numFmtId="164" fontId="130" fillId="2" borderId="14" xfId="0" applyNumberFormat="1" applyFont="1" applyFill="1" applyBorder="1" applyAlignment="1" applyProtection="1">
      <alignment horizontal="center" vertical="center"/>
    </xf>
    <xf numFmtId="3" fontId="122" fillId="2" borderId="25" xfId="0" applyNumberFormat="1" applyFont="1" applyFill="1" applyBorder="1" applyAlignment="1" applyProtection="1">
      <alignment horizontal="center" vertical="center" wrapText="1"/>
    </xf>
    <xf numFmtId="3" fontId="122" fillId="2" borderId="3" xfId="0" applyNumberFormat="1" applyFont="1" applyFill="1" applyBorder="1" applyAlignment="1" applyProtection="1">
      <alignment horizontal="center" vertical="center" wrapText="1"/>
    </xf>
    <xf numFmtId="3" fontId="122" fillId="2" borderId="24" xfId="0" applyNumberFormat="1" applyFont="1" applyFill="1" applyBorder="1" applyAlignment="1" applyProtection="1">
      <alignment horizontal="center" vertical="center" wrapText="1"/>
    </xf>
    <xf numFmtId="3" fontId="122" fillId="2" borderId="18" xfId="0" applyNumberFormat="1" applyFont="1" applyFill="1" applyBorder="1" applyAlignment="1" applyProtection="1">
      <alignment horizontal="center" vertical="center" wrapText="1"/>
    </xf>
    <xf numFmtId="1" fontId="122" fillId="2" borderId="21" xfId="0" applyNumberFormat="1" applyFont="1" applyFill="1" applyBorder="1" applyAlignment="1" applyProtection="1">
      <alignment horizontal="center" vertical="center" wrapText="1"/>
    </xf>
    <xf numFmtId="1" fontId="122" fillId="2" borderId="16" xfId="0" applyNumberFormat="1" applyFont="1" applyFill="1" applyBorder="1" applyAlignment="1" applyProtection="1">
      <alignment horizontal="center" vertical="center" wrapText="1"/>
    </xf>
    <xf numFmtId="1" fontId="122" fillId="2" borderId="55" xfId="0" applyNumberFormat="1" applyFont="1" applyFill="1" applyBorder="1" applyAlignment="1" applyProtection="1">
      <alignment horizontal="center" vertical="center"/>
    </xf>
    <xf numFmtId="1" fontId="122" fillId="2" borderId="44" xfId="0" applyNumberFormat="1" applyFont="1" applyFill="1" applyBorder="1" applyAlignment="1" applyProtection="1">
      <alignment horizontal="center" vertical="center"/>
    </xf>
    <xf numFmtId="3" fontId="122" fillId="2" borderId="66" xfId="0" applyNumberFormat="1" applyFont="1" applyFill="1" applyBorder="1" applyAlignment="1" applyProtection="1">
      <alignment horizontal="center" vertical="center" wrapText="1"/>
    </xf>
    <xf numFmtId="3" fontId="122" fillId="2" borderId="43" xfId="0" applyNumberFormat="1" applyFont="1" applyFill="1" applyBorder="1" applyAlignment="1" applyProtection="1">
      <alignment horizontal="center" vertical="center" wrapText="1"/>
    </xf>
    <xf numFmtId="3" fontId="135" fillId="2" borderId="25" xfId="0" applyNumberFormat="1" applyFont="1" applyFill="1" applyBorder="1" applyAlignment="1" applyProtection="1">
      <alignment horizontal="center" vertical="center" wrapText="1"/>
    </xf>
    <xf numFmtId="3" fontId="135" fillId="2" borderId="2" xfId="0" applyNumberFormat="1" applyFont="1" applyFill="1" applyBorder="1" applyAlignment="1" applyProtection="1">
      <alignment horizontal="center" vertical="center" wrapText="1"/>
    </xf>
    <xf numFmtId="3" fontId="135" fillId="2" borderId="3" xfId="0" applyNumberFormat="1" applyFont="1" applyFill="1" applyBorder="1" applyAlignment="1" applyProtection="1">
      <alignment horizontal="center" vertical="center" wrapText="1"/>
    </xf>
    <xf numFmtId="3" fontId="130" fillId="2" borderId="25" xfId="0" applyNumberFormat="1" applyFont="1" applyFill="1" applyBorder="1" applyAlignment="1" applyProtection="1">
      <alignment horizontal="center" vertical="center"/>
    </xf>
    <xf numFmtId="3" fontId="130" fillId="2" borderId="2" xfId="0" applyNumberFormat="1" applyFont="1" applyFill="1" applyBorder="1" applyAlignment="1" applyProtection="1">
      <alignment horizontal="center" vertical="center"/>
    </xf>
    <xf numFmtId="3" fontId="130" fillId="2" borderId="3" xfId="0" applyNumberFormat="1" applyFont="1" applyFill="1" applyBorder="1" applyAlignment="1" applyProtection="1">
      <alignment horizontal="center" vertical="center"/>
    </xf>
    <xf numFmtId="3" fontId="136" fillId="2" borderId="25" xfId="0" applyNumberFormat="1" applyFont="1" applyFill="1" applyBorder="1" applyAlignment="1" applyProtection="1">
      <alignment horizontal="center" vertical="center"/>
    </xf>
    <xf numFmtId="3" fontId="136" fillId="2" borderId="2" xfId="0" applyNumberFormat="1" applyFont="1" applyFill="1" applyBorder="1" applyAlignment="1" applyProtection="1">
      <alignment horizontal="center" vertical="center"/>
    </xf>
    <xf numFmtId="3" fontId="136" fillId="2" borderId="3" xfId="0" applyNumberFormat="1" applyFont="1" applyFill="1" applyBorder="1" applyAlignment="1" applyProtection="1">
      <alignment horizontal="center" vertical="center"/>
    </xf>
    <xf numFmtId="3" fontId="150" fillId="2" borderId="50" xfId="0" applyNumberFormat="1" applyFont="1" applyFill="1" applyBorder="1" applyAlignment="1" applyProtection="1">
      <alignment horizontal="center" vertical="center"/>
    </xf>
    <xf numFmtId="3" fontId="150" fillId="2" borderId="2" xfId="0" applyNumberFormat="1" applyFont="1" applyFill="1" applyBorder="1" applyAlignment="1" applyProtection="1">
      <alignment horizontal="center" vertical="center"/>
    </xf>
    <xf numFmtId="3" fontId="150" fillId="2" borderId="3" xfId="0" applyNumberFormat="1" applyFont="1" applyFill="1" applyBorder="1" applyAlignment="1" applyProtection="1">
      <alignment horizontal="center" vertical="center"/>
    </xf>
    <xf numFmtId="1" fontId="147" fillId="2" borderId="12" xfId="0" applyNumberFormat="1" applyFont="1" applyFill="1" applyBorder="1" applyAlignment="1" applyProtection="1">
      <alignment horizontal="left" vertical="center"/>
    </xf>
    <xf numFmtId="3" fontId="148" fillId="2" borderId="12" xfId="0" applyNumberFormat="1" applyFont="1" applyFill="1" applyBorder="1" applyAlignment="1" applyProtection="1">
      <alignment horizontal="left" vertical="top" wrapText="1"/>
    </xf>
    <xf numFmtId="3" fontId="153" fillId="2" borderId="14" xfId="0" applyNumberFormat="1" applyFont="1" applyFill="1" applyBorder="1" applyAlignment="1" applyProtection="1">
      <alignment horizontal="right" vertical="center"/>
    </xf>
    <xf numFmtId="3" fontId="148" fillId="2" borderId="19" xfId="0" applyNumberFormat="1" applyFont="1" applyFill="1" applyBorder="1" applyAlignment="1" applyProtection="1">
      <alignment horizontal="center" vertical="center"/>
    </xf>
    <xf numFmtId="3" fontId="148" fillId="2" borderId="14" xfId="0" applyNumberFormat="1" applyFont="1" applyFill="1" applyBorder="1" applyAlignment="1" applyProtection="1">
      <alignment horizontal="center" vertical="center"/>
    </xf>
    <xf numFmtId="3" fontId="148" fillId="2" borderId="42" xfId="0" applyNumberFormat="1" applyFont="1" applyFill="1" applyBorder="1" applyAlignment="1" applyProtection="1">
      <alignment horizontal="center" vertical="center"/>
    </xf>
    <xf numFmtId="3" fontId="154" fillId="2" borderId="14" xfId="0" applyNumberFormat="1" applyFont="1" applyFill="1" applyBorder="1" applyAlignment="1" applyProtection="1">
      <alignment horizontal="left" vertical="center"/>
    </xf>
    <xf numFmtId="3" fontId="154" fillId="2" borderId="42" xfId="0" applyNumberFormat="1" applyFont="1" applyFill="1" applyBorder="1" applyAlignment="1" applyProtection="1">
      <alignment horizontal="left" vertical="center"/>
    </xf>
    <xf numFmtId="3" fontId="148" fillId="2" borderId="62" xfId="0" applyNumberFormat="1" applyFont="1" applyFill="1" applyBorder="1" applyAlignment="1" applyProtection="1">
      <alignment horizontal="center" vertical="center"/>
    </xf>
    <xf numFmtId="3" fontId="148" fillId="2" borderId="23" xfId="0" applyNumberFormat="1" applyFont="1" applyFill="1" applyBorder="1" applyAlignment="1" applyProtection="1">
      <alignment horizontal="center" vertical="center"/>
    </xf>
    <xf numFmtId="3" fontId="148" fillId="2" borderId="12" xfId="0" applyNumberFormat="1" applyFont="1" applyFill="1" applyBorder="1" applyAlignment="1" applyProtection="1">
      <alignment horizontal="left" vertical="center" wrapText="1"/>
    </xf>
    <xf numFmtId="3" fontId="148" fillId="2" borderId="25" xfId="0" applyNumberFormat="1" applyFont="1" applyFill="1" applyBorder="1" applyAlignment="1" applyProtection="1">
      <alignment horizontal="center" vertical="center"/>
    </xf>
    <xf numFmtId="0" fontId="163" fillId="2" borderId="19" xfId="0" applyFont="1" applyFill="1" applyBorder="1" applyAlignment="1" applyProtection="1">
      <alignment horizontal="center" vertical="center"/>
    </xf>
    <xf numFmtId="0" fontId="163" fillId="2" borderId="20" xfId="0" applyFont="1" applyFill="1" applyBorder="1" applyAlignment="1" applyProtection="1">
      <alignment horizontal="center" vertical="center"/>
    </xf>
    <xf numFmtId="3" fontId="162" fillId="2" borderId="25" xfId="0" applyNumberFormat="1" applyFont="1" applyFill="1" applyBorder="1" applyAlignment="1" applyProtection="1">
      <alignment horizontal="center" vertical="center" wrapText="1"/>
    </xf>
    <xf numFmtId="3" fontId="162" fillId="2" borderId="2" xfId="0" applyNumberFormat="1" applyFont="1" applyFill="1" applyBorder="1" applyAlignment="1" applyProtection="1">
      <alignment horizontal="center" vertical="center" wrapText="1"/>
    </xf>
    <xf numFmtId="3" fontId="162" fillId="2" borderId="3" xfId="0" applyNumberFormat="1" applyFont="1" applyFill="1" applyBorder="1" applyAlignment="1" applyProtection="1">
      <alignment horizontal="center" vertical="center" wrapText="1"/>
    </xf>
    <xf numFmtId="3" fontId="157" fillId="2" borderId="9" xfId="0" applyNumberFormat="1" applyFont="1" applyFill="1" applyBorder="1" applyAlignment="1" applyProtection="1">
      <alignment horizontal="center" vertical="center"/>
    </xf>
    <xf numFmtId="3" fontId="157" fillId="2" borderId="18" xfId="0" applyNumberFormat="1" applyFont="1" applyFill="1" applyBorder="1" applyAlignment="1" applyProtection="1">
      <alignment horizontal="center" vertical="center"/>
    </xf>
    <xf numFmtId="3" fontId="148" fillId="2" borderId="20" xfId="0" applyNumberFormat="1" applyFont="1" applyFill="1" applyBorder="1" applyAlignment="1" applyProtection="1">
      <alignment horizontal="center" vertical="center"/>
    </xf>
    <xf numFmtId="3" fontId="148" fillId="2" borderId="0" xfId="0" applyNumberFormat="1" applyFont="1" applyFill="1" applyBorder="1" applyAlignment="1" applyProtection="1">
      <alignment horizontal="center" vertical="center"/>
    </xf>
    <xf numFmtId="3" fontId="153" fillId="2" borderId="0" xfId="0" applyNumberFormat="1" applyFont="1" applyFill="1" applyBorder="1" applyAlignment="1" applyProtection="1">
      <alignment horizontal="left" vertical="center" indent="5"/>
    </xf>
    <xf numFmtId="3" fontId="153" fillId="2" borderId="12" xfId="0" applyNumberFormat="1" applyFont="1" applyFill="1" applyBorder="1" applyAlignment="1" applyProtection="1">
      <alignment horizontal="left" vertical="center" indent="5"/>
    </xf>
    <xf numFmtId="3" fontId="153" fillId="2" borderId="14" xfId="0" applyNumberFormat="1" applyFont="1" applyFill="1" applyBorder="1" applyAlignment="1" applyProtection="1">
      <alignment horizontal="left" vertical="center" indent="5"/>
    </xf>
    <xf numFmtId="3" fontId="154" fillId="2" borderId="0" xfId="0" applyNumberFormat="1" applyFont="1" applyFill="1" applyBorder="1" applyAlignment="1" applyProtection="1">
      <alignment horizontal="left" vertical="center"/>
    </xf>
    <xf numFmtId="3" fontId="154" fillId="2" borderId="40" xfId="0" applyNumberFormat="1" applyFont="1" applyFill="1" applyBorder="1" applyAlignment="1" applyProtection="1">
      <alignment horizontal="left" vertical="center"/>
    </xf>
    <xf numFmtId="3" fontId="154" fillId="2" borderId="12" xfId="0" applyNumberFormat="1" applyFont="1" applyFill="1" applyBorder="1" applyAlignment="1" applyProtection="1">
      <alignment horizontal="left" vertical="center"/>
    </xf>
    <xf numFmtId="3" fontId="154" fillId="2" borderId="13" xfId="0" applyNumberFormat="1" applyFont="1" applyFill="1" applyBorder="1" applyAlignment="1" applyProtection="1">
      <alignment horizontal="left" vertical="center"/>
    </xf>
    <xf numFmtId="3" fontId="151" fillId="2" borderId="11" xfId="0" applyNumberFormat="1" applyFont="1" applyFill="1" applyBorder="1" applyAlignment="1" applyProtection="1">
      <alignment horizontal="center"/>
    </xf>
    <xf numFmtId="3" fontId="151" fillId="2" borderId="45" xfId="0" applyNumberFormat="1" applyFont="1" applyFill="1" applyBorder="1" applyAlignment="1" applyProtection="1">
      <alignment horizontal="center"/>
    </xf>
    <xf numFmtId="3" fontId="151" fillId="2" borderId="49" xfId="0" applyNumberFormat="1" applyFont="1" applyFill="1" applyBorder="1" applyAlignment="1" applyProtection="1">
      <alignment horizontal="center"/>
    </xf>
    <xf numFmtId="3" fontId="157" fillId="2" borderId="10" xfId="0" applyNumberFormat="1" applyFont="1" applyFill="1" applyBorder="1" applyAlignment="1" applyProtection="1">
      <alignment horizontal="center" vertical="center"/>
    </xf>
    <xf numFmtId="3" fontId="157" fillId="2" borderId="8" xfId="0" applyNumberFormat="1" applyFont="1" applyFill="1" applyBorder="1" applyAlignment="1" applyProtection="1">
      <alignment horizontal="center" vertical="center"/>
    </xf>
    <xf numFmtId="3" fontId="157" fillId="2" borderId="39" xfId="0" applyNumberFormat="1" applyFont="1" applyFill="1" applyBorder="1" applyAlignment="1" applyProtection="1">
      <alignment horizontal="center" vertical="center"/>
    </xf>
    <xf numFmtId="3" fontId="157" fillId="2" borderId="17" xfId="0" applyNumberFormat="1" applyFont="1" applyFill="1" applyBorder="1" applyAlignment="1" applyProtection="1">
      <alignment horizontal="center" vertical="center"/>
    </xf>
    <xf numFmtId="0" fontId="163" fillId="2" borderId="50" xfId="0" applyFont="1" applyFill="1" applyBorder="1" applyAlignment="1" applyProtection="1">
      <alignment horizontal="center" vertical="center"/>
    </xf>
    <xf numFmtId="0" fontId="163" fillId="2" borderId="2" xfId="0" applyFont="1" applyFill="1" applyBorder="1" applyAlignment="1" applyProtection="1">
      <alignment horizontal="center" vertical="center"/>
    </xf>
    <xf numFmtId="0" fontId="163" fillId="2" borderId="3" xfId="0" applyFont="1" applyFill="1" applyBorder="1" applyAlignment="1" applyProtection="1">
      <alignment horizontal="center" vertical="center"/>
    </xf>
    <xf numFmtId="0" fontId="158" fillId="0" borderId="55" xfId="0" applyFont="1" applyBorder="1" applyAlignment="1">
      <alignment horizontal="center" vertical="center" wrapText="1"/>
    </xf>
    <xf numFmtId="0" fontId="159" fillId="0" borderId="44" xfId="0" applyFont="1" applyBorder="1" applyAlignment="1">
      <alignment horizontal="center" vertical="center" wrapText="1"/>
    </xf>
    <xf numFmtId="0" fontId="159" fillId="0" borderId="63" xfId="0" applyFont="1" applyBorder="1" applyAlignment="1">
      <alignment horizontal="center" vertical="center" wrapText="1"/>
    </xf>
    <xf numFmtId="0" fontId="158" fillId="0" borderId="66" xfId="0" applyFont="1" applyBorder="1" applyAlignment="1">
      <alignment horizontal="center" vertical="center" wrapText="1"/>
    </xf>
    <xf numFmtId="0" fontId="159" fillId="0" borderId="43" xfId="0" applyFont="1" applyBorder="1" applyAlignment="1">
      <alignment horizontal="center" vertical="center" wrapText="1"/>
    </xf>
    <xf numFmtId="0" fontId="159" fillId="0" borderId="73" xfId="0" applyFont="1" applyBorder="1" applyAlignment="1">
      <alignment horizontal="center" vertical="center" wrapText="1"/>
    </xf>
    <xf numFmtId="3" fontId="156" fillId="2" borderId="0" xfId="0" applyNumberFormat="1" applyFont="1" applyFill="1" applyBorder="1" applyAlignment="1" applyProtection="1">
      <alignment horizontal="center" vertical="center" wrapText="1"/>
    </xf>
    <xf numFmtId="3" fontId="156" fillId="2" borderId="12" xfId="0" applyNumberFormat="1" applyFont="1" applyFill="1" applyBorder="1" applyAlignment="1" applyProtection="1">
      <alignment horizontal="center" vertical="center" wrapText="1"/>
    </xf>
    <xf numFmtId="3" fontId="153" fillId="2" borderId="0" xfId="0" applyNumberFormat="1" applyFont="1" applyFill="1" applyBorder="1" applyAlignment="1" applyProtection="1">
      <alignment horizontal="right" vertical="center"/>
    </xf>
    <xf numFmtId="3" fontId="153" fillId="2" borderId="12" xfId="0" applyNumberFormat="1" applyFont="1" applyFill="1" applyBorder="1" applyAlignment="1" applyProtection="1">
      <alignment horizontal="right" vertical="center"/>
    </xf>
    <xf numFmtId="3" fontId="154" fillId="2" borderId="0" xfId="0" applyNumberFormat="1" applyFont="1" applyFill="1" applyBorder="1" applyAlignment="1" applyProtection="1">
      <alignment horizontal="left" vertical="center" indent="1"/>
    </xf>
    <xf numFmtId="3" fontId="154" fillId="2" borderId="40" xfId="0" applyNumberFormat="1" applyFont="1" applyFill="1" applyBorder="1" applyAlignment="1" applyProtection="1">
      <alignment horizontal="left" vertical="center" indent="1"/>
    </xf>
    <xf numFmtId="3" fontId="154" fillId="2" borderId="12" xfId="0" applyNumberFormat="1" applyFont="1" applyFill="1" applyBorder="1" applyAlignment="1" applyProtection="1">
      <alignment horizontal="left" vertical="center" indent="1"/>
    </xf>
    <xf numFmtId="3" fontId="154" fillId="2" borderId="13" xfId="0" applyNumberFormat="1" applyFont="1" applyFill="1" applyBorder="1" applyAlignment="1" applyProtection="1">
      <alignment horizontal="left" vertical="center" indent="1"/>
    </xf>
    <xf numFmtId="3" fontId="157" fillId="2" borderId="34" xfId="0" applyNumberFormat="1" applyFont="1" applyFill="1" applyBorder="1" applyAlignment="1" applyProtection="1">
      <alignment horizontal="center" vertical="center"/>
    </xf>
    <xf numFmtId="3" fontId="157" fillId="2" borderId="73" xfId="0" applyNumberFormat="1" applyFont="1" applyFill="1" applyBorder="1" applyAlignment="1" applyProtection="1">
      <alignment horizontal="center" vertical="center"/>
    </xf>
    <xf numFmtId="3" fontId="157" fillId="2" borderId="57" xfId="0" applyNumberFormat="1" applyFont="1" applyFill="1" applyBorder="1" applyAlignment="1" applyProtection="1">
      <alignment horizontal="center" vertical="center"/>
    </xf>
    <xf numFmtId="3" fontId="157" fillId="2" borderId="75" xfId="0" applyNumberFormat="1" applyFont="1" applyFill="1" applyBorder="1" applyAlignment="1" applyProtection="1">
      <alignment horizontal="center" vertical="center"/>
    </xf>
    <xf numFmtId="3" fontId="157" fillId="2" borderId="41" xfId="0" applyNumberFormat="1" applyFont="1" applyFill="1" applyBorder="1" applyAlignment="1" applyProtection="1">
      <alignment horizontal="center" vertical="center"/>
    </xf>
    <xf numFmtId="3" fontId="157" fillId="2" borderId="58" xfId="0" applyNumberFormat="1" applyFont="1" applyFill="1" applyBorder="1" applyAlignment="1" applyProtection="1">
      <alignment horizontal="center" vertical="center"/>
    </xf>
    <xf numFmtId="164" fontId="156" fillId="2" borderId="19" xfId="0" applyNumberFormat="1" applyFont="1" applyFill="1" applyBorder="1" applyAlignment="1" applyProtection="1">
      <alignment horizontal="center" vertical="center"/>
    </xf>
    <xf numFmtId="164" fontId="156" fillId="2" borderId="14" xfId="0" applyNumberFormat="1" applyFont="1" applyFill="1" applyBorder="1" applyAlignment="1" applyProtection="1">
      <alignment horizontal="center" vertical="center"/>
    </xf>
    <xf numFmtId="3" fontId="148" fillId="2" borderId="25" xfId="0" applyNumberFormat="1" applyFont="1" applyFill="1" applyBorder="1" applyAlignment="1" applyProtection="1">
      <alignment horizontal="center" vertical="center" wrapText="1"/>
    </xf>
    <xf numFmtId="3" fontId="148" fillId="2" borderId="3" xfId="0" applyNumberFormat="1" applyFont="1" applyFill="1" applyBorder="1" applyAlignment="1" applyProtection="1">
      <alignment horizontal="center" vertical="center" wrapText="1"/>
    </xf>
    <xf numFmtId="3" fontId="148" fillId="2" borderId="24" xfId="0" applyNumberFormat="1" applyFont="1" applyFill="1" applyBorder="1" applyAlignment="1" applyProtection="1">
      <alignment horizontal="center" vertical="center" wrapText="1"/>
    </xf>
    <xf numFmtId="3" fontId="148" fillId="2" borderId="18" xfId="0" applyNumberFormat="1" applyFont="1" applyFill="1" applyBorder="1" applyAlignment="1" applyProtection="1">
      <alignment horizontal="center" vertical="center" wrapText="1"/>
    </xf>
    <xf numFmtId="1" fontId="148" fillId="2" borderId="21" xfId="0" applyNumberFormat="1" applyFont="1" applyFill="1" applyBorder="1" applyAlignment="1" applyProtection="1">
      <alignment horizontal="center" vertical="center" wrapText="1"/>
    </xf>
    <xf numFmtId="1" fontId="148" fillId="2" borderId="16" xfId="0" applyNumberFormat="1" applyFont="1" applyFill="1" applyBorder="1" applyAlignment="1" applyProtection="1">
      <alignment horizontal="center" vertical="center" wrapText="1"/>
    </xf>
    <xf numFmtId="1" fontId="148" fillId="2" borderId="55" xfId="0" applyNumberFormat="1" applyFont="1" applyFill="1" applyBorder="1" applyAlignment="1" applyProtection="1">
      <alignment horizontal="center" vertical="center"/>
    </xf>
    <xf numFmtId="1" fontId="148" fillId="2" borderId="44" xfId="0" applyNumberFormat="1" applyFont="1" applyFill="1" applyBorder="1" applyAlignment="1" applyProtection="1">
      <alignment horizontal="center" vertical="center"/>
    </xf>
    <xf numFmtId="3" fontId="148" fillId="2" borderId="66" xfId="0" applyNumberFormat="1" applyFont="1" applyFill="1" applyBorder="1" applyAlignment="1" applyProtection="1">
      <alignment horizontal="center" vertical="center" wrapText="1"/>
    </xf>
    <xf numFmtId="3" fontId="148" fillId="2" borderId="43" xfId="0" applyNumberFormat="1" applyFont="1" applyFill="1" applyBorder="1" applyAlignment="1" applyProtection="1">
      <alignment horizontal="center" vertical="center" wrapText="1"/>
    </xf>
    <xf numFmtId="3" fontId="161" fillId="2" borderId="25" xfId="0" applyNumberFormat="1" applyFont="1" applyFill="1" applyBorder="1" applyAlignment="1" applyProtection="1">
      <alignment horizontal="center" vertical="center" wrapText="1"/>
    </xf>
    <xf numFmtId="3" fontId="161" fillId="2" borderId="2" xfId="0" applyNumberFormat="1" applyFont="1" applyFill="1" applyBorder="1" applyAlignment="1" applyProtection="1">
      <alignment horizontal="center" vertical="center" wrapText="1"/>
    </xf>
    <xf numFmtId="3" fontId="161" fillId="2" borderId="3" xfId="0" applyNumberFormat="1" applyFont="1" applyFill="1" applyBorder="1" applyAlignment="1" applyProtection="1">
      <alignment horizontal="center" vertical="center" wrapText="1"/>
    </xf>
    <xf numFmtId="3" fontId="156" fillId="2" borderId="25" xfId="0" applyNumberFormat="1" applyFont="1" applyFill="1" applyBorder="1" applyAlignment="1" applyProtection="1">
      <alignment horizontal="center" vertical="center"/>
    </xf>
    <xf numFmtId="3" fontId="156" fillId="2" borderId="2" xfId="0" applyNumberFormat="1" applyFont="1" applyFill="1" applyBorder="1" applyAlignment="1" applyProtection="1">
      <alignment horizontal="center" vertical="center"/>
    </xf>
    <xf numFmtId="3" fontId="156" fillId="2" borderId="3" xfId="0" applyNumberFormat="1" applyFont="1" applyFill="1" applyBorder="1" applyAlignment="1" applyProtection="1">
      <alignment horizontal="center" vertical="center"/>
    </xf>
    <xf numFmtId="3" fontId="162" fillId="2" borderId="25" xfId="0" applyNumberFormat="1" applyFont="1" applyFill="1" applyBorder="1" applyAlignment="1" applyProtection="1">
      <alignment horizontal="center" vertical="center"/>
    </xf>
    <xf numFmtId="3" fontId="162" fillId="2" borderId="2" xfId="0" applyNumberFormat="1" applyFont="1" applyFill="1" applyBorder="1" applyAlignment="1" applyProtection="1">
      <alignment horizontal="center" vertical="center"/>
    </xf>
    <xf numFmtId="3" fontId="162" fillId="2" borderId="3"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43" fillId="0" borderId="66" xfId="0" applyFont="1" applyBorder="1" applyAlignment="1">
      <alignment horizontal="center" vertical="center" wrapText="1"/>
    </xf>
    <xf numFmtId="0" fontId="43" fillId="0" borderId="55" xfId="0" applyFont="1" applyBorder="1" applyAlignment="1">
      <alignment horizontal="center" vertical="center" wrapText="1"/>
    </xf>
    <xf numFmtId="3" fontId="17" fillId="0" borderId="27" xfId="0" applyNumberFormat="1" applyFont="1" applyFill="1" applyBorder="1" applyAlignment="1" applyProtection="1">
      <alignment horizontal="center" vertical="center"/>
      <protection hidden="1"/>
    </xf>
    <xf numFmtId="3" fontId="17" fillId="0" borderId="82" xfId="0" applyNumberFormat="1" applyFont="1" applyFill="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9" xfId="0" applyNumberFormat="1" applyFont="1" applyFill="1" applyBorder="1" applyAlignment="1" applyProtection="1">
      <alignment horizontal="center" vertical="center"/>
      <protection hidden="1"/>
    </xf>
    <xf numFmtId="0" fontId="31" fillId="6" borderId="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9"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36" fillId="0" borderId="0" xfId="0" applyFont="1" applyFill="1" applyBorder="1" applyAlignment="1" applyProtection="1">
      <alignment horizontal="center" vertical="center"/>
    </xf>
    <xf numFmtId="167" fontId="7" fillId="7" borderId="8" xfId="0" applyNumberFormat="1" applyFont="1" applyFill="1" applyBorder="1" applyAlignment="1" applyProtection="1">
      <alignment horizontal="center" vertical="center" wrapText="1"/>
    </xf>
    <xf numFmtId="3" fontId="36"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cellXfs>
  <cellStyles count="4">
    <cellStyle name="Euro" xfId="1" xr:uid="{00000000-0005-0000-0000-000000000000}"/>
    <cellStyle name="Normal" xfId="0" builtinId="0"/>
    <cellStyle name="Normal 2" xfId="2" xr:uid="{00000000-0005-0000-0000-000002000000}"/>
    <cellStyle name="Porcentual 2" xfId="3" xr:uid="{00000000-0005-0000-0000-000003000000}"/>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IV122"/>
  <sheetViews>
    <sheetView showGridLines="0" zoomScale="80" zoomScaleNormal="80" workbookViewId="0">
      <selection activeCell="B5" sqref="B5:F5"/>
    </sheetView>
  </sheetViews>
  <sheetFormatPr baseColWidth="10" defaultColWidth="0" defaultRowHeight="1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c r="A1" s="2926" t="s">
        <v>536</v>
      </c>
      <c r="B1" s="2927"/>
      <c r="C1" s="2927"/>
      <c r="D1" s="2927"/>
      <c r="E1" s="2927"/>
      <c r="F1" s="2927"/>
      <c r="G1" s="2928"/>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c r="A2" s="149"/>
      <c r="B2" s="147"/>
      <c r="C2" s="147"/>
      <c r="D2" s="147"/>
      <c r="E2" s="147"/>
      <c r="F2" s="147"/>
      <c r="G2" s="2932"/>
    </row>
    <row r="3" spans="1:31" ht="20.25" thickBot="1">
      <c r="A3" s="224" t="s">
        <v>0</v>
      </c>
      <c r="B3" s="2929" t="s">
        <v>619</v>
      </c>
      <c r="C3" s="2930"/>
      <c r="D3" s="2931"/>
      <c r="E3" s="223" t="s">
        <v>390</v>
      </c>
      <c r="F3" s="250">
        <v>2017</v>
      </c>
      <c r="G3" s="2932"/>
    </row>
    <row r="4" spans="1:31" ht="12.75" thickBot="1">
      <c r="A4" s="149"/>
      <c r="B4" s="147"/>
      <c r="C4" s="147"/>
      <c r="D4" s="147"/>
      <c r="E4" s="147"/>
      <c r="F4" s="147"/>
      <c r="G4" s="2932"/>
    </row>
    <row r="5" spans="1:31" ht="18.75" thickBot="1">
      <c r="A5" s="225" t="s">
        <v>524</v>
      </c>
      <c r="B5" s="2929" t="s">
        <v>620</v>
      </c>
      <c r="C5" s="2930"/>
      <c r="D5" s="2930"/>
      <c r="E5" s="2930"/>
      <c r="F5" s="2931"/>
      <c r="G5" s="148"/>
    </row>
    <row r="6" spans="1:31">
      <c r="A6" s="149"/>
      <c r="B6" s="147"/>
      <c r="C6" s="147"/>
      <c r="D6" s="147"/>
      <c r="E6" s="147"/>
      <c r="F6" s="147"/>
      <c r="G6" s="148"/>
    </row>
    <row r="7" spans="1:31" ht="13.5" thickBot="1">
      <c r="A7" s="220"/>
      <c r="B7" s="221"/>
      <c r="C7" s="221"/>
      <c r="D7" s="221"/>
      <c r="E7" s="221"/>
      <c r="F7" s="221"/>
      <c r="G7" s="222"/>
    </row>
    <row r="8" spans="1:31" ht="13.5" thickBot="1">
      <c r="A8" s="2951"/>
      <c r="B8" s="2952"/>
      <c r="C8" s="2952"/>
      <c r="D8" s="2952"/>
      <c r="E8" s="2952"/>
      <c r="F8" s="2952"/>
      <c r="G8" s="2953"/>
    </row>
    <row r="9" spans="1:31">
      <c r="A9" s="2933" t="s">
        <v>2</v>
      </c>
      <c r="B9" s="2934"/>
      <c r="C9" s="2934"/>
      <c r="D9" s="2934"/>
      <c r="E9" s="2934"/>
      <c r="F9" s="2934"/>
      <c r="G9" s="2935"/>
    </row>
    <row r="10" spans="1:31">
      <c r="A10" s="2936"/>
      <c r="B10" s="2937"/>
      <c r="C10" s="2937"/>
      <c r="D10" s="2937"/>
      <c r="E10" s="2937"/>
      <c r="F10" s="2937"/>
      <c r="G10" s="2938"/>
    </row>
    <row r="11" spans="1:31" ht="12.75" thickBot="1">
      <c r="A11" s="2939"/>
      <c r="B11" s="2940"/>
      <c r="C11" s="2940"/>
      <c r="D11" s="2940"/>
      <c r="E11" s="2940"/>
      <c r="F11" s="2940"/>
      <c r="G11" s="2941"/>
    </row>
    <row r="12" spans="1:31">
      <c r="A12" s="2942" t="s">
        <v>499</v>
      </c>
      <c r="B12" s="2943"/>
      <c r="C12" s="2943"/>
      <c r="D12" s="2943"/>
      <c r="E12" s="2943"/>
      <c r="F12" s="2943"/>
      <c r="G12" s="2944"/>
    </row>
    <row r="13" spans="1:31">
      <c r="A13" s="2945"/>
      <c r="B13" s="2946"/>
      <c r="C13" s="2946"/>
      <c r="D13" s="2946"/>
      <c r="E13" s="2946"/>
      <c r="F13" s="2946"/>
      <c r="G13" s="2947"/>
    </row>
    <row r="14" spans="1:31" ht="12.75" thickBot="1">
      <c r="A14" s="2948"/>
      <c r="B14" s="2949"/>
      <c r="C14" s="2949"/>
      <c r="D14" s="2949"/>
      <c r="E14" s="2949"/>
      <c r="F14" s="2949"/>
      <c r="G14" s="2950"/>
    </row>
    <row r="15" spans="1:31">
      <c r="A15" s="2957" t="s">
        <v>3</v>
      </c>
      <c r="B15" s="2958"/>
      <c r="C15" s="2958"/>
      <c r="D15" s="2958"/>
      <c r="E15" s="2958"/>
      <c r="F15" s="2958"/>
      <c r="G15" s="2959"/>
    </row>
    <row r="16" spans="1:31">
      <c r="A16" s="146"/>
      <c r="B16" s="147"/>
      <c r="C16" s="147"/>
      <c r="D16" s="147"/>
      <c r="E16" s="147"/>
      <c r="F16" s="147"/>
      <c r="G16" s="148"/>
    </row>
    <row r="17" spans="1:7">
      <c r="A17" s="2954" t="s">
        <v>484</v>
      </c>
      <c r="B17" s="2955"/>
      <c r="C17" s="2955"/>
      <c r="D17" s="2955"/>
      <c r="E17" s="2955"/>
      <c r="F17" s="2955"/>
      <c r="G17" s="2956"/>
    </row>
    <row r="18" spans="1:7">
      <c r="A18" s="2954"/>
      <c r="B18" s="2955"/>
      <c r="C18" s="2955"/>
      <c r="D18" s="2955"/>
      <c r="E18" s="2955"/>
      <c r="F18" s="2955"/>
      <c r="G18" s="2956"/>
    </row>
    <row r="19" spans="1:7">
      <c r="A19" s="2954"/>
      <c r="B19" s="2955"/>
      <c r="C19" s="2955"/>
      <c r="D19" s="2955"/>
      <c r="E19" s="2955"/>
      <c r="F19" s="2955"/>
      <c r="G19" s="2956"/>
    </row>
    <row r="20" spans="1:7">
      <c r="A20" s="146"/>
      <c r="B20" s="147"/>
      <c r="C20" s="147"/>
      <c r="D20" s="147"/>
      <c r="E20" s="147"/>
      <c r="F20" s="147"/>
      <c r="G20" s="148"/>
    </row>
    <row r="21" spans="1:7">
      <c r="A21" s="2916" t="s">
        <v>485</v>
      </c>
      <c r="B21" s="2917"/>
      <c r="C21" s="2917"/>
      <c r="D21" s="2917"/>
      <c r="E21" s="2917"/>
      <c r="F21" s="2917"/>
      <c r="G21" s="2918"/>
    </row>
    <row r="22" spans="1:7">
      <c r="A22" s="149"/>
      <c r="B22" s="147"/>
      <c r="C22" s="147"/>
      <c r="D22" s="147"/>
      <c r="E22" s="147"/>
      <c r="F22" s="147"/>
      <c r="G22" s="148"/>
    </row>
    <row r="23" spans="1:7">
      <c r="A23" s="2923" t="s">
        <v>4</v>
      </c>
      <c r="B23" s="2924"/>
      <c r="C23" s="2924"/>
      <c r="D23" s="2924"/>
      <c r="E23" s="2924"/>
      <c r="F23" s="2924"/>
      <c r="G23" s="2925"/>
    </row>
    <row r="24" spans="1:7">
      <c r="A24" s="149"/>
      <c r="B24" s="147"/>
      <c r="C24" s="147"/>
      <c r="D24" s="147"/>
      <c r="E24" s="147"/>
      <c r="F24" s="147"/>
      <c r="G24" s="148"/>
    </row>
    <row r="25" spans="1:7">
      <c r="A25" s="2923" t="s">
        <v>486</v>
      </c>
      <c r="B25" s="2924"/>
      <c r="C25" s="2924"/>
      <c r="D25" s="2924"/>
      <c r="E25" s="2924"/>
      <c r="F25" s="2924"/>
      <c r="G25" s="2925"/>
    </row>
    <row r="26" spans="1:7">
      <c r="A26" s="146"/>
      <c r="B26" s="147"/>
      <c r="C26" s="147"/>
      <c r="D26" s="147"/>
      <c r="E26" s="147"/>
      <c r="F26" s="147"/>
      <c r="G26" s="148"/>
    </row>
    <row r="27" spans="1:7">
      <c r="A27" s="149"/>
      <c r="B27" s="147"/>
      <c r="C27" s="147"/>
      <c r="D27" s="147"/>
      <c r="E27" s="147"/>
      <c r="F27" s="147"/>
      <c r="G27" s="148"/>
    </row>
    <row r="28" spans="1:7">
      <c r="A28" s="2916" t="s">
        <v>487</v>
      </c>
      <c r="B28" s="2917"/>
      <c r="C28" s="2917"/>
      <c r="D28" s="2917"/>
      <c r="E28" s="2917"/>
      <c r="F28" s="2917"/>
      <c r="G28" s="2918"/>
    </row>
    <row r="29" spans="1:7">
      <c r="A29" s="146"/>
      <c r="B29" s="147"/>
      <c r="C29" s="147"/>
      <c r="D29" s="147"/>
      <c r="E29" s="147"/>
      <c r="F29" s="147"/>
      <c r="G29" s="148"/>
    </row>
    <row r="30" spans="1:7">
      <c r="A30" s="149"/>
      <c r="B30" s="147"/>
      <c r="C30" s="147"/>
      <c r="D30" s="147"/>
      <c r="E30" s="147"/>
      <c r="F30" s="147"/>
      <c r="G30" s="148"/>
    </row>
    <row r="31" spans="1:7">
      <c r="A31" s="2916" t="s">
        <v>488</v>
      </c>
      <c r="B31" s="2917"/>
      <c r="C31" s="2917"/>
      <c r="D31" s="2917"/>
      <c r="E31" s="2917"/>
      <c r="F31" s="2917"/>
      <c r="G31" s="2918"/>
    </row>
    <row r="32" spans="1:7">
      <c r="A32" s="2916"/>
      <c r="B32" s="2917"/>
      <c r="C32" s="2917"/>
      <c r="D32" s="2917"/>
      <c r="E32" s="2917"/>
      <c r="F32" s="2917"/>
      <c r="G32" s="2918"/>
    </row>
    <row r="33" spans="1:256" ht="12.75" thickBot="1">
      <c r="A33" s="150"/>
      <c r="B33" s="151"/>
      <c r="C33" s="151"/>
      <c r="D33" s="151"/>
      <c r="E33" s="151"/>
      <c r="F33" s="151"/>
      <c r="G33" s="152"/>
    </row>
    <row r="34" spans="1:256" ht="12.75" thickBot="1"/>
    <row r="35" spans="1:256">
      <c r="A35" s="153" t="s">
        <v>483</v>
      </c>
      <c r="B35" s="154"/>
      <c r="C35" s="154"/>
      <c r="D35" s="154"/>
      <c r="E35" s="154"/>
      <c r="F35" s="154"/>
      <c r="G35" s="155"/>
    </row>
    <row r="36" spans="1:256">
      <c r="A36" s="149"/>
      <c r="B36" s="147"/>
      <c r="C36" s="147"/>
      <c r="D36" s="147"/>
      <c r="E36" s="147"/>
      <c r="F36" s="147"/>
      <c r="G36" s="148"/>
    </row>
    <row r="37" spans="1:256">
      <c r="A37" s="149" t="s">
        <v>490</v>
      </c>
      <c r="B37" s="147"/>
      <c r="C37" s="147"/>
      <c r="D37" s="147"/>
      <c r="E37" s="147"/>
      <c r="F37" s="147"/>
      <c r="G37" s="148"/>
    </row>
    <row r="38" spans="1:256">
      <c r="A38" s="149" t="s">
        <v>489</v>
      </c>
      <c r="B38" s="147"/>
      <c r="C38" s="147"/>
      <c r="D38" s="147"/>
      <c r="E38" s="147"/>
      <c r="F38" s="147"/>
      <c r="G38" s="148"/>
    </row>
    <row r="39" spans="1:256">
      <c r="A39" s="149" t="s">
        <v>5</v>
      </c>
      <c r="B39" s="147"/>
      <c r="C39" s="147"/>
      <c r="D39" s="147"/>
      <c r="E39" s="147"/>
      <c r="F39" s="147"/>
      <c r="G39" s="148"/>
    </row>
    <row r="40" spans="1:256">
      <c r="A40" s="149"/>
      <c r="B40" s="147"/>
      <c r="C40" s="147"/>
      <c r="D40" s="147"/>
      <c r="E40" s="147"/>
      <c r="F40" s="147"/>
      <c r="G40" s="148"/>
    </row>
    <row r="41" spans="1:256">
      <c r="A41" s="157" t="s">
        <v>6</v>
      </c>
      <c r="B41" s="147"/>
      <c r="C41" s="147"/>
      <c r="D41" s="147"/>
      <c r="E41" s="147"/>
      <c r="F41" s="147"/>
      <c r="G41" s="148"/>
    </row>
    <row r="42" spans="1:256">
      <c r="A42" s="149" t="s">
        <v>491</v>
      </c>
      <c r="B42" s="147"/>
      <c r="C42" s="147"/>
      <c r="D42" s="147"/>
      <c r="E42" s="147"/>
      <c r="F42" s="147"/>
      <c r="G42" s="148"/>
    </row>
    <row r="43" spans="1:256" ht="12.75" thickBot="1">
      <c r="A43" s="150"/>
      <c r="B43" s="151"/>
      <c r="C43" s="151"/>
      <c r="D43" s="151"/>
      <c r="E43" s="151"/>
      <c r="F43" s="151"/>
      <c r="G43" s="152"/>
    </row>
    <row r="44" spans="1:256">
      <c r="A44" s="176"/>
      <c r="B44" s="147"/>
      <c r="C44" s="147"/>
      <c r="D44" s="147"/>
      <c r="E44" s="147"/>
      <c r="F44" s="147"/>
      <c r="G44" s="147"/>
    </row>
    <row r="45" spans="1:256" s="214" customFormat="1" ht="16.5" thickBot="1">
      <c r="A45" s="2919" t="s">
        <v>492</v>
      </c>
      <c r="B45" s="2919"/>
      <c r="C45" s="2919"/>
      <c r="D45" s="2919"/>
      <c r="E45" s="2919"/>
      <c r="F45" s="2919"/>
      <c r="G45" s="2919"/>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row>
    <row r="46" spans="1:256" ht="15.75">
      <c r="A46" s="177" t="s">
        <v>28</v>
      </c>
      <c r="B46" s="178"/>
      <c r="C46" s="154"/>
      <c r="D46" s="154"/>
      <c r="E46" s="154"/>
      <c r="F46" s="154"/>
      <c r="G46" s="155"/>
      <c r="H46" s="149"/>
      <c r="I46" s="147"/>
      <c r="J46" s="147"/>
      <c r="K46" s="147"/>
      <c r="L46" s="147"/>
      <c r="M46" s="147"/>
      <c r="N46" s="148"/>
      <c r="O46" s="149"/>
      <c r="P46" s="147"/>
      <c r="Q46" s="147"/>
      <c r="R46" s="147"/>
      <c r="S46" s="147"/>
      <c r="T46" s="147"/>
      <c r="U46" s="148"/>
      <c r="V46" s="149"/>
      <c r="W46" s="147"/>
      <c r="X46" s="147"/>
      <c r="Y46" s="147"/>
      <c r="Z46" s="147"/>
      <c r="AA46" s="147"/>
      <c r="AB46" s="148"/>
      <c r="AC46" s="149"/>
      <c r="AD46" s="147"/>
      <c r="AE46" s="147"/>
      <c r="AF46" s="147"/>
      <c r="AG46" s="147"/>
      <c r="AH46" s="147"/>
      <c r="AI46" s="148"/>
      <c r="AJ46" s="149"/>
      <c r="AK46" s="147"/>
      <c r="AL46" s="147"/>
      <c r="AM46" s="147"/>
      <c r="AN46" s="147"/>
      <c r="AO46" s="147"/>
      <c r="AP46" s="148"/>
      <c r="AQ46" s="149"/>
      <c r="AR46" s="147"/>
      <c r="AS46" s="147"/>
      <c r="AT46" s="147"/>
      <c r="AU46" s="147"/>
      <c r="AV46" s="147"/>
      <c r="AW46" s="148"/>
      <c r="AX46" s="149"/>
      <c r="AY46" s="147"/>
      <c r="AZ46" s="147"/>
      <c r="BA46" s="147"/>
      <c r="BB46" s="147"/>
      <c r="BC46" s="147"/>
      <c r="BD46" s="148"/>
      <c r="BE46" s="149"/>
      <c r="BF46" s="147"/>
      <c r="BG46" s="147"/>
      <c r="BH46" s="147"/>
      <c r="BI46" s="147"/>
      <c r="BJ46" s="147"/>
      <c r="BK46" s="148"/>
      <c r="BL46" s="149"/>
      <c r="BM46" s="147"/>
      <c r="BN46" s="147"/>
      <c r="BO46" s="147"/>
      <c r="BP46" s="147"/>
      <c r="BQ46" s="147"/>
      <c r="BR46" s="148"/>
      <c r="BS46" s="149"/>
      <c r="BT46" s="147"/>
      <c r="BU46" s="147"/>
      <c r="BV46" s="147"/>
      <c r="BW46" s="147"/>
      <c r="BX46" s="147"/>
      <c r="BY46" s="148"/>
      <c r="BZ46" s="149"/>
      <c r="CA46" s="147"/>
      <c r="CB46" s="147"/>
      <c r="CC46" s="147"/>
      <c r="CD46" s="147"/>
      <c r="CE46" s="147"/>
      <c r="CF46" s="148"/>
      <c r="CG46" s="149"/>
      <c r="CH46" s="147"/>
      <c r="CI46" s="147"/>
      <c r="CJ46" s="147"/>
      <c r="CK46" s="147"/>
      <c r="CL46" s="147"/>
      <c r="CM46" s="148"/>
      <c r="CN46" s="149"/>
      <c r="CO46" s="147"/>
      <c r="CP46" s="147"/>
      <c r="CQ46" s="147"/>
      <c r="CR46" s="147"/>
      <c r="CS46" s="147"/>
      <c r="CT46" s="148"/>
      <c r="CU46" s="149"/>
      <c r="CV46" s="147"/>
      <c r="CW46" s="147"/>
      <c r="CX46" s="147"/>
      <c r="CY46" s="147"/>
      <c r="CZ46" s="147"/>
      <c r="DA46" s="148"/>
      <c r="DB46" s="149"/>
      <c r="DC46" s="147"/>
      <c r="DD46" s="147"/>
      <c r="DE46" s="147"/>
      <c r="DF46" s="147"/>
      <c r="DG46" s="147"/>
      <c r="DH46" s="148"/>
      <c r="DI46" s="149"/>
      <c r="DJ46" s="147"/>
      <c r="DK46" s="147"/>
      <c r="DL46" s="147"/>
      <c r="DM46" s="147"/>
      <c r="DN46" s="147"/>
      <c r="DO46" s="148"/>
      <c r="DP46" s="149"/>
      <c r="DQ46" s="147"/>
      <c r="DR46" s="147"/>
      <c r="DS46" s="147"/>
      <c r="DT46" s="147"/>
      <c r="DU46" s="147"/>
      <c r="DV46" s="148"/>
      <c r="DW46" s="149"/>
      <c r="DX46" s="147"/>
      <c r="DY46" s="147"/>
      <c r="DZ46" s="147"/>
      <c r="EA46" s="147"/>
      <c r="EB46" s="147"/>
      <c r="EC46" s="148"/>
      <c r="ED46" s="149"/>
      <c r="EE46" s="147"/>
      <c r="EF46" s="147"/>
      <c r="EG46" s="147"/>
      <c r="EH46" s="147"/>
      <c r="EI46" s="147"/>
      <c r="EJ46" s="148"/>
      <c r="EK46" s="149"/>
      <c r="EL46" s="147"/>
      <c r="EM46" s="147"/>
      <c r="EN46" s="147"/>
      <c r="EO46" s="147"/>
      <c r="EP46" s="147"/>
      <c r="EQ46" s="148"/>
      <c r="ER46" s="149"/>
      <c r="ES46" s="147"/>
      <c r="ET46" s="147"/>
      <c r="EU46" s="147"/>
      <c r="EV46" s="147"/>
      <c r="EW46" s="147"/>
      <c r="EX46" s="148"/>
      <c r="EY46" s="149"/>
      <c r="EZ46" s="147"/>
      <c r="FA46" s="147"/>
      <c r="FB46" s="147"/>
      <c r="FC46" s="147"/>
      <c r="FD46" s="147"/>
      <c r="FE46" s="148"/>
      <c r="FF46" s="149"/>
      <c r="FG46" s="147"/>
      <c r="FH46" s="147"/>
      <c r="FI46" s="147"/>
      <c r="FJ46" s="147"/>
      <c r="FK46" s="147"/>
      <c r="FL46" s="148"/>
      <c r="FM46" s="149"/>
      <c r="FN46" s="147"/>
      <c r="FO46" s="147"/>
      <c r="FP46" s="147"/>
      <c r="FQ46" s="147"/>
      <c r="FR46" s="147"/>
      <c r="FS46" s="148"/>
      <c r="FT46" s="149"/>
      <c r="FU46" s="147"/>
      <c r="FV46" s="147"/>
      <c r="FW46" s="147"/>
      <c r="FX46" s="147"/>
      <c r="FY46" s="147"/>
      <c r="FZ46" s="148"/>
      <c r="GA46" s="149"/>
      <c r="GB46" s="147"/>
      <c r="GC46" s="147"/>
      <c r="GD46" s="147"/>
      <c r="GE46" s="147"/>
      <c r="GF46" s="147"/>
      <c r="GG46" s="148"/>
      <c r="GH46" s="149"/>
      <c r="GI46" s="147"/>
      <c r="GJ46" s="147"/>
      <c r="GK46" s="147"/>
      <c r="GL46" s="147"/>
      <c r="GM46" s="147"/>
      <c r="GN46" s="148"/>
      <c r="GO46" s="149"/>
      <c r="GP46" s="147"/>
      <c r="GQ46" s="147"/>
      <c r="GR46" s="147"/>
      <c r="GS46" s="147"/>
      <c r="GT46" s="147"/>
      <c r="GU46" s="148"/>
      <c r="GV46" s="149"/>
      <c r="GW46" s="147"/>
      <c r="GX46" s="147"/>
      <c r="GY46" s="147"/>
      <c r="GZ46" s="147"/>
      <c r="HA46" s="147"/>
      <c r="HB46" s="148"/>
      <c r="HC46" s="149"/>
      <c r="HD46" s="147"/>
      <c r="HE46" s="147"/>
      <c r="HF46" s="147"/>
      <c r="HG46" s="147"/>
      <c r="HH46" s="147"/>
      <c r="HI46" s="148"/>
      <c r="HJ46" s="149"/>
      <c r="HK46" s="147"/>
      <c r="HL46" s="147"/>
      <c r="HM46" s="147"/>
      <c r="HN46" s="147"/>
      <c r="HO46" s="147"/>
      <c r="HP46" s="148"/>
      <c r="HQ46" s="149"/>
      <c r="HR46" s="147"/>
      <c r="HS46" s="147"/>
      <c r="HT46" s="147"/>
      <c r="HU46" s="147"/>
      <c r="HV46" s="147"/>
      <c r="HW46" s="148"/>
      <c r="HX46" s="149"/>
      <c r="HY46" s="147"/>
      <c r="HZ46" s="147"/>
      <c r="IA46" s="147"/>
      <c r="IB46" s="147"/>
      <c r="IC46" s="147"/>
      <c r="ID46" s="148"/>
      <c r="IE46" s="149"/>
      <c r="IF46" s="147"/>
      <c r="IG46" s="147"/>
      <c r="IH46" s="147"/>
      <c r="II46" s="147"/>
      <c r="IJ46" s="147"/>
      <c r="IK46" s="148"/>
      <c r="IL46" s="149"/>
      <c r="IM46" s="147"/>
      <c r="IN46" s="147"/>
      <c r="IO46" s="147"/>
      <c r="IP46" s="147"/>
      <c r="IQ46" s="147"/>
      <c r="IR46" s="148"/>
      <c r="IS46" s="149"/>
      <c r="IT46" s="147"/>
      <c r="IU46" s="147"/>
      <c r="IV46" s="147"/>
    </row>
    <row r="47" spans="1:256" s="39" customFormat="1" ht="12.75">
      <c r="A47" s="208" t="s">
        <v>493</v>
      </c>
      <c r="B47" s="147"/>
      <c r="C47" s="147"/>
      <c r="D47" s="147"/>
      <c r="E47" s="147"/>
      <c r="F47" s="147"/>
      <c r="G47" s="148"/>
      <c r="H47" s="149"/>
      <c r="I47" s="147"/>
      <c r="J47" s="147"/>
      <c r="K47" s="147"/>
      <c r="L47" s="147"/>
      <c r="M47" s="147"/>
      <c r="N47" s="148"/>
      <c r="O47" s="149"/>
      <c r="P47" s="147"/>
      <c r="Q47" s="147"/>
      <c r="R47" s="147"/>
      <c r="S47" s="147"/>
      <c r="T47" s="147"/>
      <c r="U47" s="148"/>
      <c r="V47" s="149"/>
      <c r="W47" s="147"/>
      <c r="X47" s="147"/>
      <c r="Y47" s="147"/>
      <c r="Z47" s="147"/>
      <c r="AA47" s="147"/>
      <c r="AB47" s="148"/>
      <c r="AC47" s="149"/>
      <c r="AD47" s="147"/>
      <c r="AE47" s="147"/>
      <c r="AF47" s="147"/>
      <c r="AG47" s="147"/>
      <c r="AH47" s="147"/>
      <c r="AI47" s="148"/>
      <c r="AJ47" s="149"/>
      <c r="AK47" s="147"/>
      <c r="AL47" s="147"/>
      <c r="AM47" s="147"/>
      <c r="AN47" s="147"/>
      <c r="AO47" s="147"/>
      <c r="AP47" s="148"/>
      <c r="AQ47" s="149"/>
      <c r="AR47" s="147"/>
      <c r="AS47" s="147"/>
      <c r="AT47" s="147"/>
      <c r="AU47" s="147"/>
      <c r="AV47" s="147"/>
      <c r="AW47" s="148"/>
      <c r="AX47" s="149"/>
      <c r="AY47" s="147"/>
      <c r="AZ47" s="147"/>
      <c r="BA47" s="147"/>
      <c r="BB47" s="147"/>
      <c r="BC47" s="147"/>
      <c r="BD47" s="148"/>
      <c r="BE47" s="149"/>
      <c r="BF47" s="147"/>
      <c r="BG47" s="147"/>
      <c r="BH47" s="147"/>
      <c r="BI47" s="147"/>
      <c r="BJ47" s="147"/>
      <c r="BK47" s="148"/>
      <c r="BL47" s="149"/>
      <c r="BM47" s="147"/>
      <c r="BN47" s="147"/>
      <c r="BO47" s="147"/>
      <c r="BP47" s="147"/>
      <c r="BQ47" s="147"/>
      <c r="BR47" s="148"/>
      <c r="BS47" s="149"/>
      <c r="BT47" s="147"/>
      <c r="BU47" s="147"/>
      <c r="BV47" s="147"/>
      <c r="BW47" s="147"/>
      <c r="BX47" s="147"/>
      <c r="BY47" s="148"/>
      <c r="BZ47" s="149"/>
      <c r="CA47" s="147"/>
      <c r="CB47" s="147"/>
      <c r="CC47" s="147"/>
      <c r="CD47" s="147"/>
      <c r="CE47" s="147"/>
      <c r="CF47" s="148"/>
      <c r="CG47" s="149"/>
      <c r="CH47" s="147"/>
      <c r="CI47" s="147"/>
      <c r="CJ47" s="147"/>
      <c r="CK47" s="147"/>
      <c r="CL47" s="147"/>
      <c r="CM47" s="148"/>
      <c r="CN47" s="149"/>
      <c r="CO47" s="147"/>
      <c r="CP47" s="147"/>
      <c r="CQ47" s="147"/>
      <c r="CR47" s="147"/>
      <c r="CS47" s="147"/>
      <c r="CT47" s="148"/>
      <c r="CU47" s="149"/>
      <c r="CV47" s="147"/>
      <c r="CW47" s="147"/>
      <c r="CX47" s="147"/>
      <c r="CY47" s="147"/>
      <c r="CZ47" s="147"/>
      <c r="DA47" s="148"/>
      <c r="DB47" s="149"/>
      <c r="DC47" s="147"/>
      <c r="DD47" s="147"/>
      <c r="DE47" s="147"/>
      <c r="DF47" s="147"/>
      <c r="DG47" s="147"/>
      <c r="DH47" s="148"/>
      <c r="DI47" s="149"/>
      <c r="DJ47" s="147"/>
      <c r="DK47" s="147"/>
      <c r="DL47" s="147"/>
      <c r="DM47" s="147"/>
      <c r="DN47" s="147"/>
      <c r="DO47" s="148"/>
      <c r="DP47" s="149"/>
      <c r="DQ47" s="147"/>
      <c r="DR47" s="147"/>
      <c r="DS47" s="147"/>
      <c r="DT47" s="147"/>
      <c r="DU47" s="147"/>
      <c r="DV47" s="148"/>
      <c r="DW47" s="149"/>
      <c r="DX47" s="147"/>
      <c r="DY47" s="147"/>
      <c r="DZ47" s="147"/>
      <c r="EA47" s="147"/>
      <c r="EB47" s="147"/>
      <c r="EC47" s="148"/>
      <c r="ED47" s="149"/>
      <c r="EE47" s="147"/>
      <c r="EF47" s="147"/>
      <c r="EG47" s="147"/>
      <c r="EH47" s="147"/>
      <c r="EI47" s="147"/>
      <c r="EJ47" s="148"/>
      <c r="EK47" s="149"/>
      <c r="EL47" s="147"/>
      <c r="EM47" s="147"/>
      <c r="EN47" s="147"/>
      <c r="EO47" s="147"/>
      <c r="EP47" s="147"/>
      <c r="EQ47" s="148"/>
      <c r="ER47" s="149"/>
      <c r="ES47" s="147"/>
      <c r="ET47" s="147"/>
      <c r="EU47" s="147"/>
      <c r="EV47" s="147"/>
      <c r="EW47" s="147"/>
      <c r="EX47" s="148"/>
      <c r="EY47" s="149"/>
      <c r="EZ47" s="147"/>
      <c r="FA47" s="147"/>
      <c r="FB47" s="147"/>
      <c r="FC47" s="147"/>
      <c r="FD47" s="147"/>
      <c r="FE47" s="148"/>
      <c r="FF47" s="149"/>
      <c r="FG47" s="147"/>
      <c r="FH47" s="147"/>
      <c r="FI47" s="147"/>
      <c r="FJ47" s="147"/>
      <c r="FK47" s="147"/>
      <c r="FL47" s="148"/>
      <c r="FM47" s="149"/>
      <c r="FN47" s="147"/>
      <c r="FO47" s="147"/>
      <c r="FP47" s="147"/>
      <c r="FQ47" s="147"/>
      <c r="FR47" s="147"/>
      <c r="FS47" s="148"/>
      <c r="FT47" s="149"/>
      <c r="FU47" s="147"/>
      <c r="FV47" s="147"/>
      <c r="FW47" s="147"/>
      <c r="FX47" s="147"/>
      <c r="FY47" s="147"/>
      <c r="FZ47" s="148"/>
      <c r="GA47" s="149"/>
      <c r="GB47" s="147"/>
      <c r="GC47" s="147"/>
      <c r="GD47" s="147"/>
      <c r="GE47" s="147"/>
      <c r="GF47" s="147"/>
      <c r="GG47" s="148"/>
      <c r="GH47" s="149"/>
      <c r="GI47" s="147"/>
      <c r="GJ47" s="147"/>
      <c r="GK47" s="147"/>
      <c r="GL47" s="147"/>
      <c r="GM47" s="147"/>
      <c r="GN47" s="148"/>
      <c r="GO47" s="149"/>
      <c r="GP47" s="147"/>
      <c r="GQ47" s="147"/>
      <c r="GR47" s="147"/>
      <c r="GS47" s="147"/>
      <c r="GT47" s="147"/>
      <c r="GU47" s="148"/>
      <c r="GV47" s="149"/>
      <c r="GW47" s="147"/>
      <c r="GX47" s="147"/>
      <c r="GY47" s="147"/>
      <c r="GZ47" s="147"/>
      <c r="HA47" s="147"/>
      <c r="HB47" s="148"/>
      <c r="HC47" s="149"/>
      <c r="HD47" s="147"/>
      <c r="HE47" s="147"/>
      <c r="HF47" s="147"/>
      <c r="HG47" s="147"/>
      <c r="HH47" s="147"/>
      <c r="HI47" s="148"/>
      <c r="HJ47" s="149"/>
      <c r="HK47" s="147"/>
      <c r="HL47" s="147"/>
      <c r="HM47" s="147"/>
      <c r="HN47" s="147"/>
      <c r="HO47" s="147"/>
      <c r="HP47" s="148"/>
      <c r="HQ47" s="149"/>
      <c r="HR47" s="147"/>
      <c r="HS47" s="147"/>
      <c r="HT47" s="147"/>
      <c r="HU47" s="147"/>
      <c r="HV47" s="147"/>
      <c r="HW47" s="148"/>
      <c r="HX47" s="149"/>
      <c r="HY47" s="147"/>
      <c r="HZ47" s="147"/>
      <c r="IA47" s="147"/>
      <c r="IB47" s="147"/>
      <c r="IC47" s="147"/>
      <c r="ID47" s="148"/>
      <c r="IE47" s="149"/>
      <c r="IF47" s="147"/>
      <c r="IG47" s="147"/>
      <c r="IH47" s="147"/>
      <c r="II47" s="147"/>
      <c r="IJ47" s="147"/>
      <c r="IK47" s="148"/>
      <c r="IL47" s="149"/>
      <c r="IM47" s="147"/>
      <c r="IN47" s="147"/>
      <c r="IO47" s="147"/>
      <c r="IP47" s="147"/>
      <c r="IQ47" s="147"/>
      <c r="IR47" s="148"/>
      <c r="IS47" s="149"/>
      <c r="IT47" s="147"/>
      <c r="IU47" s="147"/>
      <c r="IV47" s="147"/>
    </row>
    <row r="48" spans="1:256" s="39" customFormat="1" ht="12.75">
      <c r="A48" s="208" t="s">
        <v>460</v>
      </c>
      <c r="B48" s="147"/>
      <c r="C48" s="147"/>
      <c r="D48" s="147"/>
      <c r="E48" s="147"/>
      <c r="F48" s="147"/>
      <c r="G48" s="148"/>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c r="A49" s="2913" t="s">
        <v>461</v>
      </c>
      <c r="B49" s="2914"/>
      <c r="C49" s="2914"/>
      <c r="D49" s="2914"/>
      <c r="E49" s="2914"/>
      <c r="F49" s="2914"/>
      <c r="G49" s="2915"/>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c r="A50" s="2913"/>
      <c r="B50" s="2914"/>
      <c r="C50" s="2914"/>
      <c r="D50" s="2914"/>
      <c r="E50" s="2914"/>
      <c r="F50" s="2914"/>
      <c r="G50" s="2915"/>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c r="A51" s="149"/>
      <c r="B51" s="147"/>
      <c r="C51" s="147"/>
      <c r="D51" s="147"/>
      <c r="E51" s="147"/>
      <c r="F51" s="147"/>
      <c r="G51" s="148"/>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5.75">
      <c r="A52" s="179" t="s">
        <v>29</v>
      </c>
      <c r="B52" s="147"/>
      <c r="C52" s="147"/>
      <c r="D52" s="147"/>
      <c r="E52" s="147"/>
      <c r="F52" s="147"/>
      <c r="G52" s="148"/>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ht="12.75">
      <c r="A54" s="208" t="s">
        <v>494</v>
      </c>
      <c r="B54" s="147"/>
      <c r="C54" s="147"/>
      <c r="D54" s="147"/>
      <c r="E54" s="147"/>
      <c r="F54" s="147"/>
      <c r="G54" s="148"/>
      <c r="H54" s="156"/>
      <c r="I54" s="147"/>
      <c r="J54" s="147"/>
      <c r="K54" s="147"/>
      <c r="L54" s="147"/>
      <c r="M54" s="147"/>
      <c r="N54" s="148"/>
      <c r="O54" s="156"/>
      <c r="P54" s="147"/>
      <c r="Q54" s="147"/>
      <c r="R54" s="147"/>
      <c r="S54" s="147"/>
      <c r="T54" s="147"/>
      <c r="U54" s="148"/>
      <c r="V54" s="156"/>
      <c r="W54" s="147"/>
      <c r="X54" s="147"/>
      <c r="Y54" s="147"/>
      <c r="Z54" s="147"/>
      <c r="AA54" s="147"/>
      <c r="AB54" s="148"/>
      <c r="AC54" s="156"/>
      <c r="AD54" s="147"/>
      <c r="AE54" s="147"/>
      <c r="AF54" s="147"/>
      <c r="AG54" s="147"/>
      <c r="AH54" s="147"/>
      <c r="AI54" s="148"/>
      <c r="AJ54" s="156"/>
      <c r="AK54" s="147"/>
      <c r="AL54" s="147"/>
      <c r="AM54" s="147"/>
      <c r="AN54" s="147"/>
      <c r="AO54" s="147"/>
      <c r="AP54" s="148"/>
      <c r="AQ54" s="156"/>
      <c r="AR54" s="147"/>
      <c r="AS54" s="147"/>
      <c r="AT54" s="147"/>
      <c r="AU54" s="147"/>
      <c r="AV54" s="147"/>
      <c r="AW54" s="148"/>
      <c r="AX54" s="156"/>
      <c r="AY54" s="147"/>
      <c r="AZ54" s="147"/>
      <c r="BA54" s="147"/>
      <c r="BB54" s="147"/>
      <c r="BC54" s="147"/>
      <c r="BD54" s="148"/>
      <c r="BE54" s="156"/>
      <c r="BF54" s="147"/>
      <c r="BG54" s="147"/>
      <c r="BH54" s="147"/>
      <c r="BI54" s="147"/>
      <c r="BJ54" s="147"/>
      <c r="BK54" s="148"/>
      <c r="BL54" s="156"/>
      <c r="BM54" s="147"/>
      <c r="BN54" s="147"/>
      <c r="BO54" s="147"/>
      <c r="BP54" s="147"/>
      <c r="BQ54" s="147"/>
      <c r="BR54" s="148"/>
      <c r="BS54" s="156"/>
      <c r="BT54" s="147"/>
      <c r="BU54" s="147"/>
      <c r="BV54" s="147"/>
      <c r="BW54" s="147"/>
      <c r="BX54" s="147"/>
      <c r="BY54" s="148"/>
      <c r="BZ54" s="156"/>
      <c r="CA54" s="147"/>
      <c r="CB54" s="147"/>
      <c r="CC54" s="147"/>
      <c r="CD54" s="147"/>
      <c r="CE54" s="147"/>
      <c r="CF54" s="148"/>
      <c r="CG54" s="156"/>
      <c r="CH54" s="147"/>
      <c r="CI54" s="147"/>
      <c r="CJ54" s="147"/>
      <c r="CK54" s="147"/>
      <c r="CL54" s="147"/>
      <c r="CM54" s="148"/>
      <c r="CN54" s="156"/>
      <c r="CO54" s="147"/>
      <c r="CP54" s="147"/>
      <c r="CQ54" s="147"/>
      <c r="CR54" s="147"/>
      <c r="CS54" s="147"/>
      <c r="CT54" s="148"/>
      <c r="CU54" s="156"/>
      <c r="CV54" s="147"/>
      <c r="CW54" s="147"/>
      <c r="CX54" s="147"/>
      <c r="CY54" s="147"/>
      <c r="CZ54" s="147"/>
      <c r="DA54" s="148"/>
      <c r="DB54" s="156"/>
      <c r="DC54" s="147"/>
      <c r="DD54" s="147"/>
      <c r="DE54" s="147"/>
      <c r="DF54" s="147"/>
      <c r="DG54" s="147"/>
      <c r="DH54" s="148"/>
      <c r="DI54" s="156"/>
      <c r="DJ54" s="147"/>
      <c r="DK54" s="147"/>
      <c r="DL54" s="147"/>
      <c r="DM54" s="147"/>
      <c r="DN54" s="147"/>
      <c r="DO54" s="148"/>
      <c r="DP54" s="156"/>
      <c r="DQ54" s="147"/>
      <c r="DR54" s="147"/>
      <c r="DS54" s="147"/>
      <c r="DT54" s="147"/>
      <c r="DU54" s="147"/>
      <c r="DV54" s="148"/>
      <c r="DW54" s="156"/>
      <c r="DX54" s="147"/>
      <c r="DY54" s="147"/>
      <c r="DZ54" s="147"/>
      <c r="EA54" s="147"/>
      <c r="EB54" s="147"/>
      <c r="EC54" s="148"/>
      <c r="ED54" s="156"/>
      <c r="EE54" s="147"/>
      <c r="EF54" s="147"/>
      <c r="EG54" s="147"/>
      <c r="EH54" s="147"/>
      <c r="EI54" s="147"/>
      <c r="EJ54" s="148"/>
      <c r="EK54" s="156"/>
      <c r="EL54" s="147"/>
      <c r="EM54" s="147"/>
      <c r="EN54" s="147"/>
      <c r="EO54" s="147"/>
      <c r="EP54" s="147"/>
      <c r="EQ54" s="148"/>
      <c r="ER54" s="156"/>
      <c r="ES54" s="147"/>
      <c r="ET54" s="147"/>
      <c r="EU54" s="147"/>
      <c r="EV54" s="147"/>
      <c r="EW54" s="147"/>
      <c r="EX54" s="148"/>
      <c r="EY54" s="156"/>
      <c r="EZ54" s="147"/>
      <c r="FA54" s="147"/>
      <c r="FB54" s="147"/>
      <c r="FC54" s="147"/>
      <c r="FD54" s="147"/>
      <c r="FE54" s="148"/>
      <c r="FF54" s="156"/>
      <c r="FG54" s="147"/>
      <c r="FH54" s="147"/>
      <c r="FI54" s="147"/>
      <c r="FJ54" s="147"/>
      <c r="FK54" s="147"/>
      <c r="FL54" s="148"/>
      <c r="FM54" s="156"/>
      <c r="FN54" s="147"/>
      <c r="FO54" s="147"/>
      <c r="FP54" s="147"/>
      <c r="FQ54" s="147"/>
      <c r="FR54" s="147"/>
      <c r="FS54" s="148"/>
      <c r="FT54" s="156"/>
      <c r="FU54" s="147"/>
      <c r="FV54" s="147"/>
      <c r="FW54" s="147"/>
      <c r="FX54" s="147"/>
      <c r="FY54" s="147"/>
      <c r="FZ54" s="148"/>
      <c r="GA54" s="156"/>
      <c r="GB54" s="147"/>
      <c r="GC54" s="147"/>
      <c r="GD54" s="147"/>
      <c r="GE54" s="147"/>
      <c r="GF54" s="147"/>
      <c r="GG54" s="148"/>
      <c r="GH54" s="156"/>
      <c r="GI54" s="147"/>
      <c r="GJ54" s="147"/>
      <c r="GK54" s="147"/>
      <c r="GL54" s="147"/>
      <c r="GM54" s="147"/>
      <c r="GN54" s="148"/>
      <c r="GO54" s="156"/>
      <c r="GP54" s="147"/>
      <c r="GQ54" s="147"/>
      <c r="GR54" s="147"/>
      <c r="GS54" s="147"/>
      <c r="GT54" s="147"/>
      <c r="GU54" s="148"/>
      <c r="GV54" s="156"/>
      <c r="GW54" s="147"/>
      <c r="GX54" s="147"/>
      <c r="GY54" s="147"/>
      <c r="GZ54" s="147"/>
      <c r="HA54" s="147"/>
      <c r="HB54" s="148"/>
      <c r="HC54" s="156"/>
      <c r="HD54" s="147"/>
      <c r="HE54" s="147"/>
      <c r="HF54" s="147"/>
      <c r="HG54" s="147"/>
      <c r="HH54" s="147"/>
      <c r="HI54" s="148"/>
      <c r="HJ54" s="156"/>
      <c r="HK54" s="147"/>
      <c r="HL54" s="147"/>
      <c r="HM54" s="147"/>
      <c r="HN54" s="147"/>
      <c r="HO54" s="147"/>
      <c r="HP54" s="148"/>
      <c r="HQ54" s="156"/>
      <c r="HR54" s="147"/>
      <c r="HS54" s="147"/>
      <c r="HT54" s="147"/>
      <c r="HU54" s="147"/>
      <c r="HV54" s="147"/>
      <c r="HW54" s="148"/>
      <c r="HX54" s="156"/>
      <c r="HY54" s="147"/>
      <c r="HZ54" s="147"/>
      <c r="IA54" s="147"/>
      <c r="IB54" s="147"/>
      <c r="IC54" s="147"/>
      <c r="ID54" s="148"/>
      <c r="IE54" s="156"/>
      <c r="IF54" s="147"/>
      <c r="IG54" s="147"/>
      <c r="IH54" s="147"/>
      <c r="II54" s="147"/>
      <c r="IJ54" s="147"/>
      <c r="IK54" s="148"/>
      <c r="IL54" s="156"/>
      <c r="IM54" s="147"/>
      <c r="IN54" s="147"/>
      <c r="IO54" s="147"/>
      <c r="IP54" s="147"/>
      <c r="IQ54" s="147"/>
      <c r="IR54" s="148"/>
      <c r="IS54" s="156"/>
      <c r="IT54" s="147"/>
      <c r="IU54" s="147"/>
      <c r="IV54" s="147"/>
    </row>
    <row r="55" spans="1:256" ht="12.75">
      <c r="A55" s="209" t="s">
        <v>495</v>
      </c>
      <c r="B55" s="147"/>
      <c r="C55" s="147"/>
      <c r="D55" s="147"/>
      <c r="E55" s="147"/>
      <c r="F55" s="147"/>
      <c r="G55" s="148"/>
      <c r="H55" s="157"/>
      <c r="I55" s="147"/>
      <c r="J55" s="147"/>
      <c r="K55" s="147"/>
      <c r="L55" s="147"/>
      <c r="M55" s="147"/>
      <c r="N55" s="148"/>
      <c r="O55" s="157"/>
      <c r="P55" s="147"/>
      <c r="Q55" s="147"/>
      <c r="R55" s="147"/>
      <c r="S55" s="147"/>
      <c r="T55" s="147"/>
      <c r="U55" s="148"/>
      <c r="V55" s="157"/>
      <c r="W55" s="147"/>
      <c r="X55" s="147"/>
      <c r="Y55" s="147"/>
      <c r="Z55" s="147"/>
      <c r="AA55" s="147"/>
      <c r="AB55" s="148"/>
      <c r="AC55" s="157"/>
      <c r="AD55" s="147"/>
      <c r="AE55" s="147"/>
      <c r="AF55" s="147"/>
      <c r="AG55" s="147"/>
      <c r="AH55" s="147"/>
      <c r="AI55" s="148"/>
      <c r="AJ55" s="157"/>
      <c r="AK55" s="147"/>
      <c r="AL55" s="147"/>
      <c r="AM55" s="147"/>
      <c r="AN55" s="147"/>
      <c r="AO55" s="147"/>
      <c r="AP55" s="148"/>
      <c r="AQ55" s="157"/>
      <c r="AR55" s="147"/>
      <c r="AS55" s="147"/>
      <c r="AT55" s="147"/>
      <c r="AU55" s="147"/>
      <c r="AV55" s="147"/>
      <c r="AW55" s="148"/>
      <c r="AX55" s="157"/>
      <c r="AY55" s="147"/>
      <c r="AZ55" s="147"/>
      <c r="BA55" s="147"/>
      <c r="BB55" s="147"/>
      <c r="BC55" s="147"/>
      <c r="BD55" s="148"/>
      <c r="BE55" s="157"/>
      <c r="BF55" s="147"/>
      <c r="BG55" s="147"/>
      <c r="BH55" s="147"/>
      <c r="BI55" s="147"/>
      <c r="BJ55" s="147"/>
      <c r="BK55" s="148"/>
      <c r="BL55" s="157"/>
      <c r="BM55" s="147"/>
      <c r="BN55" s="147"/>
      <c r="BO55" s="147"/>
      <c r="BP55" s="147"/>
      <c r="BQ55" s="147"/>
      <c r="BR55" s="148"/>
      <c r="BS55" s="157"/>
      <c r="BT55" s="147"/>
      <c r="BU55" s="147"/>
      <c r="BV55" s="147"/>
      <c r="BW55" s="147"/>
      <c r="BX55" s="147"/>
      <c r="BY55" s="148"/>
      <c r="BZ55" s="157"/>
      <c r="CA55" s="147"/>
      <c r="CB55" s="147"/>
      <c r="CC55" s="147"/>
      <c r="CD55" s="147"/>
      <c r="CE55" s="147"/>
      <c r="CF55" s="148"/>
      <c r="CG55" s="157"/>
      <c r="CH55" s="147"/>
      <c r="CI55" s="147"/>
      <c r="CJ55" s="147"/>
      <c r="CK55" s="147"/>
      <c r="CL55" s="147"/>
      <c r="CM55" s="148"/>
      <c r="CN55" s="157"/>
      <c r="CO55" s="147"/>
      <c r="CP55" s="147"/>
      <c r="CQ55" s="147"/>
      <c r="CR55" s="147"/>
      <c r="CS55" s="147"/>
      <c r="CT55" s="148"/>
      <c r="CU55" s="157"/>
      <c r="CV55" s="147"/>
      <c r="CW55" s="147"/>
      <c r="CX55" s="147"/>
      <c r="CY55" s="147"/>
      <c r="CZ55" s="147"/>
      <c r="DA55" s="148"/>
      <c r="DB55" s="157"/>
      <c r="DC55" s="147"/>
      <c r="DD55" s="147"/>
      <c r="DE55" s="147"/>
      <c r="DF55" s="147"/>
      <c r="DG55" s="147"/>
      <c r="DH55" s="148"/>
      <c r="DI55" s="157"/>
      <c r="DJ55" s="147"/>
      <c r="DK55" s="147"/>
      <c r="DL55" s="147"/>
      <c r="DM55" s="147"/>
      <c r="DN55" s="147"/>
      <c r="DO55" s="148"/>
      <c r="DP55" s="157"/>
      <c r="DQ55" s="147"/>
      <c r="DR55" s="147"/>
      <c r="DS55" s="147"/>
      <c r="DT55" s="147"/>
      <c r="DU55" s="147"/>
      <c r="DV55" s="148"/>
      <c r="DW55" s="157"/>
      <c r="DX55" s="147"/>
      <c r="DY55" s="147"/>
      <c r="DZ55" s="147"/>
      <c r="EA55" s="147"/>
      <c r="EB55" s="147"/>
      <c r="EC55" s="148"/>
      <c r="ED55" s="157"/>
      <c r="EE55" s="147"/>
      <c r="EF55" s="147"/>
      <c r="EG55" s="147"/>
      <c r="EH55" s="147"/>
      <c r="EI55" s="147"/>
      <c r="EJ55" s="148"/>
      <c r="EK55" s="157"/>
      <c r="EL55" s="147"/>
      <c r="EM55" s="147"/>
      <c r="EN55" s="147"/>
      <c r="EO55" s="147"/>
      <c r="EP55" s="147"/>
      <c r="EQ55" s="148"/>
      <c r="ER55" s="157"/>
      <c r="ES55" s="147"/>
      <c r="ET55" s="147"/>
      <c r="EU55" s="147"/>
      <c r="EV55" s="147"/>
      <c r="EW55" s="147"/>
      <c r="EX55" s="148"/>
      <c r="EY55" s="157"/>
      <c r="EZ55" s="147"/>
      <c r="FA55" s="147"/>
      <c r="FB55" s="147"/>
      <c r="FC55" s="147"/>
      <c r="FD55" s="147"/>
      <c r="FE55" s="148"/>
      <c r="FF55" s="157"/>
      <c r="FG55" s="147"/>
      <c r="FH55" s="147"/>
      <c r="FI55" s="147"/>
      <c r="FJ55" s="147"/>
      <c r="FK55" s="147"/>
      <c r="FL55" s="148"/>
      <c r="FM55" s="157"/>
      <c r="FN55" s="147"/>
      <c r="FO55" s="147"/>
      <c r="FP55" s="147"/>
      <c r="FQ55" s="147"/>
      <c r="FR55" s="147"/>
      <c r="FS55" s="148"/>
      <c r="FT55" s="157"/>
      <c r="FU55" s="147"/>
      <c r="FV55" s="147"/>
      <c r="FW55" s="147"/>
      <c r="FX55" s="147"/>
      <c r="FY55" s="147"/>
      <c r="FZ55" s="148"/>
      <c r="GA55" s="157"/>
      <c r="GB55" s="147"/>
      <c r="GC55" s="147"/>
      <c r="GD55" s="147"/>
      <c r="GE55" s="147"/>
      <c r="GF55" s="147"/>
      <c r="GG55" s="148"/>
      <c r="GH55" s="157"/>
      <c r="GI55" s="147"/>
      <c r="GJ55" s="147"/>
      <c r="GK55" s="147"/>
      <c r="GL55" s="147"/>
      <c r="GM55" s="147"/>
      <c r="GN55" s="148"/>
      <c r="GO55" s="157"/>
      <c r="GP55" s="147"/>
      <c r="GQ55" s="147"/>
      <c r="GR55" s="147"/>
      <c r="GS55" s="147"/>
      <c r="GT55" s="147"/>
      <c r="GU55" s="148"/>
      <c r="GV55" s="157"/>
      <c r="GW55" s="147"/>
      <c r="GX55" s="147"/>
      <c r="GY55" s="147"/>
      <c r="GZ55" s="147"/>
      <c r="HA55" s="147"/>
      <c r="HB55" s="148"/>
      <c r="HC55" s="157"/>
      <c r="HD55" s="147"/>
      <c r="HE55" s="147"/>
      <c r="HF55" s="147"/>
      <c r="HG55" s="147"/>
      <c r="HH55" s="147"/>
      <c r="HI55" s="148"/>
      <c r="HJ55" s="157"/>
      <c r="HK55" s="147"/>
      <c r="HL55" s="147"/>
      <c r="HM55" s="147"/>
      <c r="HN55" s="147"/>
      <c r="HO55" s="147"/>
      <c r="HP55" s="148"/>
      <c r="HQ55" s="157"/>
      <c r="HR55" s="147"/>
      <c r="HS55" s="147"/>
      <c r="HT55" s="147"/>
      <c r="HU55" s="147"/>
      <c r="HV55" s="147"/>
      <c r="HW55" s="148"/>
      <c r="HX55" s="157"/>
      <c r="HY55" s="147"/>
      <c r="HZ55" s="147"/>
      <c r="IA55" s="147"/>
      <c r="IB55" s="147"/>
      <c r="IC55" s="147"/>
      <c r="ID55" s="148"/>
      <c r="IE55" s="157"/>
      <c r="IF55" s="147"/>
      <c r="IG55" s="147"/>
      <c r="IH55" s="147"/>
      <c r="II55" s="147"/>
      <c r="IJ55" s="147"/>
      <c r="IK55" s="148"/>
      <c r="IL55" s="157"/>
      <c r="IM55" s="147"/>
      <c r="IN55" s="147"/>
      <c r="IO55" s="147"/>
      <c r="IP55" s="147"/>
      <c r="IQ55" s="147"/>
      <c r="IR55" s="148"/>
      <c r="IS55" s="157"/>
      <c r="IT55" s="147"/>
      <c r="IU55" s="147"/>
      <c r="IV55" s="147"/>
    </row>
    <row r="56" spans="1:256" ht="12.75">
      <c r="A56" s="208" t="s">
        <v>496</v>
      </c>
      <c r="B56" s="147"/>
      <c r="C56" s="147"/>
      <c r="D56" s="147"/>
      <c r="E56" s="147"/>
      <c r="F56" s="147"/>
      <c r="G56" s="148"/>
      <c r="H56" s="149"/>
      <c r="I56" s="147"/>
      <c r="J56" s="147"/>
      <c r="K56" s="147"/>
      <c r="L56" s="147"/>
      <c r="M56" s="147"/>
      <c r="N56" s="148"/>
      <c r="O56" s="149"/>
      <c r="P56" s="147"/>
      <c r="Q56" s="147"/>
      <c r="R56" s="147"/>
      <c r="S56" s="147"/>
      <c r="T56" s="147"/>
      <c r="U56" s="148"/>
      <c r="V56" s="149"/>
      <c r="W56" s="147"/>
      <c r="X56" s="147"/>
      <c r="Y56" s="147"/>
      <c r="Z56" s="147"/>
      <c r="AA56" s="147"/>
      <c r="AB56" s="148"/>
      <c r="AC56" s="149"/>
      <c r="AD56" s="147"/>
      <c r="AE56" s="147"/>
      <c r="AF56" s="147"/>
      <c r="AG56" s="147"/>
      <c r="AH56" s="147"/>
      <c r="AI56" s="148"/>
      <c r="AJ56" s="149"/>
      <c r="AK56" s="147"/>
      <c r="AL56" s="147"/>
      <c r="AM56" s="147"/>
      <c r="AN56" s="147"/>
      <c r="AO56" s="147"/>
      <c r="AP56" s="148"/>
      <c r="AQ56" s="149"/>
      <c r="AR56" s="147"/>
      <c r="AS56" s="147"/>
      <c r="AT56" s="147"/>
      <c r="AU56" s="147"/>
      <c r="AV56" s="147"/>
      <c r="AW56" s="148"/>
      <c r="AX56" s="149"/>
      <c r="AY56" s="147"/>
      <c r="AZ56" s="147"/>
      <c r="BA56" s="147"/>
      <c r="BB56" s="147"/>
      <c r="BC56" s="147"/>
      <c r="BD56" s="148"/>
      <c r="BE56" s="149"/>
      <c r="BF56" s="147"/>
      <c r="BG56" s="147"/>
      <c r="BH56" s="147"/>
      <c r="BI56" s="147"/>
      <c r="BJ56" s="147"/>
      <c r="BK56" s="148"/>
      <c r="BL56" s="149"/>
      <c r="BM56" s="147"/>
      <c r="BN56" s="147"/>
      <c r="BO56" s="147"/>
      <c r="BP56" s="147"/>
      <c r="BQ56" s="147"/>
      <c r="BR56" s="148"/>
      <c r="BS56" s="149"/>
      <c r="BT56" s="147"/>
      <c r="BU56" s="147"/>
      <c r="BV56" s="147"/>
      <c r="BW56" s="147"/>
      <c r="BX56" s="147"/>
      <c r="BY56" s="148"/>
      <c r="BZ56" s="149"/>
      <c r="CA56" s="147"/>
      <c r="CB56" s="147"/>
      <c r="CC56" s="147"/>
      <c r="CD56" s="147"/>
      <c r="CE56" s="147"/>
      <c r="CF56" s="148"/>
      <c r="CG56" s="149"/>
      <c r="CH56" s="147"/>
      <c r="CI56" s="147"/>
      <c r="CJ56" s="147"/>
      <c r="CK56" s="147"/>
      <c r="CL56" s="147"/>
      <c r="CM56" s="148"/>
      <c r="CN56" s="149"/>
      <c r="CO56" s="147"/>
      <c r="CP56" s="147"/>
      <c r="CQ56" s="147"/>
      <c r="CR56" s="147"/>
      <c r="CS56" s="147"/>
      <c r="CT56" s="148"/>
      <c r="CU56" s="149"/>
      <c r="CV56" s="147"/>
      <c r="CW56" s="147"/>
      <c r="CX56" s="147"/>
      <c r="CY56" s="147"/>
      <c r="CZ56" s="147"/>
      <c r="DA56" s="148"/>
      <c r="DB56" s="149"/>
      <c r="DC56" s="147"/>
      <c r="DD56" s="147"/>
      <c r="DE56" s="147"/>
      <c r="DF56" s="147"/>
      <c r="DG56" s="147"/>
      <c r="DH56" s="148"/>
      <c r="DI56" s="149"/>
      <c r="DJ56" s="147"/>
      <c r="DK56" s="147"/>
      <c r="DL56" s="147"/>
      <c r="DM56" s="147"/>
      <c r="DN56" s="147"/>
      <c r="DO56" s="148"/>
      <c r="DP56" s="149"/>
      <c r="DQ56" s="147"/>
      <c r="DR56" s="147"/>
      <c r="DS56" s="147"/>
      <c r="DT56" s="147"/>
      <c r="DU56" s="147"/>
      <c r="DV56" s="148"/>
      <c r="DW56" s="149"/>
      <c r="DX56" s="147"/>
      <c r="DY56" s="147"/>
      <c r="DZ56" s="147"/>
      <c r="EA56" s="147"/>
      <c r="EB56" s="147"/>
      <c r="EC56" s="148"/>
      <c r="ED56" s="149"/>
      <c r="EE56" s="147"/>
      <c r="EF56" s="147"/>
      <c r="EG56" s="147"/>
      <c r="EH56" s="147"/>
      <c r="EI56" s="147"/>
      <c r="EJ56" s="148"/>
      <c r="EK56" s="149"/>
      <c r="EL56" s="147"/>
      <c r="EM56" s="147"/>
      <c r="EN56" s="147"/>
      <c r="EO56" s="147"/>
      <c r="EP56" s="147"/>
      <c r="EQ56" s="148"/>
      <c r="ER56" s="149"/>
      <c r="ES56" s="147"/>
      <c r="ET56" s="147"/>
      <c r="EU56" s="147"/>
      <c r="EV56" s="147"/>
      <c r="EW56" s="147"/>
      <c r="EX56" s="148"/>
      <c r="EY56" s="149"/>
      <c r="EZ56" s="147"/>
      <c r="FA56" s="147"/>
      <c r="FB56" s="147"/>
      <c r="FC56" s="147"/>
      <c r="FD56" s="147"/>
      <c r="FE56" s="148"/>
      <c r="FF56" s="149"/>
      <c r="FG56" s="147"/>
      <c r="FH56" s="147"/>
      <c r="FI56" s="147"/>
      <c r="FJ56" s="147"/>
      <c r="FK56" s="147"/>
      <c r="FL56" s="148"/>
      <c r="FM56" s="149"/>
      <c r="FN56" s="147"/>
      <c r="FO56" s="147"/>
      <c r="FP56" s="147"/>
      <c r="FQ56" s="147"/>
      <c r="FR56" s="147"/>
      <c r="FS56" s="148"/>
      <c r="FT56" s="149"/>
      <c r="FU56" s="147"/>
      <c r="FV56" s="147"/>
      <c r="FW56" s="147"/>
      <c r="FX56" s="147"/>
      <c r="FY56" s="147"/>
      <c r="FZ56" s="148"/>
      <c r="GA56" s="149"/>
      <c r="GB56" s="147"/>
      <c r="GC56" s="147"/>
      <c r="GD56" s="147"/>
      <c r="GE56" s="147"/>
      <c r="GF56" s="147"/>
      <c r="GG56" s="148"/>
      <c r="GH56" s="149"/>
      <c r="GI56" s="147"/>
      <c r="GJ56" s="147"/>
      <c r="GK56" s="147"/>
      <c r="GL56" s="147"/>
      <c r="GM56" s="147"/>
      <c r="GN56" s="148"/>
      <c r="GO56" s="149"/>
      <c r="GP56" s="147"/>
      <c r="GQ56" s="147"/>
      <c r="GR56" s="147"/>
      <c r="GS56" s="147"/>
      <c r="GT56" s="147"/>
      <c r="GU56" s="148"/>
      <c r="GV56" s="149"/>
      <c r="GW56" s="147"/>
      <c r="GX56" s="147"/>
      <c r="GY56" s="147"/>
      <c r="GZ56" s="147"/>
      <c r="HA56" s="147"/>
      <c r="HB56" s="148"/>
      <c r="HC56" s="149"/>
      <c r="HD56" s="147"/>
      <c r="HE56" s="147"/>
      <c r="HF56" s="147"/>
      <c r="HG56" s="147"/>
      <c r="HH56" s="147"/>
      <c r="HI56" s="148"/>
      <c r="HJ56" s="149"/>
      <c r="HK56" s="147"/>
      <c r="HL56" s="147"/>
      <c r="HM56" s="147"/>
      <c r="HN56" s="147"/>
      <c r="HO56" s="147"/>
      <c r="HP56" s="148"/>
      <c r="HQ56" s="149"/>
      <c r="HR56" s="147"/>
      <c r="HS56" s="147"/>
      <c r="HT56" s="147"/>
      <c r="HU56" s="147"/>
      <c r="HV56" s="147"/>
      <c r="HW56" s="148"/>
      <c r="HX56" s="149"/>
      <c r="HY56" s="147"/>
      <c r="HZ56" s="147"/>
      <c r="IA56" s="147"/>
      <c r="IB56" s="147"/>
      <c r="IC56" s="147"/>
      <c r="ID56" s="148"/>
      <c r="IE56" s="149"/>
      <c r="IF56" s="147"/>
      <c r="IG56" s="147"/>
      <c r="IH56" s="147"/>
      <c r="II56" s="147"/>
      <c r="IJ56" s="147"/>
      <c r="IK56" s="148"/>
      <c r="IL56" s="149"/>
      <c r="IM56" s="147"/>
      <c r="IN56" s="147"/>
      <c r="IO56" s="147"/>
      <c r="IP56" s="147"/>
      <c r="IQ56" s="147"/>
      <c r="IR56" s="148"/>
      <c r="IS56" s="149"/>
      <c r="IT56" s="147"/>
      <c r="IU56" s="147"/>
      <c r="IV56" s="147"/>
    </row>
    <row r="57" spans="1:256">
      <c r="A57" s="149"/>
      <c r="B57" s="147"/>
      <c r="C57" s="147"/>
      <c r="D57" s="147"/>
      <c r="E57" s="147"/>
      <c r="F57" s="147"/>
      <c r="G57" s="148"/>
      <c r="H57" s="149"/>
      <c r="I57" s="147"/>
      <c r="J57" s="147"/>
      <c r="K57" s="147"/>
      <c r="L57" s="147"/>
      <c r="M57" s="147"/>
      <c r="N57" s="148"/>
      <c r="O57" s="149"/>
      <c r="P57" s="147"/>
      <c r="Q57" s="147"/>
      <c r="R57" s="147"/>
      <c r="S57" s="147"/>
      <c r="T57" s="147"/>
      <c r="U57" s="148"/>
      <c r="V57" s="149"/>
      <c r="W57" s="147"/>
      <c r="X57" s="147"/>
      <c r="Y57" s="147"/>
      <c r="Z57" s="147"/>
      <c r="AA57" s="147"/>
      <c r="AB57" s="148"/>
      <c r="AC57" s="149"/>
      <c r="AD57" s="147"/>
      <c r="AE57" s="147"/>
      <c r="AF57" s="147"/>
      <c r="AG57" s="147"/>
      <c r="AH57" s="147"/>
      <c r="AI57" s="148"/>
      <c r="AJ57" s="149"/>
      <c r="AK57" s="147"/>
      <c r="AL57" s="147"/>
      <c r="AM57" s="147"/>
      <c r="AN57" s="147"/>
      <c r="AO57" s="147"/>
      <c r="AP57" s="148"/>
      <c r="AQ57" s="149"/>
      <c r="AR57" s="147"/>
      <c r="AS57" s="147"/>
      <c r="AT57" s="147"/>
      <c r="AU57" s="147"/>
      <c r="AV57" s="147"/>
      <c r="AW57" s="148"/>
      <c r="AX57" s="149"/>
      <c r="AY57" s="147"/>
      <c r="AZ57" s="147"/>
      <c r="BA57" s="147"/>
      <c r="BB57" s="147"/>
      <c r="BC57" s="147"/>
      <c r="BD57" s="148"/>
      <c r="BE57" s="149"/>
      <c r="BF57" s="147"/>
      <c r="BG57" s="147"/>
      <c r="BH57" s="147"/>
      <c r="BI57" s="147"/>
      <c r="BJ57" s="147"/>
      <c r="BK57" s="148"/>
      <c r="BL57" s="149"/>
      <c r="BM57" s="147"/>
      <c r="BN57" s="147"/>
      <c r="BO57" s="147"/>
      <c r="BP57" s="147"/>
      <c r="BQ57" s="147"/>
      <c r="BR57" s="148"/>
      <c r="BS57" s="149"/>
      <c r="BT57" s="147"/>
      <c r="BU57" s="147"/>
      <c r="BV57" s="147"/>
      <c r="BW57" s="147"/>
      <c r="BX57" s="147"/>
      <c r="BY57" s="148"/>
      <c r="BZ57" s="149"/>
      <c r="CA57" s="147"/>
      <c r="CB57" s="147"/>
      <c r="CC57" s="147"/>
      <c r="CD57" s="147"/>
      <c r="CE57" s="147"/>
      <c r="CF57" s="148"/>
      <c r="CG57" s="149"/>
      <c r="CH57" s="147"/>
      <c r="CI57" s="147"/>
      <c r="CJ57" s="147"/>
      <c r="CK57" s="147"/>
      <c r="CL57" s="147"/>
      <c r="CM57" s="148"/>
      <c r="CN57" s="149"/>
      <c r="CO57" s="147"/>
      <c r="CP57" s="147"/>
      <c r="CQ57" s="147"/>
      <c r="CR57" s="147"/>
      <c r="CS57" s="147"/>
      <c r="CT57" s="148"/>
      <c r="CU57" s="149"/>
      <c r="CV57" s="147"/>
      <c r="CW57" s="147"/>
      <c r="CX57" s="147"/>
      <c r="CY57" s="147"/>
      <c r="CZ57" s="147"/>
      <c r="DA57" s="148"/>
      <c r="DB57" s="149"/>
      <c r="DC57" s="147"/>
      <c r="DD57" s="147"/>
      <c r="DE57" s="147"/>
      <c r="DF57" s="147"/>
      <c r="DG57" s="147"/>
      <c r="DH57" s="148"/>
      <c r="DI57" s="149"/>
      <c r="DJ57" s="147"/>
      <c r="DK57" s="147"/>
      <c r="DL57" s="147"/>
      <c r="DM57" s="147"/>
      <c r="DN57" s="147"/>
      <c r="DO57" s="148"/>
      <c r="DP57" s="149"/>
      <c r="DQ57" s="147"/>
      <c r="DR57" s="147"/>
      <c r="DS57" s="147"/>
      <c r="DT57" s="147"/>
      <c r="DU57" s="147"/>
      <c r="DV57" s="148"/>
      <c r="DW57" s="149"/>
      <c r="DX57" s="147"/>
      <c r="DY57" s="147"/>
      <c r="DZ57" s="147"/>
      <c r="EA57" s="147"/>
      <c r="EB57" s="147"/>
      <c r="EC57" s="148"/>
      <c r="ED57" s="149"/>
      <c r="EE57" s="147"/>
      <c r="EF57" s="147"/>
      <c r="EG57" s="147"/>
      <c r="EH57" s="147"/>
      <c r="EI57" s="147"/>
      <c r="EJ57" s="148"/>
      <c r="EK57" s="149"/>
      <c r="EL57" s="147"/>
      <c r="EM57" s="147"/>
      <c r="EN57" s="147"/>
      <c r="EO57" s="147"/>
      <c r="EP57" s="147"/>
      <c r="EQ57" s="148"/>
      <c r="ER57" s="149"/>
      <c r="ES57" s="147"/>
      <c r="ET57" s="147"/>
      <c r="EU57" s="147"/>
      <c r="EV57" s="147"/>
      <c r="EW57" s="147"/>
      <c r="EX57" s="148"/>
      <c r="EY57" s="149"/>
      <c r="EZ57" s="147"/>
      <c r="FA57" s="147"/>
      <c r="FB57" s="147"/>
      <c r="FC57" s="147"/>
      <c r="FD57" s="147"/>
      <c r="FE57" s="148"/>
      <c r="FF57" s="149"/>
      <c r="FG57" s="147"/>
      <c r="FH57" s="147"/>
      <c r="FI57" s="147"/>
      <c r="FJ57" s="147"/>
      <c r="FK57" s="147"/>
      <c r="FL57" s="148"/>
      <c r="FM57" s="149"/>
      <c r="FN57" s="147"/>
      <c r="FO57" s="147"/>
      <c r="FP57" s="147"/>
      <c r="FQ57" s="147"/>
      <c r="FR57" s="147"/>
      <c r="FS57" s="148"/>
      <c r="FT57" s="149"/>
      <c r="FU57" s="147"/>
      <c r="FV57" s="147"/>
      <c r="FW57" s="147"/>
      <c r="FX57" s="147"/>
      <c r="FY57" s="147"/>
      <c r="FZ57" s="148"/>
      <c r="GA57" s="149"/>
      <c r="GB57" s="147"/>
      <c r="GC57" s="147"/>
      <c r="GD57" s="147"/>
      <c r="GE57" s="147"/>
      <c r="GF57" s="147"/>
      <c r="GG57" s="148"/>
      <c r="GH57" s="149"/>
      <c r="GI57" s="147"/>
      <c r="GJ57" s="147"/>
      <c r="GK57" s="147"/>
      <c r="GL57" s="147"/>
      <c r="GM57" s="147"/>
      <c r="GN57" s="148"/>
      <c r="GO57" s="149"/>
      <c r="GP57" s="147"/>
      <c r="GQ57" s="147"/>
      <c r="GR57" s="147"/>
      <c r="GS57" s="147"/>
      <c r="GT57" s="147"/>
      <c r="GU57" s="148"/>
      <c r="GV57" s="149"/>
      <c r="GW57" s="147"/>
      <c r="GX57" s="147"/>
      <c r="GY57" s="147"/>
      <c r="GZ57" s="147"/>
      <c r="HA57" s="147"/>
      <c r="HB57" s="148"/>
      <c r="HC57" s="149"/>
      <c r="HD57" s="147"/>
      <c r="HE57" s="147"/>
      <c r="HF57" s="147"/>
      <c r="HG57" s="147"/>
      <c r="HH57" s="147"/>
      <c r="HI57" s="148"/>
      <c r="HJ57" s="149"/>
      <c r="HK57" s="147"/>
      <c r="HL57" s="147"/>
      <c r="HM57" s="147"/>
      <c r="HN57" s="147"/>
      <c r="HO57" s="147"/>
      <c r="HP57" s="148"/>
      <c r="HQ57" s="149"/>
      <c r="HR57" s="147"/>
      <c r="HS57" s="147"/>
      <c r="HT57" s="147"/>
      <c r="HU57" s="147"/>
      <c r="HV57" s="147"/>
      <c r="HW57" s="148"/>
      <c r="HX57" s="149"/>
      <c r="HY57" s="147"/>
      <c r="HZ57" s="147"/>
      <c r="IA57" s="147"/>
      <c r="IB57" s="147"/>
      <c r="IC57" s="147"/>
      <c r="ID57" s="148"/>
      <c r="IE57" s="149"/>
      <c r="IF57" s="147"/>
      <c r="IG57" s="147"/>
      <c r="IH57" s="147"/>
      <c r="II57" s="147"/>
      <c r="IJ57" s="147"/>
      <c r="IK57" s="148"/>
      <c r="IL57" s="149"/>
      <c r="IM57" s="147"/>
      <c r="IN57" s="147"/>
      <c r="IO57" s="147"/>
      <c r="IP57" s="147"/>
      <c r="IQ57" s="147"/>
      <c r="IR57" s="148"/>
      <c r="IS57" s="149"/>
      <c r="IT57" s="147"/>
      <c r="IU57" s="147"/>
      <c r="IV57" s="147"/>
    </row>
    <row r="58" spans="1:256" ht="15.75">
      <c r="A58" s="179" t="s">
        <v>43</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c r="A60" s="2920" t="s">
        <v>498</v>
      </c>
      <c r="B60" s="2921"/>
      <c r="C60" s="2921"/>
      <c r="D60" s="2921"/>
      <c r="E60" s="2921"/>
      <c r="F60" s="2921"/>
      <c r="G60" s="2922"/>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c r="A61" s="2920"/>
      <c r="B61" s="2921"/>
      <c r="C61" s="2921"/>
      <c r="D61" s="2921"/>
      <c r="E61" s="2921"/>
      <c r="F61" s="2921"/>
      <c r="G61" s="2922"/>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c r="A62" s="2920"/>
      <c r="B62" s="2921"/>
      <c r="C62" s="2921"/>
      <c r="D62" s="2921"/>
      <c r="E62" s="2921"/>
      <c r="F62" s="2921"/>
      <c r="G62" s="2922"/>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ht="15.75">
      <c r="A63" s="179" t="s">
        <v>44</v>
      </c>
      <c r="B63" s="147"/>
      <c r="C63" s="147"/>
      <c r="D63" s="147"/>
      <c r="E63" s="147"/>
      <c r="F63" s="147"/>
      <c r="G63" s="148"/>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c r="A64" s="149"/>
      <c r="B64" s="147"/>
      <c r="C64" s="147"/>
      <c r="D64" s="147"/>
      <c r="E64" s="147"/>
      <c r="F64" s="147"/>
      <c r="G64" s="148"/>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c r="A65" s="2920" t="s">
        <v>1</v>
      </c>
      <c r="B65" s="2921"/>
      <c r="C65" s="2921"/>
      <c r="D65" s="2921"/>
      <c r="E65" s="2921"/>
      <c r="F65" s="2921"/>
      <c r="G65" s="2922"/>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c r="A66" s="2920"/>
      <c r="B66" s="2921"/>
      <c r="C66" s="2921"/>
      <c r="D66" s="2921"/>
      <c r="E66" s="2921"/>
      <c r="F66" s="2921"/>
      <c r="G66" s="2922"/>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c r="A67" s="2913" t="s">
        <v>497</v>
      </c>
      <c r="B67" s="2914"/>
      <c r="C67" s="2914"/>
      <c r="D67" s="2914"/>
      <c r="E67" s="2914"/>
      <c r="F67" s="2914"/>
      <c r="G67" s="2915"/>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ht="27" customHeight="1">
      <c r="A68" s="2913"/>
      <c r="B68" s="2914"/>
      <c r="C68" s="2914"/>
      <c r="D68" s="2914"/>
      <c r="E68" s="2914"/>
      <c r="F68" s="2914"/>
      <c r="G68" s="2915"/>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c r="A69" s="2913" t="s">
        <v>462</v>
      </c>
      <c r="B69" s="2914"/>
      <c r="C69" s="2914"/>
      <c r="D69" s="2914"/>
      <c r="E69" s="2914"/>
      <c r="F69" s="2914"/>
      <c r="G69" s="2915"/>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c r="A70" s="2913"/>
      <c r="B70" s="2914"/>
      <c r="C70" s="2914"/>
      <c r="D70" s="2914"/>
      <c r="E70" s="2914"/>
      <c r="F70" s="2914"/>
      <c r="G70" s="2915"/>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ht="12.75">
      <c r="A71" s="210"/>
      <c r="B71" s="211"/>
      <c r="C71" s="211"/>
      <c r="D71" s="211"/>
      <c r="E71" s="211"/>
      <c r="F71" s="211"/>
      <c r="G71" s="212"/>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ht="15.75">
      <c r="A72" s="179" t="s">
        <v>22</v>
      </c>
      <c r="B72" s="147"/>
      <c r="C72" s="147"/>
      <c r="D72" s="147"/>
      <c r="E72" s="147"/>
      <c r="F72" s="147"/>
      <c r="G72" s="148"/>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c r="A73" s="149"/>
      <c r="B73" s="147"/>
      <c r="C73" s="147"/>
      <c r="D73" s="147"/>
      <c r="E73" s="147"/>
      <c r="F73" s="147"/>
      <c r="G73" s="148"/>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2.75">
      <c r="A74" s="208" t="s">
        <v>463</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c r="A75" s="2913" t="s">
        <v>477</v>
      </c>
      <c r="B75" s="2914"/>
      <c r="C75" s="2914"/>
      <c r="D75" s="2914"/>
      <c r="E75" s="2914"/>
      <c r="F75" s="2914"/>
      <c r="G75" s="2915"/>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c r="A76" s="2913"/>
      <c r="B76" s="2914"/>
      <c r="C76" s="2914"/>
      <c r="D76" s="2914"/>
      <c r="E76" s="2914"/>
      <c r="F76" s="2914"/>
      <c r="G76" s="2915"/>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ht="12.75">
      <c r="A77" s="208" t="s">
        <v>464</v>
      </c>
      <c r="B77" s="147"/>
      <c r="C77" s="147"/>
      <c r="D77" s="147"/>
      <c r="E77" s="147"/>
      <c r="F77" s="147"/>
      <c r="G77" s="148"/>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ht="12.75" thickBot="1">
      <c r="A78" s="213"/>
      <c r="B78" s="151"/>
      <c r="C78" s="151"/>
      <c r="D78" s="151"/>
      <c r="E78" s="151"/>
      <c r="F78" s="151"/>
      <c r="G78" s="152"/>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122" spans="2:2">
      <c r="B122" s="634"/>
    </row>
  </sheetData>
  <sheetProtection password="C6F7" sheet="1" objects="1" scenarios="1" formatCells="0" formatColumns="0"/>
  <mergeCells count="21">
    <mergeCell ref="A1:G1"/>
    <mergeCell ref="B3:D3"/>
    <mergeCell ref="B5:F5"/>
    <mergeCell ref="G2:G4"/>
    <mergeCell ref="A28:G28"/>
    <mergeCell ref="A9:G11"/>
    <mergeCell ref="A12:G14"/>
    <mergeCell ref="A8:G8"/>
    <mergeCell ref="A17:G19"/>
    <mergeCell ref="A15:G15"/>
    <mergeCell ref="A49:G50"/>
    <mergeCell ref="A21:G21"/>
    <mergeCell ref="A75:G76"/>
    <mergeCell ref="A31:G32"/>
    <mergeCell ref="A45:G45"/>
    <mergeCell ref="A60:G62"/>
    <mergeCell ref="A65:G66"/>
    <mergeCell ref="A23:G23"/>
    <mergeCell ref="A67:G68"/>
    <mergeCell ref="A25:G25"/>
    <mergeCell ref="A69:G70"/>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S264"/>
  <sheetViews>
    <sheetView showGridLines="0" topLeftCell="B121" zoomScale="80" zoomScaleNormal="80" workbookViewId="0">
      <selection activeCell="K130" sqref="K130"/>
    </sheetView>
  </sheetViews>
  <sheetFormatPr baseColWidth="10" defaultColWidth="0" defaultRowHeight="24.95" customHeight="1"/>
  <cols>
    <col min="1" max="1" width="11.7109375" style="1851" customWidth="1"/>
    <col min="2" max="2" width="51" style="1852" customWidth="1"/>
    <col min="3" max="3" width="17.5703125" style="1358" customWidth="1"/>
    <col min="4" max="4" width="16.140625" style="1358" customWidth="1"/>
    <col min="5" max="7" width="14.42578125" style="1358" customWidth="1"/>
    <col min="8" max="8" width="17.7109375" style="1358" customWidth="1"/>
    <col min="9" max="10" width="14.42578125" style="1358" customWidth="1"/>
    <col min="11" max="11" width="16.42578125" style="1358" customWidth="1"/>
    <col min="12" max="12" width="14.42578125" style="1358" customWidth="1"/>
    <col min="13" max="13" width="16.7109375" style="1358" customWidth="1"/>
    <col min="14" max="14" width="16.7109375" style="1359" customWidth="1"/>
    <col min="15" max="15" width="2.85546875" style="1358" customWidth="1"/>
    <col min="16" max="17" width="23.7109375" style="1359" customWidth="1"/>
    <col min="18" max="18" width="5.42578125" style="1358" customWidth="1"/>
    <col min="19" max="19" width="17.140625" style="1360" customWidth="1"/>
    <col min="20" max="20" width="39.42578125" style="1361" customWidth="1"/>
    <col min="21" max="21" width="17.7109375" style="1358" customWidth="1"/>
    <col min="22" max="22" width="15.7109375" style="1358" customWidth="1"/>
    <col min="23" max="23" width="18.42578125" style="1358" customWidth="1"/>
    <col min="24" max="24" width="17.140625" style="1358" customWidth="1"/>
    <col min="25" max="26" width="17" style="1358" customWidth="1"/>
    <col min="27" max="27" width="18.28515625" style="1358" customWidth="1"/>
    <col min="28" max="28" width="18.5703125" style="1358" customWidth="1"/>
    <col min="29" max="29" width="16" style="1358" customWidth="1"/>
    <col min="30" max="30" width="18.5703125" style="1358" customWidth="1"/>
    <col min="31" max="31" width="19.28515625" style="1358" customWidth="1"/>
    <col min="32" max="32" width="19" style="1358" customWidth="1"/>
    <col min="33" max="33" width="19.140625" style="1358" customWidth="1"/>
    <col min="34" max="34" width="18.7109375" style="1358" customWidth="1"/>
    <col min="35" max="35" width="18" style="1358" customWidth="1"/>
    <col min="36" max="36" width="18.28515625" style="1358" customWidth="1"/>
    <col min="37" max="37" width="8.85546875" style="1363" customWidth="1"/>
    <col min="38" max="39" width="23.7109375" style="1358" customWidth="1"/>
    <col min="40" max="40" width="4.85546875" style="1358" customWidth="1"/>
    <col min="41" max="41" width="12.28515625" style="1358" customWidth="1"/>
    <col min="42" max="42" width="52.7109375" style="1358" customWidth="1"/>
    <col min="43" max="45" width="16.85546875" style="1358" customWidth="1"/>
    <col min="46" max="46" width="12.7109375" style="1358" customWidth="1"/>
    <col min="47" max="47" width="27.42578125" style="1358" customWidth="1"/>
    <col min="48" max="48" width="25" style="1358" customWidth="1"/>
    <col min="49" max="52" width="16.85546875" style="1358" customWidth="1"/>
    <col min="53" max="53" width="11" style="1358" customWidth="1"/>
    <col min="54" max="54" width="65.140625" style="1358" customWidth="1"/>
    <col min="55" max="57" width="18.85546875" style="1358" customWidth="1"/>
    <col min="58" max="58" width="36.140625" style="1358" customWidth="1"/>
    <col min="59" max="59" width="72.7109375" style="1358" customWidth="1"/>
    <col min="60" max="63" width="17.5703125" style="1358" customWidth="1"/>
    <col min="64" max="64" width="31.5703125" style="1358" customWidth="1"/>
    <col min="65" max="65" width="76" style="1358" customWidth="1"/>
    <col min="66" max="66" width="17.140625" style="1358" customWidth="1"/>
    <col min="67" max="67" width="14.7109375" style="1358" customWidth="1"/>
    <col min="68" max="68" width="17" style="1358" customWidth="1"/>
    <col min="69" max="69" width="22" style="1358" customWidth="1"/>
    <col min="70" max="70" width="11" style="1358" customWidth="1"/>
    <col min="71" max="71" width="2.28515625" style="1358" customWidth="1"/>
    <col min="72" max="16384" width="11" style="1358" hidden="1"/>
  </cols>
  <sheetData>
    <row r="1" spans="1:69" ht="24.95" customHeight="1" thickBot="1">
      <c r="A1" s="3157" t="str">
        <f>IF($F$8-$X$8=0," ","OJO: PRESUPUESTO DESEQUILIBRADO")</f>
        <v xml:space="preserve"> </v>
      </c>
      <c r="B1" s="3157"/>
      <c r="C1" s="3148"/>
      <c r="D1" s="3148"/>
      <c r="E1" s="3148"/>
      <c r="F1" s="3148"/>
      <c r="G1" s="3148"/>
      <c r="H1" s="3148"/>
      <c r="I1" s="3148"/>
      <c r="J1" s="3148"/>
      <c r="K1" s="3158" t="str">
        <f>+IF(L8&gt;I8,"OJO - SUS RECAUDOS SON SUPERIORES A SUS RECONOCIMIENTOS, VERIFIQUE","")</f>
        <v/>
      </c>
      <c r="L1" s="3158"/>
      <c r="M1" s="3158"/>
      <c r="N1" s="3158"/>
      <c r="U1" s="1362" t="str">
        <f>+IF(AA8&gt;X8,"OJO - HA COMPROMETIDO MUCHO MAS DE LO QUE TIENE PRESUPUESTADO","")</f>
        <v/>
      </c>
      <c r="X1" s="1362"/>
      <c r="Y1" s="1362" t="str">
        <f>+IF(AD8&gt;AA8,"OJO - SUS OBLIGACIONES SUPERAN SUS COMPROMISOS, VERIFIQUE","")</f>
        <v/>
      </c>
      <c r="AC1" s="1362" t="str">
        <f>+IF(AG8&gt;AD8,"OJO - SUS PAGOS NO PUEDEN SUPERAR SUS OBLIGACIONES, VERIFIQUE","")</f>
        <v/>
      </c>
    </row>
    <row r="2" spans="1:69" ht="53.25" customHeight="1" thickBot="1">
      <c r="A2" s="1364"/>
      <c r="B2" s="1365" t="str">
        <f>+ENERO!B2</f>
        <v>SECRETARIA SECCIONAL DE SALUD Y PROTECCION SOCIAL DE ANTIOQUIA DE ANTIOQUIA</v>
      </c>
      <c r="C2" s="1366"/>
      <c r="D2" s="3159" t="str">
        <f>+IF(F2="","","MUNICIPIO:")</f>
        <v>MUNICIPIO:</v>
      </c>
      <c r="E2" s="3159"/>
      <c r="F2" s="1367" t="str">
        <f>IF(INSTRUCCIONES!B3=0,"",INSTRUCCIONES!B3)</f>
        <v>ITAGUI</v>
      </c>
      <c r="G2" s="1368"/>
      <c r="H2" s="1368"/>
      <c r="I2" s="1368"/>
      <c r="J2" s="1368"/>
      <c r="K2" s="1369"/>
      <c r="L2" s="3162" t="s">
        <v>388</v>
      </c>
      <c r="M2" s="3163"/>
      <c r="N2" s="1370" t="s">
        <v>389</v>
      </c>
      <c r="P2" s="3160" t="s">
        <v>466</v>
      </c>
      <c r="Q2" s="3161"/>
      <c r="R2" s="1371"/>
      <c r="S2" s="1372"/>
      <c r="T2" s="1365" t="str">
        <f>+ENERO!T2</f>
        <v>SECRETARIA SECCIONAL DE SALUD Y PROTECCION SOCIAL DE ANTIOQUIA DE ANTIOQUIA</v>
      </c>
      <c r="U2" s="1366"/>
      <c r="V2" s="3184" t="str">
        <f>+IF(Y2="","","M U N I C I P I O:")</f>
        <v>M U N I C I P I O:</v>
      </c>
      <c r="W2" s="3184"/>
      <c r="X2" s="3184"/>
      <c r="Y2" s="3189" t="str">
        <f>IF(INSTRUCCIONES!B3=0,"",INSTRUCCIONES!B3)</f>
        <v>ITAGUI</v>
      </c>
      <c r="Z2" s="3189"/>
      <c r="AA2" s="3189"/>
      <c r="AB2" s="3189"/>
      <c r="AC2" s="3189"/>
      <c r="AD2" s="3189"/>
      <c r="AE2" s="3189"/>
      <c r="AF2" s="3189"/>
      <c r="AG2" s="3190"/>
      <c r="AH2" s="3163" t="s">
        <v>388</v>
      </c>
      <c r="AI2" s="3197"/>
      <c r="AJ2" s="1370" t="s">
        <v>389</v>
      </c>
      <c r="AL2" s="3160" t="s">
        <v>466</v>
      </c>
      <c r="AM2" s="3161"/>
      <c r="AO2" s="1373">
        <v>9</v>
      </c>
      <c r="AP2" s="1374" t="s">
        <v>7</v>
      </c>
      <c r="AQ2" s="1375"/>
      <c r="AR2" s="1376"/>
      <c r="AS2" s="1376"/>
      <c r="AT2" s="1376"/>
      <c r="AU2" s="1376"/>
      <c r="AV2" s="1376"/>
      <c r="AW2" s="1376"/>
      <c r="AX2" s="1376"/>
      <c r="AY2" s="1376"/>
      <c r="AZ2" s="1377"/>
      <c r="BB2" s="3160" t="s">
        <v>616</v>
      </c>
      <c r="BC2" s="3181"/>
      <c r="BD2" s="1378" t="s">
        <v>388</v>
      </c>
      <c r="BE2" s="1370" t="str">
        <f>+L3</f>
        <v>SEPTIEMBRE</v>
      </c>
      <c r="BF2" s="1362"/>
      <c r="BG2" s="3160" t="s">
        <v>617</v>
      </c>
      <c r="BH2" s="3181"/>
      <c r="BI2" s="3181"/>
      <c r="BJ2" s="1378" t="s">
        <v>388</v>
      </c>
      <c r="BK2" s="1370" t="str">
        <f>+BE2</f>
        <v>SEPTIEMBRE</v>
      </c>
      <c r="BM2" s="3160" t="s">
        <v>617</v>
      </c>
      <c r="BN2" s="3181"/>
      <c r="BO2" s="3181"/>
      <c r="BP2" s="1378" t="s">
        <v>388</v>
      </c>
      <c r="BQ2" s="1370" t="str">
        <f>+BK2</f>
        <v>SEPTIEMBRE</v>
      </c>
    </row>
    <row r="3" spans="1:69" ht="24.95" customHeight="1" thickBot="1">
      <c r="A3" s="1379"/>
      <c r="B3" s="3149" t="s">
        <v>8</v>
      </c>
      <c r="C3" s="1380"/>
      <c r="D3" s="3151" t="str">
        <f>+IF(F3="","","INSTITUCION")</f>
        <v>INSTITUCION</v>
      </c>
      <c r="E3" s="3151"/>
      <c r="F3" s="3153" t="str">
        <f>IF(INSTRUCCIONES!B5=0,"",INSTRUCCIONES!B5)</f>
        <v>ESE HOSPITALSAN RAFAEL</v>
      </c>
      <c r="G3" s="3153"/>
      <c r="H3" s="3153"/>
      <c r="I3" s="3153"/>
      <c r="J3" s="3153"/>
      <c r="K3" s="3154"/>
      <c r="L3" s="3224" t="s">
        <v>373</v>
      </c>
      <c r="M3" s="3225"/>
      <c r="N3" s="3222">
        <f>+INSTRUCCIONES!F3</f>
        <v>2017</v>
      </c>
      <c r="P3" s="3170" t="s">
        <v>621</v>
      </c>
      <c r="Q3" s="3178" t="s">
        <v>622</v>
      </c>
      <c r="R3" s="1371"/>
      <c r="S3" s="1381"/>
      <c r="T3" s="3149" t="s">
        <v>10</v>
      </c>
      <c r="U3" s="1382"/>
      <c r="V3" s="3214" t="str">
        <f>+IF(Y3="","","E.S.E. H O S P I T A L:")</f>
        <v>E.S.E. H O S P I T A L:</v>
      </c>
      <c r="W3" s="3214"/>
      <c r="X3" s="3214"/>
      <c r="Y3" s="3185" t="str">
        <f>IF(INSTRUCCIONES!B5=0,"",INSTRUCCIONES!B5)</f>
        <v>ESE HOSPITALSAN RAFAEL</v>
      </c>
      <c r="Z3" s="3185"/>
      <c r="AA3" s="3185"/>
      <c r="AB3" s="3185"/>
      <c r="AC3" s="3185"/>
      <c r="AD3" s="3185"/>
      <c r="AE3" s="3185"/>
      <c r="AF3" s="3185"/>
      <c r="AG3" s="3186"/>
      <c r="AH3" s="3191" t="str">
        <f>+L3</f>
        <v>SEPTIEMBRE</v>
      </c>
      <c r="AI3" s="3192"/>
      <c r="AJ3" s="3195">
        <f>+N3</f>
        <v>2017</v>
      </c>
      <c r="AL3" s="3170" t="s">
        <v>623</v>
      </c>
      <c r="AM3" s="3178" t="s">
        <v>622</v>
      </c>
      <c r="AO3" s="1383"/>
      <c r="AP3" s="1384" t="s">
        <v>11</v>
      </c>
      <c r="AQ3" s="1385"/>
      <c r="AR3" s="1385"/>
      <c r="AS3" s="1385"/>
      <c r="AT3" s="1385"/>
      <c r="AU3" s="1385"/>
      <c r="AV3" s="1385"/>
      <c r="AW3" s="1385"/>
      <c r="AX3" s="1385"/>
      <c r="AY3" s="1385"/>
      <c r="AZ3" s="1386"/>
      <c r="BB3" s="3182" t="str">
        <f>+CONCATENATE(INSTRUCCIONES!B5, " - ", INSTRUCCIONES!B3)</f>
        <v>ESE HOSPITALSAN RAFAEL - ITAGUI</v>
      </c>
      <c r="BC3" s="3183"/>
      <c r="BD3" s="1387" t="s">
        <v>389</v>
      </c>
      <c r="BE3" s="1388">
        <f>+N3</f>
        <v>2017</v>
      </c>
      <c r="BF3" s="1389" t="s">
        <v>12</v>
      </c>
      <c r="BG3" s="3182" t="str">
        <f>+CONCATENATE(INSTRUCCIONES!B5, " - ", INSTRUCCIONES!B3)</f>
        <v>ESE HOSPITALSAN RAFAEL - ITAGUI</v>
      </c>
      <c r="BH3" s="3183"/>
      <c r="BI3" s="3183"/>
      <c r="BJ3" s="1387" t="s">
        <v>389</v>
      </c>
      <c r="BK3" s="1388">
        <f>+BE3</f>
        <v>2017</v>
      </c>
      <c r="BM3" s="3182" t="str">
        <f>+CONCATENATE(INSTRUCCIONES!B5, " - ", INSTRUCCIONES!B3)</f>
        <v>ESE HOSPITALSAN RAFAEL - ITAGUI</v>
      </c>
      <c r="BN3" s="3183"/>
      <c r="BO3" s="3183"/>
      <c r="BP3" s="1387" t="s">
        <v>389</v>
      </c>
      <c r="BQ3" s="1388">
        <f>+BK3</f>
        <v>2017</v>
      </c>
    </row>
    <row r="4" spans="1:69" ht="24.95" customHeight="1" thickBot="1">
      <c r="A4" s="1379"/>
      <c r="B4" s="3150"/>
      <c r="C4" s="1390"/>
      <c r="D4" s="3152"/>
      <c r="E4" s="3152"/>
      <c r="F4" s="3155"/>
      <c r="G4" s="3155"/>
      <c r="H4" s="3155"/>
      <c r="I4" s="3155"/>
      <c r="J4" s="3155"/>
      <c r="K4" s="3156"/>
      <c r="L4" s="3226"/>
      <c r="M4" s="3227"/>
      <c r="N4" s="3223"/>
      <c r="P4" s="3171"/>
      <c r="Q4" s="3179"/>
      <c r="R4" s="1371"/>
      <c r="S4" s="1381"/>
      <c r="T4" s="3149"/>
      <c r="U4" s="1390"/>
      <c r="V4" s="3215"/>
      <c r="W4" s="3215"/>
      <c r="X4" s="3215"/>
      <c r="Y4" s="3187"/>
      <c r="Z4" s="3187"/>
      <c r="AA4" s="3187"/>
      <c r="AB4" s="3187"/>
      <c r="AC4" s="3187"/>
      <c r="AD4" s="3187"/>
      <c r="AE4" s="3187"/>
      <c r="AF4" s="3187"/>
      <c r="AG4" s="3188"/>
      <c r="AH4" s="3193"/>
      <c r="AI4" s="3194"/>
      <c r="AJ4" s="3196"/>
      <c r="AL4" s="3171"/>
      <c r="AM4" s="3179"/>
      <c r="AO4" s="1383"/>
      <c r="AP4" s="1391"/>
      <c r="AQ4" s="1392" t="s">
        <v>13</v>
      </c>
      <c r="AR4" s="1392" t="s">
        <v>14</v>
      </c>
      <c r="AS4" s="1392" t="s">
        <v>15</v>
      </c>
      <c r="AT4" s="1392" t="s">
        <v>16</v>
      </c>
      <c r="AU4" s="1392" t="s">
        <v>16</v>
      </c>
      <c r="AV4" s="1393" t="s">
        <v>16</v>
      </c>
      <c r="AW4" s="3204" t="str">
        <f>+CONCATENATE("PROYECCION A DICIEMBRE 31 DEL ",N3)</f>
        <v>PROYECCION A DICIEMBRE 31 DEL 2017</v>
      </c>
      <c r="AX4" s="3205"/>
      <c r="AY4" s="3205"/>
      <c r="AZ4" s="3206"/>
      <c r="BB4" s="1394"/>
      <c r="BC4" s="1395"/>
      <c r="BD4" s="1395"/>
      <c r="BE4" s="1396"/>
      <c r="BF4" s="1397"/>
      <c r="BG4" s="1394"/>
      <c r="BH4" s="1395"/>
      <c r="BI4" s="1395"/>
      <c r="BJ4" s="1398"/>
      <c r="BK4" s="1399"/>
      <c r="BL4" s="1400"/>
      <c r="BM4" s="1394"/>
      <c r="BN4" s="1401"/>
      <c r="BO4" s="1401"/>
      <c r="BP4" s="1402"/>
      <c r="BQ4" s="1403"/>
    </row>
    <row r="5" spans="1:69" ht="42" customHeight="1" thickTop="1" thickBot="1">
      <c r="A5" s="3218" t="s">
        <v>17</v>
      </c>
      <c r="B5" s="3220" t="s">
        <v>18</v>
      </c>
      <c r="C5" s="3228" t="s">
        <v>19</v>
      </c>
      <c r="D5" s="3229"/>
      <c r="E5" s="3229"/>
      <c r="F5" s="3230"/>
      <c r="G5" s="3167" t="s">
        <v>624</v>
      </c>
      <c r="H5" s="3168"/>
      <c r="I5" s="3169"/>
      <c r="J5" s="3175" t="str">
        <f>+IF(L8&gt;I8,"OJO - RECAUDOS MAYORES QUE RECONOCIMIENTOS","RECAUDO")</f>
        <v>RECAUDO</v>
      </c>
      <c r="K5" s="3176"/>
      <c r="L5" s="3177"/>
      <c r="M5" s="3173" t="s">
        <v>21</v>
      </c>
      <c r="N5" s="3174"/>
      <c r="P5" s="3172"/>
      <c r="Q5" s="3180"/>
      <c r="R5" s="1371"/>
      <c r="S5" s="3216" t="s">
        <v>481</v>
      </c>
      <c r="T5" s="3212" t="s">
        <v>18</v>
      </c>
      <c r="U5" s="1404" t="s">
        <v>19</v>
      </c>
      <c r="V5" s="1405"/>
      <c r="W5" s="1405"/>
      <c r="X5" s="1406"/>
      <c r="Y5" s="1407" t="s">
        <v>625</v>
      </c>
      <c r="Z5" s="1405"/>
      <c r="AA5" s="1405"/>
      <c r="AB5" s="3164" t="s">
        <v>626</v>
      </c>
      <c r="AC5" s="3165"/>
      <c r="AD5" s="3166"/>
      <c r="AE5" s="3164" t="s">
        <v>22</v>
      </c>
      <c r="AF5" s="3165"/>
      <c r="AG5" s="3166"/>
      <c r="AH5" s="3164" t="s">
        <v>23</v>
      </c>
      <c r="AI5" s="3165"/>
      <c r="AJ5" s="3166"/>
      <c r="AL5" s="3172"/>
      <c r="AM5" s="3180"/>
      <c r="AO5" s="1408"/>
      <c r="AP5" s="1409" t="s">
        <v>24</v>
      </c>
      <c r="AQ5" s="1392"/>
      <c r="AR5" s="1392" t="s">
        <v>25</v>
      </c>
      <c r="AS5" s="1392" t="s">
        <v>25</v>
      </c>
      <c r="AT5" s="1392" t="s">
        <v>26</v>
      </c>
      <c r="AU5" s="1392" t="s">
        <v>27</v>
      </c>
      <c r="AV5" s="1392" t="s">
        <v>27</v>
      </c>
      <c r="AW5" s="1392" t="s">
        <v>28</v>
      </c>
      <c r="AX5" s="1392" t="s">
        <v>29</v>
      </c>
      <c r="AY5" s="1392" t="s">
        <v>30</v>
      </c>
      <c r="AZ5" s="1410" t="s">
        <v>30</v>
      </c>
      <c r="BB5" s="1411" t="s">
        <v>31</v>
      </c>
      <c r="BC5" s="1412" t="str">
        <f>+CONCATENATE("ACUMULADO ",N3)</f>
        <v>ACUMULADO 2017</v>
      </c>
      <c r="BD5" s="1413"/>
      <c r="BE5" s="1414"/>
      <c r="BF5" s="3210" t="s">
        <v>366</v>
      </c>
      <c r="BG5" s="1415" t="s">
        <v>32</v>
      </c>
      <c r="BH5" s="3207" t="str">
        <f>+CONCATENATE("ACUMULADO ",N3)</f>
        <v>ACUMULADO 2017</v>
      </c>
      <c r="BI5" s="3208"/>
      <c r="BJ5" s="3208"/>
      <c r="BK5" s="3209"/>
      <c r="BL5" s="3202" t="s">
        <v>367</v>
      </c>
      <c r="BM5" s="3200" t="s">
        <v>32</v>
      </c>
      <c r="BN5" s="1416" t="str">
        <f>+CONCATENATE("ACUMULADO ",BQ3)</f>
        <v>ACUMULADO 2017</v>
      </c>
      <c r="BO5" s="1417"/>
      <c r="BP5" s="1418"/>
      <c r="BQ5" s="1419"/>
    </row>
    <row r="6" spans="1:69" ht="24.95" customHeight="1" thickBot="1">
      <c r="A6" s="3219"/>
      <c r="B6" s="3221"/>
      <c r="C6" s="1420" t="s">
        <v>33</v>
      </c>
      <c r="D6" s="1421" t="s">
        <v>34</v>
      </c>
      <c r="E6" s="1421" t="s">
        <v>35</v>
      </c>
      <c r="F6" s="1422" t="s">
        <v>36</v>
      </c>
      <c r="G6" s="1420" t="s">
        <v>37</v>
      </c>
      <c r="H6" s="1421" t="s">
        <v>38</v>
      </c>
      <c r="I6" s="1422" t="s">
        <v>39</v>
      </c>
      <c r="J6" s="1420" t="s">
        <v>37</v>
      </c>
      <c r="K6" s="1421" t="s">
        <v>38</v>
      </c>
      <c r="L6" s="1422" t="s">
        <v>39</v>
      </c>
      <c r="M6" s="1420" t="s">
        <v>40</v>
      </c>
      <c r="N6" s="1422" t="s">
        <v>20</v>
      </c>
      <c r="P6" s="1423" t="s">
        <v>41</v>
      </c>
      <c r="Q6" s="1424" t="s">
        <v>467</v>
      </c>
      <c r="R6" s="1371"/>
      <c r="S6" s="3217" t="s">
        <v>42</v>
      </c>
      <c r="T6" s="3213"/>
      <c r="U6" s="1425" t="s">
        <v>33</v>
      </c>
      <c r="V6" s="1426" t="s">
        <v>34</v>
      </c>
      <c r="W6" s="1426" t="s">
        <v>35</v>
      </c>
      <c r="X6" s="1427" t="s">
        <v>36</v>
      </c>
      <c r="Y6" s="1428" t="s">
        <v>37</v>
      </c>
      <c r="Z6" s="1426" t="s">
        <v>38</v>
      </c>
      <c r="AA6" s="1426" t="s">
        <v>39</v>
      </c>
      <c r="AB6" s="1428" t="s">
        <v>37</v>
      </c>
      <c r="AC6" s="1426" t="s">
        <v>38</v>
      </c>
      <c r="AD6" s="1426" t="s">
        <v>39</v>
      </c>
      <c r="AE6" s="1428" t="s">
        <v>37</v>
      </c>
      <c r="AF6" s="1426" t="s">
        <v>38</v>
      </c>
      <c r="AG6" s="1426" t="s">
        <v>39</v>
      </c>
      <c r="AH6" s="1428" t="s">
        <v>43</v>
      </c>
      <c r="AI6" s="1426" t="s">
        <v>44</v>
      </c>
      <c r="AJ6" s="1427" t="s">
        <v>22</v>
      </c>
      <c r="AL6" s="1420" t="s">
        <v>41</v>
      </c>
      <c r="AM6" s="1422" t="s">
        <v>467</v>
      </c>
      <c r="AO6" s="1429"/>
      <c r="AP6" s="1430"/>
      <c r="AQ6" s="1431" t="s">
        <v>36</v>
      </c>
      <c r="AR6" s="1431" t="str">
        <f>+L3</f>
        <v>SEPTIEMBRE</v>
      </c>
      <c r="AS6" s="1431" t="str">
        <f>AR6</f>
        <v>SEPTIEMBRE</v>
      </c>
      <c r="AT6" s="1431" t="str">
        <f>AR6</f>
        <v>SEPTIEMBRE</v>
      </c>
      <c r="AU6" s="1431" t="s">
        <v>14</v>
      </c>
      <c r="AV6" s="1431" t="s">
        <v>29</v>
      </c>
      <c r="AW6" s="1431"/>
      <c r="AX6" s="1431"/>
      <c r="AY6" s="1431" t="s">
        <v>14</v>
      </c>
      <c r="AZ6" s="1432" t="s">
        <v>29</v>
      </c>
      <c r="BB6" s="1433"/>
      <c r="BC6" s="1434" t="s">
        <v>45</v>
      </c>
      <c r="BD6" s="1435" t="s">
        <v>46</v>
      </c>
      <c r="BE6" s="1436" t="s">
        <v>47</v>
      </c>
      <c r="BF6" s="3211"/>
      <c r="BG6" s="1437"/>
      <c r="BH6" s="1438" t="s">
        <v>45</v>
      </c>
      <c r="BI6" s="1438" t="s">
        <v>48</v>
      </c>
      <c r="BJ6" s="1438" t="s">
        <v>49</v>
      </c>
      <c r="BK6" s="1439" t="s">
        <v>50</v>
      </c>
      <c r="BL6" s="3203"/>
      <c r="BM6" s="3201"/>
      <c r="BN6" s="1440" t="s">
        <v>45</v>
      </c>
      <c r="BO6" s="1441" t="s">
        <v>48</v>
      </c>
      <c r="BP6" s="1441" t="s">
        <v>49</v>
      </c>
      <c r="BQ6" s="1442" t="s">
        <v>50</v>
      </c>
    </row>
    <row r="7" spans="1:69" s="1448" customFormat="1" ht="24.95" customHeight="1" thickBot="1">
      <c r="A7" s="1443"/>
      <c r="B7" s="1444"/>
      <c r="C7" s="1445"/>
      <c r="D7" s="1445"/>
      <c r="E7" s="1445"/>
      <c r="F7" s="1445"/>
      <c r="G7" s="1445"/>
      <c r="H7" s="1445"/>
      <c r="I7" s="1445"/>
      <c r="J7" s="1445"/>
      <c r="K7" s="1445"/>
      <c r="L7" s="1445"/>
      <c r="M7" s="1445"/>
      <c r="N7" s="1446"/>
      <c r="O7" s="1371"/>
      <c r="P7" s="1447"/>
      <c r="Q7" s="1446"/>
      <c r="S7" s="1449"/>
      <c r="T7" s="1444"/>
      <c r="U7" s="1445"/>
      <c r="V7" s="1445"/>
      <c r="W7" s="1445"/>
      <c r="X7" s="1445"/>
      <c r="Y7" s="1445"/>
      <c r="Z7" s="1445"/>
      <c r="AA7" s="1445"/>
      <c r="AB7" s="1445"/>
      <c r="AC7" s="1445"/>
      <c r="AD7" s="1445"/>
      <c r="AE7" s="1445"/>
      <c r="AF7" s="1445"/>
      <c r="AG7" s="1445"/>
      <c r="AH7" s="1445"/>
      <c r="AI7" s="1445"/>
      <c r="AJ7" s="1446"/>
      <c r="AK7" s="1363"/>
      <c r="AL7" s="1450"/>
      <c r="AM7" s="1451"/>
      <c r="AO7" s="1452"/>
      <c r="AP7" s="1453" t="s">
        <v>52</v>
      </c>
      <c r="AQ7" s="1454">
        <f>F22</f>
        <v>26175033475</v>
      </c>
      <c r="AR7" s="1454">
        <f>I22</f>
        <v>20018110009</v>
      </c>
      <c r="AS7" s="1454">
        <f>L22</f>
        <v>11379845552</v>
      </c>
      <c r="AT7" s="1455"/>
      <c r="AU7" s="1456">
        <f t="shared" ref="AU7:AU17" si="0">IF(AQ7=0," ",AR7/AQ7)</f>
        <v>0.76477877394577043</v>
      </c>
      <c r="AV7" s="1456">
        <f t="shared" ref="AV7:AV17" si="1">IF(AQ7=0," ",AS7/AQ7)</f>
        <v>0.43475954148708112</v>
      </c>
      <c r="AW7" s="1454">
        <f>I23/AO$2*12+I24</f>
        <v>23951338681.666668</v>
      </c>
      <c r="AX7" s="1454">
        <f>L23/AO$2*12+L24</f>
        <v>12433652739</v>
      </c>
      <c r="AY7" s="1454">
        <f t="shared" ref="AY7:AY16" si="2">AW7-AQ7</f>
        <v>-2223694793.3333321</v>
      </c>
      <c r="AZ7" s="1457">
        <f t="shared" ref="AZ7:AZ16" si="3">AX7-AQ7</f>
        <v>-13741380736</v>
      </c>
      <c r="BB7" s="1458" t="s">
        <v>53</v>
      </c>
      <c r="BC7" s="1459">
        <f>F10</f>
        <v>617329922</v>
      </c>
      <c r="BD7" s="1460">
        <f>I10</f>
        <v>617329922</v>
      </c>
      <c r="BE7" s="1461">
        <f>K10</f>
        <v>0</v>
      </c>
      <c r="BF7" s="1462">
        <f>+BE7+AGOSTO!BE7+JULIO!BE7+JUNIO!BF7</f>
        <v>617329922</v>
      </c>
      <c r="BG7" s="1463" t="s">
        <v>54</v>
      </c>
      <c r="BH7" s="1464">
        <f>+SUM(BH8:BH11)</f>
        <v>41874446303</v>
      </c>
      <c r="BI7" s="1464">
        <f>+SUM(BI8:BI11)</f>
        <v>37221408511</v>
      </c>
      <c r="BJ7" s="1464">
        <f>+SUM(BJ8:BJ11)</f>
        <v>27614524948</v>
      </c>
      <c r="BK7" s="1464">
        <f>+SUM(BK8:BK11)</f>
        <v>2489859982</v>
      </c>
      <c r="BL7" s="1465">
        <f>+BK7+AGOSTO!BK7+JULIO!BK7+JUNIO!BL7</f>
        <v>15374185858</v>
      </c>
      <c r="BM7" s="1466" t="s">
        <v>54</v>
      </c>
      <c r="BN7" s="1467">
        <f>BN8+BN15+BN22</f>
        <v>41874446303</v>
      </c>
      <c r="BO7" s="1468">
        <f>BO8+BO15+BO22</f>
        <v>37221408511</v>
      </c>
      <c r="BP7" s="1468">
        <f>BP8+BP15+BP22</f>
        <v>27614524948</v>
      </c>
      <c r="BQ7" s="1469">
        <f>BQ8+BQ15+BQ22</f>
        <v>2489859982</v>
      </c>
    </row>
    <row r="8" spans="1:69" s="1448" customFormat="1" ht="24.95" customHeight="1" thickBot="1">
      <c r="A8" s="1470">
        <f>+IF(AGOSTO!A8=0,"",AGOSTO!A8)</f>
        <v>1</v>
      </c>
      <c r="B8" s="1471" t="str">
        <f>+IF(AGOSTO!B8=0,"",AGOSTO!B8)</f>
        <v>INGRESOS</v>
      </c>
      <c r="C8" s="1472">
        <f>C10+C17+C113</f>
        <v>50222178081</v>
      </c>
      <c r="D8" s="1472">
        <f>D10+D17+D113</f>
        <v>0</v>
      </c>
      <c r="E8" s="1472">
        <f t="shared" ref="E8:Q8" si="4">E10+E17+E113</f>
        <v>16656156033</v>
      </c>
      <c r="F8" s="1472">
        <f t="shared" si="4"/>
        <v>66878334114</v>
      </c>
      <c r="G8" s="1472">
        <f t="shared" si="4"/>
        <v>49625903437</v>
      </c>
      <c r="H8" s="1472">
        <f t="shared" si="4"/>
        <v>3543997319</v>
      </c>
      <c r="I8" s="1472">
        <f t="shared" si="4"/>
        <v>53169900756</v>
      </c>
      <c r="J8" s="1472">
        <f t="shared" si="4"/>
        <v>26741909875</v>
      </c>
      <c r="K8" s="1472">
        <f t="shared" si="4"/>
        <v>3543313768</v>
      </c>
      <c r="L8" s="1472">
        <f t="shared" si="4"/>
        <v>30285223643</v>
      </c>
      <c r="M8" s="1472">
        <f t="shared" si="4"/>
        <v>13708433358</v>
      </c>
      <c r="N8" s="1472">
        <f t="shared" si="4"/>
        <v>36593110471</v>
      </c>
      <c r="O8" s="1473"/>
      <c r="P8" s="1474">
        <f t="shared" si="4"/>
        <v>0</v>
      </c>
      <c r="Q8" s="1475">
        <f t="shared" si="4"/>
        <v>0</v>
      </c>
      <c r="S8" s="1476" t="str">
        <f>+IF(AGOSTO!S8=0,"",AGOSTO!S8)</f>
        <v/>
      </c>
      <c r="T8" s="1477" t="str">
        <f>+IF(AGOSTO!T8=0,"",AGOSTO!T8)</f>
        <v>GASTOS</v>
      </c>
      <c r="U8" s="1478">
        <f>U10+U193+U220+U232</f>
        <v>50222178081</v>
      </c>
      <c r="V8" s="1479">
        <f t="shared" ref="V8:AJ8" si="5">V10+V193+V220+V232</f>
        <v>0</v>
      </c>
      <c r="W8" s="1479">
        <f t="shared" si="5"/>
        <v>16656156033</v>
      </c>
      <c r="X8" s="1480">
        <f t="shared" si="5"/>
        <v>66878334114</v>
      </c>
      <c r="Y8" s="1481">
        <f t="shared" si="5"/>
        <v>54796805485</v>
      </c>
      <c r="Z8" s="1479">
        <f t="shared" si="5"/>
        <v>4389835400</v>
      </c>
      <c r="AA8" s="1480">
        <f t="shared" si="5"/>
        <v>59186640885</v>
      </c>
      <c r="AB8" s="1481">
        <f t="shared" si="5"/>
        <v>44168538763</v>
      </c>
      <c r="AC8" s="1479">
        <f t="shared" si="5"/>
        <v>3787996313</v>
      </c>
      <c r="AD8" s="1480">
        <f t="shared" si="5"/>
        <v>47956535076</v>
      </c>
      <c r="AE8" s="1481">
        <f t="shared" si="5"/>
        <v>26379997747</v>
      </c>
      <c r="AF8" s="1479">
        <f t="shared" si="5"/>
        <v>3519719389</v>
      </c>
      <c r="AG8" s="1480">
        <f t="shared" si="5"/>
        <v>29899717136</v>
      </c>
      <c r="AH8" s="1481">
        <f t="shared" si="5"/>
        <v>7691693229</v>
      </c>
      <c r="AI8" s="1479">
        <f t="shared" si="5"/>
        <v>18921799038</v>
      </c>
      <c r="AJ8" s="1482">
        <f t="shared" si="5"/>
        <v>36978616978</v>
      </c>
      <c r="AL8" s="1483">
        <f t="shared" ref="AL8:AM8" si="6">AL10+AL193+AL220+AL232</f>
        <v>0</v>
      </c>
      <c r="AM8" s="1484">
        <f t="shared" si="6"/>
        <v>0</v>
      </c>
      <c r="AO8" s="1452"/>
      <c r="AP8" s="1453" t="s">
        <v>56</v>
      </c>
      <c r="AQ8" s="1485">
        <f>F25</f>
        <v>18546893803</v>
      </c>
      <c r="AR8" s="1485">
        <f>I25</f>
        <v>20695679318</v>
      </c>
      <c r="AS8" s="1485">
        <f>L25</f>
        <v>12290250066</v>
      </c>
      <c r="AT8" s="1455"/>
      <c r="AU8" s="1486">
        <f t="shared" si="0"/>
        <v>1.1158568943039093</v>
      </c>
      <c r="AV8" s="1486">
        <f t="shared" si="1"/>
        <v>0.66265813545619301</v>
      </c>
      <c r="AW8" s="1485">
        <f>I26/AO$2*12+I27</f>
        <v>25631031638</v>
      </c>
      <c r="AX8" s="1485">
        <f>L26/AO$2*12+L27</f>
        <v>14423792635.333332</v>
      </c>
      <c r="AY8" s="1485">
        <f t="shared" si="2"/>
        <v>7084137835</v>
      </c>
      <c r="AZ8" s="1487">
        <f t="shared" si="3"/>
        <v>-4123101167.6666679</v>
      </c>
      <c r="BB8" s="1488" t="s">
        <v>57</v>
      </c>
      <c r="BC8" s="1489">
        <f>BC9+BC19</f>
        <v>41635385030</v>
      </c>
      <c r="BD8" s="1490">
        <f>BD9+BD19</f>
        <v>34820374385</v>
      </c>
      <c r="BE8" s="1491">
        <f>BE9+BE19</f>
        <v>3302470940</v>
      </c>
      <c r="BF8" s="1462">
        <f>+BE8+AGOSTO!BE8+JULIO!BE8+JUNIO!BF8</f>
        <v>11935697272</v>
      </c>
      <c r="BG8" s="1492" t="s">
        <v>58</v>
      </c>
      <c r="BH8" s="1493">
        <f>BN9+BN13</f>
        <v>2864245139</v>
      </c>
      <c r="BI8" s="1493">
        <f>BO9+BO13</f>
        <v>1658870014</v>
      </c>
      <c r="BJ8" s="1493">
        <f>BP9+BP13</f>
        <v>1658870014</v>
      </c>
      <c r="BK8" s="1493">
        <f>BQ9+BQ13</f>
        <v>253110913</v>
      </c>
      <c r="BL8" s="1465">
        <f>+BK8+AGOSTO!BK8+JULIO!BK8+JUNIO!BL8</f>
        <v>1658870014</v>
      </c>
      <c r="BM8" s="1494" t="s">
        <v>59</v>
      </c>
      <c r="BN8" s="1495">
        <f>BN9+BN14+BN13</f>
        <v>31974556644</v>
      </c>
      <c r="BO8" s="1493">
        <f>BO9+BO14+BO13</f>
        <v>29729047572</v>
      </c>
      <c r="BP8" s="1493">
        <f>BP9+BP14+BP13</f>
        <v>21535316639</v>
      </c>
      <c r="BQ8" s="1496">
        <f>BQ9+BQ14+BQ13</f>
        <v>2053454938</v>
      </c>
    </row>
    <row r="9" spans="1:69" s="1448" customFormat="1" ht="24.95" customHeight="1" thickBot="1">
      <c r="A9" s="1497"/>
      <c r="B9" s="1498"/>
      <c r="C9" s="1499"/>
      <c r="D9" s="1499"/>
      <c r="E9" s="1499"/>
      <c r="F9" s="1499"/>
      <c r="G9" s="1499"/>
      <c r="H9" s="1499"/>
      <c r="I9" s="1499"/>
      <c r="J9" s="1499"/>
      <c r="K9" s="1499"/>
      <c r="L9" s="1499"/>
      <c r="M9" s="1499"/>
      <c r="N9" s="1500"/>
      <c r="O9" s="1473"/>
      <c r="P9" s="1501"/>
      <c r="Q9" s="1500"/>
      <c r="S9" s="1449"/>
      <c r="T9" s="1444"/>
      <c r="U9" s="1445"/>
      <c r="V9" s="1445"/>
      <c r="W9" s="1445"/>
      <c r="X9" s="1445"/>
      <c r="Y9" s="1445"/>
      <c r="Z9" s="1445"/>
      <c r="AA9" s="1445"/>
      <c r="AB9" s="1445"/>
      <c r="AC9" s="1445"/>
      <c r="AD9" s="1445"/>
      <c r="AE9" s="1445"/>
      <c r="AF9" s="1445"/>
      <c r="AG9" s="1445"/>
      <c r="AH9" s="1445"/>
      <c r="AI9" s="1445"/>
      <c r="AJ9" s="1446"/>
      <c r="AL9" s="1502"/>
      <c r="AM9" s="1503"/>
      <c r="AO9" s="1504"/>
      <c r="AP9" s="1453" t="s">
        <v>61</v>
      </c>
      <c r="AQ9" s="1485">
        <f>F28+F75</f>
        <v>468414189</v>
      </c>
      <c r="AR9" s="1485">
        <f>I28+I75</f>
        <v>1375511822</v>
      </c>
      <c r="AS9" s="1485">
        <f>L28+L75</f>
        <v>261386968</v>
      </c>
      <c r="AT9" s="1455"/>
      <c r="AU9" s="1505">
        <f t="shared" si="0"/>
        <v>2.936528940202535</v>
      </c>
      <c r="AV9" s="1505">
        <f t="shared" si="1"/>
        <v>0.55802529927205091</v>
      </c>
      <c r="AW9" s="1506">
        <f>(I30+I33+I36+I76)/AO$2*12+I31+I34+I37+I38+I39+I40+I77</f>
        <v>1783562223</v>
      </c>
      <c r="AX9" s="1506">
        <f>(L30+L33+L36+L76)/AO$2*12+L31+L34+L37+L38+L39+L40+L77</f>
        <v>298062417.66666663</v>
      </c>
      <c r="AY9" s="1506">
        <f t="shared" si="2"/>
        <v>1315148034</v>
      </c>
      <c r="AZ9" s="1507">
        <f t="shared" si="3"/>
        <v>-170351771.33333337</v>
      </c>
      <c r="BB9" s="1508" t="s">
        <v>427</v>
      </c>
      <c r="BC9" s="1509">
        <f>BC10+BC18</f>
        <v>40887180589</v>
      </c>
      <c r="BD9" s="1510">
        <f>BD10+BD18</f>
        <v>33994695753</v>
      </c>
      <c r="BE9" s="1511">
        <f>BE10+BE18</f>
        <v>3242165084</v>
      </c>
      <c r="BF9" s="1462">
        <f>+BE9+AGOSTO!BE9+JULIO!BE9+JUNIO!BF9</f>
        <v>11362477778</v>
      </c>
      <c r="BG9" s="1512" t="s">
        <v>62</v>
      </c>
      <c r="BH9" s="1513">
        <f t="shared" ref="BH9:BK10" si="7">BN14</f>
        <v>29110311505</v>
      </c>
      <c r="BI9" s="1513">
        <f t="shared" si="7"/>
        <v>28070177558</v>
      </c>
      <c r="BJ9" s="1513">
        <f t="shared" si="7"/>
        <v>19876446625</v>
      </c>
      <c r="BK9" s="1513">
        <f t="shared" si="7"/>
        <v>1800344025</v>
      </c>
      <c r="BL9" s="1465">
        <f>+BK9+AGOSTO!BK9+JULIO!BK9+JUNIO!BL9</f>
        <v>10245631094</v>
      </c>
      <c r="BM9" s="1514" t="s">
        <v>63</v>
      </c>
      <c r="BN9" s="1515">
        <f>SUM(BN10:BN12)</f>
        <v>2061410762</v>
      </c>
      <c r="BO9" s="1513">
        <f>SUM(BO10:BO12)</f>
        <v>1348037738</v>
      </c>
      <c r="BP9" s="1513">
        <f>SUM(BP10:BP12)</f>
        <v>1348037738</v>
      </c>
      <c r="BQ9" s="1516">
        <f>SUM(BQ10:BQ12)</f>
        <v>213854899</v>
      </c>
    </row>
    <row r="10" spans="1:69" s="1448" customFormat="1" ht="24.95" customHeight="1">
      <c r="A10" s="1517">
        <f>+IF(AGOSTO!A10=0,"",AGOSTO!A10)</f>
        <v>10</v>
      </c>
      <c r="B10" s="1518" t="str">
        <f>+IF(AGOSTO!B10=0,"",AGOSTO!B10)</f>
        <v>DISPONIBILIDAD INICIAL</v>
      </c>
      <c r="C10" s="1519">
        <f t="shared" ref="C10:N10" si="8">SUM(C12:C15)</f>
        <v>0</v>
      </c>
      <c r="D10" s="1520">
        <f t="shared" si="8"/>
        <v>0</v>
      </c>
      <c r="E10" s="1520">
        <f t="shared" si="8"/>
        <v>617329922</v>
      </c>
      <c r="F10" s="1521">
        <f t="shared" si="8"/>
        <v>617329922</v>
      </c>
      <c r="G10" s="1522">
        <f t="shared" si="8"/>
        <v>617329922</v>
      </c>
      <c r="H10" s="1520">
        <f t="shared" si="8"/>
        <v>0</v>
      </c>
      <c r="I10" s="1523">
        <f t="shared" si="8"/>
        <v>617329922</v>
      </c>
      <c r="J10" s="1519">
        <f t="shared" si="8"/>
        <v>617329922</v>
      </c>
      <c r="K10" s="1520">
        <f t="shared" si="8"/>
        <v>0</v>
      </c>
      <c r="L10" s="1521">
        <f t="shared" si="8"/>
        <v>617329922</v>
      </c>
      <c r="M10" s="1519">
        <f t="shared" si="8"/>
        <v>0</v>
      </c>
      <c r="N10" s="1521">
        <f t="shared" si="8"/>
        <v>0</v>
      </c>
      <c r="O10" s="1455"/>
      <c r="P10" s="1519">
        <f>SUM(P12:P15)</f>
        <v>0</v>
      </c>
      <c r="Q10" s="1521">
        <f>SUM(Q12:Q15)</f>
        <v>0</v>
      </c>
      <c r="S10" s="1524" t="str">
        <f>+IF(AGOSTO!S10=0,"",AGOSTO!S10)</f>
        <v>A</v>
      </c>
      <c r="T10" s="1525" t="str">
        <f>+IF(AGOSTO!T10=0,"",AGOSTO!T10)</f>
        <v>GASTOS DE FUNCIONAMIENTO</v>
      </c>
      <c r="U10" s="1526">
        <f>U12+U110+U170</f>
        <v>35471771735</v>
      </c>
      <c r="V10" s="1527">
        <f t="shared" ref="V10:AJ10" si="9">V12+V110+V170</f>
        <v>1588184322</v>
      </c>
      <c r="W10" s="1527">
        <f t="shared" si="9"/>
        <v>13088297865</v>
      </c>
      <c r="X10" s="1528">
        <f t="shared" si="9"/>
        <v>50148253922</v>
      </c>
      <c r="Y10" s="1529">
        <f t="shared" si="9"/>
        <v>42145827424</v>
      </c>
      <c r="Z10" s="1527">
        <f t="shared" si="9"/>
        <v>3261651813</v>
      </c>
      <c r="AA10" s="1528">
        <f t="shared" si="9"/>
        <v>45407479237</v>
      </c>
      <c r="AB10" s="1529">
        <f t="shared" si="9"/>
        <v>32837223724</v>
      </c>
      <c r="AC10" s="1527">
        <f t="shared" si="9"/>
        <v>2963371950</v>
      </c>
      <c r="AD10" s="1528">
        <f t="shared" si="9"/>
        <v>35800595674</v>
      </c>
      <c r="AE10" s="1529">
        <f t="shared" si="9"/>
        <v>20862506376</v>
      </c>
      <c r="AF10" s="1527">
        <f t="shared" si="9"/>
        <v>2697750208</v>
      </c>
      <c r="AG10" s="1528">
        <f t="shared" si="9"/>
        <v>23560256584</v>
      </c>
      <c r="AH10" s="1529">
        <f t="shared" si="9"/>
        <v>4740774685</v>
      </c>
      <c r="AI10" s="1527">
        <f t="shared" si="9"/>
        <v>14347658248</v>
      </c>
      <c r="AJ10" s="1530">
        <f t="shared" si="9"/>
        <v>26587997338</v>
      </c>
      <c r="AL10" s="1531">
        <f t="shared" ref="AL10:AM10" si="10">AL12+AL110+AL170</f>
        <v>1908796548</v>
      </c>
      <c r="AM10" s="1532">
        <f t="shared" si="10"/>
        <v>0</v>
      </c>
      <c r="AO10" s="1504"/>
      <c r="AP10" s="1453" t="s">
        <v>65</v>
      </c>
      <c r="AQ10" s="1485">
        <f>F42</f>
        <v>0</v>
      </c>
      <c r="AR10" s="1485">
        <f>I42</f>
        <v>0</v>
      </c>
      <c r="AS10" s="1485">
        <f>L42</f>
        <v>0</v>
      </c>
      <c r="AT10" s="1455"/>
      <c r="AU10" s="1505" t="str">
        <f t="shared" si="0"/>
        <v xml:space="preserve"> </v>
      </c>
      <c r="AV10" s="1505" t="str">
        <f t="shared" si="1"/>
        <v xml:space="preserve"> </v>
      </c>
      <c r="AW10" s="1506">
        <f>I43/AO$2*12+I44</f>
        <v>0</v>
      </c>
      <c r="AX10" s="1506">
        <f>L43/AO$2*12+L44</f>
        <v>0</v>
      </c>
      <c r="AY10" s="1506">
        <f t="shared" si="2"/>
        <v>0</v>
      </c>
      <c r="AZ10" s="1507">
        <f t="shared" si="3"/>
        <v>0</v>
      </c>
      <c r="BB10" s="1533" t="s">
        <v>428</v>
      </c>
      <c r="BC10" s="1509">
        <f>BC11+BC12+BC13+BC14+BC16+BC17+BC15</f>
        <v>40761943661</v>
      </c>
      <c r="BD10" s="1510">
        <f>BD11+BD12+BD13+BD14+BD16+BD17+BD15</f>
        <v>33869458825</v>
      </c>
      <c r="BE10" s="1511">
        <f>BE11+BE12+BE13+BE14+BE16+BE17+BE15</f>
        <v>3242165084</v>
      </c>
      <c r="BF10" s="1462">
        <f>+BE10+AGOSTO!BE10+JULIO!BE10+JUNIO!BF10</f>
        <v>11237240850</v>
      </c>
      <c r="BG10" s="1492" t="s">
        <v>66</v>
      </c>
      <c r="BH10" s="1534">
        <f t="shared" si="7"/>
        <v>9736359656</v>
      </c>
      <c r="BI10" s="1534">
        <f t="shared" si="7"/>
        <v>7395417089</v>
      </c>
      <c r="BJ10" s="1534">
        <f t="shared" si="7"/>
        <v>5993139588</v>
      </c>
      <c r="BK10" s="1534">
        <f t="shared" si="7"/>
        <v>417146865</v>
      </c>
      <c r="BL10" s="1465">
        <f>+BK10+AGOSTO!BK10+JULIO!BK10+JUNIO!BL10</f>
        <v>3387798822</v>
      </c>
      <c r="BM10" s="1535" t="s">
        <v>440</v>
      </c>
      <c r="BN10" s="1536">
        <f>X17+X66</f>
        <v>1479110119</v>
      </c>
      <c r="BO10" s="1534">
        <f>AA17+AA66</f>
        <v>986570451</v>
      </c>
      <c r="BP10" s="1534">
        <f>AD17+AD66</f>
        <v>986570451</v>
      </c>
      <c r="BQ10" s="1537">
        <f>AF17+AF66</f>
        <v>160921129</v>
      </c>
    </row>
    <row r="11" spans="1:69" s="1448" customFormat="1" ht="24.95" customHeight="1">
      <c r="A11" s="1497"/>
      <c r="B11" s="1498"/>
      <c r="C11" s="1499"/>
      <c r="D11" s="1499"/>
      <c r="E11" s="1499"/>
      <c r="F11" s="1499"/>
      <c r="G11" s="1499"/>
      <c r="H11" s="1499"/>
      <c r="I11" s="1499"/>
      <c r="J11" s="1499"/>
      <c r="K11" s="1499"/>
      <c r="L11" s="1499"/>
      <c r="M11" s="1499"/>
      <c r="N11" s="1500"/>
      <c r="O11" s="1473"/>
      <c r="P11" s="1501"/>
      <c r="Q11" s="1500"/>
      <c r="S11" s="1538"/>
      <c r="T11" s="1539"/>
      <c r="U11" s="1540"/>
      <c r="V11" s="1540"/>
      <c r="W11" s="1540"/>
      <c r="X11" s="1540"/>
      <c r="Y11" s="1540"/>
      <c r="Z11" s="1540"/>
      <c r="AA11" s="1540"/>
      <c r="AB11" s="1540"/>
      <c r="AC11" s="1540"/>
      <c r="AD11" s="1540"/>
      <c r="AE11" s="1540"/>
      <c r="AF11" s="1540"/>
      <c r="AG11" s="1540"/>
      <c r="AH11" s="1540"/>
      <c r="AI11" s="1540"/>
      <c r="AJ11" s="1541"/>
      <c r="AL11" s="1542"/>
      <c r="AM11" s="1543"/>
      <c r="AO11" s="1544" t="s">
        <v>11</v>
      </c>
      <c r="AP11" s="1545" t="s">
        <v>538</v>
      </c>
      <c r="AQ11" s="1485">
        <f>F88</f>
        <v>0</v>
      </c>
      <c r="AR11" s="1485">
        <f>I88</f>
        <v>0</v>
      </c>
      <c r="AS11" s="1485">
        <f>L88</f>
        <v>0</v>
      </c>
      <c r="AT11" s="1546">
        <f>AO2/12</f>
        <v>0.75</v>
      </c>
      <c r="AU11" s="1505" t="str">
        <f t="shared" si="0"/>
        <v xml:space="preserve"> </v>
      </c>
      <c r="AV11" s="1505" t="str">
        <f t="shared" si="1"/>
        <v xml:space="preserve"> </v>
      </c>
      <c r="AW11" s="1506">
        <f>I88</f>
        <v>0</v>
      </c>
      <c r="AX11" s="1506">
        <f>L88</f>
        <v>0</v>
      </c>
      <c r="AY11" s="1506">
        <f t="shared" si="2"/>
        <v>0</v>
      </c>
      <c r="AZ11" s="1507">
        <f t="shared" si="3"/>
        <v>0</v>
      </c>
      <c r="BB11" s="1533" t="s">
        <v>429</v>
      </c>
      <c r="BC11" s="1509">
        <f>F26</f>
        <v>13439321219</v>
      </c>
      <c r="BD11" s="1510">
        <f>I26</f>
        <v>14806056960</v>
      </c>
      <c r="BE11" s="1511">
        <f>K26</f>
        <v>2340588551</v>
      </c>
      <c r="BF11" s="1462">
        <f>+BE11+AGOSTO!BE11+JULIO!BE11+JUNIO!BF11</f>
        <v>6400627708</v>
      </c>
      <c r="BG11" s="1492" t="s">
        <v>67</v>
      </c>
      <c r="BH11" s="1547">
        <f>BN22</f>
        <v>163530003</v>
      </c>
      <c r="BI11" s="1547">
        <f>BO22</f>
        <v>96943850</v>
      </c>
      <c r="BJ11" s="1547">
        <f>BP22</f>
        <v>86068721</v>
      </c>
      <c r="BK11" s="1547">
        <f>BQ22</f>
        <v>19258179</v>
      </c>
      <c r="BL11" s="1465">
        <f>+BK11+AGOSTO!BK11+JULIO!BK11+JUNIO!BL11</f>
        <v>81885928</v>
      </c>
      <c r="BM11" s="1548" t="s">
        <v>441</v>
      </c>
      <c r="BN11" s="1549">
        <f>X18+X67</f>
        <v>76611810</v>
      </c>
      <c r="BO11" s="1547">
        <f>AA18+AA67</f>
        <v>76511072</v>
      </c>
      <c r="BP11" s="1547">
        <f>AD18+AD67</f>
        <v>76511072</v>
      </c>
      <c r="BQ11" s="1550">
        <f>AF18+AF67</f>
        <v>19878214</v>
      </c>
    </row>
    <row r="12" spans="1:69" s="1448" customFormat="1" ht="24.95" customHeight="1">
      <c r="A12" s="1551">
        <f>+IF(AGOSTO!A12=0,"",AGOSTO!A12)</f>
        <v>1001</v>
      </c>
      <c r="B12" s="1552" t="str">
        <f>+IF(AGOSTO!B12=0,"",AGOSTO!B12)</f>
        <v>Bienestar Social (Caja, Bancos, Inversiones Tempor.) a Dic-31-2016</v>
      </c>
      <c r="C12" s="1553">
        <f>+ENERO!C12</f>
        <v>0</v>
      </c>
      <c r="D12" s="1554">
        <f>AGOSTO!D12+SEPTIEMBRE!P12</f>
        <v>0</v>
      </c>
      <c r="E12" s="1554">
        <f>AGOSTO!E12+SEPTIEMBRE!Q12</f>
        <v>26156707</v>
      </c>
      <c r="F12" s="1555">
        <f>SUM(C12:E12)</f>
        <v>26156707</v>
      </c>
      <c r="G12" s="1556">
        <f>AGOSTO!I12</f>
        <v>26156707</v>
      </c>
      <c r="H12" s="1557">
        <v>0</v>
      </c>
      <c r="I12" s="1555">
        <f>SUM(G12:H12)</f>
        <v>26156707</v>
      </c>
      <c r="J12" s="1556">
        <f>AGOSTO!L12</f>
        <v>26156707</v>
      </c>
      <c r="K12" s="1558">
        <v>0</v>
      </c>
      <c r="L12" s="1555">
        <f>SUM(J12:K12)</f>
        <v>26156707</v>
      </c>
      <c r="M12" s="1556">
        <f>F12-I12</f>
        <v>0</v>
      </c>
      <c r="N12" s="1555">
        <f>F12-L12</f>
        <v>0</v>
      </c>
      <c r="O12" s="1401"/>
      <c r="P12" s="1559">
        <v>0</v>
      </c>
      <c r="Q12" s="1560">
        <v>0</v>
      </c>
      <c r="S12" s="1561">
        <f>+IF(AGOSTO!S12=0,"",AGOSTO!S12)</f>
        <v>1000000</v>
      </c>
      <c r="T12" s="1562" t="str">
        <f>+IF(AGOSTO!T12=0,"",AGOSTO!T12)</f>
        <v>GASTOS DE PERSONAL</v>
      </c>
      <c r="U12" s="1563">
        <f t="shared" ref="U12:AJ12" si="11">U14+U63</f>
        <v>27757873896</v>
      </c>
      <c r="V12" s="1564">
        <f t="shared" si="11"/>
        <v>1922848004</v>
      </c>
      <c r="W12" s="1564">
        <f t="shared" si="11"/>
        <v>9585690290</v>
      </c>
      <c r="X12" s="1565">
        <f t="shared" si="11"/>
        <v>39266412190</v>
      </c>
      <c r="Y12" s="1531">
        <f t="shared" si="11"/>
        <v>34079120224</v>
      </c>
      <c r="Z12" s="1564">
        <f t="shared" si="11"/>
        <v>2854973989</v>
      </c>
      <c r="AA12" s="1565">
        <f t="shared" si="11"/>
        <v>36934094213</v>
      </c>
      <c r="AB12" s="1531">
        <f t="shared" si="11"/>
        <v>26460167673</v>
      </c>
      <c r="AC12" s="1564">
        <f t="shared" si="11"/>
        <v>2280195607</v>
      </c>
      <c r="AD12" s="1565">
        <f t="shared" si="11"/>
        <v>28740363280</v>
      </c>
      <c r="AE12" s="1531">
        <f t="shared" si="11"/>
        <v>16969613145</v>
      </c>
      <c r="AF12" s="1564">
        <f t="shared" si="11"/>
        <v>2139934604</v>
      </c>
      <c r="AG12" s="1565">
        <f t="shared" si="11"/>
        <v>19109547749</v>
      </c>
      <c r="AH12" s="1531">
        <f t="shared" si="11"/>
        <v>2332317977</v>
      </c>
      <c r="AI12" s="1564">
        <f t="shared" si="11"/>
        <v>10526048910</v>
      </c>
      <c r="AJ12" s="1532">
        <f t="shared" si="11"/>
        <v>20156864441</v>
      </c>
      <c r="AK12" s="1566"/>
      <c r="AL12" s="1567">
        <f>AL14+AL63</f>
        <v>949458000</v>
      </c>
      <c r="AM12" s="1568">
        <f>AM14+AM63</f>
        <v>0</v>
      </c>
      <c r="AO12" s="1544"/>
      <c r="AP12" s="1569" t="s">
        <v>539</v>
      </c>
      <c r="AQ12" s="1485">
        <f>F89</f>
        <v>0</v>
      </c>
      <c r="AR12" s="1485">
        <f>I89</f>
        <v>0</v>
      </c>
      <c r="AS12" s="1485">
        <f>L89</f>
        <v>0</v>
      </c>
      <c r="AT12" s="1455"/>
      <c r="AU12" s="1505" t="str">
        <f t="shared" si="0"/>
        <v xml:space="preserve"> </v>
      </c>
      <c r="AV12" s="1505" t="str">
        <f t="shared" si="1"/>
        <v xml:space="preserve"> </v>
      </c>
      <c r="AW12" s="1506">
        <f>I89</f>
        <v>0</v>
      </c>
      <c r="AX12" s="1506">
        <f>L89</f>
        <v>0</v>
      </c>
      <c r="AY12" s="1506">
        <f t="shared" si="2"/>
        <v>0</v>
      </c>
      <c r="AZ12" s="1507">
        <f t="shared" si="3"/>
        <v>0</v>
      </c>
      <c r="BB12" s="1533" t="s">
        <v>430</v>
      </c>
      <c r="BC12" s="1509">
        <f>F23</f>
        <v>18905646713</v>
      </c>
      <c r="BD12" s="1510">
        <f>I23</f>
        <v>11799686018</v>
      </c>
      <c r="BE12" s="1511">
        <f>K23</f>
        <v>579638789</v>
      </c>
      <c r="BF12" s="1462">
        <f>+BE12+AGOSTO!BE12+JULIO!BE12+JUNIO!BF12</f>
        <v>3161421561</v>
      </c>
      <c r="BG12" s="1570" t="s">
        <v>391</v>
      </c>
      <c r="BH12" s="1547">
        <f>BN25</f>
        <v>13405609615</v>
      </c>
      <c r="BI12" s="1547">
        <f>BO25</f>
        <v>10657960209</v>
      </c>
      <c r="BJ12" s="1547">
        <f>BP25</f>
        <v>9051278755</v>
      </c>
      <c r="BK12" s="1547">
        <f>BQ25</f>
        <v>747083444</v>
      </c>
      <c r="BL12" s="1465">
        <f>+BK12+AGOSTO!BK12+JULIO!BK12+JUNIO!BL12</f>
        <v>3398332344</v>
      </c>
      <c r="BM12" s="1571" t="s">
        <v>442</v>
      </c>
      <c r="BN12" s="1549">
        <f>X16+X65-X81-X33-BN10-BN11</f>
        <v>505688833</v>
      </c>
      <c r="BO12" s="1547">
        <f>AA16+AA65-AA81-AA33-BO10-BO11</f>
        <v>284956215</v>
      </c>
      <c r="BP12" s="1547">
        <f>AD16+AD65-AD81-AD33-BP10-BP11</f>
        <v>284956215</v>
      </c>
      <c r="BQ12" s="1550">
        <f>AF16+AF65-AF81-AF33-BQ10-BQ11</f>
        <v>33055556</v>
      </c>
    </row>
    <row r="13" spans="1:69" s="1448" customFormat="1" ht="24.95" customHeight="1">
      <c r="A13" s="1551">
        <f>+IF(AGOSTO!A13=0,"",AGOSTO!A13)</f>
        <v>1002</v>
      </c>
      <c r="B13" s="1552" t="str">
        <f>+IF(AGOSTO!B13=0,"",AGOSTO!B13)</f>
        <v>Fondo Vivienda (Caja, Bancos, Inversiones Tempor.) a Dic-31-2016</v>
      </c>
      <c r="C13" s="1553">
        <f>+ENERO!C13</f>
        <v>0</v>
      </c>
      <c r="D13" s="1554">
        <f>AGOSTO!D13+SEPTIEMBRE!P13</f>
        <v>0</v>
      </c>
      <c r="E13" s="1554">
        <f>AGOSTO!E13+SEPTIEMBRE!Q13</f>
        <v>53878092</v>
      </c>
      <c r="F13" s="1555">
        <f>SUM(C13:E13)</f>
        <v>53878092</v>
      </c>
      <c r="G13" s="1556">
        <f>AGOSTO!I13</f>
        <v>53878092</v>
      </c>
      <c r="H13" s="1557">
        <v>0</v>
      </c>
      <c r="I13" s="1555">
        <f>SUM(G13:H13)</f>
        <v>53878092</v>
      </c>
      <c r="J13" s="1556">
        <f>AGOSTO!L13</f>
        <v>53878092</v>
      </c>
      <c r="K13" s="1558">
        <v>0</v>
      </c>
      <c r="L13" s="1555">
        <f>SUM(J13:K13)</f>
        <v>53878092</v>
      </c>
      <c r="M13" s="1556">
        <f>F13-I13</f>
        <v>0</v>
      </c>
      <c r="N13" s="1555">
        <f>F13-L13</f>
        <v>0</v>
      </c>
      <c r="O13" s="1572"/>
      <c r="P13" s="1559">
        <v>0</v>
      </c>
      <c r="Q13" s="1560">
        <v>0</v>
      </c>
      <c r="S13" s="1538"/>
      <c r="T13" s="1539"/>
      <c r="U13" s="1540"/>
      <c r="V13" s="1540"/>
      <c r="W13" s="1540"/>
      <c r="X13" s="1540"/>
      <c r="Y13" s="1540"/>
      <c r="Z13" s="1540"/>
      <c r="AA13" s="1540"/>
      <c r="AB13" s="1540"/>
      <c r="AC13" s="1540"/>
      <c r="AD13" s="1540"/>
      <c r="AE13" s="1540"/>
      <c r="AF13" s="1540"/>
      <c r="AG13" s="1540"/>
      <c r="AH13" s="1540"/>
      <c r="AI13" s="1540"/>
      <c r="AJ13" s="1541"/>
      <c r="AK13" s="1566"/>
      <c r="AL13" s="1542"/>
      <c r="AM13" s="1543"/>
      <c r="AO13" s="1573"/>
      <c r="AP13" s="1569" t="s">
        <v>540</v>
      </c>
      <c r="AQ13" s="1485">
        <f>F90</f>
        <v>0</v>
      </c>
      <c r="AR13" s="1485">
        <f>I90</f>
        <v>0</v>
      </c>
      <c r="AS13" s="1485">
        <f>L90</f>
        <v>0</v>
      </c>
      <c r="AT13" s="1455"/>
      <c r="AU13" s="1505" t="str">
        <f t="shared" si="0"/>
        <v xml:space="preserve"> </v>
      </c>
      <c r="AV13" s="1505" t="str">
        <f t="shared" si="1"/>
        <v xml:space="preserve"> </v>
      </c>
      <c r="AW13" s="1506">
        <f>I90</f>
        <v>0</v>
      </c>
      <c r="AX13" s="1506">
        <f>L90</f>
        <v>0</v>
      </c>
      <c r="AY13" s="1506">
        <f t="shared" si="2"/>
        <v>0</v>
      </c>
      <c r="AZ13" s="1507">
        <f t="shared" si="3"/>
        <v>0</v>
      </c>
      <c r="BA13" s="1572"/>
      <c r="BB13" s="1574" t="s">
        <v>431</v>
      </c>
      <c r="BC13" s="1575">
        <f>+F30+F33+F36+F38+F39+F40</f>
        <v>415598482</v>
      </c>
      <c r="BD13" s="1576">
        <f>+I30+I33+I36+I38+I39+I40</f>
        <v>1343931601</v>
      </c>
      <c r="BE13" s="1577">
        <f>+K30+K33+K36+K38+K39+K40</f>
        <v>44271903</v>
      </c>
      <c r="BF13" s="1462">
        <f>+BE13+AGOSTO!BE13+JULIO!BE13+JUNIO!BF13</f>
        <v>259664961</v>
      </c>
      <c r="BG13" s="1463" t="s">
        <v>70</v>
      </c>
      <c r="BH13" s="1547">
        <f t="shared" ref="BH13:BK15" si="12">BN29</f>
        <v>433878092</v>
      </c>
      <c r="BI13" s="1547">
        <f t="shared" si="12"/>
        <v>352813794</v>
      </c>
      <c r="BJ13" s="1547">
        <f t="shared" si="12"/>
        <v>336273002</v>
      </c>
      <c r="BK13" s="1547">
        <f t="shared" si="12"/>
        <v>0</v>
      </c>
      <c r="BL13" s="1465">
        <f>+BK13+AGOSTO!BK13+JULIO!BK13+JUNIO!BL13</f>
        <v>172740563</v>
      </c>
      <c r="BM13" s="1578" t="s">
        <v>443</v>
      </c>
      <c r="BN13" s="1536">
        <f>X43-X55+X57-X61+X90-X102+X104-X108</f>
        <v>802834377</v>
      </c>
      <c r="BO13" s="1534">
        <f>AA43-AA55+AA57-AA61+AA90-AA102+AA104-AA108</f>
        <v>310832276</v>
      </c>
      <c r="BP13" s="1534">
        <f>AD43-AD55+AD57-AD61+AD90-AD102+AD104-AD108</f>
        <v>310832276</v>
      </c>
      <c r="BQ13" s="1537">
        <f>AF43-AF55+AF57-AF61+AF90-AF102+AF104-AF108</f>
        <v>39256014</v>
      </c>
    </row>
    <row r="14" spans="1:69" s="1448" customFormat="1" ht="24.95" customHeight="1">
      <c r="A14" s="1551">
        <f>+IF(AGOSTO!A14=0,"",AGOSTO!A14)</f>
        <v>1003</v>
      </c>
      <c r="B14" s="1552" t="str">
        <f>+IF(AGOSTO!B14=0,"",AGOSTO!B14)</f>
        <v>Fondos Comunes y Especiales (Caja, Bancos, Invers. Tempor.) a Dic-31-2016</v>
      </c>
      <c r="C14" s="1553">
        <f>+ENERO!C14</f>
        <v>0</v>
      </c>
      <c r="D14" s="1554">
        <f>AGOSTO!D14+SEPTIEMBRE!P14</f>
        <v>0</v>
      </c>
      <c r="E14" s="1554">
        <f>AGOSTO!E14+SEPTIEMBRE!Q14</f>
        <v>433953123</v>
      </c>
      <c r="F14" s="1555">
        <f>SUM(C14:E14)</f>
        <v>433953123</v>
      </c>
      <c r="G14" s="1556">
        <f>AGOSTO!I14</f>
        <v>433953123</v>
      </c>
      <c r="H14" s="1557">
        <v>0</v>
      </c>
      <c r="I14" s="1555">
        <f>SUM(G14:H14)</f>
        <v>433953123</v>
      </c>
      <c r="J14" s="1556">
        <f>AGOSTO!L14</f>
        <v>433953123</v>
      </c>
      <c r="K14" s="1558">
        <v>0</v>
      </c>
      <c r="L14" s="1555">
        <f>SUM(J14:K14)</f>
        <v>433953123</v>
      </c>
      <c r="M14" s="1556">
        <f>F14-I14</f>
        <v>0</v>
      </c>
      <c r="N14" s="1555">
        <f>F14-L14</f>
        <v>0</v>
      </c>
      <c r="O14" s="1572"/>
      <c r="P14" s="1559">
        <v>0</v>
      </c>
      <c r="Q14" s="1560">
        <v>0</v>
      </c>
      <c r="S14" s="1579">
        <f>+IF(AGOSTO!S14=0,"",AGOSTO!S14)</f>
        <v>1010000</v>
      </c>
      <c r="T14" s="1580" t="str">
        <f>+IF(AGOSTO!T14=0,"",AGOSTO!T14)</f>
        <v>Gastos de Administración</v>
      </c>
      <c r="U14" s="1581">
        <f t="shared" ref="U14:AJ14" si="13">U16+U35+U43+U57</f>
        <v>4011945263</v>
      </c>
      <c r="V14" s="1582">
        <f t="shared" si="13"/>
        <v>613648100</v>
      </c>
      <c r="W14" s="1582">
        <f t="shared" si="13"/>
        <v>2691531683</v>
      </c>
      <c r="X14" s="1583">
        <f t="shared" si="13"/>
        <v>7317125046</v>
      </c>
      <c r="Y14" s="1584">
        <f t="shared" si="13"/>
        <v>5634610751</v>
      </c>
      <c r="Z14" s="1582">
        <f t="shared" si="13"/>
        <v>323079194</v>
      </c>
      <c r="AA14" s="1583">
        <f t="shared" si="13"/>
        <v>5957689945</v>
      </c>
      <c r="AB14" s="1584">
        <f t="shared" si="13"/>
        <v>4772097477</v>
      </c>
      <c r="AC14" s="1582">
        <f t="shared" si="13"/>
        <v>516073624</v>
      </c>
      <c r="AD14" s="1583">
        <f t="shared" si="13"/>
        <v>5288171101</v>
      </c>
      <c r="AE14" s="1584">
        <f t="shared" si="13"/>
        <v>3371853292</v>
      </c>
      <c r="AF14" s="1582">
        <f t="shared" si="13"/>
        <v>167009190</v>
      </c>
      <c r="AG14" s="1583">
        <f t="shared" si="13"/>
        <v>3538862482</v>
      </c>
      <c r="AH14" s="1584">
        <f t="shared" si="13"/>
        <v>1359435101</v>
      </c>
      <c r="AI14" s="1582">
        <f t="shared" si="13"/>
        <v>2028953945</v>
      </c>
      <c r="AJ14" s="1585">
        <f t="shared" si="13"/>
        <v>3778262564</v>
      </c>
      <c r="AK14" s="1566"/>
      <c r="AL14" s="1584">
        <f>AL16+AL35+AL43+AL57</f>
        <v>-90746000</v>
      </c>
      <c r="AM14" s="1585">
        <f>AM16+AM35+AM43+AM57</f>
        <v>0</v>
      </c>
      <c r="AO14" s="1452"/>
      <c r="AP14" s="1453" t="s">
        <v>73</v>
      </c>
      <c r="AQ14" s="1485">
        <f>F19-AQ7-AQ8-AQ9-AQ10-AQ11-AQ12-AQ13</f>
        <v>11089111654</v>
      </c>
      <c r="AR14" s="1485">
        <f>I19-AR7-AR8-AR9-AR10-AR11-AR12-AR13</f>
        <v>9231562254</v>
      </c>
      <c r="AS14" s="1485">
        <f>L19-AS7-AS8-AS9-AS10-AS11-AS12-AS13</f>
        <v>4757162842</v>
      </c>
      <c r="AT14" s="1572"/>
      <c r="AU14" s="1505">
        <f t="shared" si="0"/>
        <v>0.83248889018716343</v>
      </c>
      <c r="AV14" s="1505">
        <f t="shared" si="1"/>
        <v>0.42899404302453964</v>
      </c>
      <c r="AW14" s="1506">
        <f>(I41+I46+I49+I52+I55+I58+I61+I64+I67+I70+I73+I78+I81+I82+I83+I85+I94+I104)/AO$2*12+I47+I50+I53+I56+I59+I62+I65+I68+I71+I74</f>
        <v>12694612303</v>
      </c>
      <c r="AX14" s="1506">
        <f>(L41+L46+L49+L52+L55+L58+L61+L64+L67+L70+L73+L78+L81+L82+L83+L85+L94+L104)/AO$2*12+L47+L50+L53+L56+L59+L62+L65+L68+L71+L74</f>
        <v>6392134236.333334</v>
      </c>
      <c r="AY14" s="1506">
        <f t="shared" si="2"/>
        <v>1605500649</v>
      </c>
      <c r="AZ14" s="1507">
        <f t="shared" si="3"/>
        <v>-4696977417.666666</v>
      </c>
      <c r="BB14" s="1574" t="s">
        <v>432</v>
      </c>
      <c r="BC14" s="1586">
        <f>+F64</f>
        <v>5110724757</v>
      </c>
      <c r="BD14" s="1587">
        <f>+I64</f>
        <v>1668023446</v>
      </c>
      <c r="BE14" s="1588">
        <f>K64</f>
        <v>189619018</v>
      </c>
      <c r="BF14" s="1462">
        <f>+BE14+AGOSTO!BE14+JULIO!BE14+JUNIO!BF14</f>
        <v>415503647</v>
      </c>
      <c r="BG14" s="1463" t="s">
        <v>74</v>
      </c>
      <c r="BH14" s="1534">
        <f t="shared" si="12"/>
        <v>0</v>
      </c>
      <c r="BI14" s="1534">
        <f t="shared" si="12"/>
        <v>0</v>
      </c>
      <c r="BJ14" s="1534">
        <f t="shared" si="12"/>
        <v>0</v>
      </c>
      <c r="BK14" s="1534">
        <f t="shared" si="12"/>
        <v>0</v>
      </c>
      <c r="BL14" s="1465">
        <f>+BK14+AGOSTO!BK14+JULIO!BK14+JUNIO!BL14</f>
        <v>0</v>
      </c>
      <c r="BM14" s="1589" t="s">
        <v>439</v>
      </c>
      <c r="BN14" s="1549">
        <f>X35-X41+X83-X88</f>
        <v>29110311505</v>
      </c>
      <c r="BO14" s="1547">
        <f>AA35-AA41+AA83-AA88</f>
        <v>28070177558</v>
      </c>
      <c r="BP14" s="1547">
        <f>AD35-AD41+AD83-AD88</f>
        <v>19876446625</v>
      </c>
      <c r="BQ14" s="1550">
        <f>AF35-AF41+AF83-AF88</f>
        <v>1800344025</v>
      </c>
    </row>
    <row r="15" spans="1:69" s="1448" customFormat="1" ht="24.95" customHeight="1" thickBot="1">
      <c r="A15" s="1590">
        <f>+IF(AGOSTO!A15=0,"",AGOSTO!A15)</f>
        <v>1004</v>
      </c>
      <c r="B15" s="1552" t="str">
        <f>+IF(AGOSTO!B15=0,"",AGOSTO!B15)</f>
        <v>Cesantias Ley 50/1990 a Dic-31-2016</v>
      </c>
      <c r="C15" s="1591">
        <f>+ENERO!C15</f>
        <v>0</v>
      </c>
      <c r="D15" s="1592">
        <f>AGOSTO!D15+SEPTIEMBRE!P15</f>
        <v>0</v>
      </c>
      <c r="E15" s="1592">
        <f>AGOSTO!E15+SEPTIEMBRE!Q15</f>
        <v>103342000</v>
      </c>
      <c r="F15" s="1593">
        <f>SUM(C15:E15)</f>
        <v>103342000</v>
      </c>
      <c r="G15" s="1594">
        <f>AGOSTO!I15</f>
        <v>103342000</v>
      </c>
      <c r="H15" s="1595">
        <v>0</v>
      </c>
      <c r="I15" s="1593">
        <f>SUM(G15:H15)</f>
        <v>103342000</v>
      </c>
      <c r="J15" s="1594">
        <f>AGOSTO!L15</f>
        <v>103342000</v>
      </c>
      <c r="K15" s="1596">
        <v>0</v>
      </c>
      <c r="L15" s="1593">
        <f>SUM(J15:K15)</f>
        <v>103342000</v>
      </c>
      <c r="M15" s="1594">
        <f>F15-I15</f>
        <v>0</v>
      </c>
      <c r="N15" s="1593">
        <f>F15-L15</f>
        <v>0</v>
      </c>
      <c r="O15" s="1572"/>
      <c r="P15" s="1597">
        <v>0</v>
      </c>
      <c r="Q15" s="1598">
        <v>0</v>
      </c>
      <c r="S15" s="1538" t="str">
        <f>+IF(AGOSTO!S15=0,"",AGOSTO!S15)</f>
        <v/>
      </c>
      <c r="T15" s="1539" t="str">
        <f>+IF(AGOSTO!T15=0,"",AGOSTO!T15)</f>
        <v xml:space="preserve"> </v>
      </c>
      <c r="U15" s="1540"/>
      <c r="V15" s="1540"/>
      <c r="W15" s="1540"/>
      <c r="X15" s="1540"/>
      <c r="Y15" s="1540"/>
      <c r="Z15" s="1540"/>
      <c r="AA15" s="1540"/>
      <c r="AB15" s="1540"/>
      <c r="AC15" s="1540"/>
      <c r="AD15" s="1540"/>
      <c r="AE15" s="1540"/>
      <c r="AF15" s="1540"/>
      <c r="AG15" s="1540"/>
      <c r="AH15" s="1540"/>
      <c r="AI15" s="1540"/>
      <c r="AJ15" s="1541"/>
      <c r="AK15" s="1566"/>
      <c r="AL15" s="1599"/>
      <c r="AM15" s="1600"/>
      <c r="AO15" s="1573"/>
      <c r="AP15" s="1453" t="s">
        <v>76</v>
      </c>
      <c r="AQ15" s="1485">
        <f>F113</f>
        <v>9056443575</v>
      </c>
      <c r="AR15" s="1485">
        <f>I113</f>
        <v>107771968</v>
      </c>
      <c r="AS15" s="1485">
        <f>L113</f>
        <v>107771968</v>
      </c>
      <c r="AT15" s="1455"/>
      <c r="AU15" s="1486">
        <f t="shared" si="0"/>
        <v>1.1900031961497646E-2</v>
      </c>
      <c r="AV15" s="1505">
        <f t="shared" si="1"/>
        <v>1.1900031961497646E-2</v>
      </c>
      <c r="AW15" s="1485">
        <f>+AR15</f>
        <v>107771968</v>
      </c>
      <c r="AX15" s="1485">
        <f>+AS15</f>
        <v>107771968</v>
      </c>
      <c r="AY15" s="1485">
        <f t="shared" si="2"/>
        <v>-8948671607</v>
      </c>
      <c r="AZ15" s="1487">
        <f t="shared" si="3"/>
        <v>-8948671607</v>
      </c>
      <c r="BA15" s="1572"/>
      <c r="BB15" s="1574" t="s">
        <v>77</v>
      </c>
      <c r="BC15" s="1586">
        <f>F46+F49</f>
        <v>375197511</v>
      </c>
      <c r="BD15" s="1587">
        <f>I46+I49</f>
        <v>285700079</v>
      </c>
      <c r="BE15" s="1588">
        <f>K46+K49</f>
        <v>0</v>
      </c>
      <c r="BF15" s="1462">
        <f>+BE15+AGOSTO!BE15+JULIO!BE15+JUNIO!BF15</f>
        <v>0</v>
      </c>
      <c r="BG15" s="1463" t="s">
        <v>78</v>
      </c>
      <c r="BH15" s="1534">
        <f t="shared" si="12"/>
        <v>11164400104</v>
      </c>
      <c r="BI15" s="1534">
        <f t="shared" si="12"/>
        <v>10954458371</v>
      </c>
      <c r="BJ15" s="1534">
        <f t="shared" si="12"/>
        <v>10954458371</v>
      </c>
      <c r="BK15" s="1534">
        <f t="shared" si="12"/>
        <v>282775963</v>
      </c>
      <c r="BL15" s="1465">
        <f>+BK15+AGOSTO!BK15+JULIO!BK15+JUNIO!BL15</f>
        <v>10954458371</v>
      </c>
      <c r="BM15" s="1494" t="s">
        <v>66</v>
      </c>
      <c r="BN15" s="1536">
        <f>SUM(BN16:BN21)</f>
        <v>9736359656</v>
      </c>
      <c r="BO15" s="1534">
        <f>SUM(BO16:BO21)</f>
        <v>7395417089</v>
      </c>
      <c r="BP15" s="1534">
        <f>SUM(BP16:BP21)</f>
        <v>5993139588</v>
      </c>
      <c r="BQ15" s="1537">
        <f>SUM(BQ16:BQ21)</f>
        <v>417146865</v>
      </c>
    </row>
    <row r="16" spans="1:69" s="1448" customFormat="1" ht="24.95" customHeight="1" thickBot="1">
      <c r="A16" s="1601" t="str">
        <f>+IF(AGOSTO!A16=0,"",AGOSTO!A16)</f>
        <v/>
      </c>
      <c r="B16" s="1602" t="str">
        <f>+IF(AGOSTO!B16=0,"",AGOSTO!B16)</f>
        <v/>
      </c>
      <c r="C16" s="1603"/>
      <c r="D16" s="1603"/>
      <c r="E16" s="1603"/>
      <c r="F16" s="1603"/>
      <c r="G16" s="1603"/>
      <c r="H16" s="1603"/>
      <c r="I16" s="1603"/>
      <c r="J16" s="1603"/>
      <c r="K16" s="1603"/>
      <c r="L16" s="1603"/>
      <c r="M16" s="1603"/>
      <c r="N16" s="1604"/>
      <c r="O16" s="1572"/>
      <c r="P16" s="1605"/>
      <c r="Q16" s="1606"/>
      <c r="S16" s="1607">
        <f>+IF(AGOSTO!S16=0,"",AGOSTO!S16)</f>
        <v>1010100</v>
      </c>
      <c r="T16" s="1608" t="str">
        <f>+IF(AGOSTO!T16=0,"",AGOSTO!T16)</f>
        <v>Servicios Personales Asociados a Nómina</v>
      </c>
      <c r="U16" s="1581">
        <f t="shared" ref="U16:AJ16" si="14">SUM(U17:U20)+U33</f>
        <v>762990941</v>
      </c>
      <c r="V16" s="1582">
        <f t="shared" si="14"/>
        <v>-33746000</v>
      </c>
      <c r="W16" s="1582">
        <f t="shared" si="14"/>
        <v>19210353</v>
      </c>
      <c r="X16" s="1583">
        <f t="shared" si="14"/>
        <v>748455294</v>
      </c>
      <c r="Y16" s="1584">
        <f t="shared" si="14"/>
        <v>372347823</v>
      </c>
      <c r="Z16" s="1582">
        <f t="shared" si="14"/>
        <v>75860368</v>
      </c>
      <c r="AA16" s="1583">
        <f t="shared" si="14"/>
        <v>448208191</v>
      </c>
      <c r="AB16" s="1584">
        <f t="shared" si="14"/>
        <v>372347823</v>
      </c>
      <c r="AC16" s="1582">
        <f t="shared" si="14"/>
        <v>75860368</v>
      </c>
      <c r="AD16" s="1583">
        <f t="shared" si="14"/>
        <v>448208191</v>
      </c>
      <c r="AE16" s="1584">
        <f t="shared" si="14"/>
        <v>372347823</v>
      </c>
      <c r="AF16" s="1582">
        <f t="shared" si="14"/>
        <v>75860368</v>
      </c>
      <c r="AG16" s="1583">
        <f t="shared" si="14"/>
        <v>448208191</v>
      </c>
      <c r="AH16" s="1584">
        <f t="shared" si="14"/>
        <v>300247103</v>
      </c>
      <c r="AI16" s="1582">
        <f t="shared" si="14"/>
        <v>300247103</v>
      </c>
      <c r="AJ16" s="1585">
        <f t="shared" si="14"/>
        <v>300247103</v>
      </c>
      <c r="AK16" s="1566"/>
      <c r="AL16" s="1584">
        <f>SUM(AL17:AL20)+AL33</f>
        <v>-3746000</v>
      </c>
      <c r="AM16" s="1585">
        <f>SUM(AM17:AM20)+AM33</f>
        <v>0</v>
      </c>
      <c r="AO16" s="1452"/>
      <c r="AP16" s="1609" t="s">
        <v>81</v>
      </c>
      <c r="AQ16" s="1610">
        <f>F10</f>
        <v>617329922</v>
      </c>
      <c r="AR16" s="1610">
        <f>I10</f>
        <v>617329922</v>
      </c>
      <c r="AS16" s="1610">
        <f>L10</f>
        <v>617329922</v>
      </c>
      <c r="AT16" s="1572"/>
      <c r="AU16" s="1611">
        <f t="shared" si="0"/>
        <v>1</v>
      </c>
      <c r="AV16" s="1611">
        <f t="shared" si="1"/>
        <v>1</v>
      </c>
      <c r="AW16" s="1610">
        <f t="shared" ref="AW16:AX16" si="15">+AR16</f>
        <v>617329922</v>
      </c>
      <c r="AX16" s="1610">
        <f t="shared" si="15"/>
        <v>617329922</v>
      </c>
      <c r="AY16" s="1485">
        <f t="shared" si="2"/>
        <v>0</v>
      </c>
      <c r="AZ16" s="1612">
        <f t="shared" si="3"/>
        <v>0</v>
      </c>
      <c r="BA16" s="1572"/>
      <c r="BB16" s="1533" t="s">
        <v>433</v>
      </c>
      <c r="BC16" s="1509">
        <f>F43</f>
        <v>0</v>
      </c>
      <c r="BD16" s="1510">
        <f>I43</f>
        <v>0</v>
      </c>
      <c r="BE16" s="1511">
        <f>K43</f>
        <v>0</v>
      </c>
      <c r="BF16" s="1462">
        <f>+BE16+AGOSTO!BE16+JULIO!BE16+JUNIO!BF16</f>
        <v>0</v>
      </c>
      <c r="BG16" s="1463" t="s">
        <v>82</v>
      </c>
      <c r="BH16" s="1613">
        <f>BH7+BH12+BH13+BH14+BH15</f>
        <v>66878334114</v>
      </c>
      <c r="BI16" s="1613">
        <f>BI7+BI12+BI13+BI14+BI15</f>
        <v>59186640885</v>
      </c>
      <c r="BJ16" s="1613">
        <f>BJ7+BJ12+BJ13+BJ14+BJ15</f>
        <v>47956535076</v>
      </c>
      <c r="BK16" s="1613">
        <f>BK7+BK12+BK13+BK14+BK15</f>
        <v>3519719389</v>
      </c>
      <c r="BL16" s="1465">
        <f>+BK16+AGOSTO!BK16+JULIO!BK16+JUNIO!BL16</f>
        <v>29899717136</v>
      </c>
      <c r="BM16" s="1514" t="s">
        <v>83</v>
      </c>
      <c r="BN16" s="1536">
        <f>X114-X121+X147-X148-X153</f>
        <v>1841358788</v>
      </c>
      <c r="BO16" s="1534">
        <f>AA114-AA121+AA147-AA148-AA153</f>
        <v>810686384</v>
      </c>
      <c r="BP16" s="1534">
        <f>AD114-AD121+AD147-AD148-AD153</f>
        <v>730143217</v>
      </c>
      <c r="BQ16" s="1537">
        <f>AF114-AF121+AF147-AF148-AF153</f>
        <v>35233916</v>
      </c>
    </row>
    <row r="17" spans="1:70" s="1572" customFormat="1" ht="24.95" customHeight="1" thickBot="1">
      <c r="A17" s="1517">
        <f>+IF(AGOSTO!A17=0,"",AGOSTO!A17)</f>
        <v>11</v>
      </c>
      <c r="B17" s="1614" t="str">
        <f>+IF(AGOSTO!B17=0,"",AGOSTO!B17)</f>
        <v>INGRESOS  CORRIENTES</v>
      </c>
      <c r="C17" s="1474">
        <f>C19+C94+C104</f>
        <v>41169250887</v>
      </c>
      <c r="D17" s="1472">
        <f t="shared" ref="D17:Q17" si="16">D19+D94+D104</f>
        <v>0</v>
      </c>
      <c r="E17" s="1472">
        <f t="shared" si="16"/>
        <v>16035309730</v>
      </c>
      <c r="F17" s="1472">
        <f t="shared" si="16"/>
        <v>57204560617</v>
      </c>
      <c r="G17" s="1472">
        <f t="shared" si="16"/>
        <v>48982723834</v>
      </c>
      <c r="H17" s="1472">
        <f t="shared" si="16"/>
        <v>3462075032</v>
      </c>
      <c r="I17" s="1472">
        <f t="shared" si="16"/>
        <v>52444798866</v>
      </c>
      <c r="J17" s="1472">
        <f t="shared" si="16"/>
        <v>26098730272</v>
      </c>
      <c r="K17" s="1472">
        <f t="shared" si="16"/>
        <v>3461391481</v>
      </c>
      <c r="L17" s="1472">
        <f t="shared" si="16"/>
        <v>29560121753</v>
      </c>
      <c r="M17" s="1472">
        <f t="shared" si="16"/>
        <v>4759761751</v>
      </c>
      <c r="N17" s="1475">
        <f t="shared" si="16"/>
        <v>27644438864</v>
      </c>
      <c r="P17" s="1519">
        <f t="shared" si="16"/>
        <v>0</v>
      </c>
      <c r="Q17" s="1521">
        <f t="shared" si="16"/>
        <v>0</v>
      </c>
      <c r="R17" s="1448"/>
      <c r="S17" s="1615">
        <f>+IF(AGOSTO!S17=0,"",AGOSTO!S17)</f>
        <v>1010101</v>
      </c>
      <c r="T17" s="1616" t="str">
        <f>+IF(AGOSTO!T17=0,"",AGOSTO!T17)</f>
        <v>Sueldos del Personal de nómina</v>
      </c>
      <c r="U17" s="1617">
        <f>+ENERO!U17</f>
        <v>619731764</v>
      </c>
      <c r="V17" s="1618">
        <f>AGOSTO!V17+SEPTIEMBRE!AL17</f>
        <v>-33841000</v>
      </c>
      <c r="W17" s="1618">
        <f>AGOSTO!W17+SEPTIEMBRE!AM17</f>
        <v>0</v>
      </c>
      <c r="X17" s="1619">
        <f>SUM(U17:W17)</f>
        <v>585890764</v>
      </c>
      <c r="Y17" s="1620">
        <f>AGOSTO!AA17</f>
        <v>303904335</v>
      </c>
      <c r="Z17" s="1557">
        <v>61468909</v>
      </c>
      <c r="AA17" s="1619">
        <f>SUM(Y17:Z17)</f>
        <v>365373244</v>
      </c>
      <c r="AB17" s="1620">
        <f>AGOSTO!AD17</f>
        <v>303904335</v>
      </c>
      <c r="AC17" s="1557">
        <v>61468909</v>
      </c>
      <c r="AD17" s="1619">
        <f>SUM(AB17:AC17)</f>
        <v>365373244</v>
      </c>
      <c r="AE17" s="1620">
        <f>AGOSTO!AG17</f>
        <v>303904335</v>
      </c>
      <c r="AF17" s="1557">
        <v>61468909</v>
      </c>
      <c r="AG17" s="1619">
        <f>SUM(AE17:AF17)</f>
        <v>365373244</v>
      </c>
      <c r="AH17" s="1620">
        <f>X17-AA17</f>
        <v>220517520</v>
      </c>
      <c r="AI17" s="1618">
        <f>X17-AD17</f>
        <v>220517520</v>
      </c>
      <c r="AJ17" s="1621">
        <f>X17-AG17</f>
        <v>220517520</v>
      </c>
      <c r="AK17" s="1448"/>
      <c r="AL17" s="1559">
        <v>-3841000</v>
      </c>
      <c r="AM17" s="1560">
        <v>0</v>
      </c>
      <c r="AN17" s="1448"/>
      <c r="AO17" s="1504"/>
      <c r="AP17" s="1622" t="s">
        <v>85</v>
      </c>
      <c r="AQ17" s="1623">
        <f>SUM(AQ7:AQ16)</f>
        <v>65953226618</v>
      </c>
      <c r="AR17" s="1624">
        <f>SUM(AR7:AR16)</f>
        <v>52045965293</v>
      </c>
      <c r="AS17" s="1625">
        <f>SUM(AS7:AS16)</f>
        <v>29413747318</v>
      </c>
      <c r="AT17" s="1626"/>
      <c r="AU17" s="1624">
        <f t="shared" si="0"/>
        <v>0.7891344815387028</v>
      </c>
      <c r="AV17" s="1624">
        <f t="shared" si="1"/>
        <v>0.44597889786899947</v>
      </c>
      <c r="AW17" s="1627">
        <f>SUM(AX7:AX16)</f>
        <v>34272743918.333336</v>
      </c>
      <c r="AX17" s="1627">
        <f>SUM(AX7:AX16)</f>
        <v>34272743918.333336</v>
      </c>
      <c r="AY17" s="1627">
        <f>SUM(AY7:AY16)</f>
        <v>-1167579882.3333321</v>
      </c>
      <c r="AZ17" s="1628">
        <f>SUM(AZ7:AZ16)</f>
        <v>-31680482699.666664</v>
      </c>
      <c r="BA17" s="1448"/>
      <c r="BB17" s="1533" t="s">
        <v>434</v>
      </c>
      <c r="BC17" s="1509">
        <f>F41+F52+F55+F58+F61+F67+F70+F73+F76+F79+F82+F86+F87+F88+F89+F90+F91</f>
        <v>2515454979</v>
      </c>
      <c r="BD17" s="1510">
        <f>I41+I52+I55+I58+I61+I67+I70+I73+I76+I79+I82+I86+I87+I88+I89+I90+I91</f>
        <v>3966060721</v>
      </c>
      <c r="BE17" s="1511">
        <f>K41+K52+K55+K58+K61+K67+K70+K73+K76+K79+K82+K86+K87+K88+K89+K90+K91</f>
        <v>88046823</v>
      </c>
      <c r="BF17" s="1462">
        <f>+BE17+AGOSTO!BE17+JULIO!BE17+JUNIO!BF17</f>
        <v>1000022973</v>
      </c>
      <c r="BG17" s="1629" t="s">
        <v>86</v>
      </c>
      <c r="BH17" s="1630">
        <f>BC23-BH16</f>
        <v>-66878334114</v>
      </c>
      <c r="BI17" s="1630"/>
      <c r="BJ17" s="1630"/>
      <c r="BK17" s="1630"/>
      <c r="BL17" s="1465">
        <f>+BK17+AGOSTO!BK17+JULIO!BK17+JUNIO!BL17</f>
        <v>0</v>
      </c>
      <c r="BM17" s="1514" t="s">
        <v>449</v>
      </c>
      <c r="BN17" s="1536">
        <f>X123-X126-X139+X155-X156-X167-X168</f>
        <v>4929146146</v>
      </c>
      <c r="BO17" s="1534">
        <f>AA123-AA126-AA139+AA155-AA156-AA167-AA168</f>
        <v>4527088740</v>
      </c>
      <c r="BP17" s="1534">
        <f>AD123-AD126-AD139+AD155-AD156-AD167-AD168</f>
        <v>3634002386</v>
      </c>
      <c r="BQ17" s="1537">
        <f>AF123-AF126-AF139+AF155-AF156-AF167-AF168</f>
        <v>273090329</v>
      </c>
      <c r="BR17" s="1448"/>
    </row>
    <row r="18" spans="1:70" s="1448" customFormat="1" ht="24.95" customHeight="1" thickBot="1">
      <c r="A18" s="1551" t="str">
        <f>+IF(AGOSTO!A18=0,"",AGOSTO!A18)</f>
        <v/>
      </c>
      <c r="B18" s="1631" t="str">
        <f>+IF(AGOSTO!B18=0,"",AGOSTO!B18)</f>
        <v/>
      </c>
      <c r="C18" s="1401"/>
      <c r="D18" s="1401"/>
      <c r="E18" s="1401"/>
      <c r="F18" s="1401"/>
      <c r="G18" s="1401"/>
      <c r="H18" s="1401"/>
      <c r="I18" s="1401"/>
      <c r="J18" s="1401"/>
      <c r="K18" s="1401"/>
      <c r="L18" s="1401"/>
      <c r="M18" s="1401"/>
      <c r="N18" s="1632"/>
      <c r="P18" s="1633"/>
      <c r="Q18" s="1634"/>
      <c r="S18" s="1615">
        <f>+IF(AGOSTO!S18=0,"",AGOSTO!S18)</f>
        <v>1010102</v>
      </c>
      <c r="T18" s="1616" t="str">
        <f>+IF(AGOSTO!T18=0,"",AGOSTO!T18)</f>
        <v>Horas Extras,Dominic.,Festivos y Rec. Nocturnos</v>
      </c>
      <c r="U18" s="1617">
        <f>+ENERO!U18</f>
        <v>0</v>
      </c>
      <c r="V18" s="1618">
        <f>AGOSTO!V18+SEPTIEMBRE!AL18</f>
        <v>0</v>
      </c>
      <c r="W18" s="1618">
        <f>AGOSTO!W18+SEPTIEMBRE!AM18</f>
        <v>0</v>
      </c>
      <c r="X18" s="1619">
        <f>SUM(U18:W18)</f>
        <v>0</v>
      </c>
      <c r="Y18" s="1620">
        <f>AGOSTO!AA18</f>
        <v>0</v>
      </c>
      <c r="Z18" s="1557">
        <v>0</v>
      </c>
      <c r="AA18" s="1619">
        <f>SUM(Y18:Z18)</f>
        <v>0</v>
      </c>
      <c r="AB18" s="1620">
        <f>AGOSTO!AD18</f>
        <v>0</v>
      </c>
      <c r="AC18" s="1557">
        <v>0</v>
      </c>
      <c r="AD18" s="1619">
        <f>SUM(AB18:AC18)</f>
        <v>0</v>
      </c>
      <c r="AE18" s="1620">
        <f>AGOSTO!AG18</f>
        <v>0</v>
      </c>
      <c r="AF18" s="1557">
        <v>0</v>
      </c>
      <c r="AG18" s="1619">
        <f>SUM(AE18:AF18)</f>
        <v>0</v>
      </c>
      <c r="AH18" s="1620">
        <f>X18-AA18</f>
        <v>0</v>
      </c>
      <c r="AI18" s="1618">
        <f>X18-AD18</f>
        <v>0</v>
      </c>
      <c r="AJ18" s="1621">
        <f>X18-AG18</f>
        <v>0</v>
      </c>
      <c r="AL18" s="1559">
        <v>0</v>
      </c>
      <c r="AM18" s="1560">
        <v>0</v>
      </c>
      <c r="AO18" s="1452"/>
      <c r="AP18" s="1401" t="s">
        <v>51</v>
      </c>
      <c r="AQ18" s="1401"/>
      <c r="AR18" s="1401"/>
      <c r="AS18" s="1401"/>
      <c r="AT18" s="1401"/>
      <c r="AU18" s="1401"/>
      <c r="AV18" s="1401"/>
      <c r="AW18" s="1401"/>
      <c r="AX18" s="1401"/>
      <c r="AY18" s="1401"/>
      <c r="AZ18" s="1401"/>
      <c r="BA18" s="1572"/>
      <c r="BB18" s="1574" t="s">
        <v>435</v>
      </c>
      <c r="BC18" s="1509">
        <f>+F95+F96+F97+F99+F100+F101</f>
        <v>125236928</v>
      </c>
      <c r="BD18" s="1510">
        <f>+I95+I96+I97+I99+I100+I101</f>
        <v>125236928</v>
      </c>
      <c r="BE18" s="1511">
        <f>+K95+K96+K97+K99+K100+K101</f>
        <v>0</v>
      </c>
      <c r="BF18" s="1462">
        <f>+BE18+AGOSTO!BE18+JULIO!BE18+JUNIO!BF18</f>
        <v>125236928</v>
      </c>
      <c r="BM18" s="1514" t="s">
        <v>87</v>
      </c>
      <c r="BN18" s="1536">
        <f>X148+X156</f>
        <v>2058462544</v>
      </c>
      <c r="BO18" s="1534">
        <f>AA148+AA156</f>
        <v>1233940696</v>
      </c>
      <c r="BP18" s="1534">
        <f>AD148+AD156</f>
        <v>805361001</v>
      </c>
      <c r="BQ18" s="1537">
        <f>AF148+AF156</f>
        <v>51227735</v>
      </c>
      <c r="BR18" s="1572"/>
    </row>
    <row r="19" spans="1:70" s="1448" customFormat="1" ht="24.95" customHeight="1" thickBot="1">
      <c r="A19" s="1635">
        <f>+IF(AGOSTO!A19=0,"",AGOSTO!A19)</f>
        <v>113</v>
      </c>
      <c r="B19" s="1636" t="str">
        <f>+IF(AGOSTO!B19=0,"",AGOSTO!B19)</f>
        <v>VENTA DE SERVICIOS</v>
      </c>
      <c r="C19" s="1474">
        <f t="shared" ref="C19:N19" si="17">C21+C85</f>
        <v>40501810887</v>
      </c>
      <c r="D19" s="1472">
        <f t="shared" si="17"/>
        <v>0</v>
      </c>
      <c r="E19" s="1472">
        <f t="shared" si="17"/>
        <v>15777642234</v>
      </c>
      <c r="F19" s="1475">
        <f t="shared" si="17"/>
        <v>56279453121</v>
      </c>
      <c r="G19" s="1474">
        <f t="shared" si="17"/>
        <v>47998077685</v>
      </c>
      <c r="H19" s="1472">
        <f t="shared" si="17"/>
        <v>3322785718</v>
      </c>
      <c r="I19" s="1475">
        <f t="shared" si="17"/>
        <v>51320863403</v>
      </c>
      <c r="J19" s="1474">
        <f t="shared" si="17"/>
        <v>25353596575</v>
      </c>
      <c r="K19" s="1472">
        <f t="shared" si="17"/>
        <v>3335048853</v>
      </c>
      <c r="L19" s="1475">
        <f t="shared" si="17"/>
        <v>28688645428</v>
      </c>
      <c r="M19" s="1474">
        <f t="shared" si="17"/>
        <v>4958589718</v>
      </c>
      <c r="N19" s="1475">
        <f t="shared" si="17"/>
        <v>27590807693</v>
      </c>
      <c r="O19" s="1572"/>
      <c r="P19" s="1637">
        <f>P21+P85</f>
        <v>0</v>
      </c>
      <c r="Q19" s="1638">
        <f>Q21+Q85</f>
        <v>0</v>
      </c>
      <c r="S19" s="1615">
        <f>+IF(AGOSTO!S19=0,"",AGOSTO!S19)</f>
        <v>1010103</v>
      </c>
      <c r="T19" s="1616" t="str">
        <f>+IF(AGOSTO!T19=0,"",AGOSTO!T19)</f>
        <v>Prima Técnica</v>
      </c>
      <c r="U19" s="1617">
        <f>+ENERO!U19</f>
        <v>0</v>
      </c>
      <c r="V19" s="1618">
        <f>AGOSTO!V19+SEPTIEMBRE!AL19</f>
        <v>0</v>
      </c>
      <c r="W19" s="1618">
        <f>AGOSTO!W19+SEPTIEMBRE!AM19</f>
        <v>0</v>
      </c>
      <c r="X19" s="1619">
        <f>SUM(U19:W19)</f>
        <v>0</v>
      </c>
      <c r="Y19" s="1620">
        <f>AGOSTO!AA19</f>
        <v>0</v>
      </c>
      <c r="Z19" s="1557">
        <v>0</v>
      </c>
      <c r="AA19" s="1619">
        <f>SUM(Y19:Z19)</f>
        <v>0</v>
      </c>
      <c r="AB19" s="1620">
        <f>AGOSTO!AD19</f>
        <v>0</v>
      </c>
      <c r="AC19" s="1557">
        <v>0</v>
      </c>
      <c r="AD19" s="1619">
        <f>SUM(AB19:AC19)</f>
        <v>0</v>
      </c>
      <c r="AE19" s="1620">
        <f>AGOSTO!AG19</f>
        <v>0</v>
      </c>
      <c r="AF19" s="1557">
        <v>0</v>
      </c>
      <c r="AG19" s="1619">
        <f>SUM(AE19:AF19)</f>
        <v>0</v>
      </c>
      <c r="AH19" s="1620">
        <f>X19-AA19</f>
        <v>0</v>
      </c>
      <c r="AI19" s="1618">
        <f>X19-AD19</f>
        <v>0</v>
      </c>
      <c r="AJ19" s="1621">
        <f>X19-AG19</f>
        <v>0</v>
      </c>
      <c r="AL19" s="1559">
        <v>0</v>
      </c>
      <c r="AM19" s="1560">
        <v>0</v>
      </c>
      <c r="AO19" s="1452"/>
      <c r="AP19" s="1639"/>
      <c r="AQ19" s="1640" t="s">
        <v>13</v>
      </c>
      <c r="AR19" s="1641" t="s">
        <v>44</v>
      </c>
      <c r="AS19" s="1642" t="s">
        <v>92</v>
      </c>
      <c r="AT19" s="1641" t="s">
        <v>16</v>
      </c>
      <c r="AU19" s="1643" t="s">
        <v>16</v>
      </c>
      <c r="AV19" s="1644" t="s">
        <v>16</v>
      </c>
      <c r="AW19" s="3145" t="str">
        <f>+CONCATENATE("PROYECCION A DICIEMBRE 31 DEL ",N3)</f>
        <v>PROYECCION A DICIEMBRE 31 DEL 2017</v>
      </c>
      <c r="AX19" s="3146"/>
      <c r="AY19" s="3146"/>
      <c r="AZ19" s="3147"/>
      <c r="BA19" s="1572"/>
      <c r="BB19" s="1645" t="s">
        <v>93</v>
      </c>
      <c r="BC19" s="1646">
        <f>+F105+F106+F107+F108+F109+F110+F98</f>
        <v>748204441</v>
      </c>
      <c r="BD19" s="1587">
        <f>+I105+I106+I107+I108+I109+I110+I98</f>
        <v>825678632</v>
      </c>
      <c r="BE19" s="1588">
        <f>+K105+K106+K107+K108+K109+K110+K98</f>
        <v>60305856</v>
      </c>
      <c r="BF19" s="1462">
        <f>+BE19+AGOSTO!BE19+JULIO!BE19+JUNIO!BF19</f>
        <v>573219494</v>
      </c>
      <c r="BG19" s="1572"/>
      <c r="BH19" s="1572">
        <f>BN33</f>
        <v>0</v>
      </c>
      <c r="BI19" s="1572"/>
      <c r="BJ19" s="1572"/>
      <c r="BK19" s="1572"/>
      <c r="BM19" s="1514" t="s">
        <v>94</v>
      </c>
      <c r="BN19" s="1536">
        <f>X126+X167</f>
        <v>904500000</v>
      </c>
      <c r="BO19" s="1534">
        <f>AA126+AA167</f>
        <v>820809091</v>
      </c>
      <c r="BP19" s="1534">
        <f>AD126+AD167</f>
        <v>820740806</v>
      </c>
      <c r="BQ19" s="1537">
        <f>AF126+AF167</f>
        <v>54702707</v>
      </c>
    </row>
    <row r="20" spans="1:70" s="1659" customFormat="1" ht="24.95" customHeight="1" thickBot="1">
      <c r="A20" s="1551" t="str">
        <f>+IF(AGOSTO!A20=0,"",AGOSTO!A20)</f>
        <v/>
      </c>
      <c r="B20" s="1647" t="str">
        <f>+IF(AGOSTO!B20=0,"",AGOSTO!B20)</f>
        <v/>
      </c>
      <c r="C20" s="1401"/>
      <c r="D20" s="1401"/>
      <c r="E20" s="1401"/>
      <c r="F20" s="1401"/>
      <c r="G20" s="1401"/>
      <c r="H20" s="1401"/>
      <c r="I20" s="1401"/>
      <c r="J20" s="1401"/>
      <c r="K20" s="1401"/>
      <c r="L20" s="1401"/>
      <c r="M20" s="1401"/>
      <c r="N20" s="1632"/>
      <c r="O20" s="1448"/>
      <c r="P20" s="1633"/>
      <c r="Q20" s="1634"/>
      <c r="R20" s="1448"/>
      <c r="S20" s="1615">
        <f>+IF(AGOSTO!S20=0,"",AGOSTO!S20)</f>
        <v>1010104</v>
      </c>
      <c r="T20" s="1616" t="str">
        <f>+IF(AGOSTO!T20=0,"",AGOSTO!T20)</f>
        <v>Otros</v>
      </c>
      <c r="U20" s="1617">
        <f t="shared" ref="U20:AJ20" si="18">SUM(U21:U32)</f>
        <v>143259177</v>
      </c>
      <c r="V20" s="1618">
        <f t="shared" si="18"/>
        <v>95000</v>
      </c>
      <c r="W20" s="1618">
        <f t="shared" si="18"/>
        <v>19210353</v>
      </c>
      <c r="X20" s="1619">
        <f t="shared" si="18"/>
        <v>162564530</v>
      </c>
      <c r="Y20" s="1620">
        <f t="shared" si="18"/>
        <v>68443488</v>
      </c>
      <c r="Z20" s="1648">
        <f t="shared" si="18"/>
        <v>14391459</v>
      </c>
      <c r="AA20" s="1619">
        <f t="shared" si="18"/>
        <v>82834947</v>
      </c>
      <c r="AB20" s="1620">
        <f t="shared" si="18"/>
        <v>68443488</v>
      </c>
      <c r="AC20" s="1648">
        <f t="shared" si="18"/>
        <v>14391459</v>
      </c>
      <c r="AD20" s="1619">
        <f t="shared" si="18"/>
        <v>82834947</v>
      </c>
      <c r="AE20" s="1620">
        <f t="shared" si="18"/>
        <v>68443488</v>
      </c>
      <c r="AF20" s="1648">
        <f t="shared" si="18"/>
        <v>14391459</v>
      </c>
      <c r="AG20" s="1619">
        <f t="shared" si="18"/>
        <v>82834947</v>
      </c>
      <c r="AH20" s="1620">
        <f t="shared" si="18"/>
        <v>79729583</v>
      </c>
      <c r="AI20" s="1618">
        <f t="shared" si="18"/>
        <v>79729583</v>
      </c>
      <c r="AJ20" s="1621">
        <f t="shared" si="18"/>
        <v>79729583</v>
      </c>
      <c r="AK20" s="1448"/>
      <c r="AL20" s="1649">
        <f>SUM(AL21:AL32)</f>
        <v>95000</v>
      </c>
      <c r="AM20" s="1650">
        <f>SUM(AM21:AM32)</f>
        <v>0</v>
      </c>
      <c r="AN20" s="1448"/>
      <c r="AO20" s="1504"/>
      <c r="AP20" s="1651" t="s">
        <v>24</v>
      </c>
      <c r="AQ20" s="1652" t="s">
        <v>36</v>
      </c>
      <c r="AR20" s="1653" t="s">
        <v>25</v>
      </c>
      <c r="AS20" s="1654" t="s">
        <v>25</v>
      </c>
      <c r="AT20" s="1653" t="s">
        <v>26</v>
      </c>
      <c r="AU20" s="1655" t="s">
        <v>27</v>
      </c>
      <c r="AV20" s="1655" t="s">
        <v>27</v>
      </c>
      <c r="AW20" s="1656" t="s">
        <v>44</v>
      </c>
      <c r="AX20" s="1656" t="s">
        <v>22</v>
      </c>
      <c r="AY20" s="1655" t="s">
        <v>97</v>
      </c>
      <c r="AZ20" s="1657" t="s">
        <v>97</v>
      </c>
      <c r="BA20" s="1572"/>
      <c r="BB20" s="1658" t="s">
        <v>436</v>
      </c>
      <c r="BC20" s="1489">
        <f>+F115+F117+F119+F120+F121+F123+F124</f>
        <v>3516381</v>
      </c>
      <c r="BD20" s="1490">
        <f>+I115+I117+I119+I120+I121+I123+I124</f>
        <v>4591434</v>
      </c>
      <c r="BE20" s="1491">
        <f>+K115+K117+K119+K120+K121+K123+K124</f>
        <v>369633</v>
      </c>
      <c r="BF20" s="1462">
        <f>+BE20+AGOSTO!BE20+JULIO!BE20+JUNIO!BF20</f>
        <v>4591434</v>
      </c>
      <c r="BG20" s="1572"/>
      <c r="BH20" s="1572">
        <f>BH19-BH16</f>
        <v>-66878334114</v>
      </c>
      <c r="BI20" s="1572"/>
      <c r="BJ20" s="1572"/>
      <c r="BK20" s="1572"/>
      <c r="BL20" s="1572"/>
      <c r="BM20" s="1578" t="s">
        <v>444</v>
      </c>
      <c r="BN20" s="1536">
        <f>+X141-X143</f>
        <v>2892178</v>
      </c>
      <c r="BO20" s="1534">
        <f>+AA141-AA143</f>
        <v>2892178</v>
      </c>
      <c r="BP20" s="1534">
        <f>+AD141-AD143</f>
        <v>2892178</v>
      </c>
      <c r="BQ20" s="1537">
        <f>+AF141-AF143</f>
        <v>2892178</v>
      </c>
      <c r="BR20" s="1448"/>
    </row>
    <row r="21" spans="1:70" s="1659" customFormat="1" ht="24.95" customHeight="1" thickBot="1">
      <c r="A21" s="1660">
        <f>+IF(AGOSTO!A21=0,"",AGOSTO!A21)</f>
        <v>11301</v>
      </c>
      <c r="B21" s="1661" t="str">
        <f>+IF(AGOSTO!B21=0,"",AGOSTO!B21)</f>
        <v>Venta de Servicios de Salud</v>
      </c>
      <c r="C21" s="1519">
        <f t="shared" ref="C21:N21" si="19">C22+C25+C28+C41+C42+C45+C48+C51+C54+C57+C60+C63+C66+C69+C72+C75+C78+C81</f>
        <v>40501810887</v>
      </c>
      <c r="D21" s="1520">
        <f t="shared" si="19"/>
        <v>0</v>
      </c>
      <c r="E21" s="1520">
        <f t="shared" si="19"/>
        <v>15777642234</v>
      </c>
      <c r="F21" s="1520">
        <f t="shared" si="19"/>
        <v>56279453121</v>
      </c>
      <c r="G21" s="1520">
        <f t="shared" si="19"/>
        <v>47998077685</v>
      </c>
      <c r="H21" s="1520">
        <f t="shared" si="19"/>
        <v>3322785718</v>
      </c>
      <c r="I21" s="1520">
        <f t="shared" si="19"/>
        <v>51320863403</v>
      </c>
      <c r="J21" s="1520">
        <f t="shared" si="19"/>
        <v>25353596575</v>
      </c>
      <c r="K21" s="1520">
        <f t="shared" si="19"/>
        <v>3335048853</v>
      </c>
      <c r="L21" s="1520">
        <f t="shared" si="19"/>
        <v>28688645428</v>
      </c>
      <c r="M21" s="1520">
        <f t="shared" si="19"/>
        <v>4958589718</v>
      </c>
      <c r="N21" s="1521">
        <f t="shared" si="19"/>
        <v>27590807693</v>
      </c>
      <c r="O21" s="1572"/>
      <c r="P21" s="1637">
        <f>P22+P25+P28+P41+P42+P45+P48+P51+P54+P57+P60+P63+P66+P69+P72+P75+P78+P81</f>
        <v>0</v>
      </c>
      <c r="Q21" s="1638">
        <f>Q22+Q25+Q28+Q41+Q42+Q45+Q48+Q51+Q54+Q57+Q60+Q63+Q66+Q69+Q72+Q75+Q78+Q81</f>
        <v>0</v>
      </c>
      <c r="R21" s="1448"/>
      <c r="S21" s="1662" t="str">
        <f>+IF(AGOSTO!S21=0,"",AGOSTO!S21)</f>
        <v>1010104-1</v>
      </c>
      <c r="T21" s="1663" t="str">
        <f>+IF(AGOSTO!T21=0,"",AGOSTO!T21)</f>
        <v xml:space="preserve">Prima de Navidad </v>
      </c>
      <c r="U21" s="1617">
        <f>+ENERO!U21</f>
        <v>52257791</v>
      </c>
      <c r="V21" s="1618">
        <f>AGOSTO!V21+SEPTIEMBRE!AL21</f>
        <v>0</v>
      </c>
      <c r="W21" s="1618">
        <f>AGOSTO!W21+SEPTIEMBRE!AM21</f>
        <v>0</v>
      </c>
      <c r="X21" s="1619">
        <f t="shared" ref="X21:X33" si="20">SUM(U21:W21)</f>
        <v>52257791</v>
      </c>
      <c r="Y21" s="1620">
        <f>AGOSTO!AA21</f>
        <v>317672</v>
      </c>
      <c r="Z21" s="1557">
        <v>3223199</v>
      </c>
      <c r="AA21" s="1619">
        <f t="shared" ref="AA21:AA33" si="21">SUM(Y21:Z21)</f>
        <v>3540871</v>
      </c>
      <c r="AB21" s="1620">
        <f>AGOSTO!AD21</f>
        <v>317672</v>
      </c>
      <c r="AC21" s="1557">
        <v>3223199</v>
      </c>
      <c r="AD21" s="1619">
        <f t="shared" ref="AD21:AD33" si="22">SUM(AB21:AC21)</f>
        <v>3540871</v>
      </c>
      <c r="AE21" s="1620">
        <f>AGOSTO!AG21</f>
        <v>317672</v>
      </c>
      <c r="AF21" s="1557">
        <v>3223199</v>
      </c>
      <c r="AG21" s="1619">
        <f t="shared" ref="AG21:AG33" si="23">SUM(AE21:AF21)</f>
        <v>3540871</v>
      </c>
      <c r="AH21" s="1620">
        <f t="shared" ref="AH21:AH33" si="24">X21-AA21</f>
        <v>48716920</v>
      </c>
      <c r="AI21" s="1618">
        <f t="shared" ref="AI21:AI33" si="25">X21-AD21</f>
        <v>48716920</v>
      </c>
      <c r="AJ21" s="1621">
        <f t="shared" ref="AJ21:AJ33" si="26">X21-AG21</f>
        <v>48716920</v>
      </c>
      <c r="AK21" s="1448"/>
      <c r="AL21" s="1559">
        <v>0</v>
      </c>
      <c r="AM21" s="1560">
        <v>0</v>
      </c>
      <c r="AN21" s="1448"/>
      <c r="AO21" s="1504"/>
      <c r="AP21" s="1664"/>
      <c r="AQ21" s="1665"/>
      <c r="AR21" s="1666" t="str">
        <f>AR6</f>
        <v>SEPTIEMBRE</v>
      </c>
      <c r="AS21" s="1667" t="str">
        <f>AR6</f>
        <v>SEPTIEMBRE</v>
      </c>
      <c r="AT21" s="1666" t="str">
        <f>AR6</f>
        <v>SEPTIEMBRE</v>
      </c>
      <c r="AU21" s="1666" t="s">
        <v>44</v>
      </c>
      <c r="AV21" s="1666" t="s">
        <v>22</v>
      </c>
      <c r="AW21" s="1668"/>
      <c r="AX21" s="1668"/>
      <c r="AY21" s="1666" t="s">
        <v>44</v>
      </c>
      <c r="AZ21" s="1669" t="s">
        <v>22</v>
      </c>
      <c r="BA21" s="1448"/>
      <c r="BB21" s="1658" t="s">
        <v>437</v>
      </c>
      <c r="BC21" s="1489">
        <f>SUMIF($B8:B122,$B24,F8:F122)+F122</f>
        <v>24622102781</v>
      </c>
      <c r="BD21" s="1490">
        <f>SUMIF($B8:B122,$B24,I8:I122)+I122</f>
        <v>17727605015</v>
      </c>
      <c r="BE21" s="1491">
        <f>SUMIF($B8:B122,$B24,K8:K122)+K122</f>
        <v>240473195</v>
      </c>
      <c r="BF21" s="1462">
        <f>+BE21+AGOSTO!BE21+JULIO!BE21+JUNIO!BF21</f>
        <v>17727605015</v>
      </c>
      <c r="BG21" s="1572"/>
      <c r="BH21" s="1572"/>
      <c r="BI21" s="1572"/>
      <c r="BJ21" s="1572"/>
      <c r="BK21" s="1572"/>
      <c r="BL21" s="1572"/>
      <c r="BM21" s="1514" t="s">
        <v>99</v>
      </c>
      <c r="BN21" s="1536">
        <v>0</v>
      </c>
      <c r="BO21" s="1534">
        <v>0</v>
      </c>
      <c r="BP21" s="1534">
        <v>0</v>
      </c>
      <c r="BQ21" s="1537">
        <v>0</v>
      </c>
      <c r="BR21" s="1572"/>
    </row>
    <row r="22" spans="1:70" s="1448" customFormat="1" ht="24.95" customHeight="1" thickBot="1">
      <c r="A22" s="1635">
        <f>+IF(AGOSTO!A22=0,"",AGOSTO!A22)</f>
        <v>1130101</v>
      </c>
      <c r="B22" s="1670" t="str">
        <f>+IF(AGOSTO!B22=0,"",AGOSTO!B22)</f>
        <v>EPS - REGIMEN CONTRIBUTIVO</v>
      </c>
      <c r="C22" s="1637">
        <f t="shared" ref="C22:N22" si="27">SUM(C23:C24)</f>
        <v>18905646713</v>
      </c>
      <c r="D22" s="1671">
        <f t="shared" si="27"/>
        <v>0</v>
      </c>
      <c r="E22" s="1671">
        <f t="shared" si="27"/>
        <v>7269386762</v>
      </c>
      <c r="F22" s="1671">
        <f t="shared" si="27"/>
        <v>26175033475</v>
      </c>
      <c r="G22" s="1671">
        <f t="shared" si="27"/>
        <v>19231377134</v>
      </c>
      <c r="H22" s="1671">
        <f t="shared" si="27"/>
        <v>786732875</v>
      </c>
      <c r="I22" s="1671">
        <f t="shared" si="27"/>
        <v>20018110009</v>
      </c>
      <c r="J22" s="1671">
        <f t="shared" si="27"/>
        <v>10776228037</v>
      </c>
      <c r="K22" s="1671">
        <f t="shared" si="27"/>
        <v>603617515</v>
      </c>
      <c r="L22" s="1671">
        <f t="shared" si="27"/>
        <v>11379845552</v>
      </c>
      <c r="M22" s="1671">
        <f t="shared" si="27"/>
        <v>6156923466</v>
      </c>
      <c r="N22" s="1638">
        <f t="shared" si="27"/>
        <v>14795187923</v>
      </c>
      <c r="P22" s="1637">
        <f>SUM(P23:P24)</f>
        <v>0</v>
      </c>
      <c r="Q22" s="1638">
        <f>SUM(Q23:Q24)</f>
        <v>0</v>
      </c>
      <c r="S22" s="1662" t="str">
        <f>+IF(AGOSTO!S22=0,"",AGOSTO!S22)</f>
        <v>1010104-2</v>
      </c>
      <c r="T22" s="1663" t="str">
        <f>+IF(AGOSTO!T22=0,"",AGOSTO!T22)</f>
        <v>Prima Vida Cara</v>
      </c>
      <c r="U22" s="1617">
        <f>+ENERO!U22</f>
        <v>24380551</v>
      </c>
      <c r="V22" s="1618">
        <f>AGOSTO!V22+SEPTIEMBRE!AL22</f>
        <v>0</v>
      </c>
      <c r="W22" s="1618">
        <f>AGOSTO!W22+SEPTIEMBRE!AM22</f>
        <v>19210353</v>
      </c>
      <c r="X22" s="1619">
        <f t="shared" si="20"/>
        <v>43590904</v>
      </c>
      <c r="Y22" s="1620">
        <f>AGOSTO!AA22</f>
        <v>39745760</v>
      </c>
      <c r="Z22" s="1557">
        <v>1296700</v>
      </c>
      <c r="AA22" s="1619">
        <f t="shared" si="21"/>
        <v>41042460</v>
      </c>
      <c r="AB22" s="1620">
        <f>AGOSTO!AD22</f>
        <v>39745760</v>
      </c>
      <c r="AC22" s="1557">
        <v>1296700</v>
      </c>
      <c r="AD22" s="1619">
        <f t="shared" si="22"/>
        <v>41042460</v>
      </c>
      <c r="AE22" s="1620">
        <f>AGOSTO!AG22</f>
        <v>39745760</v>
      </c>
      <c r="AF22" s="1557">
        <v>1296700</v>
      </c>
      <c r="AG22" s="1619">
        <f t="shared" si="23"/>
        <v>41042460</v>
      </c>
      <c r="AH22" s="1620">
        <f t="shared" si="24"/>
        <v>2548444</v>
      </c>
      <c r="AI22" s="1618">
        <f t="shared" si="25"/>
        <v>2548444</v>
      </c>
      <c r="AJ22" s="1621">
        <f t="shared" si="26"/>
        <v>2548444</v>
      </c>
      <c r="AL22" s="1559">
        <v>0</v>
      </c>
      <c r="AM22" s="1560">
        <v>0</v>
      </c>
      <c r="AO22" s="1452"/>
      <c r="AP22" s="1672" t="s">
        <v>104</v>
      </c>
      <c r="AQ22" s="1673">
        <f>X17+X66</f>
        <v>1479110119</v>
      </c>
      <c r="AR22" s="1673">
        <f>AD17+AD66</f>
        <v>986570451</v>
      </c>
      <c r="AS22" s="1673">
        <f>AG17+AG66</f>
        <v>986570451</v>
      </c>
      <c r="AT22" s="1674"/>
      <c r="AU22" s="1675">
        <f t="shared" ref="AU22:AU32" si="28">IF(AQ22=0," ",AR22/AQ22)</f>
        <v>0.66700270542872275</v>
      </c>
      <c r="AV22" s="1675">
        <f t="shared" ref="AV22:AV32" si="29">IF(AQ22=0," ",AS22/AQ22)</f>
        <v>0.66700270542872275</v>
      </c>
      <c r="AW22" s="1676">
        <f>AR22/$AO$2*12</f>
        <v>1315427268</v>
      </c>
      <c r="AX22" s="1676">
        <f>AS22/$AO$2*12</f>
        <v>1315427268</v>
      </c>
      <c r="AY22" s="1676">
        <f t="shared" ref="AY22:AY31" si="30">AW22-AQ22</f>
        <v>-163682851</v>
      </c>
      <c r="AZ22" s="1677">
        <f t="shared" ref="AZ22:AZ31" si="31">AQ22-AX22</f>
        <v>163682851</v>
      </c>
      <c r="BA22" s="1572"/>
      <c r="BB22" s="1678" t="s">
        <v>109</v>
      </c>
      <c r="BC22" s="1679">
        <f>BC7+BC8+BC20+BC21</f>
        <v>66878334114</v>
      </c>
      <c r="BD22" s="1680">
        <f>BD7+BD8+BD20+BD21</f>
        <v>53169900756</v>
      </c>
      <c r="BE22" s="1681">
        <f>BE7+BE8+BE20+BE21</f>
        <v>3543313768</v>
      </c>
      <c r="BF22" s="1462">
        <f>+BE22+AGOSTO!BE22+JULIO!BE22+JUNIO!BF22</f>
        <v>30285223643</v>
      </c>
      <c r="BG22" s="1572"/>
      <c r="BH22" s="1572"/>
      <c r="BI22" s="1572"/>
      <c r="BJ22" s="1572"/>
      <c r="BK22" s="1572"/>
      <c r="BM22" s="1494" t="s">
        <v>67</v>
      </c>
      <c r="BN22" s="1536">
        <f>BN23+BN24</f>
        <v>163530003</v>
      </c>
      <c r="BO22" s="1534">
        <f>BO23+BO24</f>
        <v>96943850</v>
      </c>
      <c r="BP22" s="1534">
        <f>BP23+BP24</f>
        <v>86068721</v>
      </c>
      <c r="BQ22" s="1537">
        <f>BQ23+BQ24</f>
        <v>19258179</v>
      </c>
      <c r="BR22" s="1572"/>
    </row>
    <row r="23" spans="1:70" s="1659" customFormat="1" ht="24.95" customHeight="1">
      <c r="A23" s="1551" t="str">
        <f>+IF(AGOSTO!A23=0,"",AGOSTO!A23)</f>
        <v>1130101-1</v>
      </c>
      <c r="B23" s="1682" t="str">
        <f>+CONCATENATE("Vigencia ",INSTRUCCIONES!$F$3)</f>
        <v>Vigencia 2017</v>
      </c>
      <c r="C23" s="1553">
        <f>+ENERO!C23</f>
        <v>18905646713</v>
      </c>
      <c r="D23" s="1554">
        <f>AGOSTO!D23+SEPTIEMBRE!P23</f>
        <v>0</v>
      </c>
      <c r="E23" s="1554">
        <f>AGOSTO!E23+SEPTIEMBRE!Q23</f>
        <v>0</v>
      </c>
      <c r="F23" s="1554">
        <f>SUM(C23:E23)</f>
        <v>18905646713</v>
      </c>
      <c r="G23" s="1554">
        <f>AGOSTO!I23</f>
        <v>11036931869</v>
      </c>
      <c r="H23" s="1557">
        <v>762754149</v>
      </c>
      <c r="I23" s="1554">
        <f>SUM(G23:H23)</f>
        <v>11799686018</v>
      </c>
      <c r="J23" s="1554">
        <f>AGOSTO!L23</f>
        <v>2581782772</v>
      </c>
      <c r="K23" s="1557">
        <v>579638789</v>
      </c>
      <c r="L23" s="1554">
        <f>SUM(J23:K23)</f>
        <v>3161421561</v>
      </c>
      <c r="M23" s="1554">
        <f>F23-I23</f>
        <v>7105960695</v>
      </c>
      <c r="N23" s="1555">
        <f>F23-L23</f>
        <v>15744225152</v>
      </c>
      <c r="O23" s="1448"/>
      <c r="P23" s="1559">
        <v>0</v>
      </c>
      <c r="Q23" s="1560">
        <v>0</v>
      </c>
      <c r="R23" s="1448"/>
      <c r="S23" s="1662" t="str">
        <f>+IF(AGOSTO!S23=0,"",AGOSTO!S23)</f>
        <v>1010104-3</v>
      </c>
      <c r="T23" s="1663" t="str">
        <f>+IF(AGOSTO!T23=0,"",AGOSTO!T23)</f>
        <v>Prima de Vacaciones</v>
      </c>
      <c r="U23" s="1617">
        <f>+ENERO!U23</f>
        <v>25221642</v>
      </c>
      <c r="V23" s="1618">
        <f>AGOSTO!V23+SEPTIEMBRE!AL23</f>
        <v>0</v>
      </c>
      <c r="W23" s="1618">
        <f>AGOSTO!W23+SEPTIEMBRE!AM23</f>
        <v>0</v>
      </c>
      <c r="X23" s="1619">
        <f t="shared" si="20"/>
        <v>25221642</v>
      </c>
      <c r="Y23" s="1620">
        <f>AGOSTO!AA23</f>
        <v>1823759</v>
      </c>
      <c r="Z23" s="1557">
        <v>5327568</v>
      </c>
      <c r="AA23" s="1619">
        <f t="shared" si="21"/>
        <v>7151327</v>
      </c>
      <c r="AB23" s="1620">
        <f>AGOSTO!AD23</f>
        <v>1823759</v>
      </c>
      <c r="AC23" s="1557">
        <v>5327568</v>
      </c>
      <c r="AD23" s="1619">
        <f t="shared" si="22"/>
        <v>7151327</v>
      </c>
      <c r="AE23" s="1620">
        <f>AGOSTO!AG23</f>
        <v>1823759</v>
      </c>
      <c r="AF23" s="1557">
        <v>5327568</v>
      </c>
      <c r="AG23" s="1619">
        <f t="shared" si="23"/>
        <v>7151327</v>
      </c>
      <c r="AH23" s="1620">
        <f t="shared" si="24"/>
        <v>18070315</v>
      </c>
      <c r="AI23" s="1618">
        <f t="shared" si="25"/>
        <v>18070315</v>
      </c>
      <c r="AJ23" s="1621">
        <f t="shared" si="26"/>
        <v>18070315</v>
      </c>
      <c r="AK23" s="1448"/>
      <c r="AL23" s="1559">
        <v>0</v>
      </c>
      <c r="AM23" s="1560">
        <v>0</v>
      </c>
      <c r="AN23" s="1448"/>
      <c r="AO23" s="1544"/>
      <c r="AP23" s="1683" t="s">
        <v>108</v>
      </c>
      <c r="AQ23" s="1684">
        <f>X16+X65-AQ22</f>
        <v>582300643</v>
      </c>
      <c r="AR23" s="1684">
        <f>AD16+AD65-AR22</f>
        <v>361467287</v>
      </c>
      <c r="AS23" s="1684">
        <f>AG16+AG65-AS22</f>
        <v>361467287</v>
      </c>
      <c r="AT23" s="1454"/>
      <c r="AU23" s="1486">
        <f t="shared" si="28"/>
        <v>0.62075714898360501</v>
      </c>
      <c r="AV23" s="1486">
        <f t="shared" si="29"/>
        <v>0.62075714898360501</v>
      </c>
      <c r="AW23" s="1684">
        <f>(AR23-AD21-AD22-AD23-AD25-AD30-AD33-AD70-AD71-AD72-AD74-AD78-AD81)/$AO$2*12+AX22/12*2.5+AD30+AD33+AD78+AD81</f>
        <v>500196543.5</v>
      </c>
      <c r="AX23" s="1684">
        <f>(AS23-AG21-AG22-AG23-AG25-AG30-AG33-AG70-AG71-AG72-AG74-AG78-AG81)/$AO$2*12+AX22/12*2.5+AG30+AG33+AG78+AG81</f>
        <v>500196543.5</v>
      </c>
      <c r="AY23" s="1684">
        <f t="shared" si="30"/>
        <v>-82104099.5</v>
      </c>
      <c r="AZ23" s="1685">
        <f t="shared" si="31"/>
        <v>82104099.5</v>
      </c>
      <c r="BA23" s="1572"/>
      <c r="BF23" s="1572"/>
      <c r="BG23" s="1572"/>
      <c r="BH23" s="1572"/>
      <c r="BI23" s="1572"/>
      <c r="BJ23" s="1572"/>
      <c r="BK23" s="1572"/>
      <c r="BL23" s="1572"/>
      <c r="BM23" s="1514" t="s">
        <v>105</v>
      </c>
      <c r="BN23" s="1536">
        <f>X177</f>
        <v>18619412</v>
      </c>
      <c r="BO23" s="1534">
        <f>AA177</f>
        <v>10614568</v>
      </c>
      <c r="BP23" s="1534">
        <f>AD177</f>
        <v>10614568</v>
      </c>
      <c r="BQ23" s="1537">
        <f>AF177</f>
        <v>1326821</v>
      </c>
      <c r="BR23" s="1448"/>
    </row>
    <row r="24" spans="1:70" s="1659" customFormat="1" ht="24.95" customHeight="1">
      <c r="A24" s="1551" t="str">
        <f>+IF(AGOSTO!A24=0,"",AGOSTO!A24)</f>
        <v>1130101-2</v>
      </c>
      <c r="B24" s="1682" t="str">
        <f>+IF(AGOSTO!B24=0,"",AGOSTO!B24)</f>
        <v>Vigencia Anterior</v>
      </c>
      <c r="C24" s="1553">
        <f>+ENERO!C24</f>
        <v>0</v>
      </c>
      <c r="D24" s="1554">
        <f>AGOSTO!D24+SEPTIEMBRE!P24</f>
        <v>0</v>
      </c>
      <c r="E24" s="1554">
        <f>AGOSTO!E24+SEPTIEMBRE!Q24</f>
        <v>7269386762</v>
      </c>
      <c r="F24" s="1554">
        <f>SUM(C24:E24)</f>
        <v>7269386762</v>
      </c>
      <c r="G24" s="1554">
        <f>AGOSTO!I24</f>
        <v>8194445265</v>
      </c>
      <c r="H24" s="1557">
        <v>23978726</v>
      </c>
      <c r="I24" s="1554">
        <f>SUM(G24:H24)</f>
        <v>8218423991</v>
      </c>
      <c r="J24" s="1554">
        <f>AGOSTO!L24</f>
        <v>8194445265</v>
      </c>
      <c r="K24" s="1557">
        <v>23978726</v>
      </c>
      <c r="L24" s="1554">
        <f>SUM(J24:K24)</f>
        <v>8218423991</v>
      </c>
      <c r="M24" s="1554">
        <f>F24-I24</f>
        <v>-949037229</v>
      </c>
      <c r="N24" s="1555">
        <f>F24-L24</f>
        <v>-949037229</v>
      </c>
      <c r="O24" s="1572"/>
      <c r="P24" s="1559">
        <v>0</v>
      </c>
      <c r="Q24" s="1560">
        <v>0</v>
      </c>
      <c r="R24" s="1448"/>
      <c r="S24" s="1662" t="str">
        <f>+IF(AGOSTO!S24=0,"",AGOSTO!S24)</f>
        <v>1010104-4</v>
      </c>
      <c r="T24" s="1663" t="str">
        <f>+IF(AGOSTO!T24=0,"",AGOSTO!T24)</f>
        <v>Prima Clima</v>
      </c>
      <c r="U24" s="1617">
        <f>+ENERO!U24</f>
        <v>0</v>
      </c>
      <c r="V24" s="1618">
        <f>AGOSTO!V24+SEPTIEMBRE!AL24</f>
        <v>0</v>
      </c>
      <c r="W24" s="1618">
        <f>AGOSTO!W24+SEPTIEMBRE!AM24</f>
        <v>0</v>
      </c>
      <c r="X24" s="1619">
        <f t="shared" si="20"/>
        <v>0</v>
      </c>
      <c r="Y24" s="1620">
        <f>AGOSTO!AA24</f>
        <v>0</v>
      </c>
      <c r="Z24" s="1557">
        <v>0</v>
      </c>
      <c r="AA24" s="1619">
        <f t="shared" si="21"/>
        <v>0</v>
      </c>
      <c r="AB24" s="1620">
        <f>AGOSTO!AD24</f>
        <v>0</v>
      </c>
      <c r="AC24" s="1557">
        <v>0</v>
      </c>
      <c r="AD24" s="1619">
        <f t="shared" si="22"/>
        <v>0</v>
      </c>
      <c r="AE24" s="1620">
        <f>AGOSTO!AG24</f>
        <v>0</v>
      </c>
      <c r="AF24" s="1557">
        <v>0</v>
      </c>
      <c r="AG24" s="1619">
        <f t="shared" si="23"/>
        <v>0</v>
      </c>
      <c r="AH24" s="1620">
        <f t="shared" si="24"/>
        <v>0</v>
      </c>
      <c r="AI24" s="1618">
        <f t="shared" si="25"/>
        <v>0</v>
      </c>
      <c r="AJ24" s="1621">
        <f t="shared" si="26"/>
        <v>0</v>
      </c>
      <c r="AK24" s="1448"/>
      <c r="AL24" s="1559">
        <v>0</v>
      </c>
      <c r="AM24" s="1560">
        <v>0</v>
      </c>
      <c r="AN24" s="1448"/>
      <c r="AO24" s="1544"/>
      <c r="AP24" s="1651" t="s">
        <v>113</v>
      </c>
      <c r="AQ24" s="1674">
        <f>X35+X83</f>
        <v>36402167051</v>
      </c>
      <c r="AR24" s="1674">
        <f>AD35+AD83</f>
        <v>27081493266</v>
      </c>
      <c r="AS24" s="1674">
        <f>AG35+AG83</f>
        <v>17450677735</v>
      </c>
      <c r="AT24" s="1674"/>
      <c r="AU24" s="1554">
        <f t="shared" si="28"/>
        <v>0.74395277698875473</v>
      </c>
      <c r="AV24" s="1554">
        <f t="shared" si="29"/>
        <v>0.47938568356524847</v>
      </c>
      <c r="AW24" s="1554">
        <f>(AR24-AD41-AD88)/$AO$2*12+AD41+AD88</f>
        <v>33706975474.333336</v>
      </c>
      <c r="AX24" s="1554">
        <f>(AS24-AG41-AG88)/$AO$2*12+AG41+AG88</f>
        <v>20865888099.666664</v>
      </c>
      <c r="AY24" s="1554">
        <f t="shared" si="30"/>
        <v>-2695191576.6666641</v>
      </c>
      <c r="AZ24" s="1555">
        <f t="shared" si="31"/>
        <v>15536278951.333336</v>
      </c>
      <c r="BA24" s="1448"/>
      <c r="BB24" s="1686"/>
      <c r="BC24" s="1572"/>
      <c r="BD24" s="1572"/>
      <c r="BE24" s="1572"/>
      <c r="BF24" s="1572"/>
      <c r="BG24" s="1572"/>
      <c r="BH24" s="1572"/>
      <c r="BI24" s="1572"/>
      <c r="BJ24" s="1572"/>
      <c r="BK24" s="1572"/>
      <c r="BL24" s="1572"/>
      <c r="BM24" s="1514" t="s">
        <v>110</v>
      </c>
      <c r="BN24" s="1536">
        <f>X170-X177-X174-X183-X191</f>
        <v>144910591</v>
      </c>
      <c r="BO24" s="1534">
        <f>AA170-AA177-AA174-AA183-AA191</f>
        <v>86329282</v>
      </c>
      <c r="BP24" s="1534">
        <f>AD170-AD177-AD174-AD183-AD191</f>
        <v>75454153</v>
      </c>
      <c r="BQ24" s="1537">
        <f>AF170-AF177-AF174-AF183-AF191</f>
        <v>17931358</v>
      </c>
      <c r="BR24" s="1572"/>
    </row>
    <row r="25" spans="1:70" s="1572" customFormat="1" ht="24.95" customHeight="1">
      <c r="A25" s="1635">
        <f>+IF(AGOSTO!A25=0,"",AGOSTO!A25)</f>
        <v>1130102</v>
      </c>
      <c r="B25" s="1670" t="str">
        <f>+IF(AGOSTO!B25=0,"",AGOSTO!B25)</f>
        <v>ARS - REGIMEN SUBSIDIADO</v>
      </c>
      <c r="C25" s="1637">
        <f t="shared" ref="C25:N25" si="32">SUM(C26:C27)</f>
        <v>13439321219</v>
      </c>
      <c r="D25" s="1671">
        <f t="shared" si="32"/>
        <v>0</v>
      </c>
      <c r="E25" s="1671">
        <f t="shared" si="32"/>
        <v>5107572584</v>
      </c>
      <c r="F25" s="1671">
        <f t="shared" si="32"/>
        <v>18546893803</v>
      </c>
      <c r="G25" s="1671">
        <f t="shared" si="32"/>
        <v>18858723166</v>
      </c>
      <c r="H25" s="1671">
        <f t="shared" si="32"/>
        <v>1836956152</v>
      </c>
      <c r="I25" s="1671">
        <f t="shared" si="32"/>
        <v>20695679318</v>
      </c>
      <c r="J25" s="1671">
        <f t="shared" si="32"/>
        <v>9885014204</v>
      </c>
      <c r="K25" s="1671">
        <f t="shared" si="32"/>
        <v>2405235862</v>
      </c>
      <c r="L25" s="1671">
        <f t="shared" si="32"/>
        <v>12290250066</v>
      </c>
      <c r="M25" s="1671">
        <f t="shared" si="32"/>
        <v>-2148785515</v>
      </c>
      <c r="N25" s="1638">
        <f t="shared" si="32"/>
        <v>6256643737</v>
      </c>
      <c r="P25" s="1637">
        <f>SUM(P26:P27)</f>
        <v>0</v>
      </c>
      <c r="Q25" s="1638">
        <f>SUM(Q26:Q27)</f>
        <v>0</v>
      </c>
      <c r="R25" s="1448"/>
      <c r="S25" s="1662" t="str">
        <f>+IF(AGOSTO!S25=0,"",AGOSTO!S25)</f>
        <v>1010104-5</v>
      </c>
      <c r="T25" s="1663" t="str">
        <f>+IF(AGOSTO!T25=0,"",AGOSTO!T25)</f>
        <v>Prima de Servicios</v>
      </c>
      <c r="U25" s="1617">
        <f>+ENERO!U25</f>
        <v>26128895</v>
      </c>
      <c r="V25" s="1618">
        <f>AGOSTO!V25+SEPTIEMBRE!AL25</f>
        <v>0</v>
      </c>
      <c r="W25" s="1618">
        <f>AGOSTO!W25+SEPTIEMBRE!AM25</f>
        <v>0</v>
      </c>
      <c r="X25" s="1619">
        <f t="shared" si="20"/>
        <v>26128895</v>
      </c>
      <c r="Y25" s="1620">
        <f>AGOSTO!AA25</f>
        <v>19363434</v>
      </c>
      <c r="Z25" s="1557">
        <v>1581197</v>
      </c>
      <c r="AA25" s="1619">
        <f t="shared" si="21"/>
        <v>20944631</v>
      </c>
      <c r="AB25" s="1620">
        <f>AGOSTO!AD25</f>
        <v>19363434</v>
      </c>
      <c r="AC25" s="1557">
        <v>1581197</v>
      </c>
      <c r="AD25" s="1619">
        <f t="shared" si="22"/>
        <v>20944631</v>
      </c>
      <c r="AE25" s="1620">
        <f>AGOSTO!AG25</f>
        <v>19363434</v>
      </c>
      <c r="AF25" s="1557">
        <v>1581197</v>
      </c>
      <c r="AG25" s="1619">
        <f t="shared" si="23"/>
        <v>20944631</v>
      </c>
      <c r="AH25" s="1620">
        <f t="shared" si="24"/>
        <v>5184264</v>
      </c>
      <c r="AI25" s="1618">
        <f t="shared" si="25"/>
        <v>5184264</v>
      </c>
      <c r="AJ25" s="1621">
        <f t="shared" si="26"/>
        <v>5184264</v>
      </c>
      <c r="AK25" s="1448"/>
      <c r="AL25" s="1559">
        <v>0</v>
      </c>
      <c r="AM25" s="1560">
        <v>0</v>
      </c>
      <c r="AN25" s="1448"/>
      <c r="AO25" s="1452"/>
      <c r="AP25" s="1687" t="s">
        <v>116</v>
      </c>
      <c r="AQ25" s="1554">
        <f>X43+X57+X90+X104</f>
        <v>802834377</v>
      </c>
      <c r="AR25" s="1554">
        <f>AD43+AD57+AD90+AD104</f>
        <v>310832276</v>
      </c>
      <c r="AS25" s="1554">
        <f>AG43+AG57+AG90+AG104</f>
        <v>310832276</v>
      </c>
      <c r="AT25" s="1674"/>
      <c r="AU25" s="1554">
        <f t="shared" si="28"/>
        <v>0.38716861771852101</v>
      </c>
      <c r="AV25" s="1554">
        <f t="shared" si="29"/>
        <v>0.38716861771852101</v>
      </c>
      <c r="AW25" s="1554">
        <f>(AR25-AD55-AD61-AD102-AD108)/$AO$2*12+AD55+AD61+AD102+AD108</f>
        <v>414443034.66666663</v>
      </c>
      <c r="AX25" s="1554">
        <f>(AS25-AG55-AG61-AG102-AG108)/$AO$2*12+AG55+AG61+AG102+AG108</f>
        <v>414443034.66666663</v>
      </c>
      <c r="AY25" s="1554">
        <f t="shared" si="30"/>
        <v>-388391342.33333337</v>
      </c>
      <c r="AZ25" s="1555">
        <f t="shared" si="31"/>
        <v>388391342.33333337</v>
      </c>
      <c r="BM25" s="1488" t="s">
        <v>445</v>
      </c>
      <c r="BN25" s="1688">
        <f>+SUM(BN26:BN28)</f>
        <v>13405609615</v>
      </c>
      <c r="BO25" s="1689">
        <f>+SUM(BO26:BO28)</f>
        <v>10657960209</v>
      </c>
      <c r="BP25" s="1689">
        <f>+SUM(BP26:BP28)</f>
        <v>9051278755</v>
      </c>
      <c r="BQ25" s="1690">
        <f>+SUM(BQ26:BQ28)</f>
        <v>747083444</v>
      </c>
    </row>
    <row r="26" spans="1:70" s="1448" customFormat="1" ht="24.95" customHeight="1">
      <c r="A26" s="1551" t="str">
        <f>+IF(AGOSTO!A26=0,"",AGOSTO!A26)</f>
        <v>1130102-1</v>
      </c>
      <c r="B26" s="1682" t="str">
        <f>+CONCATENATE("Vigencia ",INSTRUCCIONES!$F$3)</f>
        <v>Vigencia 2017</v>
      </c>
      <c r="C26" s="1553">
        <f>+ENERO!C26</f>
        <v>13439321219</v>
      </c>
      <c r="D26" s="1554">
        <f>AGOSTO!D26+SEPTIEMBRE!P26</f>
        <v>0</v>
      </c>
      <c r="E26" s="1554">
        <f>AGOSTO!E26+SEPTIEMBRE!Q26</f>
        <v>0</v>
      </c>
      <c r="F26" s="1554">
        <f>SUM(C26:E26)</f>
        <v>13439321219</v>
      </c>
      <c r="G26" s="1554">
        <f>AGOSTO!I26</f>
        <v>13033748119</v>
      </c>
      <c r="H26" s="1557">
        <v>1772308841</v>
      </c>
      <c r="I26" s="1554">
        <f>SUM(G26:H26)</f>
        <v>14806056960</v>
      </c>
      <c r="J26" s="1554">
        <f>AGOSTO!L26</f>
        <v>4060039157</v>
      </c>
      <c r="K26" s="1557">
        <f>2340588551</f>
        <v>2340588551</v>
      </c>
      <c r="L26" s="1554">
        <f>SUM(J26:K26)</f>
        <v>6400627708</v>
      </c>
      <c r="M26" s="1554">
        <f>F26-I26</f>
        <v>-1366735741</v>
      </c>
      <c r="N26" s="1555">
        <f>F26-L26</f>
        <v>7038693511</v>
      </c>
      <c r="P26" s="1559">
        <v>0</v>
      </c>
      <c r="Q26" s="1560">
        <v>0</v>
      </c>
      <c r="S26" s="1662" t="str">
        <f>+IF(AGOSTO!S26=0,"",AGOSTO!S26)</f>
        <v>1010104-8</v>
      </c>
      <c r="T26" s="1663" t="str">
        <f>+IF(AGOSTO!T26=0,"",AGOSTO!T26)</f>
        <v>Bonific. por Servicios Prestados</v>
      </c>
      <c r="U26" s="1617">
        <f>+ENERO!U26</f>
        <v>12868455</v>
      </c>
      <c r="V26" s="1618">
        <f>AGOSTO!V26+SEPTIEMBRE!AL26</f>
        <v>0</v>
      </c>
      <c r="W26" s="1618">
        <f>AGOSTO!W26+SEPTIEMBRE!AM26</f>
        <v>0</v>
      </c>
      <c r="X26" s="1619">
        <f t="shared" si="20"/>
        <v>12868455</v>
      </c>
      <c r="Y26" s="1620">
        <f>AGOSTO!AA26</f>
        <v>6571931</v>
      </c>
      <c r="Z26" s="1557">
        <v>2025165</v>
      </c>
      <c r="AA26" s="1619">
        <f t="shared" si="21"/>
        <v>8597096</v>
      </c>
      <c r="AB26" s="1620">
        <f>AGOSTO!AD26</f>
        <v>6571931</v>
      </c>
      <c r="AC26" s="1557">
        <v>2025165</v>
      </c>
      <c r="AD26" s="1619">
        <f t="shared" si="22"/>
        <v>8597096</v>
      </c>
      <c r="AE26" s="1620">
        <f>AGOSTO!AG26</f>
        <v>6571931</v>
      </c>
      <c r="AF26" s="1557">
        <v>2025165</v>
      </c>
      <c r="AG26" s="1619">
        <f t="shared" si="23"/>
        <v>8597096</v>
      </c>
      <c r="AH26" s="1620">
        <f t="shared" si="24"/>
        <v>4271359</v>
      </c>
      <c r="AI26" s="1618">
        <f t="shared" si="25"/>
        <v>4271359</v>
      </c>
      <c r="AJ26" s="1621">
        <f t="shared" si="26"/>
        <v>4271359</v>
      </c>
      <c r="AL26" s="1559">
        <v>0</v>
      </c>
      <c r="AM26" s="1560">
        <v>0</v>
      </c>
      <c r="AO26" s="1452"/>
      <c r="AP26" s="1691" t="s">
        <v>120</v>
      </c>
      <c r="AQ26" s="1454">
        <f>X110</f>
        <v>10718311729</v>
      </c>
      <c r="AR26" s="1454">
        <f>AD110</f>
        <v>6974163673</v>
      </c>
      <c r="AS26" s="1454">
        <f>AG110</f>
        <v>4368822907</v>
      </c>
      <c r="AT26" s="1546">
        <f>AO2/12</f>
        <v>0.75</v>
      </c>
      <c r="AU26" s="1486">
        <f t="shared" si="28"/>
        <v>0.65067744336361799</v>
      </c>
      <c r="AV26" s="1486">
        <f t="shared" si="29"/>
        <v>0.40760364294868329</v>
      </c>
      <c r="AW26" s="1684">
        <f>(AR26-AD121-AD139-AD143-AD153-AD168)/$AO$2*12+AD121+AD139+AD143+AD153+AD168</f>
        <v>8971876869</v>
      </c>
      <c r="AX26" s="1684">
        <f>(AS26-AG121-AG139-AG143-AG153-AG168)/$AO$2*12+AG121+AG139+AG143+AG153+AG168</f>
        <v>5498089181</v>
      </c>
      <c r="AY26" s="1684">
        <f t="shared" si="30"/>
        <v>-1746434860</v>
      </c>
      <c r="AZ26" s="1685">
        <f t="shared" si="31"/>
        <v>5220222548</v>
      </c>
      <c r="BA26" s="1572"/>
      <c r="BB26" s="1572"/>
      <c r="BC26" s="1572"/>
      <c r="BD26" s="1572"/>
      <c r="BE26" s="1572"/>
      <c r="BF26" s="1572"/>
      <c r="BG26" s="1572"/>
      <c r="BH26" s="1572"/>
      <c r="BI26" s="1572"/>
      <c r="BJ26" s="1572"/>
      <c r="BK26" s="1572"/>
      <c r="BM26" s="1692" t="s">
        <v>446</v>
      </c>
      <c r="BN26" s="1549">
        <f>+X198+X212</f>
        <v>4659700346</v>
      </c>
      <c r="BO26" s="1547">
        <f>+AA198+AA212</f>
        <v>3137035651</v>
      </c>
      <c r="BP26" s="1547">
        <f>+AD198+AD212</f>
        <v>2761747450</v>
      </c>
      <c r="BQ26" s="1550">
        <f>+AF198+AF212</f>
        <v>271014466</v>
      </c>
      <c r="BR26" s="1572"/>
    </row>
    <row r="27" spans="1:70" s="1659" customFormat="1" ht="24.95" customHeight="1">
      <c r="A27" s="1551" t="str">
        <f>+IF(AGOSTO!A27=0,"",AGOSTO!A27)</f>
        <v>1130102-2</v>
      </c>
      <c r="B27" s="1682" t="str">
        <f>+IF(AGOSTO!B27=0,"",AGOSTO!B27)</f>
        <v>Vigencia Anterior</v>
      </c>
      <c r="C27" s="1553">
        <f>+ENERO!C27</f>
        <v>0</v>
      </c>
      <c r="D27" s="1554">
        <f>AGOSTO!D27+SEPTIEMBRE!P27</f>
        <v>0</v>
      </c>
      <c r="E27" s="1554">
        <f>AGOSTO!E27+SEPTIEMBRE!Q27</f>
        <v>5107572584</v>
      </c>
      <c r="F27" s="1554">
        <f>SUM(C27:E27)</f>
        <v>5107572584</v>
      </c>
      <c r="G27" s="1554">
        <f>AGOSTO!I27</f>
        <v>5824975047</v>
      </c>
      <c r="H27" s="1557">
        <v>64647311</v>
      </c>
      <c r="I27" s="1554">
        <f>SUM(G27:H27)</f>
        <v>5889622358</v>
      </c>
      <c r="J27" s="1554">
        <f>AGOSTO!L27</f>
        <v>5824975047</v>
      </c>
      <c r="K27" s="1557">
        <v>64647311</v>
      </c>
      <c r="L27" s="1554">
        <f>SUM(J27:K27)</f>
        <v>5889622358</v>
      </c>
      <c r="M27" s="1554">
        <f>F27-I27</f>
        <v>-782049774</v>
      </c>
      <c r="N27" s="1555">
        <f>F27-L27</f>
        <v>-782049774</v>
      </c>
      <c r="O27" s="1572"/>
      <c r="P27" s="1559">
        <v>0</v>
      </c>
      <c r="Q27" s="1560">
        <v>0</v>
      </c>
      <c r="R27" s="1448"/>
      <c r="S27" s="1662" t="str">
        <f>+IF(AGOSTO!S27=0,"",AGOSTO!S27)</f>
        <v>1010104-9</v>
      </c>
      <c r="T27" s="1663" t="str">
        <f>+IF(AGOSTO!T27=0,"",AGOSTO!T27)</f>
        <v>Auxilio de Transporte</v>
      </c>
      <c r="U27" s="1617">
        <f>+ENERO!U27</f>
        <v>0</v>
      </c>
      <c r="V27" s="1618">
        <f>AGOSTO!V27+SEPTIEMBRE!AL27</f>
        <v>0</v>
      </c>
      <c r="W27" s="1618">
        <f>AGOSTO!W27+SEPTIEMBRE!AM27</f>
        <v>0</v>
      </c>
      <c r="X27" s="1619">
        <f t="shared" si="20"/>
        <v>0</v>
      </c>
      <c r="Y27" s="1620">
        <f>AGOSTO!AA27</f>
        <v>0</v>
      </c>
      <c r="Z27" s="1557">
        <v>0</v>
      </c>
      <c r="AA27" s="1619">
        <f t="shared" si="21"/>
        <v>0</v>
      </c>
      <c r="AB27" s="1620">
        <f>AGOSTO!AD27</f>
        <v>0</v>
      </c>
      <c r="AC27" s="1557">
        <v>0</v>
      </c>
      <c r="AD27" s="1619">
        <f t="shared" si="22"/>
        <v>0</v>
      </c>
      <c r="AE27" s="1620">
        <f>AGOSTO!AG27</f>
        <v>0</v>
      </c>
      <c r="AF27" s="1557">
        <v>0</v>
      </c>
      <c r="AG27" s="1619">
        <f t="shared" si="23"/>
        <v>0</v>
      </c>
      <c r="AH27" s="1620">
        <f t="shared" si="24"/>
        <v>0</v>
      </c>
      <c r="AI27" s="1618">
        <f t="shared" si="25"/>
        <v>0</v>
      </c>
      <c r="AJ27" s="1621">
        <f t="shared" si="26"/>
        <v>0</v>
      </c>
      <c r="AK27" s="1448"/>
      <c r="AL27" s="1559">
        <v>0</v>
      </c>
      <c r="AM27" s="1560">
        <v>0</v>
      </c>
      <c r="AN27" s="1448"/>
      <c r="AO27" s="1504"/>
      <c r="AP27" s="1687" t="s">
        <v>124</v>
      </c>
      <c r="AQ27" s="1554">
        <f>X170</f>
        <v>163530003</v>
      </c>
      <c r="AR27" s="1554">
        <f>AD170</f>
        <v>86068721</v>
      </c>
      <c r="AS27" s="1554">
        <f>AG170</f>
        <v>81885928</v>
      </c>
      <c r="AT27" s="1674"/>
      <c r="AU27" s="1554">
        <f t="shared" si="28"/>
        <v>0.52631761402218036</v>
      </c>
      <c r="AV27" s="1554">
        <f t="shared" si="29"/>
        <v>0.50073947592357104</v>
      </c>
      <c r="AW27" s="1554">
        <f>(AR27-AD174-AD183-AD191)/$AO$2*12+AD174+AD183+AD191</f>
        <v>114758294.66666666</v>
      </c>
      <c r="AX27" s="1554">
        <f>(AS27-AG174-AG183-AG191)/$AO$2*12+AG174+AG183+AG191</f>
        <v>109181237.33333333</v>
      </c>
      <c r="AY27" s="1554">
        <f t="shared" si="30"/>
        <v>-48771708.333333343</v>
      </c>
      <c r="AZ27" s="1555">
        <f t="shared" si="31"/>
        <v>54348765.666666672</v>
      </c>
      <c r="BA27" s="1448"/>
      <c r="BB27" s="1572"/>
      <c r="BC27" s="1572"/>
      <c r="BD27" s="1572"/>
      <c r="BE27" s="1572"/>
      <c r="BF27" s="1572"/>
      <c r="BG27" s="1572"/>
      <c r="BH27" s="1572"/>
      <c r="BI27" s="1572"/>
      <c r="BJ27" s="1572"/>
      <c r="BK27" s="1572"/>
      <c r="BL27" s="1572"/>
      <c r="BM27" s="1692" t="s">
        <v>447</v>
      </c>
      <c r="BN27" s="1549">
        <f>+X209-X212-X218</f>
        <v>0</v>
      </c>
      <c r="BO27" s="1547">
        <f>+AA209-AA212-AA218</f>
        <v>0</v>
      </c>
      <c r="BP27" s="1547">
        <f>+AD209-AD212-AD218</f>
        <v>0</v>
      </c>
      <c r="BQ27" s="1550">
        <f>+AF209-AF212-AF218</f>
        <v>0</v>
      </c>
      <c r="BR27" s="1572"/>
    </row>
    <row r="28" spans="1:70" s="1659" customFormat="1" ht="24.95" customHeight="1">
      <c r="A28" s="1635">
        <f>+IF(AGOSTO!A28=0,"",AGOSTO!A28)</f>
        <v>1130103</v>
      </c>
      <c r="B28" s="1693" t="str">
        <f>+IF(AGOSTO!B28=0,"",AGOSTO!B28)</f>
        <v>SUBSIDIO A LA OFERTA- ATENCION PERSONAS POBRES NO CUBIERTOS CON SUBSIDIO A LA DEMANDA</v>
      </c>
      <c r="C28" s="1637">
        <f>C29+C32+C35+C38+C39+C40</f>
        <v>157521482</v>
      </c>
      <c r="D28" s="1671">
        <f>+D29+D32+D35+D38+D39+D40</f>
        <v>0</v>
      </c>
      <c r="E28" s="1671">
        <f>+E29+E32+E35+E38+E39+E40</f>
        <v>258289958</v>
      </c>
      <c r="F28" s="1671">
        <f>+F29+F32+F35+F38+F39+F40</f>
        <v>415811440</v>
      </c>
      <c r="G28" s="1671">
        <f t="shared" ref="G28:N28" si="33">G29+G32+G35+G38+G39+G40</f>
        <v>1227814626</v>
      </c>
      <c r="H28" s="1671">
        <f t="shared" si="33"/>
        <v>116329933</v>
      </c>
      <c r="I28" s="1671">
        <f t="shared" si="33"/>
        <v>1344144559</v>
      </c>
      <c r="J28" s="1671">
        <f t="shared" si="33"/>
        <v>215606016</v>
      </c>
      <c r="K28" s="1671">
        <f t="shared" si="33"/>
        <v>44271903</v>
      </c>
      <c r="L28" s="1671">
        <f t="shared" si="33"/>
        <v>259877919</v>
      </c>
      <c r="M28" s="1671">
        <f t="shared" si="33"/>
        <v>-928333119</v>
      </c>
      <c r="N28" s="1638">
        <f t="shared" si="33"/>
        <v>155933521</v>
      </c>
      <c r="O28" s="1572"/>
      <c r="P28" s="1637">
        <f>P29+P32+P35+P38+P39+P940</f>
        <v>0</v>
      </c>
      <c r="Q28" s="1638">
        <f>Q29+Q32+Q35+Q38+Q39+Q40</f>
        <v>0</v>
      </c>
      <c r="R28" s="1448"/>
      <c r="S28" s="1662" t="str">
        <f>+IF(AGOSTO!S28=0,"",AGOSTO!S28)</f>
        <v>1010104-10</v>
      </c>
      <c r="T28" s="1663" t="str">
        <f>+IF(AGOSTO!T28=0,"",AGOSTO!T28)</f>
        <v>Subsidio de Alimentación</v>
      </c>
      <c r="U28" s="1617">
        <f>+ENERO!U28</f>
        <v>532000</v>
      </c>
      <c r="V28" s="1618">
        <f>AGOSTO!V28+SEPTIEMBRE!AL28</f>
        <v>95000</v>
      </c>
      <c r="W28" s="1618">
        <f>AGOSTO!W28+SEPTIEMBRE!AM28</f>
        <v>0</v>
      </c>
      <c r="X28" s="1619">
        <f t="shared" si="20"/>
        <v>627000</v>
      </c>
      <c r="Y28" s="1620">
        <f>AGOSTO!AA28</f>
        <v>386211</v>
      </c>
      <c r="Z28" s="1557">
        <v>240367</v>
      </c>
      <c r="AA28" s="1619">
        <f t="shared" si="21"/>
        <v>626578</v>
      </c>
      <c r="AB28" s="1620">
        <f>AGOSTO!AD28</f>
        <v>386211</v>
      </c>
      <c r="AC28" s="1557">
        <v>240367</v>
      </c>
      <c r="AD28" s="1619">
        <f t="shared" si="22"/>
        <v>626578</v>
      </c>
      <c r="AE28" s="1620">
        <f>AGOSTO!AG28</f>
        <v>386211</v>
      </c>
      <c r="AF28" s="1557">
        <v>240367</v>
      </c>
      <c r="AG28" s="1619">
        <f t="shared" si="23"/>
        <v>626578</v>
      </c>
      <c r="AH28" s="1620">
        <f t="shared" si="24"/>
        <v>422</v>
      </c>
      <c r="AI28" s="1618">
        <f t="shared" si="25"/>
        <v>422</v>
      </c>
      <c r="AJ28" s="1621">
        <f t="shared" si="26"/>
        <v>422</v>
      </c>
      <c r="AK28" s="1448"/>
      <c r="AL28" s="1559">
        <v>95000</v>
      </c>
      <c r="AM28" s="1560">
        <v>0</v>
      </c>
      <c r="AN28" s="1448"/>
      <c r="AO28" s="1504"/>
      <c r="AP28" s="1694" t="s">
        <v>586</v>
      </c>
      <c r="AQ28" s="1554">
        <f>X195</f>
        <v>16296202100</v>
      </c>
      <c r="AR28" s="1554">
        <f>AD195</f>
        <v>11819666400</v>
      </c>
      <c r="AS28" s="1554">
        <f>AG195</f>
        <v>6166719989</v>
      </c>
      <c r="AT28" s="1674"/>
      <c r="AU28" s="1554">
        <f t="shared" si="28"/>
        <v>0.72530190331893341</v>
      </c>
      <c r="AV28" s="1554">
        <f t="shared" si="29"/>
        <v>0.3784145502834676</v>
      </c>
      <c r="AW28" s="1554">
        <f>(AR28-AD207)/$AO$2*12+AD207</f>
        <v>14836759318.333332</v>
      </c>
      <c r="AX28" s="1554">
        <f>(AS28-AG207)/$AO$2*12+AG207</f>
        <v>7299497437</v>
      </c>
      <c r="AY28" s="1554">
        <f t="shared" si="30"/>
        <v>-1459442781.6666679</v>
      </c>
      <c r="AZ28" s="1555">
        <f t="shared" si="31"/>
        <v>8996704663</v>
      </c>
      <c r="BA28" s="1572"/>
      <c r="BB28" s="1572"/>
      <c r="BC28" s="1572"/>
      <c r="BD28" s="1572"/>
      <c r="BE28" s="1572"/>
      <c r="BF28" s="1572"/>
      <c r="BG28" s="1572"/>
      <c r="BH28" s="1572"/>
      <c r="BI28" s="1572"/>
      <c r="BJ28" s="1572"/>
      <c r="BK28" s="1572"/>
      <c r="BL28" s="1572"/>
      <c r="BM28" s="1494" t="s">
        <v>448</v>
      </c>
      <c r="BN28" s="1536">
        <f>+X196-X198-X207</f>
        <v>8745909269</v>
      </c>
      <c r="BO28" s="1534">
        <f>+AA196-AA198-AA207</f>
        <v>7520924558</v>
      </c>
      <c r="BP28" s="1534">
        <f>+AD196-AD198-AD207</f>
        <v>6289531305</v>
      </c>
      <c r="BQ28" s="1537">
        <f>+AF196-AF198-AF207</f>
        <v>476068978</v>
      </c>
      <c r="BR28" s="1448"/>
    </row>
    <row r="29" spans="1:70" s="1448" customFormat="1" ht="24.95" customHeight="1">
      <c r="A29" s="1551" t="str">
        <f>+IF(AGOSTO!A29=0,"",AGOSTO!A29)</f>
        <v>1130103-1</v>
      </c>
      <c r="B29" s="1695" t="str">
        <f>+IF(AGOSTO!B29=0,"",AGOSTO!B29)</f>
        <v>Prestación de Servicios de salud  1er Nivel</v>
      </c>
      <c r="C29" s="1620">
        <f t="shared" ref="C29:N29" si="34">SUM(C30:C31)</f>
        <v>0</v>
      </c>
      <c r="D29" s="1618">
        <f t="shared" si="34"/>
        <v>0</v>
      </c>
      <c r="E29" s="1618">
        <f t="shared" si="34"/>
        <v>0</v>
      </c>
      <c r="F29" s="1618">
        <f t="shared" si="34"/>
        <v>0</v>
      </c>
      <c r="G29" s="1618">
        <f t="shared" si="34"/>
        <v>0</v>
      </c>
      <c r="H29" s="1618">
        <f t="shared" si="34"/>
        <v>0</v>
      </c>
      <c r="I29" s="1618">
        <f t="shared" si="34"/>
        <v>0</v>
      </c>
      <c r="J29" s="1618">
        <f t="shared" si="34"/>
        <v>0</v>
      </c>
      <c r="K29" s="1618">
        <f t="shared" si="34"/>
        <v>0</v>
      </c>
      <c r="L29" s="1618">
        <f t="shared" si="34"/>
        <v>0</v>
      </c>
      <c r="M29" s="1618">
        <f t="shared" si="34"/>
        <v>0</v>
      </c>
      <c r="N29" s="1621">
        <f t="shared" si="34"/>
        <v>0</v>
      </c>
      <c r="O29" s="1572"/>
      <c r="P29" s="1696">
        <f>SUM(P30:P31)</f>
        <v>0</v>
      </c>
      <c r="Q29" s="1697">
        <f>SUM(Q30:Q31)</f>
        <v>0</v>
      </c>
      <c r="S29" s="1662" t="str">
        <f>+IF(AGOSTO!S29=0,"",AGOSTO!S29)</f>
        <v>1010104-11</v>
      </c>
      <c r="T29" s="1663" t="str">
        <f>+IF(AGOSTO!T29=0,"",AGOSTO!T29)</f>
        <v>Gastos de Representación</v>
      </c>
      <c r="U29" s="1617">
        <f>+ENERO!U29</f>
        <v>0</v>
      </c>
      <c r="V29" s="1618">
        <f>AGOSTO!V29+SEPTIEMBRE!AL29</f>
        <v>0</v>
      </c>
      <c r="W29" s="1618">
        <f>AGOSTO!W29+SEPTIEMBRE!AM29</f>
        <v>0</v>
      </c>
      <c r="X29" s="1619">
        <f t="shared" si="20"/>
        <v>0</v>
      </c>
      <c r="Y29" s="1620">
        <f>AGOSTO!AA29</f>
        <v>0</v>
      </c>
      <c r="Z29" s="1557">
        <v>0</v>
      </c>
      <c r="AA29" s="1619">
        <f t="shared" si="21"/>
        <v>0</v>
      </c>
      <c r="AB29" s="1620">
        <f>AGOSTO!AD29</f>
        <v>0</v>
      </c>
      <c r="AC29" s="1557">
        <v>0</v>
      </c>
      <c r="AD29" s="1619">
        <f t="shared" si="22"/>
        <v>0</v>
      </c>
      <c r="AE29" s="1620">
        <f>AGOSTO!AG29</f>
        <v>0</v>
      </c>
      <c r="AF29" s="1557">
        <v>0</v>
      </c>
      <c r="AG29" s="1619">
        <f t="shared" si="23"/>
        <v>0</v>
      </c>
      <c r="AH29" s="1620">
        <f t="shared" si="24"/>
        <v>0</v>
      </c>
      <c r="AI29" s="1618">
        <f t="shared" si="25"/>
        <v>0</v>
      </c>
      <c r="AJ29" s="1621">
        <f t="shared" si="26"/>
        <v>0</v>
      </c>
      <c r="AL29" s="1559">
        <v>0</v>
      </c>
      <c r="AM29" s="1560">
        <v>0</v>
      </c>
      <c r="AO29" s="1452"/>
      <c r="AP29" s="1694" t="s">
        <v>585</v>
      </c>
      <c r="AQ29" s="1554">
        <f>X209</f>
        <v>0</v>
      </c>
      <c r="AR29" s="1554">
        <f>AD209</f>
        <v>0</v>
      </c>
      <c r="AS29" s="1554">
        <f>AG209</f>
        <v>0</v>
      </c>
      <c r="AT29" s="1454"/>
      <c r="AU29" s="1486" t="str">
        <f t="shared" si="28"/>
        <v xml:space="preserve"> </v>
      </c>
      <c r="AV29" s="1486" t="str">
        <f t="shared" si="29"/>
        <v xml:space="preserve"> </v>
      </c>
      <c r="AW29" s="1684">
        <f>(AR29-AD218)/$AO$2*12+AD218</f>
        <v>0</v>
      </c>
      <c r="AX29" s="1684">
        <f>(AS29-AG218)/$AO$2*12+AG218</f>
        <v>0</v>
      </c>
      <c r="AY29" s="1684">
        <f t="shared" si="30"/>
        <v>0</v>
      </c>
      <c r="AZ29" s="1685">
        <f t="shared" si="31"/>
        <v>0</v>
      </c>
      <c r="BA29" s="1572"/>
      <c r="BB29" s="1659"/>
      <c r="BC29" s="1659"/>
      <c r="BD29" s="1659"/>
      <c r="BE29" s="1659"/>
      <c r="BF29" s="1659"/>
      <c r="BG29" s="1572"/>
      <c r="BH29" s="1572"/>
      <c r="BI29" s="1572"/>
      <c r="BJ29" s="1572"/>
      <c r="BK29" s="1572"/>
      <c r="BM29" s="1698" t="s">
        <v>70</v>
      </c>
      <c r="BN29" s="1688">
        <f>X232-X256-X241</f>
        <v>433878092</v>
      </c>
      <c r="BO29" s="1689">
        <f>AA232-AA256-AA241</f>
        <v>352813794</v>
      </c>
      <c r="BP29" s="1689">
        <f>AD232-AD256-AD241</f>
        <v>336273002</v>
      </c>
      <c r="BQ29" s="1690">
        <f>AF232-AF256-AF241</f>
        <v>0</v>
      </c>
      <c r="BR29" s="1572"/>
    </row>
    <row r="30" spans="1:70" s="1659" customFormat="1" ht="24.95" customHeight="1">
      <c r="A30" s="1551" t="str">
        <f>+IF(AGOSTO!A30=0,"",AGOSTO!A30)</f>
        <v>1130103-1-1</v>
      </c>
      <c r="B30" s="1682" t="str">
        <f>+CONCATENATE("Vigencia ",INSTRUCCIONES!$F$3)</f>
        <v>Vigencia 2017</v>
      </c>
      <c r="C30" s="1553">
        <f>+ENERO!C30</f>
        <v>0</v>
      </c>
      <c r="D30" s="1554">
        <f>AGOSTO!D30+SEPTIEMBRE!P30</f>
        <v>0</v>
      </c>
      <c r="E30" s="1554">
        <f>AGOSTO!E30+SEPTIEMBRE!Q30</f>
        <v>0</v>
      </c>
      <c r="F30" s="1554">
        <f>SUM(C30:E30)</f>
        <v>0</v>
      </c>
      <c r="G30" s="1554">
        <f>AGOSTO!I30</f>
        <v>0</v>
      </c>
      <c r="H30" s="1557">
        <v>0</v>
      </c>
      <c r="I30" s="1554">
        <f>SUM(G30:H30)</f>
        <v>0</v>
      </c>
      <c r="J30" s="1554">
        <f>AGOSTO!L30</f>
        <v>0</v>
      </c>
      <c r="K30" s="1557">
        <v>0</v>
      </c>
      <c r="L30" s="1554">
        <f>SUM(J30:K30)</f>
        <v>0</v>
      </c>
      <c r="M30" s="1554">
        <f>F30-I30</f>
        <v>0</v>
      </c>
      <c r="N30" s="1555">
        <f>F30-L30</f>
        <v>0</v>
      </c>
      <c r="O30" s="1448"/>
      <c r="P30" s="1559">
        <v>0</v>
      </c>
      <c r="Q30" s="1560">
        <v>0</v>
      </c>
      <c r="R30" s="1448"/>
      <c r="S30" s="1662" t="str">
        <f>+IF(AGOSTO!S30=0,"",AGOSTO!S30)</f>
        <v>1010104-12</v>
      </c>
      <c r="T30" s="1663" t="str">
        <f>+IF(AGOSTO!T30=0,"",AGOSTO!T30)</f>
        <v xml:space="preserve"> Indemnizaciones por Vacaciones o Supresión de Cargos por Reestructuración</v>
      </c>
      <c r="U30" s="1617">
        <f>+ENERO!U30</f>
        <v>0</v>
      </c>
      <c r="V30" s="1618">
        <f>AGOSTO!V30+SEPTIEMBRE!AL30</f>
        <v>0</v>
      </c>
      <c r="W30" s="1618">
        <f>AGOSTO!W30+SEPTIEMBRE!AM30</f>
        <v>0</v>
      </c>
      <c r="X30" s="1619">
        <f t="shared" si="20"/>
        <v>0</v>
      </c>
      <c r="Y30" s="1620">
        <f>AGOSTO!AA30</f>
        <v>0</v>
      </c>
      <c r="Z30" s="1557">
        <v>0</v>
      </c>
      <c r="AA30" s="1619">
        <f t="shared" si="21"/>
        <v>0</v>
      </c>
      <c r="AB30" s="1620">
        <f>AGOSTO!AD30</f>
        <v>0</v>
      </c>
      <c r="AC30" s="1557">
        <v>0</v>
      </c>
      <c r="AD30" s="1619">
        <f t="shared" si="22"/>
        <v>0</v>
      </c>
      <c r="AE30" s="1620">
        <f>AGOSTO!AG30</f>
        <v>0</v>
      </c>
      <c r="AF30" s="1557">
        <v>0</v>
      </c>
      <c r="AG30" s="1619">
        <f t="shared" si="23"/>
        <v>0</v>
      </c>
      <c r="AH30" s="1620">
        <f t="shared" si="24"/>
        <v>0</v>
      </c>
      <c r="AI30" s="1618">
        <f t="shared" si="25"/>
        <v>0</v>
      </c>
      <c r="AJ30" s="1621">
        <f t="shared" si="26"/>
        <v>0</v>
      </c>
      <c r="AK30" s="1448"/>
      <c r="AL30" s="1559">
        <v>0</v>
      </c>
      <c r="AM30" s="1560">
        <v>0</v>
      </c>
      <c r="AN30" s="1448"/>
      <c r="AO30" s="1544" t="s">
        <v>51</v>
      </c>
      <c r="AP30" s="1687" t="s">
        <v>132</v>
      </c>
      <c r="AQ30" s="1554">
        <f>X220+X232</f>
        <v>433878092</v>
      </c>
      <c r="AR30" s="1554">
        <f>AD220+AD232</f>
        <v>336273002</v>
      </c>
      <c r="AS30" s="1554">
        <f>AG220+AG232</f>
        <v>172740563</v>
      </c>
      <c r="AT30" s="1674"/>
      <c r="AU30" s="1554">
        <f t="shared" si="28"/>
        <v>0.7750402894276579</v>
      </c>
      <c r="AV30" s="1554">
        <f t="shared" si="29"/>
        <v>0.39813156318572546</v>
      </c>
      <c r="AW30" s="1554">
        <f>(AR30-AD225-AD230-AD241-AD256)/$AO$2*12+AD225+AD230+AD241+AD256</f>
        <v>448364002.66666663</v>
      </c>
      <c r="AX30" s="1554">
        <f>(AS30-AG225-AG230-AG241-AG256)/$AO$2*12+AG225+AG230+AG241+AG256</f>
        <v>230320750.66666666</v>
      </c>
      <c r="AY30" s="1554">
        <f t="shared" si="30"/>
        <v>14485910.666666627</v>
      </c>
      <c r="AZ30" s="1555">
        <f t="shared" si="31"/>
        <v>203557341.33333334</v>
      </c>
      <c r="BA30" s="1572"/>
      <c r="BG30" s="1572"/>
      <c r="BH30" s="1572"/>
      <c r="BI30" s="1572"/>
      <c r="BJ30" s="1572"/>
      <c r="BK30" s="1572"/>
      <c r="BL30" s="1572"/>
      <c r="BM30" s="1698" t="s">
        <v>74</v>
      </c>
      <c r="BN30" s="1688">
        <f>X220-X225-X230</f>
        <v>0</v>
      </c>
      <c r="BO30" s="1689">
        <f>AA220-AA225-AA230</f>
        <v>0</v>
      </c>
      <c r="BP30" s="1689">
        <f>AD220-AD225-AD230</f>
        <v>0</v>
      </c>
      <c r="BQ30" s="1690">
        <f>AF220-AF225-AF230</f>
        <v>0</v>
      </c>
      <c r="BR30" s="1572"/>
    </row>
    <row r="31" spans="1:70" s="1659" customFormat="1" ht="24.95" customHeight="1">
      <c r="A31" s="1551" t="str">
        <f>+IF(AGOSTO!A31=0,"",AGOSTO!A31)</f>
        <v>1130103-1-2</v>
      </c>
      <c r="B31" s="1682" t="str">
        <f>+IF(AGOSTO!B31=0,"",AGOSTO!B31)</f>
        <v>Vigencia Anterior</v>
      </c>
      <c r="C31" s="1553">
        <f>+ENERO!C31</f>
        <v>0</v>
      </c>
      <c r="D31" s="1554">
        <f>AGOSTO!D31+SEPTIEMBRE!P31</f>
        <v>0</v>
      </c>
      <c r="E31" s="1554">
        <f>AGOSTO!E31+SEPTIEMBRE!Q31</f>
        <v>0</v>
      </c>
      <c r="F31" s="1554">
        <f>SUM(C31:E31)</f>
        <v>0</v>
      </c>
      <c r="G31" s="1554">
        <f>AGOSTO!I31</f>
        <v>0</v>
      </c>
      <c r="H31" s="1557">
        <v>0</v>
      </c>
      <c r="I31" s="1554">
        <f>SUM(G31:H31)</f>
        <v>0</v>
      </c>
      <c r="J31" s="1554">
        <f>AGOSTO!L31</f>
        <v>0</v>
      </c>
      <c r="K31" s="1557">
        <v>0</v>
      </c>
      <c r="L31" s="1554">
        <f>SUM(J31:K31)</f>
        <v>0</v>
      </c>
      <c r="M31" s="1554">
        <f>F31-I31</f>
        <v>0</v>
      </c>
      <c r="N31" s="1555">
        <f>F31-L31</f>
        <v>0</v>
      </c>
      <c r="O31" s="1572"/>
      <c r="P31" s="1559">
        <v>0</v>
      </c>
      <c r="Q31" s="1560">
        <v>0</v>
      </c>
      <c r="R31" s="1448"/>
      <c r="S31" s="1662" t="str">
        <f>+IF(AGOSTO!S31=0,"",AGOSTO!S31)</f>
        <v>1010104-13</v>
      </c>
      <c r="T31" s="1663" t="str">
        <f>+IF(AGOSTO!T31=0,"",AGOSTO!T31)</f>
        <v>Bonificación Especial por Recreación</v>
      </c>
      <c r="U31" s="1617">
        <f>+ENERO!U31</f>
        <v>1869843</v>
      </c>
      <c r="V31" s="1618">
        <f>AGOSTO!V31+SEPTIEMBRE!AL31</f>
        <v>0</v>
      </c>
      <c r="W31" s="1618">
        <f>AGOSTO!W31+SEPTIEMBRE!AM31</f>
        <v>0</v>
      </c>
      <c r="X31" s="1619">
        <f t="shared" si="20"/>
        <v>1869843</v>
      </c>
      <c r="Y31" s="1620">
        <f>AGOSTO!AA31</f>
        <v>234721</v>
      </c>
      <c r="Z31" s="1557">
        <v>697263</v>
      </c>
      <c r="AA31" s="1619">
        <f t="shared" si="21"/>
        <v>931984</v>
      </c>
      <c r="AB31" s="1620">
        <f>AGOSTO!AD31</f>
        <v>234721</v>
      </c>
      <c r="AC31" s="1557">
        <v>697263</v>
      </c>
      <c r="AD31" s="1619">
        <f t="shared" si="22"/>
        <v>931984</v>
      </c>
      <c r="AE31" s="1620">
        <f>AGOSTO!AG31</f>
        <v>234721</v>
      </c>
      <c r="AF31" s="1557">
        <v>697263</v>
      </c>
      <c r="AG31" s="1619">
        <f t="shared" si="23"/>
        <v>931984</v>
      </c>
      <c r="AH31" s="1620">
        <f t="shared" si="24"/>
        <v>937859</v>
      </c>
      <c r="AI31" s="1618">
        <f t="shared" si="25"/>
        <v>937859</v>
      </c>
      <c r="AJ31" s="1621">
        <f t="shared" si="26"/>
        <v>937859</v>
      </c>
      <c r="AK31" s="1448"/>
      <c r="AL31" s="1559">
        <v>0</v>
      </c>
      <c r="AM31" s="1560">
        <v>0</v>
      </c>
      <c r="AN31" s="1448"/>
      <c r="AO31" s="1504"/>
      <c r="AP31" s="1651" t="s">
        <v>135</v>
      </c>
      <c r="AQ31" s="1674">
        <f>X258</f>
        <v>0</v>
      </c>
      <c r="AR31" s="1674">
        <f>AD258</f>
        <v>-17671311433</v>
      </c>
      <c r="AS31" s="1674">
        <f>AG258</f>
        <v>-29899717136</v>
      </c>
      <c r="AT31" s="1674"/>
      <c r="AU31" s="1554" t="str">
        <f t="shared" si="28"/>
        <v xml:space="preserve"> </v>
      </c>
      <c r="AV31" s="1554" t="str">
        <f t="shared" si="29"/>
        <v xml:space="preserve"> </v>
      </c>
      <c r="AW31" s="1554">
        <f>AQ31</f>
        <v>0</v>
      </c>
      <c r="AX31" s="1554">
        <f>AQ31</f>
        <v>0</v>
      </c>
      <c r="AY31" s="1554">
        <f t="shared" si="30"/>
        <v>0</v>
      </c>
      <c r="AZ31" s="1555">
        <f t="shared" si="31"/>
        <v>0</v>
      </c>
      <c r="BA31" s="1572"/>
      <c r="BB31" s="1572"/>
      <c r="BC31" s="1572"/>
      <c r="BD31" s="1572"/>
      <c r="BE31" s="1572"/>
      <c r="BF31" s="1572"/>
      <c r="BG31" s="1572"/>
      <c r="BH31" s="1572"/>
      <c r="BI31" s="1572"/>
      <c r="BJ31" s="1572"/>
      <c r="BK31" s="1572"/>
      <c r="BL31" s="1572"/>
      <c r="BM31" s="1698" t="s">
        <v>130</v>
      </c>
      <c r="BN31" s="1688">
        <f>X33+X41+X55+X61+X81+X88+X102+X108+X121+X139+X143+X153+X168+X174+X183+X191+X207+X218+X230+X241+X256+X225</f>
        <v>11164400104</v>
      </c>
      <c r="BO31" s="1689">
        <f>AA33+AA41+AA55+AA61+AA81+AA88+AA102+AA108+AA121+AA139+AA143+AA153+AA168+AA174+AA183+AA191+AA207+AA218+AA230+AA241+AA256+AA225</f>
        <v>10954458371</v>
      </c>
      <c r="BP31" s="1689">
        <f>AD33+AD41+AD55+AD61+AD81+AD88+AD102+AD108+AD121+AD139+AD143+AD153+AD168+AD174+AD183+AD191+AD207+AD218+AD230+AD241+AD256+AD225</f>
        <v>10954458371</v>
      </c>
      <c r="BQ31" s="1690">
        <f>AF33+AF41+AF55+AF61+AF81+AF88+AF102+AF108+AF121+AF139+AF143+AF153+AF168+AF174+AF183+AF191+AF207+AF218+AF230+AF241+AF256+AF225</f>
        <v>282775963</v>
      </c>
      <c r="BR31" s="1448"/>
    </row>
    <row r="32" spans="1:70" s="1448" customFormat="1" ht="24.95" customHeight="1" thickBot="1">
      <c r="A32" s="1551" t="str">
        <f>+IF(AGOSTO!A32=0,"",AGOSTO!A32)</f>
        <v>1130103-2</v>
      </c>
      <c r="B32" s="1695" t="str">
        <f>+IF(AGOSTO!B32=0,"",AGOSTO!B32)</f>
        <v>Prestación de Servicios de salud  2o. Nivel</v>
      </c>
      <c r="C32" s="1620">
        <f t="shared" ref="C32:N32" si="35">SUM(C33:C34)</f>
        <v>157521482</v>
      </c>
      <c r="D32" s="1618">
        <f t="shared" si="35"/>
        <v>0</v>
      </c>
      <c r="E32" s="1618">
        <f t="shared" si="35"/>
        <v>212958</v>
      </c>
      <c r="F32" s="1618">
        <f t="shared" si="35"/>
        <v>157734440</v>
      </c>
      <c r="G32" s="1618">
        <f t="shared" si="35"/>
        <v>1120282546</v>
      </c>
      <c r="H32" s="1618">
        <f t="shared" si="35"/>
        <v>73317101</v>
      </c>
      <c r="I32" s="1618">
        <f t="shared" si="35"/>
        <v>1193599647</v>
      </c>
      <c r="J32" s="1618">
        <f t="shared" si="35"/>
        <v>108073936</v>
      </c>
      <c r="K32" s="1618">
        <f t="shared" si="35"/>
        <v>1259071</v>
      </c>
      <c r="L32" s="1618">
        <f t="shared" si="35"/>
        <v>109333007</v>
      </c>
      <c r="M32" s="1618">
        <f t="shared" si="35"/>
        <v>-1035865207</v>
      </c>
      <c r="N32" s="1621">
        <f t="shared" si="35"/>
        <v>48401433</v>
      </c>
      <c r="O32" s="1572"/>
      <c r="P32" s="1696">
        <f>SUM(P33:P34)</f>
        <v>0</v>
      </c>
      <c r="Q32" s="1697">
        <f>SUM(Q33:Q34)</f>
        <v>0</v>
      </c>
      <c r="S32" s="1662" t="str">
        <f>+IF(AGOSTO!S32=0,"",AGOSTO!S32)</f>
        <v>1010104-14</v>
      </c>
      <c r="T32" s="1663" t="str">
        <f>+IF(AGOSTO!T32=0,"",AGOSTO!T32)</f>
        <v/>
      </c>
      <c r="U32" s="1617">
        <f>+ENERO!U32</f>
        <v>0</v>
      </c>
      <c r="V32" s="1618">
        <f>AGOSTO!V32+SEPTIEMBRE!AL32</f>
        <v>0</v>
      </c>
      <c r="W32" s="1618">
        <f>AGOSTO!W32+SEPTIEMBRE!AM32</f>
        <v>0</v>
      </c>
      <c r="X32" s="1619">
        <f t="shared" si="20"/>
        <v>0</v>
      </c>
      <c r="Y32" s="1620">
        <f>AGOSTO!AA32</f>
        <v>0</v>
      </c>
      <c r="Z32" s="1557">
        <v>0</v>
      </c>
      <c r="AA32" s="1619">
        <f t="shared" si="21"/>
        <v>0</v>
      </c>
      <c r="AB32" s="1620">
        <f>AGOSTO!AD32</f>
        <v>0</v>
      </c>
      <c r="AC32" s="1557">
        <v>0</v>
      </c>
      <c r="AD32" s="1619">
        <f t="shared" si="22"/>
        <v>0</v>
      </c>
      <c r="AE32" s="1620">
        <f>AGOSTO!AG32</f>
        <v>0</v>
      </c>
      <c r="AF32" s="1557">
        <v>0</v>
      </c>
      <c r="AG32" s="1619">
        <f t="shared" si="23"/>
        <v>0</v>
      </c>
      <c r="AH32" s="1620">
        <f t="shared" si="24"/>
        <v>0</v>
      </c>
      <c r="AI32" s="1618">
        <f t="shared" si="25"/>
        <v>0</v>
      </c>
      <c r="AJ32" s="1621">
        <f t="shared" si="26"/>
        <v>0</v>
      </c>
      <c r="AL32" s="1559">
        <v>0</v>
      </c>
      <c r="AM32" s="1560">
        <v>0</v>
      </c>
      <c r="AO32" s="1452"/>
      <c r="AP32" s="1699" t="s">
        <v>140</v>
      </c>
      <c r="AQ32" s="1610">
        <f>SUM(AQ22:AQ31)</f>
        <v>66878334114</v>
      </c>
      <c r="AR32" s="1610">
        <f>SUM(AR22:AR31)</f>
        <v>30285223643</v>
      </c>
      <c r="AS32" s="1610">
        <f>SUM(AS22:AS31)</f>
        <v>0</v>
      </c>
      <c r="AT32" s="1700"/>
      <c r="AU32" s="1701">
        <f t="shared" si="28"/>
        <v>0.45284058049915199</v>
      </c>
      <c r="AV32" s="1701">
        <f t="shared" si="29"/>
        <v>0</v>
      </c>
      <c r="AW32" s="1506">
        <f>SUM(AW22:AW31)</f>
        <v>60308800805.166664</v>
      </c>
      <c r="AX32" s="1506">
        <f>SUM(AX22:AX31)</f>
        <v>36233043551.833328</v>
      </c>
      <c r="AY32" s="1506">
        <f>SUM(AY22:AY31)</f>
        <v>-6569533308.8333321</v>
      </c>
      <c r="AZ32" s="1507">
        <f>SUM(AZ22:AZ31)</f>
        <v>30645290562.166672</v>
      </c>
      <c r="BA32" s="1572"/>
      <c r="BB32" s="1659"/>
      <c r="BC32" s="1659"/>
      <c r="BD32" s="1659"/>
      <c r="BE32" s="1659"/>
      <c r="BF32" s="1659"/>
      <c r="BG32" s="1572"/>
      <c r="BH32" s="1572"/>
      <c r="BI32" s="1572"/>
      <c r="BJ32" s="1572"/>
      <c r="BK32" s="1572"/>
      <c r="BM32" s="1698" t="s">
        <v>136</v>
      </c>
      <c r="BN32" s="1688">
        <f>+BN7+BN25+BN29+BN30+BN31</f>
        <v>66878334114</v>
      </c>
      <c r="BO32" s="1689">
        <f t="shared" ref="BO32:BQ32" si="36">+BO7+BO25+BO29+BO30+BO31</f>
        <v>59186640885</v>
      </c>
      <c r="BP32" s="1689">
        <f t="shared" si="36"/>
        <v>47956535076</v>
      </c>
      <c r="BQ32" s="1690">
        <f t="shared" si="36"/>
        <v>3519719389</v>
      </c>
      <c r="BR32" s="1572"/>
    </row>
    <row r="33" spans="1:70" s="1659" customFormat="1" ht="24.95" customHeight="1" thickBot="1">
      <c r="A33" s="1551" t="str">
        <f>+IF(AGOSTO!A33=0,"",AGOSTO!A33)</f>
        <v>1130103-2-1</v>
      </c>
      <c r="B33" s="1682" t="str">
        <f>+CONCATENATE("Vigencia ",INSTRUCCIONES!$F$3)</f>
        <v>Vigencia 2017</v>
      </c>
      <c r="C33" s="1553">
        <f>+ENERO!C33</f>
        <v>157521482</v>
      </c>
      <c r="D33" s="1554">
        <f>AGOSTO!D33+SEPTIEMBRE!P33</f>
        <v>0</v>
      </c>
      <c r="E33" s="1554">
        <f>AGOSTO!E33+SEPTIEMBRE!Q33</f>
        <v>0</v>
      </c>
      <c r="F33" s="1554">
        <f>SUM(C33:E33)</f>
        <v>157521482</v>
      </c>
      <c r="G33" s="1554">
        <f>AGOSTO!I33</f>
        <v>1120069588</v>
      </c>
      <c r="H33" s="1557">
        <v>73317101</v>
      </c>
      <c r="I33" s="1554">
        <f>SUM(G33:H33)</f>
        <v>1193386689</v>
      </c>
      <c r="J33" s="1554">
        <f>AGOSTO!L33</f>
        <v>107860978</v>
      </c>
      <c r="K33" s="1557">
        <v>1259071</v>
      </c>
      <c r="L33" s="1554">
        <f>SUM(J33:K33)</f>
        <v>109120049</v>
      </c>
      <c r="M33" s="1554">
        <f>F33-I33</f>
        <v>-1035865207</v>
      </c>
      <c r="N33" s="1555">
        <f>F33-L33</f>
        <v>48401433</v>
      </c>
      <c r="O33" s="1448"/>
      <c r="P33" s="1559">
        <v>0</v>
      </c>
      <c r="Q33" s="1560">
        <v>0</v>
      </c>
      <c r="R33" s="1448"/>
      <c r="S33" s="1615">
        <f>+IF(AGOSTO!S33=0,"",AGOSTO!S33)</f>
        <v>1010199</v>
      </c>
      <c r="T33" s="1616" t="str">
        <f>+IF(AGOSTO!T33=0,"",AGOSTO!T33)</f>
        <v>Vigencias Anteriores</v>
      </c>
      <c r="U33" s="1617">
        <f>+ENERO!U33</f>
        <v>0</v>
      </c>
      <c r="V33" s="1618">
        <f>AGOSTO!V33+SEPTIEMBRE!AL33</f>
        <v>0</v>
      </c>
      <c r="W33" s="1618">
        <f>AGOSTO!W33+SEPTIEMBRE!AM33</f>
        <v>0</v>
      </c>
      <c r="X33" s="1619">
        <f t="shared" si="20"/>
        <v>0</v>
      </c>
      <c r="Y33" s="1620">
        <f>AGOSTO!AA33</f>
        <v>0</v>
      </c>
      <c r="Z33" s="1557">
        <v>0</v>
      </c>
      <c r="AA33" s="1619">
        <f t="shared" si="21"/>
        <v>0</v>
      </c>
      <c r="AB33" s="1620">
        <f>AGOSTO!AD33</f>
        <v>0</v>
      </c>
      <c r="AC33" s="1557">
        <v>0</v>
      </c>
      <c r="AD33" s="1619">
        <f t="shared" si="22"/>
        <v>0</v>
      </c>
      <c r="AE33" s="1620">
        <f>AGOSTO!AG33</f>
        <v>0</v>
      </c>
      <c r="AF33" s="1557">
        <v>0</v>
      </c>
      <c r="AG33" s="1619">
        <f t="shared" si="23"/>
        <v>0</v>
      </c>
      <c r="AH33" s="1620">
        <f t="shared" si="24"/>
        <v>0</v>
      </c>
      <c r="AI33" s="1618">
        <f t="shared" si="25"/>
        <v>0</v>
      </c>
      <c r="AJ33" s="1621">
        <f t="shared" si="26"/>
        <v>0</v>
      </c>
      <c r="AK33" s="1448"/>
      <c r="AL33" s="1559">
        <v>0</v>
      </c>
      <c r="AM33" s="1560">
        <v>0</v>
      </c>
      <c r="AN33" s="1448"/>
      <c r="AO33" s="1504"/>
      <c r="AP33" s="1702"/>
      <c r="AQ33" s="1703" t="str">
        <f>IF((AQ32-X8)&lt;&gt;0,(AQ32-X8),"")</f>
        <v/>
      </c>
      <c r="AR33" s="1703"/>
      <c r="AS33" s="1703"/>
      <c r="AT33" s="1703"/>
      <c r="AU33" s="1704"/>
      <c r="AV33" s="1675"/>
      <c r="AW33" s="1676"/>
      <c r="AX33" s="1676"/>
      <c r="AY33" s="1676"/>
      <c r="AZ33" s="1677"/>
      <c r="BA33" s="1572"/>
      <c r="BG33" s="1572"/>
      <c r="BH33" s="1572"/>
      <c r="BI33" s="1572"/>
      <c r="BJ33" s="1572"/>
      <c r="BK33" s="1572"/>
      <c r="BL33" s="1572"/>
      <c r="BM33" s="1705" t="s">
        <v>133</v>
      </c>
      <c r="BN33" s="1706">
        <f>X258</f>
        <v>0</v>
      </c>
      <c r="BO33" s="1707">
        <f>AA258</f>
        <v>-6016740129</v>
      </c>
      <c r="BP33" s="1707">
        <f>AD258</f>
        <v>-17671311433</v>
      </c>
      <c r="BQ33" s="1708">
        <f>AF258</f>
        <v>33073391082</v>
      </c>
      <c r="BR33" s="1572"/>
    </row>
    <row r="34" spans="1:70" s="1659" customFormat="1" ht="24.95" customHeight="1" thickBot="1">
      <c r="A34" s="1551" t="str">
        <f>+IF(AGOSTO!A34=0,"",AGOSTO!A34)</f>
        <v>1130103-2-2</v>
      </c>
      <c r="B34" s="1682" t="str">
        <f>+IF(AGOSTO!B34=0,"",AGOSTO!B34)</f>
        <v>Vigencia Anterior</v>
      </c>
      <c r="C34" s="1553">
        <f>+ENERO!C34</f>
        <v>0</v>
      </c>
      <c r="D34" s="1554">
        <f>AGOSTO!D34+SEPTIEMBRE!P34</f>
        <v>0</v>
      </c>
      <c r="E34" s="1554">
        <f>AGOSTO!E34+SEPTIEMBRE!Q34</f>
        <v>212958</v>
      </c>
      <c r="F34" s="1554">
        <f>SUM(C34:E34)</f>
        <v>212958</v>
      </c>
      <c r="G34" s="1554">
        <f>AGOSTO!I34</f>
        <v>212958</v>
      </c>
      <c r="H34" s="1557">
        <v>0</v>
      </c>
      <c r="I34" s="1554">
        <f>SUM(G34:H34)</f>
        <v>212958</v>
      </c>
      <c r="J34" s="1554">
        <f>AGOSTO!L34</f>
        <v>212958</v>
      </c>
      <c r="K34" s="1557">
        <v>0</v>
      </c>
      <c r="L34" s="1554">
        <f>SUM(J34:K34)</f>
        <v>212958</v>
      </c>
      <c r="M34" s="1554">
        <f>F34-I34</f>
        <v>0</v>
      </c>
      <c r="N34" s="1555">
        <f>F34-L34</f>
        <v>0</v>
      </c>
      <c r="O34" s="1572"/>
      <c r="P34" s="1559">
        <v>0</v>
      </c>
      <c r="Q34" s="1560">
        <v>0</v>
      </c>
      <c r="R34" s="1448"/>
      <c r="S34" s="1538" t="str">
        <f>+IF(AGOSTO!S34=0,"",AGOSTO!S34)</f>
        <v/>
      </c>
      <c r="T34" s="1539" t="str">
        <f>+IF(AGOSTO!T34=0,"",AGOSTO!T34)</f>
        <v/>
      </c>
      <c r="U34" s="1540"/>
      <c r="V34" s="1540"/>
      <c r="W34" s="1540"/>
      <c r="X34" s="1540"/>
      <c r="Y34" s="1540"/>
      <c r="Z34" s="1540"/>
      <c r="AA34" s="1540"/>
      <c r="AB34" s="1540"/>
      <c r="AC34" s="1540"/>
      <c r="AD34" s="1540"/>
      <c r="AE34" s="1540"/>
      <c r="AF34" s="1540"/>
      <c r="AG34" s="1540"/>
      <c r="AH34" s="1540"/>
      <c r="AI34" s="1540"/>
      <c r="AJ34" s="1541"/>
      <c r="AK34" s="1448"/>
      <c r="AL34" s="1599"/>
      <c r="AM34" s="1600"/>
      <c r="AN34" s="1448"/>
      <c r="AO34" s="1504"/>
      <c r="AP34" s="1709"/>
      <c r="AQ34" s="1455"/>
      <c r="AR34" s="1455"/>
      <c r="AS34" s="1455" t="s">
        <v>147</v>
      </c>
      <c r="AT34" s="1455"/>
      <c r="AU34" s="1710" t="s">
        <v>148</v>
      </c>
      <c r="AV34" s="1711" t="s">
        <v>149</v>
      </c>
      <c r="AW34" s="1592" t="s">
        <v>147</v>
      </c>
      <c r="AX34" s="1712"/>
      <c r="AY34" s="1592" t="s">
        <v>150</v>
      </c>
      <c r="AZ34" s="1593" t="s">
        <v>151</v>
      </c>
      <c r="BA34" s="1572"/>
      <c r="BB34" s="1572"/>
      <c r="BC34" s="1572"/>
      <c r="BD34" s="1572"/>
      <c r="BE34" s="1572"/>
      <c r="BF34" s="1572"/>
      <c r="BG34" s="1572"/>
      <c r="BH34" s="1572"/>
      <c r="BI34" s="1572"/>
      <c r="BJ34" s="1572"/>
      <c r="BK34" s="1572"/>
      <c r="BL34" s="1572"/>
      <c r="BM34" s="1448"/>
      <c r="BN34" s="1448"/>
      <c r="BO34" s="1448"/>
      <c r="BP34" s="1448"/>
      <c r="BQ34" s="1448"/>
      <c r="BR34" s="1448"/>
    </row>
    <row r="35" spans="1:70" s="1572" customFormat="1" ht="24.95" customHeight="1" thickBot="1">
      <c r="A35" s="1551" t="str">
        <f>+IF(AGOSTO!A35=0,"",AGOSTO!A35)</f>
        <v>1130103-3</v>
      </c>
      <c r="B35" s="1695" t="str">
        <f>+IF(AGOSTO!B35=0,"",AGOSTO!B35)</f>
        <v>Prestación de Servicios de salud  3o. Nivel</v>
      </c>
      <c r="C35" s="1620">
        <f t="shared" ref="C35:N35" si="37">SUM(C36:C37)</f>
        <v>0</v>
      </c>
      <c r="D35" s="1618">
        <f t="shared" si="37"/>
        <v>0</v>
      </c>
      <c r="E35" s="1618">
        <f t="shared" si="37"/>
        <v>0</v>
      </c>
      <c r="F35" s="1618">
        <f t="shared" si="37"/>
        <v>0</v>
      </c>
      <c r="G35" s="1618">
        <f t="shared" si="37"/>
        <v>0</v>
      </c>
      <c r="H35" s="1618">
        <f t="shared" si="37"/>
        <v>0</v>
      </c>
      <c r="I35" s="1618">
        <f t="shared" si="37"/>
        <v>0</v>
      </c>
      <c r="J35" s="1618">
        <f t="shared" si="37"/>
        <v>0</v>
      </c>
      <c r="K35" s="1618">
        <f t="shared" si="37"/>
        <v>0</v>
      </c>
      <c r="L35" s="1618">
        <f t="shared" si="37"/>
        <v>0</v>
      </c>
      <c r="M35" s="1618">
        <f t="shared" si="37"/>
        <v>0</v>
      </c>
      <c r="N35" s="1621">
        <f t="shared" si="37"/>
        <v>0</v>
      </c>
      <c r="P35" s="1696">
        <f>SUM(P36:P37)</f>
        <v>0</v>
      </c>
      <c r="Q35" s="1697">
        <f>SUM(Q36:Q37)</f>
        <v>0</v>
      </c>
      <c r="R35" s="1448"/>
      <c r="S35" s="1607">
        <f>+IF(AGOSTO!S35=0,"",AGOSTO!S35)</f>
        <v>1010200</v>
      </c>
      <c r="T35" s="1608" t="str">
        <f>+IF(AGOSTO!T35=0,"",AGOSTO!T35)</f>
        <v>Servicios Personales Indirectos</v>
      </c>
      <c r="U35" s="1581">
        <f t="shared" ref="U35:AJ35" si="38">SUM(U36:U41)</f>
        <v>3034900183</v>
      </c>
      <c r="V35" s="1582">
        <f t="shared" si="38"/>
        <v>678196180</v>
      </c>
      <c r="W35" s="1582">
        <f t="shared" si="38"/>
        <v>2575000000</v>
      </c>
      <c r="X35" s="1583">
        <f t="shared" si="38"/>
        <v>6288096363</v>
      </c>
      <c r="Y35" s="1584">
        <f t="shared" si="38"/>
        <v>5168909613</v>
      </c>
      <c r="Z35" s="1582">
        <f t="shared" si="38"/>
        <v>235395638</v>
      </c>
      <c r="AA35" s="1583">
        <f t="shared" si="38"/>
        <v>5404305251</v>
      </c>
      <c r="AB35" s="1584">
        <f t="shared" si="38"/>
        <v>4306396339</v>
      </c>
      <c r="AC35" s="1582">
        <f t="shared" si="38"/>
        <v>428390068</v>
      </c>
      <c r="AD35" s="1583">
        <f t="shared" si="38"/>
        <v>4734786407</v>
      </c>
      <c r="AE35" s="1584">
        <f t="shared" si="38"/>
        <v>2906152154</v>
      </c>
      <c r="AF35" s="1582">
        <f t="shared" si="38"/>
        <v>79325634</v>
      </c>
      <c r="AG35" s="1583">
        <f t="shared" si="38"/>
        <v>2985477788</v>
      </c>
      <c r="AH35" s="1584">
        <f t="shared" si="38"/>
        <v>883791112</v>
      </c>
      <c r="AI35" s="1582">
        <f t="shared" si="38"/>
        <v>1553309956</v>
      </c>
      <c r="AJ35" s="1585">
        <f t="shared" si="38"/>
        <v>3302618575</v>
      </c>
      <c r="AK35" s="1448"/>
      <c r="AL35" s="1584">
        <f>SUM(AL36:AL41)</f>
        <v>-87000000</v>
      </c>
      <c r="AM35" s="1585">
        <f>SUM(AM36:AM41)</f>
        <v>0</v>
      </c>
      <c r="AN35" s="1448"/>
      <c r="AO35" s="1504"/>
      <c r="AP35" s="1713"/>
      <c r="AQ35" s="1395"/>
      <c r="AR35" s="1714"/>
      <c r="AS35" s="1714"/>
      <c r="AT35" s="1714"/>
      <c r="AU35" s="1715">
        <f>AR17-AR32</f>
        <v>21760741650</v>
      </c>
      <c r="AV35" s="1716">
        <f>AS17-AR32</f>
        <v>-871476325</v>
      </c>
      <c r="AW35" s="1716" t="s">
        <v>153</v>
      </c>
      <c r="AX35" s="1717"/>
      <c r="AY35" s="1716">
        <f>AY17+AY32</f>
        <v>-7737113191.1666641</v>
      </c>
      <c r="AZ35" s="1718">
        <f>AZ17+AY32</f>
        <v>-38250016008.5</v>
      </c>
      <c r="BB35" s="1659"/>
      <c r="BC35" s="1659"/>
      <c r="BD35" s="1659"/>
      <c r="BE35" s="1659"/>
      <c r="BF35" s="1659"/>
    </row>
    <row r="36" spans="1:70" s="1572" customFormat="1" ht="24.95" customHeight="1" thickBot="1">
      <c r="A36" s="1551" t="str">
        <f>+IF(AGOSTO!A36=0,"",AGOSTO!A36)</f>
        <v>1130103-3-1</v>
      </c>
      <c r="B36" s="1682" t="str">
        <f>+CONCATENATE("Vigencia ",INSTRUCCIONES!$F$3)</f>
        <v>Vigencia 2017</v>
      </c>
      <c r="C36" s="1553">
        <f>+ENERO!C36</f>
        <v>0</v>
      </c>
      <c r="D36" s="1554">
        <f>AGOSTO!D36+SEPTIEMBRE!P36</f>
        <v>0</v>
      </c>
      <c r="E36" s="1554">
        <f>AGOSTO!E36+SEPTIEMBRE!Q36</f>
        <v>0</v>
      </c>
      <c r="F36" s="1554">
        <f>SUM(C36:E36)</f>
        <v>0</v>
      </c>
      <c r="G36" s="1554">
        <f>AGOSTO!I36</f>
        <v>0</v>
      </c>
      <c r="H36" s="1557">
        <v>0</v>
      </c>
      <c r="I36" s="1554">
        <f>SUM(G36:H36)</f>
        <v>0</v>
      </c>
      <c r="J36" s="1554">
        <f>AGOSTO!L36</f>
        <v>0</v>
      </c>
      <c r="K36" s="1557">
        <v>0</v>
      </c>
      <c r="L36" s="1554">
        <f>SUM(J36:K36)</f>
        <v>0</v>
      </c>
      <c r="M36" s="1554">
        <f>F36-I36</f>
        <v>0</v>
      </c>
      <c r="N36" s="1555">
        <f>F36-L36</f>
        <v>0</v>
      </c>
      <c r="O36" s="1448"/>
      <c r="P36" s="1559">
        <v>0</v>
      </c>
      <c r="Q36" s="1560">
        <v>0</v>
      </c>
      <c r="R36" s="1448"/>
      <c r="S36" s="1615" t="str">
        <f>+IF(AGOSTO!S36=0,"",AGOSTO!S36)</f>
        <v>1010200-1</v>
      </c>
      <c r="T36" s="1616" t="str">
        <f>+IF(AGOSTO!T36=0,"",AGOSTO!T36)</f>
        <v>Remuneración y Honorarios por Servicios Técnicos y Profesionales</v>
      </c>
      <c r="U36" s="1617">
        <f>+ENERO!U36</f>
        <v>999690000</v>
      </c>
      <c r="V36" s="1618">
        <f>AGOSTO!V36+SEPTIEMBRE!AL36</f>
        <v>371300000</v>
      </c>
      <c r="W36" s="1618">
        <f>AGOSTO!W36+SEPTIEMBRE!AM36</f>
        <v>420000000</v>
      </c>
      <c r="X36" s="1619">
        <f t="shared" ref="X36:X41" si="39">SUM(U36:W36)</f>
        <v>1790990000</v>
      </c>
      <c r="Y36" s="1620">
        <f>AGOSTO!AA36</f>
        <v>1544838834</v>
      </c>
      <c r="Z36" s="1557">
        <v>245745575</v>
      </c>
      <c r="AA36" s="1619">
        <f t="shared" ref="AA36:AA41" si="40">SUM(Y36:Z36)</f>
        <v>1790584409</v>
      </c>
      <c r="AB36" s="1620">
        <f>AGOSTO!AD36</f>
        <v>1218621748</v>
      </c>
      <c r="AC36" s="1557">
        <v>143286304</v>
      </c>
      <c r="AD36" s="1619">
        <f t="shared" ref="AD36:AD41" si="41">SUM(AB36:AC36)</f>
        <v>1361908052</v>
      </c>
      <c r="AE36" s="1620">
        <f>AGOSTO!AG36</f>
        <v>1014377483</v>
      </c>
      <c r="AF36" s="1557">
        <v>79325634</v>
      </c>
      <c r="AG36" s="1619">
        <f t="shared" ref="AG36:AG41" si="42">SUM(AE36:AF36)</f>
        <v>1093703117</v>
      </c>
      <c r="AH36" s="1620">
        <f t="shared" ref="AH36:AH41" si="43">X36-AA36</f>
        <v>405591</v>
      </c>
      <c r="AI36" s="1618">
        <f t="shared" ref="AI36:AI41" si="44">X36-AD36</f>
        <v>429081948</v>
      </c>
      <c r="AJ36" s="1621">
        <f t="shared" ref="AJ36:AJ41" si="45">X36-AG36</f>
        <v>697286883</v>
      </c>
      <c r="AK36" s="1448"/>
      <c r="AL36" s="1559">
        <v>2000000</v>
      </c>
      <c r="AM36" s="1560">
        <v>0</v>
      </c>
      <c r="AN36" s="1448"/>
      <c r="AO36" s="1719"/>
      <c r="AP36" s="1720"/>
      <c r="AQ36" s="1720"/>
      <c r="AR36" s="1720"/>
      <c r="AS36" s="1720"/>
      <c r="AT36" s="1720"/>
      <c r="AU36" s="1720"/>
      <c r="AV36" s="1720"/>
      <c r="AW36" s="1720"/>
      <c r="AX36" s="1720"/>
      <c r="AY36" s="1720"/>
      <c r="AZ36" s="1721"/>
      <c r="BB36" s="1659"/>
      <c r="BC36" s="1659"/>
      <c r="BD36" s="1659"/>
      <c r="BE36" s="1659"/>
      <c r="BF36" s="1659"/>
    </row>
    <row r="37" spans="1:70" s="1572" customFormat="1" ht="24.95" customHeight="1">
      <c r="A37" s="1551" t="str">
        <f>+IF(AGOSTO!A37=0,"",AGOSTO!A37)</f>
        <v>1130103-3-2</v>
      </c>
      <c r="B37" s="1682" t="str">
        <f>+IF(AGOSTO!B37=0,"",AGOSTO!B37)</f>
        <v>Vigencia Anterior</v>
      </c>
      <c r="C37" s="1553">
        <f>+ENERO!C37</f>
        <v>0</v>
      </c>
      <c r="D37" s="1554">
        <f>AGOSTO!D37+SEPTIEMBRE!P37</f>
        <v>0</v>
      </c>
      <c r="E37" s="1554">
        <f>AGOSTO!E37+SEPTIEMBRE!Q37</f>
        <v>0</v>
      </c>
      <c r="F37" s="1554">
        <f>SUM(C37:E37)</f>
        <v>0</v>
      </c>
      <c r="G37" s="1554">
        <f>AGOSTO!I37</f>
        <v>0</v>
      </c>
      <c r="H37" s="1557">
        <v>0</v>
      </c>
      <c r="I37" s="1554">
        <f>SUM(G37:H37)</f>
        <v>0</v>
      </c>
      <c r="J37" s="1554">
        <f>AGOSTO!L37</f>
        <v>0</v>
      </c>
      <c r="K37" s="1557">
        <v>0</v>
      </c>
      <c r="L37" s="1554">
        <f>SUM(J37:K37)</f>
        <v>0</v>
      </c>
      <c r="M37" s="1554">
        <f>F37-I37</f>
        <v>0</v>
      </c>
      <c r="N37" s="1555">
        <f>F37-L37</f>
        <v>0</v>
      </c>
      <c r="P37" s="1559">
        <v>0</v>
      </c>
      <c r="Q37" s="1560">
        <v>0</v>
      </c>
      <c r="R37" s="1448"/>
      <c r="S37" s="1615" t="str">
        <f>+IF(AGOSTO!S37=0,"",AGOSTO!S37)</f>
        <v>1010200-2</v>
      </c>
      <c r="T37" s="1616" t="str">
        <f>+IF(AGOSTO!T37=0,"",AGOSTO!T37)</f>
        <v>Personal Supernumerario</v>
      </c>
      <c r="U37" s="1617">
        <f>+ENERO!U37</f>
        <v>0</v>
      </c>
      <c r="V37" s="1618">
        <f>AGOSTO!V37+SEPTIEMBRE!AL37</f>
        <v>0</v>
      </c>
      <c r="W37" s="1618">
        <f>AGOSTO!W37+SEPTIEMBRE!AM37</f>
        <v>0</v>
      </c>
      <c r="X37" s="1619">
        <f t="shared" si="39"/>
        <v>0</v>
      </c>
      <c r="Y37" s="1620">
        <f>AGOSTO!AA37</f>
        <v>0</v>
      </c>
      <c r="Z37" s="1557">
        <v>0</v>
      </c>
      <c r="AA37" s="1619">
        <f t="shared" si="40"/>
        <v>0</v>
      </c>
      <c r="AB37" s="1620">
        <f>AGOSTO!AD37</f>
        <v>0</v>
      </c>
      <c r="AC37" s="1557">
        <v>0</v>
      </c>
      <c r="AD37" s="1619">
        <f t="shared" si="41"/>
        <v>0</v>
      </c>
      <c r="AE37" s="1620">
        <f>AGOSTO!AG37</f>
        <v>0</v>
      </c>
      <c r="AF37" s="1557">
        <v>0</v>
      </c>
      <c r="AG37" s="1619">
        <f t="shared" si="42"/>
        <v>0</v>
      </c>
      <c r="AH37" s="1620">
        <f t="shared" si="43"/>
        <v>0</v>
      </c>
      <c r="AI37" s="1618">
        <f t="shared" si="44"/>
        <v>0</v>
      </c>
      <c r="AJ37" s="1621">
        <f t="shared" si="45"/>
        <v>0</v>
      </c>
      <c r="AK37" s="1448"/>
      <c r="AL37" s="1559">
        <v>0</v>
      </c>
      <c r="AM37" s="1560">
        <v>0</v>
      </c>
      <c r="AN37" s="1448"/>
      <c r="AO37" s="1722" t="s">
        <v>156</v>
      </c>
    </row>
    <row r="38" spans="1:70" s="1572" customFormat="1" ht="24.95" customHeight="1">
      <c r="A38" s="1723" t="str">
        <f>+IF(AGOSTO!A38=0,"",AGOSTO!A38)</f>
        <v>1130103-4</v>
      </c>
      <c r="B38" s="1724" t="str">
        <f>+IF(AGOSTO!B38=0,"",AGOSTO!B38)</f>
        <v xml:space="preserve"> Aportes Patronales  1o. Nivel</v>
      </c>
      <c r="C38" s="1553">
        <f>+ENERO!C38</f>
        <v>0</v>
      </c>
      <c r="D38" s="1554">
        <f>AGOSTO!D38+SEPTIEMBRE!P38</f>
        <v>0</v>
      </c>
      <c r="E38" s="1554">
        <f>AGOSTO!E38+SEPTIEMBRE!Q38</f>
        <v>0</v>
      </c>
      <c r="F38" s="1554">
        <f t="shared" ref="F38:F41" si="46">SUM(C38:E38)</f>
        <v>0</v>
      </c>
      <c r="G38" s="1554">
        <f>AGOSTO!I38</f>
        <v>0</v>
      </c>
      <c r="H38" s="1557">
        <v>0</v>
      </c>
      <c r="I38" s="1554">
        <f t="shared" ref="I38:I41" si="47">SUM(G38:H38)</f>
        <v>0</v>
      </c>
      <c r="J38" s="1554">
        <f>AGOSTO!L38</f>
        <v>0</v>
      </c>
      <c r="K38" s="1557">
        <v>0</v>
      </c>
      <c r="L38" s="1554">
        <f t="shared" ref="L38:L41" si="48">SUM(J38:K38)</f>
        <v>0</v>
      </c>
      <c r="M38" s="1554">
        <f t="shared" ref="M38:M41" si="49">F38-I38</f>
        <v>0</v>
      </c>
      <c r="N38" s="1555">
        <f t="shared" ref="N38:N41" si="50">F38-L38</f>
        <v>0</v>
      </c>
      <c r="O38" s="1725"/>
      <c r="P38" s="1559">
        <v>0</v>
      </c>
      <c r="Q38" s="1560">
        <v>0</v>
      </c>
      <c r="R38" s="1448"/>
      <c r="S38" s="1615" t="str">
        <f>+IF(AGOSTO!S38=0,"",AGOSTO!S38)</f>
        <v>1010200-3</v>
      </c>
      <c r="T38" s="1616" t="str">
        <f>+IF(AGOSTO!T38=0,"",AGOSTO!T38)</f>
        <v>Honorarios de la Junta Directiva</v>
      </c>
      <c r="U38" s="1617">
        <f>+ENERO!U38</f>
        <v>5000000</v>
      </c>
      <c r="V38" s="1618">
        <f>AGOSTO!V38+SEPTIEMBRE!AL38</f>
        <v>0</v>
      </c>
      <c r="W38" s="1618">
        <f>AGOSTO!W38+SEPTIEMBRE!AM38</f>
        <v>5000000</v>
      </c>
      <c r="X38" s="1619">
        <f t="shared" si="39"/>
        <v>10000000</v>
      </c>
      <c r="Y38" s="1620">
        <f>AGOSTO!AA38</f>
        <v>3592059</v>
      </c>
      <c r="Z38" s="1557">
        <v>0</v>
      </c>
      <c r="AA38" s="1619">
        <f t="shared" si="40"/>
        <v>3592059</v>
      </c>
      <c r="AB38" s="1620">
        <f>AGOSTO!AD38</f>
        <v>3592059</v>
      </c>
      <c r="AC38" s="1557">
        <v>0</v>
      </c>
      <c r="AD38" s="1619">
        <f t="shared" si="41"/>
        <v>3592059</v>
      </c>
      <c r="AE38" s="1620">
        <f>AGOSTO!AG38</f>
        <v>2164889</v>
      </c>
      <c r="AF38" s="1557">
        <v>0</v>
      </c>
      <c r="AG38" s="1619">
        <f t="shared" si="42"/>
        <v>2164889</v>
      </c>
      <c r="AH38" s="1620">
        <f t="shared" si="43"/>
        <v>6407941</v>
      </c>
      <c r="AI38" s="1618">
        <f t="shared" si="44"/>
        <v>6407941</v>
      </c>
      <c r="AJ38" s="1621">
        <f t="shared" si="45"/>
        <v>7835111</v>
      </c>
      <c r="AK38" s="1448"/>
      <c r="AL38" s="1559">
        <v>0</v>
      </c>
      <c r="AM38" s="1560">
        <v>0</v>
      </c>
      <c r="AN38" s="1448"/>
      <c r="AO38" s="1401"/>
      <c r="AP38" s="1401"/>
      <c r="AQ38" s="1401"/>
      <c r="AR38" s="1401"/>
      <c r="AS38" s="1401"/>
      <c r="AT38" s="1401"/>
      <c r="AU38" s="1401"/>
      <c r="AV38" s="1401"/>
      <c r="AW38" s="1401"/>
      <c r="AX38" s="1401"/>
      <c r="AY38" s="1401"/>
      <c r="AZ38" s="1401"/>
    </row>
    <row r="39" spans="1:70" s="1572" customFormat="1" ht="24.95" customHeight="1">
      <c r="A39" s="1723" t="str">
        <f>+IF(AGOSTO!A39=0,"",AGOSTO!A39)</f>
        <v>1130103-5</v>
      </c>
      <c r="B39" s="1724" t="str">
        <f>+IF(AGOSTO!B39=0,"",AGOSTO!B39)</f>
        <v xml:space="preserve"> Aportes Patronales  2o. Nivel</v>
      </c>
      <c r="C39" s="1553">
        <f>+ENERO!C39</f>
        <v>0</v>
      </c>
      <c r="D39" s="1554">
        <f>AGOSTO!D39+SEPTIEMBRE!P39</f>
        <v>0</v>
      </c>
      <c r="E39" s="1554">
        <f>AGOSTO!E39+SEPTIEMBRE!Q39</f>
        <v>258077000</v>
      </c>
      <c r="F39" s="1554">
        <f t="shared" si="46"/>
        <v>258077000</v>
      </c>
      <c r="G39" s="1554">
        <f>AGOSTO!I39</f>
        <v>107532080</v>
      </c>
      <c r="H39" s="1557">
        <v>43012832</v>
      </c>
      <c r="I39" s="1554">
        <f t="shared" si="47"/>
        <v>150544912</v>
      </c>
      <c r="J39" s="1554">
        <f>AGOSTO!L39</f>
        <v>107532080</v>
      </c>
      <c r="K39" s="1557">
        <v>43012832</v>
      </c>
      <c r="L39" s="1554">
        <f t="shared" si="48"/>
        <v>150544912</v>
      </c>
      <c r="M39" s="1554">
        <f t="shared" si="49"/>
        <v>107532088</v>
      </c>
      <c r="N39" s="1555">
        <f t="shared" si="50"/>
        <v>107532088</v>
      </c>
      <c r="O39" s="1725"/>
      <c r="P39" s="1559">
        <v>0</v>
      </c>
      <c r="Q39" s="1560">
        <v>0</v>
      </c>
      <c r="R39" s="1448"/>
      <c r="S39" s="1615" t="str">
        <f>+IF(AGOSTO!S39=0,"",AGOSTO!S39)</f>
        <v>1010200-4</v>
      </c>
      <c r="T39" s="1616" t="str">
        <f>+IF(AGOSTO!T39=0,"",AGOSTO!T39)</f>
        <v>Otros Honorarios</v>
      </c>
      <c r="U39" s="1617">
        <f>+ENERO!U39</f>
        <v>2030210183</v>
      </c>
      <c r="V39" s="1618">
        <f>AGOSTO!V39+SEPTIEMBRE!AL39</f>
        <v>191100000</v>
      </c>
      <c r="W39" s="1618">
        <f>AGOSTO!W39+SEPTIEMBRE!AM39</f>
        <v>1450000000</v>
      </c>
      <c r="X39" s="1619">
        <f t="shared" si="39"/>
        <v>3671310183</v>
      </c>
      <c r="Y39" s="1620">
        <f>AGOSTO!AA39</f>
        <v>2804682540</v>
      </c>
      <c r="Z39" s="1557">
        <v>-10349937</v>
      </c>
      <c r="AA39" s="1619">
        <f t="shared" si="40"/>
        <v>2794332603</v>
      </c>
      <c r="AB39" s="1620">
        <f>AGOSTO!AD39</f>
        <v>2268386352</v>
      </c>
      <c r="AC39" s="1557">
        <v>285103764</v>
      </c>
      <c r="AD39" s="1619">
        <f t="shared" si="41"/>
        <v>2553490116</v>
      </c>
      <c r="AE39" s="1620">
        <f>AGOSTO!AG39</f>
        <v>1073813602</v>
      </c>
      <c r="AF39" s="1557">
        <v>0</v>
      </c>
      <c r="AG39" s="1619">
        <f t="shared" si="42"/>
        <v>1073813602</v>
      </c>
      <c r="AH39" s="1620">
        <f t="shared" si="43"/>
        <v>876977580</v>
      </c>
      <c r="AI39" s="1618">
        <f t="shared" si="44"/>
        <v>1117820067</v>
      </c>
      <c r="AJ39" s="1621">
        <f t="shared" si="45"/>
        <v>2597496581</v>
      </c>
      <c r="AK39" s="1448"/>
      <c r="AL39" s="1559">
        <v>-89000000</v>
      </c>
      <c r="AM39" s="1560">
        <v>0</v>
      </c>
      <c r="AN39" s="1448"/>
      <c r="AO39" s="1401"/>
      <c r="AP39" s="1401"/>
      <c r="AQ39" s="1401"/>
      <c r="AR39" s="1401"/>
      <c r="AS39" s="1401"/>
      <c r="AT39" s="1401"/>
      <c r="AU39" s="1401"/>
      <c r="AV39" s="1401"/>
      <c r="AW39" s="1401"/>
      <c r="AX39" s="1401"/>
      <c r="AY39" s="1401"/>
      <c r="AZ39" s="1401"/>
    </row>
    <row r="40" spans="1:70" s="1659" customFormat="1" ht="24.95" customHeight="1">
      <c r="A40" s="1723" t="str">
        <f>+IF(AGOSTO!A40=0,"",AGOSTO!A40)</f>
        <v>1130103-6</v>
      </c>
      <c r="B40" s="1724" t="str">
        <f>+IF(AGOSTO!B40=0,"",AGOSTO!B40)</f>
        <v xml:space="preserve"> Aportes Patronales  3er. Nivel</v>
      </c>
      <c r="C40" s="1553">
        <f>+ENERO!C40</f>
        <v>0</v>
      </c>
      <c r="D40" s="1554">
        <f>AGOSTO!D40+SEPTIEMBRE!P40</f>
        <v>0</v>
      </c>
      <c r="E40" s="1554">
        <f>AGOSTO!E40+SEPTIEMBRE!Q40</f>
        <v>0</v>
      </c>
      <c r="F40" s="1554">
        <f t="shared" si="46"/>
        <v>0</v>
      </c>
      <c r="G40" s="1554">
        <f>AGOSTO!I40</f>
        <v>0</v>
      </c>
      <c r="H40" s="1557">
        <v>0</v>
      </c>
      <c r="I40" s="1554">
        <f t="shared" si="47"/>
        <v>0</v>
      </c>
      <c r="J40" s="1554">
        <f>AGOSTO!L40</f>
        <v>0</v>
      </c>
      <c r="K40" s="1557">
        <v>0</v>
      </c>
      <c r="L40" s="1554">
        <f t="shared" si="48"/>
        <v>0</v>
      </c>
      <c r="M40" s="1554">
        <f t="shared" si="49"/>
        <v>0</v>
      </c>
      <c r="N40" s="1555">
        <f t="shared" si="50"/>
        <v>0</v>
      </c>
      <c r="O40" s="1725"/>
      <c r="P40" s="1559">
        <v>0</v>
      </c>
      <c r="Q40" s="1560">
        <v>0</v>
      </c>
      <c r="R40" s="1448"/>
      <c r="S40" s="1615" t="str">
        <f>+IF(AGOSTO!S40=0,"",AGOSTO!S40)</f>
        <v>1010200-6</v>
      </c>
      <c r="T40" s="1616" t="str">
        <f>+IF(AGOSTO!T40=0,"",AGOSTO!T40)</f>
        <v>Certificación, Habilitación y Acreditación</v>
      </c>
      <c r="U40" s="1617">
        <f>+ENERO!U40</f>
        <v>0</v>
      </c>
      <c r="V40" s="1618">
        <f>AGOSTO!V40+SEPTIEMBRE!AL40</f>
        <v>0</v>
      </c>
      <c r="W40" s="1618">
        <f>AGOSTO!W40+SEPTIEMBRE!AM40</f>
        <v>0</v>
      </c>
      <c r="X40" s="1619">
        <f t="shared" si="39"/>
        <v>0</v>
      </c>
      <c r="Y40" s="1620">
        <f>AGOSTO!AA40</f>
        <v>0</v>
      </c>
      <c r="Z40" s="1557">
        <v>0</v>
      </c>
      <c r="AA40" s="1619">
        <f t="shared" si="40"/>
        <v>0</v>
      </c>
      <c r="AB40" s="1620">
        <f>AGOSTO!AD40</f>
        <v>0</v>
      </c>
      <c r="AC40" s="1557">
        <v>0</v>
      </c>
      <c r="AD40" s="1619">
        <f t="shared" si="41"/>
        <v>0</v>
      </c>
      <c r="AE40" s="1620">
        <f>AGOSTO!AG40</f>
        <v>0</v>
      </c>
      <c r="AF40" s="1557">
        <v>0</v>
      </c>
      <c r="AG40" s="1619">
        <f t="shared" si="42"/>
        <v>0</v>
      </c>
      <c r="AH40" s="1620">
        <f t="shared" si="43"/>
        <v>0</v>
      </c>
      <c r="AI40" s="1618">
        <f t="shared" si="44"/>
        <v>0</v>
      </c>
      <c r="AJ40" s="1621">
        <f t="shared" si="45"/>
        <v>0</v>
      </c>
      <c r="AK40" s="1448"/>
      <c r="AL40" s="1559">
        <v>0</v>
      </c>
      <c r="AM40" s="1560">
        <v>0</v>
      </c>
      <c r="AN40" s="1448"/>
      <c r="AO40" s="1572"/>
      <c r="AP40" s="1572"/>
      <c r="AQ40" s="1572"/>
      <c r="AR40" s="1572"/>
      <c r="AS40" s="1572"/>
      <c r="AT40" s="1572"/>
      <c r="AU40" s="1572"/>
      <c r="AV40" s="1572"/>
      <c r="AW40" s="1572"/>
      <c r="AX40" s="1572"/>
      <c r="AY40" s="1572"/>
      <c r="AZ40" s="1572"/>
      <c r="BA40" s="1572"/>
      <c r="BF40" s="1572"/>
      <c r="BG40" s="1572"/>
      <c r="BH40" s="1572"/>
      <c r="BI40" s="1572"/>
      <c r="BJ40" s="1572"/>
      <c r="BK40" s="1572"/>
      <c r="BL40" s="1572"/>
      <c r="BM40" s="1572"/>
      <c r="BN40" s="1572"/>
      <c r="BO40" s="1572"/>
      <c r="BP40" s="1572"/>
      <c r="BQ40" s="1572"/>
      <c r="BR40" s="1572"/>
    </row>
    <row r="41" spans="1:70" s="1659" customFormat="1" ht="24.95" customHeight="1">
      <c r="A41" s="1635">
        <f>+IF(AGOSTO!A41=0,"",AGOSTO!A41)</f>
        <v>1130104</v>
      </c>
      <c r="B41" s="1670" t="str">
        <f>+IF(AGOSTO!B41=0,"",AGOSTO!B41)</f>
        <v>SUBSIDIO A LA OFERTA- ACTIVIDADES NO POS-S</v>
      </c>
      <c r="C41" s="1553">
        <f>+ENERO!C41</f>
        <v>0</v>
      </c>
      <c r="D41" s="1582">
        <f>AGOSTO!D41+SEPTIEMBRE!P41</f>
        <v>0</v>
      </c>
      <c r="E41" s="1582">
        <f>AGOSTO!E41+SEPTIEMBRE!Q41</f>
        <v>0</v>
      </c>
      <c r="F41" s="1582">
        <f t="shared" si="46"/>
        <v>0</v>
      </c>
      <c r="G41" s="1582">
        <f>AGOSTO!I41</f>
        <v>0</v>
      </c>
      <c r="H41" s="1557">
        <v>0</v>
      </c>
      <c r="I41" s="1582">
        <f t="shared" si="47"/>
        <v>0</v>
      </c>
      <c r="J41" s="1582">
        <f>AGOSTO!L41</f>
        <v>0</v>
      </c>
      <c r="K41" s="1557">
        <v>0</v>
      </c>
      <c r="L41" s="1582">
        <f t="shared" si="48"/>
        <v>0</v>
      </c>
      <c r="M41" s="1582">
        <f t="shared" si="49"/>
        <v>0</v>
      </c>
      <c r="N41" s="1585">
        <f t="shared" si="50"/>
        <v>0</v>
      </c>
      <c r="O41" s="1572"/>
      <c r="P41" s="1557">
        <v>0</v>
      </c>
      <c r="Q41" s="1560">
        <v>0</v>
      </c>
      <c r="R41" s="1448"/>
      <c r="S41" s="1615">
        <f>+IF(AGOSTO!S41=0,"",AGOSTO!S41)</f>
        <v>1010299</v>
      </c>
      <c r="T41" s="1616" t="str">
        <f>+IF(AGOSTO!T41=0,"",AGOSTO!T41)</f>
        <v>Vigencias Anteriores</v>
      </c>
      <c r="U41" s="1617">
        <f>+ENERO!U41</f>
        <v>0</v>
      </c>
      <c r="V41" s="1618">
        <f>AGOSTO!V41+SEPTIEMBRE!AL41</f>
        <v>115796180</v>
      </c>
      <c r="W41" s="1618">
        <f>AGOSTO!W41+SEPTIEMBRE!AM41</f>
        <v>700000000</v>
      </c>
      <c r="X41" s="1619">
        <f t="shared" si="39"/>
        <v>815796180</v>
      </c>
      <c r="Y41" s="1620">
        <f>AGOSTO!AA41</f>
        <v>815796180</v>
      </c>
      <c r="Z41" s="1557">
        <v>0</v>
      </c>
      <c r="AA41" s="1619">
        <f t="shared" si="40"/>
        <v>815796180</v>
      </c>
      <c r="AB41" s="1620">
        <f>AGOSTO!AD41</f>
        <v>815796180</v>
      </c>
      <c r="AC41" s="1557">
        <v>0</v>
      </c>
      <c r="AD41" s="1619">
        <f t="shared" si="41"/>
        <v>815796180</v>
      </c>
      <c r="AE41" s="1620">
        <f>AGOSTO!AG41</f>
        <v>815796180</v>
      </c>
      <c r="AF41" s="1557">
        <v>0</v>
      </c>
      <c r="AG41" s="1619">
        <f t="shared" si="42"/>
        <v>815796180</v>
      </c>
      <c r="AH41" s="1620">
        <f t="shared" si="43"/>
        <v>0</v>
      </c>
      <c r="AI41" s="1618">
        <f t="shared" si="44"/>
        <v>0</v>
      </c>
      <c r="AJ41" s="1621">
        <f t="shared" si="45"/>
        <v>0</v>
      </c>
      <c r="AK41" s="1448"/>
      <c r="AL41" s="1559">
        <v>0</v>
      </c>
      <c r="AM41" s="1560">
        <v>0</v>
      </c>
      <c r="AN41" s="1448"/>
      <c r="AO41" s="1401"/>
      <c r="AP41" s="1401"/>
      <c r="AQ41" s="1401"/>
      <c r="AR41" s="1401"/>
      <c r="AS41" s="1401"/>
      <c r="AT41" s="1401"/>
      <c r="AU41" s="1401"/>
      <c r="AV41" s="1401"/>
      <c r="AW41" s="1401"/>
      <c r="AX41" s="1401"/>
      <c r="AY41" s="1401"/>
      <c r="AZ41" s="1401"/>
      <c r="BA41" s="1572"/>
      <c r="BF41" s="1572"/>
      <c r="BG41" s="1572"/>
      <c r="BH41" s="1572"/>
      <c r="BI41" s="1572"/>
      <c r="BJ41" s="1572"/>
      <c r="BK41" s="1572"/>
      <c r="BL41" s="1572"/>
    </row>
    <row r="42" spans="1:70" s="1572" customFormat="1" ht="24.95" customHeight="1">
      <c r="A42" s="1635">
        <f>+IF(AGOSTO!A42=0,"",AGOSTO!A42)</f>
        <v>1130106</v>
      </c>
      <c r="B42" s="1670" t="str">
        <f>+IF(AGOSTO!B42=0,"",AGOSTO!B42)</f>
        <v>SALUD PUBLICA - PLAN DE INTERVENCIONES COLECTIVAS</v>
      </c>
      <c r="C42" s="1637">
        <f t="shared" ref="C42:N42" si="51">SUM(C43:C44)</f>
        <v>0</v>
      </c>
      <c r="D42" s="1671">
        <f t="shared" si="51"/>
        <v>0</v>
      </c>
      <c r="E42" s="1671">
        <f t="shared" si="51"/>
        <v>0</v>
      </c>
      <c r="F42" s="1671">
        <f t="shared" si="51"/>
        <v>0</v>
      </c>
      <c r="G42" s="1671">
        <f t="shared" si="51"/>
        <v>0</v>
      </c>
      <c r="H42" s="1671">
        <f t="shared" si="51"/>
        <v>0</v>
      </c>
      <c r="I42" s="1671">
        <f t="shared" si="51"/>
        <v>0</v>
      </c>
      <c r="J42" s="1671">
        <f t="shared" si="51"/>
        <v>0</v>
      </c>
      <c r="K42" s="1671">
        <f t="shared" si="51"/>
        <v>0</v>
      </c>
      <c r="L42" s="1671">
        <f t="shared" si="51"/>
        <v>0</v>
      </c>
      <c r="M42" s="1671">
        <f t="shared" si="51"/>
        <v>0</v>
      </c>
      <c r="N42" s="1638">
        <f t="shared" si="51"/>
        <v>0</v>
      </c>
      <c r="P42" s="1637">
        <f>SUM(P43:P44)</f>
        <v>0</v>
      </c>
      <c r="Q42" s="1638">
        <f>SUM(Q43:Q44)</f>
        <v>0</v>
      </c>
      <c r="R42" s="1448"/>
      <c r="S42" s="1538" t="str">
        <f>+IF(AGOSTO!S42=0,"",AGOSTO!S42)</f>
        <v/>
      </c>
      <c r="T42" s="1539" t="str">
        <f>+IF(AGOSTO!T42=0,"",AGOSTO!T42)</f>
        <v/>
      </c>
      <c r="U42" s="1540"/>
      <c r="V42" s="1540"/>
      <c r="W42" s="1540"/>
      <c r="X42" s="1540"/>
      <c r="Y42" s="1540"/>
      <c r="Z42" s="1540"/>
      <c r="AA42" s="1540"/>
      <c r="AB42" s="1540"/>
      <c r="AC42" s="1540"/>
      <c r="AD42" s="1540"/>
      <c r="AE42" s="1540"/>
      <c r="AF42" s="1540"/>
      <c r="AG42" s="1540"/>
      <c r="AH42" s="1540"/>
      <c r="AI42" s="1540"/>
      <c r="AJ42" s="1541"/>
      <c r="AK42" s="1566"/>
      <c r="AL42" s="1726"/>
      <c r="AM42" s="1727"/>
      <c r="AN42" s="1448"/>
      <c r="AO42" s="1401"/>
      <c r="AP42" s="1401"/>
      <c r="AQ42" s="1401"/>
      <c r="AR42" s="1401"/>
      <c r="AS42" s="1401"/>
      <c r="AT42" s="1401"/>
      <c r="AU42" s="1401"/>
      <c r="AV42" s="1401"/>
      <c r="AW42" s="1401"/>
      <c r="AX42" s="1401"/>
      <c r="AY42" s="1401"/>
      <c r="AZ42" s="1401"/>
    </row>
    <row r="43" spans="1:70" s="1659" customFormat="1" ht="24.95" customHeight="1">
      <c r="A43" s="1551" t="str">
        <f>+IF(AGOSTO!A43=0,"",AGOSTO!A43)</f>
        <v>1130106-1</v>
      </c>
      <c r="B43" s="1682" t="str">
        <f>+CONCATENATE("Vigencia ",INSTRUCCIONES!$F$3)</f>
        <v>Vigencia 2017</v>
      </c>
      <c r="C43" s="1553">
        <f>+ENERO!C43</f>
        <v>0</v>
      </c>
      <c r="D43" s="1554">
        <f>AGOSTO!D43+SEPTIEMBRE!P43</f>
        <v>0</v>
      </c>
      <c r="E43" s="1554">
        <f>AGOSTO!E43+SEPTIEMBRE!Q43</f>
        <v>0</v>
      </c>
      <c r="F43" s="1554">
        <f>SUM(C43:E43)</f>
        <v>0</v>
      </c>
      <c r="G43" s="1554">
        <f>AGOSTO!I43</f>
        <v>0</v>
      </c>
      <c r="H43" s="1557">
        <v>0</v>
      </c>
      <c r="I43" s="1554">
        <f>SUM(G43:H43)</f>
        <v>0</v>
      </c>
      <c r="J43" s="1554">
        <f>AGOSTO!L43</f>
        <v>0</v>
      </c>
      <c r="K43" s="1557">
        <v>0</v>
      </c>
      <c r="L43" s="1554">
        <f>SUM(J43:K43)</f>
        <v>0</v>
      </c>
      <c r="M43" s="1554">
        <f>F43-I43</f>
        <v>0</v>
      </c>
      <c r="N43" s="1555">
        <f>F43-L43</f>
        <v>0</v>
      </c>
      <c r="O43" s="1572"/>
      <c r="P43" s="1559">
        <v>0</v>
      </c>
      <c r="Q43" s="1560">
        <v>0</v>
      </c>
      <c r="R43" s="1448"/>
      <c r="S43" s="1607">
        <f>+IF(AGOSTO!S43=0,"",AGOSTO!S43)</f>
        <v>1010300</v>
      </c>
      <c r="T43" s="1608" t="str">
        <f>+IF(AGOSTO!T43=0,"",AGOSTO!T43)</f>
        <v>Contribuciones Inherentes nómina al Sector Privado</v>
      </c>
      <c r="U43" s="1581">
        <f t="shared" ref="U43:AJ43" si="52">U44+U49+U55</f>
        <v>182861553</v>
      </c>
      <c r="V43" s="1582">
        <f t="shared" si="52"/>
        <v>-30802080</v>
      </c>
      <c r="W43" s="1582">
        <f t="shared" si="52"/>
        <v>97321330</v>
      </c>
      <c r="X43" s="1583">
        <f t="shared" si="52"/>
        <v>249380803</v>
      </c>
      <c r="Y43" s="1584">
        <f t="shared" si="52"/>
        <v>78031475</v>
      </c>
      <c r="Z43" s="1582">
        <f t="shared" si="52"/>
        <v>9879268</v>
      </c>
      <c r="AA43" s="1583">
        <f t="shared" si="52"/>
        <v>87910743</v>
      </c>
      <c r="AB43" s="1584">
        <f t="shared" si="52"/>
        <v>78031475</v>
      </c>
      <c r="AC43" s="1582">
        <f t="shared" si="52"/>
        <v>9879268</v>
      </c>
      <c r="AD43" s="1583">
        <f t="shared" si="52"/>
        <v>87910743</v>
      </c>
      <c r="AE43" s="1584">
        <f t="shared" si="52"/>
        <v>78031475</v>
      </c>
      <c r="AF43" s="1582">
        <f t="shared" si="52"/>
        <v>9879268</v>
      </c>
      <c r="AG43" s="1583">
        <f t="shared" si="52"/>
        <v>87910743</v>
      </c>
      <c r="AH43" s="1584">
        <f t="shared" si="52"/>
        <v>161470060</v>
      </c>
      <c r="AI43" s="1582">
        <f t="shared" si="52"/>
        <v>161470060</v>
      </c>
      <c r="AJ43" s="1585">
        <f t="shared" si="52"/>
        <v>161470060</v>
      </c>
      <c r="AK43" s="1448"/>
      <c r="AL43" s="1584">
        <f>AL44+AL49+AL55</f>
        <v>0</v>
      </c>
      <c r="AM43" s="1585">
        <f>AM44+AM49+AM55</f>
        <v>0</v>
      </c>
      <c r="AN43" s="1448"/>
      <c r="AO43" s="1572"/>
      <c r="AP43" s="1728"/>
      <c r="AQ43" s="1401"/>
      <c r="AR43" s="1401"/>
      <c r="AS43" s="1401"/>
      <c r="AT43" s="1401"/>
      <c r="AU43" s="1401"/>
      <c r="AV43" s="1401"/>
      <c r="AW43" s="1401"/>
      <c r="AX43" s="1401"/>
      <c r="AY43" s="1401"/>
      <c r="AZ43" s="1401"/>
      <c r="BA43" s="1572"/>
      <c r="BF43" s="1572"/>
      <c r="BG43" s="1572"/>
      <c r="BH43" s="1572"/>
      <c r="BI43" s="1572"/>
      <c r="BJ43" s="1572"/>
      <c r="BK43" s="1572"/>
      <c r="BL43" s="1572"/>
      <c r="BM43" s="1572"/>
      <c r="BN43" s="1572"/>
      <c r="BO43" s="1572"/>
      <c r="BP43" s="1572"/>
      <c r="BQ43" s="1572"/>
      <c r="BR43" s="1572"/>
    </row>
    <row r="44" spans="1:70" s="1659" customFormat="1" ht="24.95" customHeight="1">
      <c r="A44" s="1551" t="str">
        <f>+IF(AGOSTO!A44=0,"",AGOSTO!A44)</f>
        <v>1130106-2</v>
      </c>
      <c r="B44" s="1682" t="str">
        <f>+IF(AGOSTO!B44=0,"",AGOSTO!B44)</f>
        <v>Vigencia Anterior</v>
      </c>
      <c r="C44" s="1553">
        <f>+ENERO!C44</f>
        <v>0</v>
      </c>
      <c r="D44" s="1554">
        <f>AGOSTO!D44+SEPTIEMBRE!P44</f>
        <v>0</v>
      </c>
      <c r="E44" s="1554">
        <f>AGOSTO!E44+SEPTIEMBRE!Q44</f>
        <v>0</v>
      </c>
      <c r="F44" s="1554">
        <f>SUM(C44:E44)</f>
        <v>0</v>
      </c>
      <c r="G44" s="1554">
        <f>AGOSTO!I44</f>
        <v>0</v>
      </c>
      <c r="H44" s="1557">
        <v>0</v>
      </c>
      <c r="I44" s="1554">
        <f>SUM(G44:H44)</f>
        <v>0</v>
      </c>
      <c r="J44" s="1554">
        <f>AGOSTO!L44</f>
        <v>0</v>
      </c>
      <c r="K44" s="1557">
        <v>0</v>
      </c>
      <c r="L44" s="1554">
        <f>SUM(J44:K44)</f>
        <v>0</v>
      </c>
      <c r="M44" s="1554">
        <f>F44-I44</f>
        <v>0</v>
      </c>
      <c r="N44" s="1555">
        <f>F44-L44</f>
        <v>0</v>
      </c>
      <c r="O44" s="1572"/>
      <c r="P44" s="1559">
        <v>0</v>
      </c>
      <c r="Q44" s="1560">
        <v>0</v>
      </c>
      <c r="R44" s="1448"/>
      <c r="S44" s="1615">
        <f>+IF(AGOSTO!S44=0,"",AGOSTO!S44)</f>
        <v>1010301</v>
      </c>
      <c r="T44" s="1616" t="str">
        <f>+IF(AGOSTO!T44=0,"",AGOSTO!T44)</f>
        <v>Contribuciones - SGP - Aportes Patronales - Cuentas Maestras</v>
      </c>
      <c r="U44" s="1617">
        <f t="shared" ref="U44:AJ44" si="53">SUM(U45:U48)</f>
        <v>0</v>
      </c>
      <c r="V44" s="1618">
        <f t="shared" si="53"/>
        <v>0</v>
      </c>
      <c r="W44" s="1618">
        <f t="shared" si="53"/>
        <v>64519250</v>
      </c>
      <c r="X44" s="1619">
        <f t="shared" si="53"/>
        <v>64519250</v>
      </c>
      <c r="Y44" s="1620">
        <f t="shared" si="53"/>
        <v>16085642</v>
      </c>
      <c r="Z44" s="1648">
        <f t="shared" si="53"/>
        <v>8324132</v>
      </c>
      <c r="AA44" s="1619">
        <f t="shared" si="53"/>
        <v>24409774</v>
      </c>
      <c r="AB44" s="1620">
        <f t="shared" si="53"/>
        <v>16085642</v>
      </c>
      <c r="AC44" s="1648">
        <f t="shared" si="53"/>
        <v>8324132</v>
      </c>
      <c r="AD44" s="1619">
        <f t="shared" si="53"/>
        <v>24409774</v>
      </c>
      <c r="AE44" s="1620">
        <f t="shared" si="53"/>
        <v>16085642</v>
      </c>
      <c r="AF44" s="1648">
        <f t="shared" si="53"/>
        <v>8324132</v>
      </c>
      <c r="AG44" s="1619">
        <f t="shared" si="53"/>
        <v>24409774</v>
      </c>
      <c r="AH44" s="1620">
        <f t="shared" si="53"/>
        <v>40109476</v>
      </c>
      <c r="AI44" s="1618">
        <f t="shared" si="53"/>
        <v>40109476</v>
      </c>
      <c r="AJ44" s="1621">
        <f t="shared" si="53"/>
        <v>40109476</v>
      </c>
      <c r="AK44" s="1448"/>
      <c r="AL44" s="1649">
        <f>SUM(AL45:AL48)</f>
        <v>0</v>
      </c>
      <c r="AM44" s="1650">
        <f>SUM(AM45:AM48)</f>
        <v>0</v>
      </c>
      <c r="AN44" s="1448"/>
      <c r="AO44" s="1401"/>
      <c r="AP44" s="1401"/>
      <c r="AQ44" s="1401"/>
      <c r="AR44" s="1401"/>
      <c r="AS44" s="1401"/>
      <c r="AT44" s="1401"/>
      <c r="AU44" s="1401"/>
      <c r="AV44" s="1401"/>
      <c r="AW44" s="1401"/>
      <c r="AX44" s="1401"/>
      <c r="AY44" s="1401"/>
      <c r="AZ44" s="1401"/>
      <c r="BA44" s="1572"/>
      <c r="BF44" s="1572"/>
      <c r="BG44" s="1572"/>
      <c r="BH44" s="1572"/>
      <c r="BI44" s="1572"/>
      <c r="BJ44" s="1572"/>
      <c r="BK44" s="1572"/>
      <c r="BL44" s="1572"/>
      <c r="BM44" s="1572"/>
      <c r="BN44" s="1572"/>
      <c r="BO44" s="1572"/>
      <c r="BP44" s="1572"/>
      <c r="BQ44" s="1572"/>
      <c r="BR44" s="1572"/>
    </row>
    <row r="45" spans="1:70" s="1572" customFormat="1" ht="24.95" customHeight="1">
      <c r="A45" s="1635">
        <f>+IF(AGOSTO!A45=0,"",AGOSTO!A45)</f>
        <v>1130107</v>
      </c>
      <c r="B45" s="1670" t="str">
        <f>+IF(AGOSTO!B45=0,"",AGOSTO!B45)</f>
        <v>MINSALUD-FOSYGA-RECLAMACIONES ECAT</v>
      </c>
      <c r="C45" s="1637">
        <f t="shared" ref="C45:N45" si="54">SUM(C46:C47)</f>
        <v>375197511</v>
      </c>
      <c r="D45" s="1671">
        <f t="shared" si="54"/>
        <v>0</v>
      </c>
      <c r="E45" s="1671">
        <f t="shared" si="54"/>
        <v>79487</v>
      </c>
      <c r="F45" s="1671">
        <f t="shared" si="54"/>
        <v>375276998</v>
      </c>
      <c r="G45" s="1671">
        <f t="shared" si="54"/>
        <v>246224307</v>
      </c>
      <c r="H45" s="1671">
        <f t="shared" si="54"/>
        <v>39555259</v>
      </c>
      <c r="I45" s="1671">
        <f t="shared" si="54"/>
        <v>285779566</v>
      </c>
      <c r="J45" s="1671">
        <f t="shared" si="54"/>
        <v>79487</v>
      </c>
      <c r="K45" s="1671">
        <f t="shared" si="54"/>
        <v>0</v>
      </c>
      <c r="L45" s="1671">
        <f t="shared" si="54"/>
        <v>79487</v>
      </c>
      <c r="M45" s="1671">
        <f t="shared" si="54"/>
        <v>89497432</v>
      </c>
      <c r="N45" s="1638">
        <f t="shared" si="54"/>
        <v>375197511</v>
      </c>
      <c r="P45" s="1637">
        <f>SUM(P46:P47)</f>
        <v>0</v>
      </c>
      <c r="Q45" s="1638">
        <f>SUM(Q46:Q47)</f>
        <v>0</v>
      </c>
      <c r="R45" s="1448"/>
      <c r="S45" s="1662" t="str">
        <f>+IF(AGOSTO!S45=0,"",AGOSTO!S45)</f>
        <v>1010301-1</v>
      </c>
      <c r="T45" s="1663" t="str">
        <f>+IF(AGOSTO!T45=0,"",AGOSTO!T45)</f>
        <v>E.P.S. - Aportes cuentas maestras</v>
      </c>
      <c r="U45" s="1617">
        <f>+ENERO!U45</f>
        <v>0</v>
      </c>
      <c r="V45" s="1618">
        <f>AGOSTO!V45+SEPTIEMBRE!AL45</f>
        <v>0</v>
      </c>
      <c r="W45" s="1618">
        <f>AGOSTO!W45+SEPTIEMBRE!AM45</f>
        <v>13633482</v>
      </c>
      <c r="X45" s="1619">
        <f>SUM(U45:W45)</f>
        <v>13633482</v>
      </c>
      <c r="Y45" s="1620">
        <f>AGOSTO!AA45</f>
        <v>6518453</v>
      </c>
      <c r="Z45" s="1557">
        <v>3463883</v>
      </c>
      <c r="AA45" s="1619">
        <f>SUM(Y45:Z45)</f>
        <v>9982336</v>
      </c>
      <c r="AB45" s="1620">
        <f>AGOSTO!AD45</f>
        <v>6518453</v>
      </c>
      <c r="AC45" s="1557">
        <v>3463883</v>
      </c>
      <c r="AD45" s="1619">
        <f>SUM(AB45:AC45)</f>
        <v>9982336</v>
      </c>
      <c r="AE45" s="1620">
        <f>AGOSTO!AG45</f>
        <v>6518453</v>
      </c>
      <c r="AF45" s="1557">
        <v>3463883</v>
      </c>
      <c r="AG45" s="1619">
        <f>SUM(AE45:AF45)</f>
        <v>9982336</v>
      </c>
      <c r="AH45" s="1620">
        <f>X45-AA45</f>
        <v>3651146</v>
      </c>
      <c r="AI45" s="1618">
        <f>X45-AD45</f>
        <v>3651146</v>
      </c>
      <c r="AJ45" s="1621">
        <f>X45-AG45</f>
        <v>3651146</v>
      </c>
      <c r="AK45" s="1448"/>
      <c r="AL45" s="1559">
        <v>0</v>
      </c>
      <c r="AM45" s="1560">
        <v>0</v>
      </c>
      <c r="AN45" s="1448"/>
      <c r="AO45" s="1401"/>
      <c r="AP45" s="1401"/>
      <c r="AQ45" s="1401"/>
      <c r="AR45" s="1401"/>
      <c r="AS45" s="1401"/>
      <c r="AT45" s="1401"/>
      <c r="AU45" s="1401"/>
      <c r="AV45" s="1401"/>
      <c r="AW45" s="1401"/>
      <c r="AX45" s="1401"/>
      <c r="AY45" s="1401"/>
      <c r="AZ45" s="1401"/>
    </row>
    <row r="46" spans="1:70" s="1659" customFormat="1" ht="24.95" customHeight="1">
      <c r="A46" s="1551" t="str">
        <f>+IF(AGOSTO!A46=0,"",AGOSTO!A46)</f>
        <v>1130107-1</v>
      </c>
      <c r="B46" s="1682" t="str">
        <f>+CONCATENATE("Vigencia ",INSTRUCCIONES!$F$3)</f>
        <v>Vigencia 2017</v>
      </c>
      <c r="C46" s="1553">
        <f>+ENERO!C46</f>
        <v>375197511</v>
      </c>
      <c r="D46" s="1554">
        <f>AGOSTO!D46+SEPTIEMBRE!P46</f>
        <v>0</v>
      </c>
      <c r="E46" s="1554">
        <f>AGOSTO!E46+SEPTIEMBRE!Q46</f>
        <v>0</v>
      </c>
      <c r="F46" s="1554">
        <f>SUM(C46:E46)</f>
        <v>375197511</v>
      </c>
      <c r="G46" s="1554">
        <f>AGOSTO!I46</f>
        <v>246144820</v>
      </c>
      <c r="H46" s="1557">
        <v>39555259</v>
      </c>
      <c r="I46" s="1554">
        <f>SUM(G46:H46)</f>
        <v>285700079</v>
      </c>
      <c r="J46" s="1554">
        <f>AGOSTO!L46</f>
        <v>0</v>
      </c>
      <c r="K46" s="1557">
        <v>0</v>
      </c>
      <c r="L46" s="1554">
        <f>SUM(J46:K46)</f>
        <v>0</v>
      </c>
      <c r="M46" s="1554">
        <f>F46-I46</f>
        <v>89497432</v>
      </c>
      <c r="N46" s="1555">
        <f>F46-L46</f>
        <v>375197511</v>
      </c>
      <c r="O46" s="1572"/>
      <c r="P46" s="1559">
        <v>0</v>
      </c>
      <c r="Q46" s="1560">
        <v>0</v>
      </c>
      <c r="R46" s="1448"/>
      <c r="S46" s="1662" t="str">
        <f>+IF(AGOSTO!S46=0,"",AGOSTO!S46)</f>
        <v>1010301-2</v>
      </c>
      <c r="T46" s="1663" t="str">
        <f>+IF(AGOSTO!T46=0,"",AGOSTO!T46)</f>
        <v>Fondos pensionales - Aportes cuentas maestras</v>
      </c>
      <c r="U46" s="1617">
        <f>+ENERO!U46</f>
        <v>0</v>
      </c>
      <c r="V46" s="1618">
        <f>AGOSTO!V46+SEPTIEMBRE!AL46</f>
        <v>0</v>
      </c>
      <c r="W46" s="1618">
        <f>AGOSTO!W46+SEPTIEMBRE!AM46</f>
        <v>38239500</v>
      </c>
      <c r="X46" s="1619">
        <f>SUM(U46:W46)</f>
        <v>38239500</v>
      </c>
      <c r="Y46" s="1620">
        <f>AGOSTO!AA46</f>
        <v>9174710</v>
      </c>
      <c r="Z46" s="1557">
        <v>4665408</v>
      </c>
      <c r="AA46" s="1619">
        <f>SUM(Y46:Z46)</f>
        <v>13840118</v>
      </c>
      <c r="AB46" s="1620">
        <f>AGOSTO!AD46</f>
        <v>9174710</v>
      </c>
      <c r="AC46" s="1557">
        <v>4665408</v>
      </c>
      <c r="AD46" s="1619">
        <f>SUM(AB46:AC46)</f>
        <v>13840118</v>
      </c>
      <c r="AE46" s="1620">
        <f>AGOSTO!AG46</f>
        <v>9174710</v>
      </c>
      <c r="AF46" s="1557">
        <v>4665408</v>
      </c>
      <c r="AG46" s="1619">
        <f>SUM(AE46:AF46)</f>
        <v>13840118</v>
      </c>
      <c r="AH46" s="1620">
        <f>X46-AA46</f>
        <v>24399382</v>
      </c>
      <c r="AI46" s="1618">
        <f>X46-AD46</f>
        <v>24399382</v>
      </c>
      <c r="AJ46" s="1621">
        <f>X46-AG46</f>
        <v>24399382</v>
      </c>
      <c r="AK46" s="1448"/>
      <c r="AL46" s="1559">
        <v>0</v>
      </c>
      <c r="AM46" s="1560">
        <v>0</v>
      </c>
      <c r="AN46" s="1448"/>
      <c r="AO46" s="1729"/>
      <c r="AP46" s="1728"/>
      <c r="AQ46" s="1401"/>
      <c r="AR46" s="1401"/>
      <c r="AS46" s="1401"/>
      <c r="AT46" s="1401"/>
      <c r="AU46" s="1401"/>
      <c r="AV46" s="1401"/>
      <c r="AW46" s="1401"/>
      <c r="AX46" s="1401"/>
      <c r="AY46" s="1401"/>
      <c r="AZ46" s="1401"/>
      <c r="BA46" s="1572"/>
      <c r="BF46" s="1572"/>
      <c r="BG46" s="1572"/>
      <c r="BH46" s="1572"/>
      <c r="BI46" s="1572"/>
      <c r="BJ46" s="1572"/>
      <c r="BK46" s="1572"/>
      <c r="BL46" s="1572"/>
    </row>
    <row r="47" spans="1:70" s="1659" customFormat="1" ht="24.95" customHeight="1">
      <c r="A47" s="1551" t="str">
        <f>+IF(AGOSTO!A47=0,"",AGOSTO!A47)</f>
        <v>1130107-2</v>
      </c>
      <c r="B47" s="1682" t="str">
        <f>+IF(AGOSTO!B47=0,"",AGOSTO!B47)</f>
        <v>Vigencia Anterior</v>
      </c>
      <c r="C47" s="1553">
        <f>+ENERO!C47</f>
        <v>0</v>
      </c>
      <c r="D47" s="1554">
        <f>AGOSTO!D47+SEPTIEMBRE!P47</f>
        <v>0</v>
      </c>
      <c r="E47" s="1554">
        <f>AGOSTO!E47+SEPTIEMBRE!Q47</f>
        <v>79487</v>
      </c>
      <c r="F47" s="1554">
        <f>SUM(C47:E47)</f>
        <v>79487</v>
      </c>
      <c r="G47" s="1554">
        <f>AGOSTO!I47</f>
        <v>79487</v>
      </c>
      <c r="H47" s="1557">
        <v>0</v>
      </c>
      <c r="I47" s="1554">
        <f>SUM(G47:H47)</f>
        <v>79487</v>
      </c>
      <c r="J47" s="1554">
        <f>AGOSTO!L47</f>
        <v>79487</v>
      </c>
      <c r="K47" s="1557">
        <v>0</v>
      </c>
      <c r="L47" s="1554">
        <f>SUM(J47:K47)</f>
        <v>79487</v>
      </c>
      <c r="M47" s="1554">
        <f>F47-I47</f>
        <v>0</v>
      </c>
      <c r="N47" s="1555">
        <f>F47-L47</f>
        <v>0</v>
      </c>
      <c r="O47" s="1572"/>
      <c r="P47" s="1559">
        <v>0</v>
      </c>
      <c r="Q47" s="1560">
        <v>0</v>
      </c>
      <c r="R47" s="1448"/>
      <c r="S47" s="1662" t="str">
        <f>+IF(AGOSTO!S47=0,"",AGOSTO!S47)</f>
        <v>1010301-3</v>
      </c>
      <c r="T47" s="1663" t="str">
        <f>+IF(AGOSTO!T47=0,"",AGOSTO!T47)</f>
        <v>Fondos de cesantías - Aportes cuentas maestras</v>
      </c>
      <c r="U47" s="1617">
        <f>+ENERO!U47</f>
        <v>0</v>
      </c>
      <c r="V47" s="1618">
        <f>AGOSTO!V47+SEPTIEMBRE!AL47</f>
        <v>0</v>
      </c>
      <c r="W47" s="1618">
        <f>AGOSTO!W47+SEPTIEMBRE!AM47</f>
        <v>9400000</v>
      </c>
      <c r="X47" s="1619">
        <f>SUM(U47:W47)</f>
        <v>9400000</v>
      </c>
      <c r="Y47" s="1620">
        <f>AGOSTO!AA47</f>
        <v>0</v>
      </c>
      <c r="Z47" s="1557">
        <v>0</v>
      </c>
      <c r="AA47" s="1619">
        <f>SUM(Y47:Z47)</f>
        <v>0</v>
      </c>
      <c r="AB47" s="1620">
        <f>AGOSTO!AD47</f>
        <v>0</v>
      </c>
      <c r="AC47" s="1557">
        <v>0</v>
      </c>
      <c r="AD47" s="1619">
        <f>SUM(AB47:AC47)</f>
        <v>0</v>
      </c>
      <c r="AE47" s="1620">
        <f>AGOSTO!AG47</f>
        <v>0</v>
      </c>
      <c r="AF47" s="1557">
        <v>0</v>
      </c>
      <c r="AG47" s="1619">
        <f>SUM(AE47:AF47)</f>
        <v>0</v>
      </c>
      <c r="AH47" s="1620">
        <f>X47-AA47</f>
        <v>9400000</v>
      </c>
      <c r="AI47" s="1618">
        <f>X47-AD47</f>
        <v>9400000</v>
      </c>
      <c r="AJ47" s="1621">
        <f>X47-AG47</f>
        <v>9400000</v>
      </c>
      <c r="AK47" s="1448"/>
      <c r="AL47" s="1559">
        <v>0</v>
      </c>
      <c r="AM47" s="1560">
        <v>0</v>
      </c>
      <c r="AN47" s="1448"/>
      <c r="AO47" s="1401"/>
      <c r="AP47" s="1401"/>
      <c r="AQ47" s="1401"/>
      <c r="AR47" s="1401"/>
      <c r="AS47" s="1401"/>
      <c r="AT47" s="1401"/>
      <c r="AU47" s="1401"/>
      <c r="AV47" s="1401"/>
      <c r="AW47" s="1401"/>
      <c r="AX47" s="1401"/>
      <c r="AY47" s="1401"/>
      <c r="AZ47" s="1401"/>
      <c r="BA47" s="1572"/>
      <c r="BF47" s="1572"/>
      <c r="BG47" s="1572"/>
      <c r="BH47" s="1572"/>
      <c r="BI47" s="1572"/>
      <c r="BJ47" s="1572"/>
      <c r="BK47" s="1572"/>
      <c r="BL47" s="1572"/>
      <c r="BM47" s="1572"/>
      <c r="BN47" s="1572"/>
      <c r="BO47" s="1572"/>
      <c r="BP47" s="1572"/>
      <c r="BQ47" s="1572"/>
      <c r="BR47" s="1572"/>
    </row>
    <row r="48" spans="1:70" s="1572" customFormat="1" ht="24.95" customHeight="1">
      <c r="A48" s="1635">
        <f>+IF(AGOSTO!A48=0,"",AGOSTO!A48)</f>
        <v>1130108</v>
      </c>
      <c r="B48" s="1670" t="str">
        <f>+IF(AGOSTO!B48=0,"",AGOSTO!B48)</f>
        <v>MINSALUD-FOSYGA -TRAUMA MAYOR Y DESPLAZADOS</v>
      </c>
      <c r="C48" s="1637">
        <f t="shared" ref="C48:N48" si="55">SUM(C49:C50)</f>
        <v>0</v>
      </c>
      <c r="D48" s="1671">
        <f t="shared" si="55"/>
        <v>0</v>
      </c>
      <c r="E48" s="1671">
        <f t="shared" si="55"/>
        <v>0</v>
      </c>
      <c r="F48" s="1671">
        <f t="shared" si="55"/>
        <v>0</v>
      </c>
      <c r="G48" s="1671">
        <f t="shared" si="55"/>
        <v>0</v>
      </c>
      <c r="H48" s="1671">
        <f t="shared" si="55"/>
        <v>0</v>
      </c>
      <c r="I48" s="1671">
        <f t="shared" si="55"/>
        <v>0</v>
      </c>
      <c r="J48" s="1671">
        <f t="shared" si="55"/>
        <v>0</v>
      </c>
      <c r="K48" s="1671">
        <f t="shared" si="55"/>
        <v>0</v>
      </c>
      <c r="L48" s="1671">
        <f t="shared" si="55"/>
        <v>0</v>
      </c>
      <c r="M48" s="1671">
        <f t="shared" si="55"/>
        <v>0</v>
      </c>
      <c r="N48" s="1638">
        <f t="shared" si="55"/>
        <v>0</v>
      </c>
      <c r="P48" s="1637">
        <f>SUM(P49:P50)</f>
        <v>0</v>
      </c>
      <c r="Q48" s="1638">
        <f>SUM(Q49:Q50)</f>
        <v>0</v>
      </c>
      <c r="R48" s="1448"/>
      <c r="S48" s="1662" t="str">
        <f>+IF(AGOSTO!S48=0,"",AGOSTO!S48)</f>
        <v>1010301-4</v>
      </c>
      <c r="T48" s="1663" t="str">
        <f>+IF(AGOSTO!T48=0,"",AGOSTO!T48)</f>
        <v>Riesgos laborales - Aportes cuentas maestras</v>
      </c>
      <c r="U48" s="1617">
        <f>+ENERO!U48</f>
        <v>0</v>
      </c>
      <c r="V48" s="1618">
        <f>AGOSTO!V48+SEPTIEMBRE!AL48</f>
        <v>0</v>
      </c>
      <c r="W48" s="1618">
        <f>AGOSTO!W48+SEPTIEMBRE!AM48</f>
        <v>3246268</v>
      </c>
      <c r="X48" s="1619">
        <f>SUM(U48:W48)</f>
        <v>3246268</v>
      </c>
      <c r="Y48" s="1620">
        <f>AGOSTO!AA48</f>
        <v>392479</v>
      </c>
      <c r="Z48" s="1557">
        <v>194841</v>
      </c>
      <c r="AA48" s="1619">
        <f>SUM(Y48:Z48)</f>
        <v>587320</v>
      </c>
      <c r="AB48" s="1620">
        <f>AGOSTO!AD48</f>
        <v>392479</v>
      </c>
      <c r="AC48" s="1557">
        <v>194841</v>
      </c>
      <c r="AD48" s="1619">
        <f>SUM(AB48:AC48)</f>
        <v>587320</v>
      </c>
      <c r="AE48" s="1620">
        <f>AGOSTO!AG48</f>
        <v>392479</v>
      </c>
      <c r="AF48" s="1557">
        <v>194841</v>
      </c>
      <c r="AG48" s="1619">
        <f>SUM(AE48:AF48)</f>
        <v>587320</v>
      </c>
      <c r="AH48" s="1620">
        <f>X48-AA48</f>
        <v>2658948</v>
      </c>
      <c r="AI48" s="1618">
        <f>X48-AD48</f>
        <v>2658948</v>
      </c>
      <c r="AJ48" s="1621">
        <f>X48-AG48</f>
        <v>2658948</v>
      </c>
      <c r="AK48" s="1448"/>
      <c r="AL48" s="1559">
        <v>0</v>
      </c>
      <c r="AM48" s="1560">
        <v>0</v>
      </c>
      <c r="AN48" s="1448"/>
      <c r="AO48" s="1401"/>
      <c r="AP48" s="1401"/>
      <c r="AQ48" s="1401"/>
      <c r="AR48" s="1401"/>
      <c r="AS48" s="1401"/>
      <c r="AT48" s="1401"/>
      <c r="AU48" s="1401"/>
      <c r="AV48" s="1401"/>
      <c r="AW48" s="1401"/>
      <c r="AX48" s="1401"/>
      <c r="AY48" s="1401"/>
      <c r="AZ48" s="1401"/>
    </row>
    <row r="49" spans="1:70" s="1659" customFormat="1" ht="24.95" customHeight="1">
      <c r="A49" s="1551" t="str">
        <f>+IF(AGOSTO!A49=0,"",AGOSTO!A49)</f>
        <v>1130108-1</v>
      </c>
      <c r="B49" s="1682" t="str">
        <f>+CONCATENATE("Vigencia ",INSTRUCCIONES!$F$3)</f>
        <v>Vigencia 2017</v>
      </c>
      <c r="C49" s="1553">
        <f>+ENERO!C49</f>
        <v>0</v>
      </c>
      <c r="D49" s="1554">
        <f>AGOSTO!D49+SEPTIEMBRE!P49</f>
        <v>0</v>
      </c>
      <c r="E49" s="1554">
        <f>AGOSTO!E49+SEPTIEMBRE!Q49</f>
        <v>0</v>
      </c>
      <c r="F49" s="1554">
        <f>SUM(C49:E49)</f>
        <v>0</v>
      </c>
      <c r="G49" s="1554">
        <f>AGOSTO!I49</f>
        <v>0</v>
      </c>
      <c r="H49" s="1557">
        <v>0</v>
      </c>
      <c r="I49" s="1554">
        <f>SUM(G49:H49)</f>
        <v>0</v>
      </c>
      <c r="J49" s="1554">
        <f>AGOSTO!L49</f>
        <v>0</v>
      </c>
      <c r="K49" s="1557">
        <v>0</v>
      </c>
      <c r="L49" s="1554">
        <f>SUM(J49:K49)</f>
        <v>0</v>
      </c>
      <c r="M49" s="1554">
        <f>F49-I49</f>
        <v>0</v>
      </c>
      <c r="N49" s="1555">
        <f>F49-L49</f>
        <v>0</v>
      </c>
      <c r="O49" s="1572"/>
      <c r="P49" s="1559">
        <v>0</v>
      </c>
      <c r="Q49" s="1560">
        <v>0</v>
      </c>
      <c r="R49" s="1448"/>
      <c r="S49" s="1615">
        <f>+IF(AGOSTO!S49=0,"",AGOSTO!S49)</f>
        <v>1010302</v>
      </c>
      <c r="T49" s="1616" t="str">
        <f>+IF(AGOSTO!T49=0,"",AGOSTO!T49)</f>
        <v>Contribuciones - Otros</v>
      </c>
      <c r="U49" s="1617">
        <f t="shared" ref="U49:AJ49" si="56">SUM(U50:U54)</f>
        <v>182861553</v>
      </c>
      <c r="V49" s="1618">
        <f t="shared" si="56"/>
        <v>-6000000</v>
      </c>
      <c r="W49" s="1618">
        <f t="shared" si="56"/>
        <v>8000000</v>
      </c>
      <c r="X49" s="1619">
        <f t="shared" si="56"/>
        <v>184861553</v>
      </c>
      <c r="Y49" s="1620">
        <f t="shared" si="56"/>
        <v>61945833</v>
      </c>
      <c r="Z49" s="1648">
        <f t="shared" si="56"/>
        <v>1555136</v>
      </c>
      <c r="AA49" s="1619">
        <f t="shared" si="56"/>
        <v>63500969</v>
      </c>
      <c r="AB49" s="1620">
        <f t="shared" si="56"/>
        <v>61945833</v>
      </c>
      <c r="AC49" s="1648">
        <f t="shared" si="56"/>
        <v>1555136</v>
      </c>
      <c r="AD49" s="1619">
        <f t="shared" si="56"/>
        <v>63500969</v>
      </c>
      <c r="AE49" s="1620">
        <f t="shared" si="56"/>
        <v>61945833</v>
      </c>
      <c r="AF49" s="1648">
        <f t="shared" si="56"/>
        <v>1555136</v>
      </c>
      <c r="AG49" s="1619">
        <f t="shared" si="56"/>
        <v>63500969</v>
      </c>
      <c r="AH49" s="1620">
        <f t="shared" si="56"/>
        <v>121360584</v>
      </c>
      <c r="AI49" s="1618">
        <f t="shared" si="56"/>
        <v>121360584</v>
      </c>
      <c r="AJ49" s="1621">
        <f t="shared" si="56"/>
        <v>121360584</v>
      </c>
      <c r="AK49" s="1448"/>
      <c r="AL49" s="1649">
        <f>SUM(AL50:AL54)</f>
        <v>0</v>
      </c>
      <c r="AM49" s="1650">
        <f>SUM(AM50:AM54)</f>
        <v>0</v>
      </c>
      <c r="AN49" s="1448"/>
      <c r="AO49" s="1729"/>
      <c r="AP49" s="1728"/>
      <c r="AQ49" s="1401"/>
      <c r="AR49" s="1401"/>
      <c r="AS49" s="1401"/>
      <c r="AT49" s="1401"/>
      <c r="AU49" s="1401"/>
      <c r="AV49" s="1401"/>
      <c r="AW49" s="1401"/>
      <c r="AX49" s="1401"/>
      <c r="AY49" s="1401"/>
      <c r="AZ49" s="1401"/>
      <c r="BA49" s="1572"/>
      <c r="BF49" s="1572"/>
      <c r="BG49" s="1572"/>
      <c r="BH49" s="1572"/>
      <c r="BI49" s="1572"/>
      <c r="BJ49" s="1572"/>
      <c r="BK49" s="1572"/>
      <c r="BL49" s="1572"/>
      <c r="BM49" s="1572"/>
      <c r="BN49" s="1572"/>
      <c r="BO49" s="1572"/>
      <c r="BP49" s="1572"/>
      <c r="BQ49" s="1572"/>
      <c r="BR49" s="1572"/>
    </row>
    <row r="50" spans="1:70" s="1659" customFormat="1" ht="24.95" customHeight="1">
      <c r="A50" s="1551" t="str">
        <f>+IF(AGOSTO!A50=0,"",AGOSTO!A50)</f>
        <v>1130108-2</v>
      </c>
      <c r="B50" s="1682" t="str">
        <f>+IF(AGOSTO!B50=0,"",AGOSTO!B50)</f>
        <v>Vigencia Anterior</v>
      </c>
      <c r="C50" s="1553">
        <f>+ENERO!C50</f>
        <v>0</v>
      </c>
      <c r="D50" s="1554">
        <f>AGOSTO!D50+SEPTIEMBRE!P50</f>
        <v>0</v>
      </c>
      <c r="E50" s="1554">
        <f>AGOSTO!E50+SEPTIEMBRE!Q50</f>
        <v>0</v>
      </c>
      <c r="F50" s="1554">
        <f>SUM(C50:E50)</f>
        <v>0</v>
      </c>
      <c r="G50" s="1554">
        <f>AGOSTO!I50</f>
        <v>0</v>
      </c>
      <c r="H50" s="1557">
        <v>0</v>
      </c>
      <c r="I50" s="1554">
        <f>SUM(G50:H50)</f>
        <v>0</v>
      </c>
      <c r="J50" s="1554">
        <f>AGOSTO!L50</f>
        <v>0</v>
      </c>
      <c r="K50" s="1557">
        <v>0</v>
      </c>
      <c r="L50" s="1554">
        <f>SUM(J50:K50)</f>
        <v>0</v>
      </c>
      <c r="M50" s="1554">
        <f>F50-I50</f>
        <v>0</v>
      </c>
      <c r="N50" s="1555">
        <f>F50-L50</f>
        <v>0</v>
      </c>
      <c r="O50" s="1572"/>
      <c r="P50" s="1559">
        <v>0</v>
      </c>
      <c r="Q50" s="1560">
        <v>0</v>
      </c>
      <c r="R50" s="1448"/>
      <c r="S50" s="1662" t="str">
        <f>+IF(AGOSTO!S50=0,"",AGOSTO!S50)</f>
        <v>1010302-1</v>
      </c>
      <c r="T50" s="1663" t="str">
        <f>+IF(AGOSTO!T50=0,"",AGOSTO!T50)</f>
        <v>Aportes a E.P.S.- Con sit. Fondos</v>
      </c>
      <c r="U50" s="1617">
        <f>+ENERO!U50</f>
        <v>72876516</v>
      </c>
      <c r="V50" s="1618">
        <f>AGOSTO!V50+SEPTIEMBRE!AL50</f>
        <v>-9500000</v>
      </c>
      <c r="W50" s="1618">
        <f>AGOSTO!W50+SEPTIEMBRE!AM50</f>
        <v>0</v>
      </c>
      <c r="X50" s="1619">
        <f t="shared" ref="X50:X55" si="57">SUM(U50:W50)</f>
        <v>63376516</v>
      </c>
      <c r="Y50" s="1620">
        <f>AGOSTO!AA50</f>
        <v>19832896</v>
      </c>
      <c r="Z50" s="1557">
        <v>0</v>
      </c>
      <c r="AA50" s="1619">
        <f t="shared" ref="AA50:AA55" si="58">SUM(Y50:Z50)</f>
        <v>19832896</v>
      </c>
      <c r="AB50" s="1620">
        <f>AGOSTO!AD50</f>
        <v>19832896</v>
      </c>
      <c r="AC50" s="1557">
        <v>0</v>
      </c>
      <c r="AD50" s="1619">
        <f t="shared" ref="AD50:AD55" si="59">SUM(AB50:AC50)</f>
        <v>19832896</v>
      </c>
      <c r="AE50" s="1620">
        <f>AGOSTO!AG50</f>
        <v>19832896</v>
      </c>
      <c r="AF50" s="1557">
        <v>0</v>
      </c>
      <c r="AG50" s="1619">
        <f t="shared" ref="AG50:AG55" si="60">SUM(AE50:AF50)</f>
        <v>19832896</v>
      </c>
      <c r="AH50" s="1620">
        <f t="shared" ref="AH50:AH55" si="61">X50-AA50</f>
        <v>43543620</v>
      </c>
      <c r="AI50" s="1618">
        <f t="shared" ref="AI50:AI55" si="62">X50-AD50</f>
        <v>43543620</v>
      </c>
      <c r="AJ50" s="1621">
        <f t="shared" ref="AJ50:AJ55" si="63">X50-AG50</f>
        <v>43543620</v>
      </c>
      <c r="AK50" s="1448"/>
      <c r="AL50" s="1559">
        <v>0</v>
      </c>
      <c r="AM50" s="1560">
        <v>0</v>
      </c>
      <c r="AN50" s="1448"/>
      <c r="AO50" s="1401"/>
      <c r="AP50" s="1401"/>
      <c r="AQ50" s="1401"/>
      <c r="AR50" s="1401"/>
      <c r="AS50" s="1401"/>
      <c r="AT50" s="1401"/>
      <c r="AU50" s="1401"/>
      <c r="AV50" s="1401"/>
      <c r="AW50" s="1401"/>
      <c r="AX50" s="1401"/>
      <c r="AY50" s="1401"/>
      <c r="AZ50" s="1401"/>
      <c r="BA50" s="1572"/>
      <c r="BF50" s="1572"/>
      <c r="BG50" s="1572"/>
      <c r="BH50" s="1572"/>
      <c r="BI50" s="1572"/>
      <c r="BJ50" s="1572"/>
      <c r="BK50" s="1572"/>
      <c r="BL50" s="1572"/>
      <c r="BM50" s="1572"/>
      <c r="BN50" s="1572"/>
      <c r="BO50" s="1572"/>
      <c r="BP50" s="1572"/>
      <c r="BQ50" s="1572"/>
      <c r="BR50" s="1572"/>
    </row>
    <row r="51" spans="1:70" s="1572" customFormat="1" ht="24.95" customHeight="1">
      <c r="A51" s="1635">
        <f>+IF(AGOSTO!A51=0,"",AGOSTO!A51)</f>
        <v>1130109</v>
      </c>
      <c r="B51" s="1670" t="str">
        <f>+IF(AGOSTO!B51=0,"",AGOSTO!B51)</f>
        <v>EPS - PLANES COMPLEMENTARIOS</v>
      </c>
      <c r="C51" s="1637">
        <f t="shared" ref="C51:N51" si="64">SUM(C52:C53)</f>
        <v>0</v>
      </c>
      <c r="D51" s="1671">
        <f t="shared" si="64"/>
        <v>0</v>
      </c>
      <c r="E51" s="1671">
        <f t="shared" si="64"/>
        <v>0</v>
      </c>
      <c r="F51" s="1671">
        <f t="shared" si="64"/>
        <v>0</v>
      </c>
      <c r="G51" s="1671">
        <f t="shared" si="64"/>
        <v>0</v>
      </c>
      <c r="H51" s="1671">
        <f t="shared" si="64"/>
        <v>0</v>
      </c>
      <c r="I51" s="1671">
        <f t="shared" si="64"/>
        <v>0</v>
      </c>
      <c r="J51" s="1671">
        <f t="shared" si="64"/>
        <v>0</v>
      </c>
      <c r="K51" s="1671">
        <f t="shared" si="64"/>
        <v>0</v>
      </c>
      <c r="L51" s="1671">
        <f t="shared" si="64"/>
        <v>0</v>
      </c>
      <c r="M51" s="1671">
        <f t="shared" si="64"/>
        <v>0</v>
      </c>
      <c r="N51" s="1638">
        <f t="shared" si="64"/>
        <v>0</v>
      </c>
      <c r="P51" s="1637">
        <f>SUM(P52:P53)</f>
        <v>0</v>
      </c>
      <c r="Q51" s="1638">
        <f>SUM(Q52:Q53)</f>
        <v>0</v>
      </c>
      <c r="R51" s="1448"/>
      <c r="S51" s="1662" t="str">
        <f>+IF(AGOSTO!S51=0,"",AGOSTO!S51)</f>
        <v>1010302-2</v>
      </c>
      <c r="T51" s="1663" t="str">
        <f>+IF(AGOSTO!T51=0,"",AGOSTO!T51)</f>
        <v>Aportes Fondos Pensionales - Con Sit. Fondos</v>
      </c>
      <c r="U51" s="1617">
        <f>+ENERO!U51</f>
        <v>75101971</v>
      </c>
      <c r="V51" s="1618">
        <f>AGOSTO!V51+SEPTIEMBRE!AL51</f>
        <v>0</v>
      </c>
      <c r="W51" s="1618">
        <f>AGOSTO!W51+SEPTIEMBRE!AM51</f>
        <v>0</v>
      </c>
      <c r="X51" s="1619">
        <f t="shared" si="57"/>
        <v>75101971</v>
      </c>
      <c r="Y51" s="1620">
        <f>AGOSTO!AA51</f>
        <v>27539061</v>
      </c>
      <c r="Z51" s="1557">
        <v>0</v>
      </c>
      <c r="AA51" s="1619">
        <f t="shared" si="58"/>
        <v>27539061</v>
      </c>
      <c r="AB51" s="1620">
        <f>AGOSTO!AD51</f>
        <v>27539061</v>
      </c>
      <c r="AC51" s="1557">
        <v>0</v>
      </c>
      <c r="AD51" s="1619">
        <f t="shared" si="59"/>
        <v>27539061</v>
      </c>
      <c r="AE51" s="1620">
        <f>AGOSTO!AG51</f>
        <v>27539061</v>
      </c>
      <c r="AF51" s="1557">
        <v>0</v>
      </c>
      <c r="AG51" s="1619">
        <f t="shared" si="60"/>
        <v>27539061</v>
      </c>
      <c r="AH51" s="1620">
        <f t="shared" si="61"/>
        <v>47562910</v>
      </c>
      <c r="AI51" s="1618">
        <f t="shared" si="62"/>
        <v>47562910</v>
      </c>
      <c r="AJ51" s="1621">
        <f t="shared" si="63"/>
        <v>47562910</v>
      </c>
      <c r="AK51" s="1448"/>
      <c r="AL51" s="1559">
        <v>0</v>
      </c>
      <c r="AM51" s="1560">
        <v>0</v>
      </c>
      <c r="AN51" s="1448"/>
      <c r="AO51" s="1401"/>
      <c r="AP51" s="1401"/>
      <c r="AQ51" s="1401"/>
      <c r="AR51" s="1401"/>
      <c r="AS51" s="1401"/>
      <c r="AT51" s="1401"/>
      <c r="AU51" s="1401"/>
      <c r="AV51" s="1401"/>
      <c r="AW51" s="1401"/>
      <c r="AX51" s="1401"/>
      <c r="AY51" s="1401"/>
      <c r="AZ51" s="1401"/>
    </row>
    <row r="52" spans="1:70" s="1659" customFormat="1" ht="24.95" customHeight="1">
      <c r="A52" s="1551" t="str">
        <f>+IF(AGOSTO!A52=0,"",AGOSTO!A52)</f>
        <v>1130109-1</v>
      </c>
      <c r="B52" s="1682" t="str">
        <f>+CONCATENATE("Vigencia ",INSTRUCCIONES!$F$3)</f>
        <v>Vigencia 2017</v>
      </c>
      <c r="C52" s="1553">
        <f>+ENERO!C52</f>
        <v>0</v>
      </c>
      <c r="D52" s="1554">
        <f>AGOSTO!D52+SEPTIEMBRE!P52</f>
        <v>0</v>
      </c>
      <c r="E52" s="1554">
        <f>AGOSTO!E52+SEPTIEMBRE!Q52</f>
        <v>0</v>
      </c>
      <c r="F52" s="1554">
        <f>SUM(C52:E52)</f>
        <v>0</v>
      </c>
      <c r="G52" s="1554">
        <f>AGOSTO!I52</f>
        <v>0</v>
      </c>
      <c r="H52" s="1557">
        <v>0</v>
      </c>
      <c r="I52" s="1554">
        <f>SUM(G52:H52)</f>
        <v>0</v>
      </c>
      <c r="J52" s="1554">
        <f>AGOSTO!L52</f>
        <v>0</v>
      </c>
      <c r="K52" s="1557">
        <v>0</v>
      </c>
      <c r="L52" s="1554">
        <f>SUM(J52:K52)</f>
        <v>0</v>
      </c>
      <c r="M52" s="1554">
        <f>F52-I52</f>
        <v>0</v>
      </c>
      <c r="N52" s="1555">
        <f>F52-L52</f>
        <v>0</v>
      </c>
      <c r="O52" s="1572"/>
      <c r="P52" s="1559">
        <v>0</v>
      </c>
      <c r="Q52" s="1560">
        <v>0</v>
      </c>
      <c r="R52" s="1448"/>
      <c r="S52" s="1662" t="str">
        <f>+IF(AGOSTO!S52=0,"",AGOSTO!S52)</f>
        <v>1010302-3</v>
      </c>
      <c r="T52" s="1663" t="str">
        <f>+IF(AGOSTO!T52=0,"",AGOSTO!T52)</f>
        <v xml:space="preserve">Aportes a Fondos de Cesantia - Con Sit. de Fondos </v>
      </c>
      <c r="U52" s="1617">
        <f>+ENERO!U52</f>
        <v>12471386</v>
      </c>
      <c r="V52" s="1618">
        <f>AGOSTO!V52+SEPTIEMBRE!AL52</f>
        <v>0</v>
      </c>
      <c r="W52" s="1618">
        <f>AGOSTO!W52+SEPTIEMBRE!AM52</f>
        <v>0</v>
      </c>
      <c r="X52" s="1619">
        <f t="shared" si="57"/>
        <v>12471386</v>
      </c>
      <c r="Y52" s="1620">
        <f>AGOSTO!AA52</f>
        <v>0</v>
      </c>
      <c r="Z52" s="1557">
        <v>0</v>
      </c>
      <c r="AA52" s="1619">
        <f t="shared" si="58"/>
        <v>0</v>
      </c>
      <c r="AB52" s="1620">
        <f>AGOSTO!AD52</f>
        <v>0</v>
      </c>
      <c r="AC52" s="1557">
        <v>0</v>
      </c>
      <c r="AD52" s="1619">
        <f t="shared" si="59"/>
        <v>0</v>
      </c>
      <c r="AE52" s="1620">
        <f>AGOSTO!AG52</f>
        <v>0</v>
      </c>
      <c r="AF52" s="1557">
        <v>0</v>
      </c>
      <c r="AG52" s="1619">
        <f t="shared" si="60"/>
        <v>0</v>
      </c>
      <c r="AH52" s="1620">
        <f t="shared" si="61"/>
        <v>12471386</v>
      </c>
      <c r="AI52" s="1618">
        <f t="shared" si="62"/>
        <v>12471386</v>
      </c>
      <c r="AJ52" s="1621">
        <f t="shared" si="63"/>
        <v>12471386</v>
      </c>
      <c r="AK52" s="1448"/>
      <c r="AL52" s="1559">
        <v>0</v>
      </c>
      <c r="AM52" s="1560">
        <v>0</v>
      </c>
      <c r="AN52" s="1448"/>
      <c r="AO52" s="1730"/>
      <c r="AP52" s="1730"/>
      <c r="AQ52" s="1730"/>
      <c r="AR52" s="1401"/>
      <c r="AS52" s="1729"/>
      <c r="AT52" s="1729"/>
      <c r="AU52" s="1729"/>
      <c r="AV52" s="1729"/>
      <c r="AW52" s="1729"/>
      <c r="AX52" s="1729"/>
      <c r="AY52" s="1729"/>
      <c r="AZ52" s="1729"/>
      <c r="BA52" s="1572"/>
      <c r="BF52" s="1572"/>
      <c r="BG52" s="1572"/>
      <c r="BH52" s="1572"/>
      <c r="BI52" s="1572"/>
      <c r="BJ52" s="1572"/>
      <c r="BK52" s="1572"/>
      <c r="BL52" s="1572"/>
      <c r="BM52" s="1572"/>
      <c r="BN52" s="1572"/>
      <c r="BO52" s="1572"/>
      <c r="BP52" s="1572"/>
      <c r="BQ52" s="1572"/>
      <c r="BR52" s="1572"/>
    </row>
    <row r="53" spans="1:70" s="1659" customFormat="1" ht="24.95" customHeight="1">
      <c r="A53" s="1551" t="str">
        <f>+IF(AGOSTO!A53=0,"",AGOSTO!A53)</f>
        <v>1130109-2</v>
      </c>
      <c r="B53" s="1682" t="str">
        <f>+IF(AGOSTO!B53=0,"",AGOSTO!B53)</f>
        <v>Vigencia Anterior</v>
      </c>
      <c r="C53" s="1553">
        <f>+ENERO!C53</f>
        <v>0</v>
      </c>
      <c r="D53" s="1554">
        <f>AGOSTO!D53+SEPTIEMBRE!P53</f>
        <v>0</v>
      </c>
      <c r="E53" s="1554">
        <f>AGOSTO!E53+SEPTIEMBRE!Q53</f>
        <v>0</v>
      </c>
      <c r="F53" s="1554">
        <f>SUM(C53:E53)</f>
        <v>0</v>
      </c>
      <c r="G53" s="1554">
        <f>AGOSTO!I53</f>
        <v>0</v>
      </c>
      <c r="H53" s="1557">
        <v>0</v>
      </c>
      <c r="I53" s="1554">
        <f>SUM(G53:H53)</f>
        <v>0</v>
      </c>
      <c r="J53" s="1554">
        <f>AGOSTO!L53</f>
        <v>0</v>
      </c>
      <c r="K53" s="1557">
        <v>0</v>
      </c>
      <c r="L53" s="1554">
        <f>SUM(J53:K53)</f>
        <v>0</v>
      </c>
      <c r="M53" s="1554">
        <f>F53-I53</f>
        <v>0</v>
      </c>
      <c r="N53" s="1555">
        <f>F53-L53</f>
        <v>0</v>
      </c>
      <c r="O53" s="1572"/>
      <c r="P53" s="1559">
        <v>0</v>
      </c>
      <c r="Q53" s="1560">
        <v>0</v>
      </c>
      <c r="R53" s="1448"/>
      <c r="S53" s="1662" t="str">
        <f>+IF(AGOSTO!S53=0,"",AGOSTO!S53)</f>
        <v>1010302-4</v>
      </c>
      <c r="T53" s="1663" t="str">
        <f>+IF(AGOSTO!T53=0,"",AGOSTO!T53)</f>
        <v>Aporte a ARL. - Con Sit. de Fondos</v>
      </c>
      <c r="U53" s="1617">
        <f>+ENERO!U53</f>
        <v>15124020</v>
      </c>
      <c r="V53" s="1618">
        <f>AGOSTO!V53+SEPTIEMBRE!AL53</f>
        <v>0</v>
      </c>
      <c r="W53" s="1618">
        <f>AGOSTO!W53+SEPTIEMBRE!AM53</f>
        <v>0</v>
      </c>
      <c r="X53" s="1619">
        <f t="shared" si="57"/>
        <v>15124020</v>
      </c>
      <c r="Y53" s="1620">
        <f>AGOSTO!AA53</f>
        <v>1188615</v>
      </c>
      <c r="Z53" s="1557">
        <v>0</v>
      </c>
      <c r="AA53" s="1619">
        <f t="shared" si="58"/>
        <v>1188615</v>
      </c>
      <c r="AB53" s="1620">
        <f>AGOSTO!AD53</f>
        <v>1188615</v>
      </c>
      <c r="AC53" s="1557">
        <v>0</v>
      </c>
      <c r="AD53" s="1619">
        <f t="shared" si="59"/>
        <v>1188615</v>
      </c>
      <c r="AE53" s="1620">
        <f>AGOSTO!AG53</f>
        <v>1188615</v>
      </c>
      <c r="AF53" s="1557">
        <v>0</v>
      </c>
      <c r="AG53" s="1619">
        <f t="shared" si="60"/>
        <v>1188615</v>
      </c>
      <c r="AH53" s="1620">
        <f t="shared" si="61"/>
        <v>13935405</v>
      </c>
      <c r="AI53" s="1618">
        <f t="shared" si="62"/>
        <v>13935405</v>
      </c>
      <c r="AJ53" s="1621">
        <f t="shared" si="63"/>
        <v>13935405</v>
      </c>
      <c r="AK53" s="1448"/>
      <c r="AL53" s="1559">
        <v>0</v>
      </c>
      <c r="AM53" s="1560">
        <v>0</v>
      </c>
      <c r="AN53" s="1448"/>
      <c r="AO53" s="1401"/>
      <c r="AP53" s="1401"/>
      <c r="AQ53" s="1401"/>
      <c r="AR53" s="1401"/>
      <c r="AS53" s="1401"/>
      <c r="AT53" s="1401"/>
      <c r="AU53" s="1401"/>
      <c r="AV53" s="1401"/>
      <c r="AW53" s="1401"/>
      <c r="AX53" s="1401"/>
      <c r="AY53" s="1401"/>
      <c r="AZ53" s="1401"/>
      <c r="BA53" s="1572"/>
      <c r="BF53" s="1572"/>
      <c r="BG53" s="1572"/>
      <c r="BH53" s="1572"/>
      <c r="BI53" s="1572"/>
      <c r="BJ53" s="1572"/>
      <c r="BK53" s="1572"/>
      <c r="BL53" s="1572"/>
      <c r="BM53" s="1572"/>
      <c r="BN53" s="1572"/>
      <c r="BO53" s="1572"/>
      <c r="BP53" s="1572"/>
      <c r="BQ53" s="1572"/>
      <c r="BR53" s="1572"/>
    </row>
    <row r="54" spans="1:70" s="1572" customFormat="1" ht="24.95" customHeight="1">
      <c r="A54" s="1635">
        <f>+IF(AGOSTO!A54=0,"",AGOSTO!A54)</f>
        <v>1130110</v>
      </c>
      <c r="B54" s="1670" t="str">
        <f>+IF(AGOSTO!B54=0,"",AGOSTO!B54)</f>
        <v>EMPRESAS MEDICINA PREPAGADA</v>
      </c>
      <c r="C54" s="1637">
        <f t="shared" ref="C54:N54" si="65">SUM(C55:C56)</f>
        <v>0</v>
      </c>
      <c r="D54" s="1671">
        <f t="shared" si="65"/>
        <v>0</v>
      </c>
      <c r="E54" s="1671">
        <f t="shared" si="65"/>
        <v>0</v>
      </c>
      <c r="F54" s="1671">
        <f t="shared" si="65"/>
        <v>0</v>
      </c>
      <c r="G54" s="1671">
        <f t="shared" si="65"/>
        <v>0</v>
      </c>
      <c r="H54" s="1671">
        <f t="shared" si="65"/>
        <v>0</v>
      </c>
      <c r="I54" s="1671">
        <f t="shared" si="65"/>
        <v>0</v>
      </c>
      <c r="J54" s="1671">
        <f t="shared" si="65"/>
        <v>0</v>
      </c>
      <c r="K54" s="1671">
        <f t="shared" si="65"/>
        <v>0</v>
      </c>
      <c r="L54" s="1671">
        <f t="shared" si="65"/>
        <v>0</v>
      </c>
      <c r="M54" s="1671">
        <f t="shared" si="65"/>
        <v>0</v>
      </c>
      <c r="N54" s="1638">
        <f t="shared" si="65"/>
        <v>0</v>
      </c>
      <c r="P54" s="1637">
        <f>SUM(P55:P56)</f>
        <v>0</v>
      </c>
      <c r="Q54" s="1638">
        <f>SUM(Q55:Q56)</f>
        <v>0</v>
      </c>
      <c r="R54" s="1448"/>
      <c r="S54" s="1662" t="str">
        <f>+IF(AGOSTO!S54=0,"",AGOSTO!S54)</f>
        <v>1010302-5</v>
      </c>
      <c r="T54" s="1663" t="str">
        <f>+IF(AGOSTO!T54=0,"",AGOSTO!T54)</f>
        <v>Aporte a Caja Compensación Familiar</v>
      </c>
      <c r="U54" s="1617">
        <f>+ENERO!U54</f>
        <v>7287660</v>
      </c>
      <c r="V54" s="1618">
        <f>AGOSTO!V54+SEPTIEMBRE!AL54</f>
        <v>3500000</v>
      </c>
      <c r="W54" s="1618">
        <f>AGOSTO!W54+SEPTIEMBRE!AM54</f>
        <v>8000000</v>
      </c>
      <c r="X54" s="1619">
        <f t="shared" si="57"/>
        <v>18787660</v>
      </c>
      <c r="Y54" s="1620">
        <f>AGOSTO!AA54</f>
        <v>13385261</v>
      </c>
      <c r="Z54" s="1557">
        <v>1555136</v>
      </c>
      <c r="AA54" s="1619">
        <f t="shared" si="58"/>
        <v>14940397</v>
      </c>
      <c r="AB54" s="1620">
        <f>AGOSTO!AD54</f>
        <v>13385261</v>
      </c>
      <c r="AC54" s="1557">
        <v>1555136</v>
      </c>
      <c r="AD54" s="1619">
        <f t="shared" si="59"/>
        <v>14940397</v>
      </c>
      <c r="AE54" s="1620">
        <f>AGOSTO!AG54</f>
        <v>13385261</v>
      </c>
      <c r="AF54" s="1557">
        <v>1555136</v>
      </c>
      <c r="AG54" s="1619">
        <f t="shared" si="60"/>
        <v>14940397</v>
      </c>
      <c r="AH54" s="1620">
        <f t="shared" si="61"/>
        <v>3847263</v>
      </c>
      <c r="AI54" s="1618">
        <f t="shared" si="62"/>
        <v>3847263</v>
      </c>
      <c r="AJ54" s="1621">
        <f t="shared" si="63"/>
        <v>3847263</v>
      </c>
      <c r="AK54" s="1448"/>
      <c r="AL54" s="1559">
        <v>0</v>
      </c>
      <c r="AM54" s="1560">
        <v>0</v>
      </c>
      <c r="AN54" s="1448"/>
      <c r="AO54" s="1401"/>
      <c r="AP54" s="1401"/>
      <c r="AQ54" s="1401"/>
      <c r="AR54" s="1401"/>
      <c r="AS54" s="1401"/>
      <c r="AT54" s="1401"/>
      <c r="AU54" s="1401"/>
      <c r="AV54" s="1401"/>
      <c r="AW54" s="1401"/>
      <c r="AX54" s="1401"/>
      <c r="AY54" s="1401"/>
      <c r="AZ54" s="1401"/>
    </row>
    <row r="55" spans="1:70" s="1659" customFormat="1" ht="24.95" customHeight="1">
      <c r="A55" s="1551" t="str">
        <f>+IF(AGOSTO!A55=0,"",AGOSTO!A55)</f>
        <v>1130110-1</v>
      </c>
      <c r="B55" s="1682" t="str">
        <f>+CONCATENATE("Vigencia ",INSTRUCCIONES!$F$3)</f>
        <v>Vigencia 2017</v>
      </c>
      <c r="C55" s="1553">
        <f>+ENERO!C55</f>
        <v>0</v>
      </c>
      <c r="D55" s="1554">
        <f>AGOSTO!D55+SEPTIEMBRE!P55</f>
        <v>0</v>
      </c>
      <c r="E55" s="1554">
        <f>AGOSTO!E55+SEPTIEMBRE!Q55</f>
        <v>0</v>
      </c>
      <c r="F55" s="1554">
        <f>SUM(C55:E55)</f>
        <v>0</v>
      </c>
      <c r="G55" s="1554">
        <f>AGOSTO!I55</f>
        <v>0</v>
      </c>
      <c r="H55" s="1557">
        <v>0</v>
      </c>
      <c r="I55" s="1554">
        <f>SUM(G55:H55)</f>
        <v>0</v>
      </c>
      <c r="J55" s="1554">
        <f>AGOSTO!L55</f>
        <v>0</v>
      </c>
      <c r="K55" s="1557">
        <v>0</v>
      </c>
      <c r="L55" s="1554">
        <f>SUM(J55:K55)</f>
        <v>0</v>
      </c>
      <c r="M55" s="1554">
        <f>F55-I55</f>
        <v>0</v>
      </c>
      <c r="N55" s="1555">
        <f>F55-L55</f>
        <v>0</v>
      </c>
      <c r="O55" s="1572"/>
      <c r="P55" s="1559">
        <v>0</v>
      </c>
      <c r="Q55" s="1560">
        <v>0</v>
      </c>
      <c r="R55" s="1448"/>
      <c r="S55" s="1615">
        <f>+IF(AGOSTO!S55=0,"",AGOSTO!S55)</f>
        <v>1010399</v>
      </c>
      <c r="T55" s="1616" t="str">
        <f>+IF(AGOSTO!T55=0,"",AGOSTO!T55)</f>
        <v>Vigencias Anteriores</v>
      </c>
      <c r="U55" s="1617">
        <f>+ENERO!U55</f>
        <v>0</v>
      </c>
      <c r="V55" s="1618">
        <f>AGOSTO!V55+SEPTIEMBRE!AL55</f>
        <v>-24802080</v>
      </c>
      <c r="W55" s="1618">
        <f>AGOSTO!W55+SEPTIEMBRE!AM55</f>
        <v>24802080</v>
      </c>
      <c r="X55" s="1619">
        <f t="shared" si="57"/>
        <v>0</v>
      </c>
      <c r="Y55" s="1620">
        <f>AGOSTO!AA55</f>
        <v>0</v>
      </c>
      <c r="Z55" s="1557">
        <v>0</v>
      </c>
      <c r="AA55" s="1619">
        <f t="shared" si="58"/>
        <v>0</v>
      </c>
      <c r="AB55" s="1620">
        <f>AGOSTO!AD55</f>
        <v>0</v>
      </c>
      <c r="AC55" s="1557">
        <v>0</v>
      </c>
      <c r="AD55" s="1619">
        <f t="shared" si="59"/>
        <v>0</v>
      </c>
      <c r="AE55" s="1620">
        <f>AGOSTO!AG55</f>
        <v>0</v>
      </c>
      <c r="AF55" s="1557">
        <v>0</v>
      </c>
      <c r="AG55" s="1619">
        <f t="shared" si="60"/>
        <v>0</v>
      </c>
      <c r="AH55" s="1620">
        <f t="shared" si="61"/>
        <v>0</v>
      </c>
      <c r="AI55" s="1618">
        <f t="shared" si="62"/>
        <v>0</v>
      </c>
      <c r="AJ55" s="1621">
        <f t="shared" si="63"/>
        <v>0</v>
      </c>
      <c r="AK55" s="1448"/>
      <c r="AL55" s="1559">
        <v>0</v>
      </c>
      <c r="AM55" s="1560">
        <v>0</v>
      </c>
      <c r="AN55" s="1448"/>
      <c r="AO55" s="1401"/>
      <c r="AP55" s="1728"/>
      <c r="AQ55" s="1401"/>
      <c r="AR55" s="1401"/>
      <c r="AS55" s="1401"/>
      <c r="AT55" s="1401"/>
      <c r="AU55" s="1401"/>
      <c r="AV55" s="1401"/>
      <c r="AW55" s="1401"/>
      <c r="AX55" s="1401"/>
      <c r="AY55" s="1401"/>
      <c r="AZ55" s="1401"/>
      <c r="BA55" s="1572"/>
      <c r="BF55" s="1572"/>
      <c r="BG55" s="1572"/>
      <c r="BH55" s="1572"/>
      <c r="BI55" s="1572"/>
      <c r="BJ55" s="1572"/>
      <c r="BK55" s="1572"/>
      <c r="BL55" s="1572"/>
      <c r="BM55" s="1572"/>
      <c r="BN55" s="1572"/>
      <c r="BO55" s="1572"/>
      <c r="BP55" s="1572"/>
      <c r="BQ55" s="1572"/>
      <c r="BR55" s="1572"/>
    </row>
    <row r="56" spans="1:70" s="1659" customFormat="1" ht="24.95" customHeight="1">
      <c r="A56" s="1551" t="str">
        <f>+IF(AGOSTO!A56=0,"",AGOSTO!A56)</f>
        <v>1130110-2</v>
      </c>
      <c r="B56" s="1682" t="str">
        <f>+IF(AGOSTO!B56=0,"",AGOSTO!B56)</f>
        <v>Vigencia Anterior</v>
      </c>
      <c r="C56" s="1553">
        <f>+ENERO!C56</f>
        <v>0</v>
      </c>
      <c r="D56" s="1554">
        <f>AGOSTO!D56+SEPTIEMBRE!P56</f>
        <v>0</v>
      </c>
      <c r="E56" s="1554">
        <f>AGOSTO!E56+SEPTIEMBRE!Q56</f>
        <v>0</v>
      </c>
      <c r="F56" s="1554">
        <f>SUM(C56:E56)</f>
        <v>0</v>
      </c>
      <c r="G56" s="1554">
        <f>AGOSTO!I56</f>
        <v>0</v>
      </c>
      <c r="H56" s="1557">
        <v>0</v>
      </c>
      <c r="I56" s="1554">
        <f>SUM(G56:H56)</f>
        <v>0</v>
      </c>
      <c r="J56" s="1554">
        <f>AGOSTO!L56</f>
        <v>0</v>
      </c>
      <c r="K56" s="1557">
        <v>0</v>
      </c>
      <c r="L56" s="1554">
        <f>SUM(J56:K56)</f>
        <v>0</v>
      </c>
      <c r="M56" s="1554">
        <f>F56-I56</f>
        <v>0</v>
      </c>
      <c r="N56" s="1555">
        <f>F56-L56</f>
        <v>0</v>
      </c>
      <c r="O56" s="1572"/>
      <c r="P56" s="1559">
        <v>0</v>
      </c>
      <c r="Q56" s="1560">
        <v>0</v>
      </c>
      <c r="R56" s="1448"/>
      <c r="S56" s="1538" t="str">
        <f>+IF(AGOSTO!S56=0,"",AGOSTO!S56)</f>
        <v/>
      </c>
      <c r="T56" s="1539" t="str">
        <f>+IF(AGOSTO!T56=0,"",AGOSTO!T56)</f>
        <v/>
      </c>
      <c r="U56" s="1540"/>
      <c r="V56" s="1540"/>
      <c r="W56" s="1540"/>
      <c r="X56" s="1540"/>
      <c r="Y56" s="1540"/>
      <c r="Z56" s="1540"/>
      <c r="AA56" s="1540"/>
      <c r="AB56" s="1540"/>
      <c r="AC56" s="1540"/>
      <c r="AD56" s="1540"/>
      <c r="AE56" s="1540"/>
      <c r="AF56" s="1540"/>
      <c r="AG56" s="1540"/>
      <c r="AH56" s="1540"/>
      <c r="AI56" s="1540"/>
      <c r="AJ56" s="1541"/>
      <c r="AK56" s="1566"/>
      <c r="AL56" s="1726"/>
      <c r="AM56" s="1727"/>
      <c r="AN56" s="1448"/>
      <c r="AO56" s="1401"/>
      <c r="AP56" s="1401"/>
      <c r="AQ56" s="1401"/>
      <c r="AR56" s="1401"/>
      <c r="AS56" s="1401"/>
      <c r="AT56" s="1401"/>
      <c r="AU56" s="1401"/>
      <c r="AV56" s="1401"/>
      <c r="AW56" s="1401"/>
      <c r="AX56" s="1401"/>
      <c r="AY56" s="1401"/>
      <c r="AZ56" s="1401"/>
      <c r="BA56" s="1572"/>
      <c r="BF56" s="1572"/>
      <c r="BG56" s="1572"/>
      <c r="BH56" s="1572"/>
      <c r="BI56" s="1572"/>
      <c r="BJ56" s="1572"/>
      <c r="BK56" s="1572"/>
      <c r="BL56" s="1572"/>
      <c r="BM56" s="1572"/>
      <c r="BN56" s="1572"/>
      <c r="BO56" s="1572"/>
      <c r="BP56" s="1572"/>
      <c r="BQ56" s="1572"/>
      <c r="BR56" s="1572"/>
    </row>
    <row r="57" spans="1:70" s="1572" customFormat="1" ht="24.95" customHeight="1">
      <c r="A57" s="1635">
        <f>+IF(AGOSTO!A57=0,"",AGOSTO!A57)</f>
        <v>1130111</v>
      </c>
      <c r="B57" s="1670" t="str">
        <f>+IF(AGOSTO!B57=0,"",AGOSTO!B57)</f>
        <v>IPS PRIVADAS</v>
      </c>
      <c r="C57" s="1637">
        <f t="shared" ref="C57:N57" si="66">SUM(C58:C59)</f>
        <v>133639169</v>
      </c>
      <c r="D57" s="1671">
        <f t="shared" si="66"/>
        <v>0</v>
      </c>
      <c r="E57" s="1671">
        <f t="shared" si="66"/>
        <v>176960</v>
      </c>
      <c r="F57" s="1671">
        <f t="shared" si="66"/>
        <v>133816129</v>
      </c>
      <c r="G57" s="1671">
        <f t="shared" si="66"/>
        <v>195132</v>
      </c>
      <c r="H57" s="1671">
        <f t="shared" si="66"/>
        <v>0</v>
      </c>
      <c r="I57" s="1671">
        <f t="shared" si="66"/>
        <v>195132</v>
      </c>
      <c r="J57" s="1671">
        <f t="shared" si="66"/>
        <v>176960</v>
      </c>
      <c r="K57" s="1671">
        <f t="shared" si="66"/>
        <v>0</v>
      </c>
      <c r="L57" s="1671">
        <f t="shared" si="66"/>
        <v>176960</v>
      </c>
      <c r="M57" s="1671">
        <f t="shared" si="66"/>
        <v>133620997</v>
      </c>
      <c r="N57" s="1638">
        <f t="shared" si="66"/>
        <v>133639169</v>
      </c>
      <c r="P57" s="1637">
        <f>SUM(P58:P59)</f>
        <v>0</v>
      </c>
      <c r="Q57" s="1638">
        <f>SUM(Q58:Q59)</f>
        <v>0</v>
      </c>
      <c r="R57" s="1448"/>
      <c r="S57" s="1607">
        <f>+IF(AGOSTO!S57=0,"",AGOSTO!S57)</f>
        <v>1010400</v>
      </c>
      <c r="T57" s="1608" t="str">
        <f>+IF(AGOSTO!T57=0,"",AGOSTO!T57)</f>
        <v>Contribuciones Inherentes nómina del Sector Publico</v>
      </c>
      <c r="U57" s="1581">
        <f t="shared" ref="U57:AJ57" si="67">U58+U61</f>
        <v>31192586</v>
      </c>
      <c r="V57" s="1582">
        <f t="shared" si="67"/>
        <v>0</v>
      </c>
      <c r="W57" s="1582">
        <f t="shared" si="67"/>
        <v>0</v>
      </c>
      <c r="X57" s="1583">
        <f t="shared" si="67"/>
        <v>31192586</v>
      </c>
      <c r="Y57" s="1584">
        <f t="shared" si="67"/>
        <v>15321840</v>
      </c>
      <c r="Z57" s="1582">
        <f t="shared" si="67"/>
        <v>1943920</v>
      </c>
      <c r="AA57" s="1583">
        <f t="shared" si="67"/>
        <v>17265760</v>
      </c>
      <c r="AB57" s="1584">
        <f t="shared" si="67"/>
        <v>15321840</v>
      </c>
      <c r="AC57" s="1582">
        <f t="shared" si="67"/>
        <v>1943920</v>
      </c>
      <c r="AD57" s="1583">
        <f t="shared" si="67"/>
        <v>17265760</v>
      </c>
      <c r="AE57" s="1584">
        <f t="shared" si="67"/>
        <v>15321840</v>
      </c>
      <c r="AF57" s="1582">
        <f t="shared" si="67"/>
        <v>1943920</v>
      </c>
      <c r="AG57" s="1583">
        <f t="shared" si="67"/>
        <v>17265760</v>
      </c>
      <c r="AH57" s="1584">
        <f t="shared" si="67"/>
        <v>13926826</v>
      </c>
      <c r="AI57" s="1582">
        <f t="shared" si="67"/>
        <v>13926826</v>
      </c>
      <c r="AJ57" s="1585">
        <f t="shared" si="67"/>
        <v>13926826</v>
      </c>
      <c r="AK57" s="1448"/>
      <c r="AL57" s="1584">
        <f>AL58+AL61</f>
        <v>0</v>
      </c>
      <c r="AM57" s="1585">
        <f>AM58+AM61</f>
        <v>0</v>
      </c>
      <c r="AN57" s="1448"/>
      <c r="AO57" s="1401"/>
      <c r="AP57" s="1401"/>
      <c r="AQ57" s="1401"/>
      <c r="AR57" s="1401"/>
      <c r="AS57" s="1401"/>
      <c r="AT57" s="1401"/>
      <c r="AU57" s="1401"/>
      <c r="AV57" s="1401"/>
      <c r="AW57" s="1401"/>
      <c r="AX57" s="1401"/>
      <c r="AY57" s="1401"/>
      <c r="AZ57" s="1401"/>
    </row>
    <row r="58" spans="1:70" s="1659" customFormat="1" ht="24.95" customHeight="1">
      <c r="A58" s="1551" t="str">
        <f>+IF(AGOSTO!A58=0,"",AGOSTO!A58)</f>
        <v>1130111-1</v>
      </c>
      <c r="B58" s="1682" t="str">
        <f>+CONCATENATE("Vigencia ",INSTRUCCIONES!$F$3)</f>
        <v>Vigencia 2017</v>
      </c>
      <c r="C58" s="1553">
        <f>+ENERO!C58</f>
        <v>133639169</v>
      </c>
      <c r="D58" s="1554">
        <f>AGOSTO!D58+SEPTIEMBRE!P58</f>
        <v>0</v>
      </c>
      <c r="E58" s="1554">
        <f>AGOSTO!E58+SEPTIEMBRE!Q58</f>
        <v>0</v>
      </c>
      <c r="F58" s="1554">
        <f>SUM(C58:E58)</f>
        <v>133639169</v>
      </c>
      <c r="G58" s="1554">
        <f>AGOSTO!I58</f>
        <v>18172</v>
      </c>
      <c r="H58" s="1557">
        <v>0</v>
      </c>
      <c r="I58" s="1554">
        <f>SUM(G58:H58)</f>
        <v>18172</v>
      </c>
      <c r="J58" s="1554">
        <f>AGOSTO!L58</f>
        <v>0</v>
      </c>
      <c r="K58" s="1557">
        <v>0</v>
      </c>
      <c r="L58" s="1554">
        <f>SUM(J58:K58)</f>
        <v>0</v>
      </c>
      <c r="M58" s="1554">
        <f>F58-I58</f>
        <v>133620997</v>
      </c>
      <c r="N58" s="1555">
        <f>F58-L58</f>
        <v>133639169</v>
      </c>
      <c r="O58" s="1572"/>
      <c r="P58" s="1559">
        <v>0</v>
      </c>
      <c r="Q58" s="1560">
        <v>0</v>
      </c>
      <c r="R58" s="1448"/>
      <c r="S58" s="1615">
        <f>+IF(AGOSTO!S58=0,"",AGOSTO!S58)</f>
        <v>1010402</v>
      </c>
      <c r="T58" s="1616" t="str">
        <f>+IF(AGOSTO!T58=0,"",AGOSTO!T58)</f>
        <v>Contribuciones - Otros</v>
      </c>
      <c r="U58" s="1617">
        <f t="shared" ref="U58:AJ58" si="68">SUM(U59:U60)</f>
        <v>31192586</v>
      </c>
      <c r="V58" s="1618">
        <f t="shared" si="68"/>
        <v>0</v>
      </c>
      <c r="W58" s="1618">
        <f t="shared" si="68"/>
        <v>0</v>
      </c>
      <c r="X58" s="1619">
        <f t="shared" si="68"/>
        <v>31192586</v>
      </c>
      <c r="Y58" s="1620">
        <f t="shared" si="68"/>
        <v>15321840</v>
      </c>
      <c r="Z58" s="1648">
        <f t="shared" si="68"/>
        <v>1943920</v>
      </c>
      <c r="AA58" s="1619">
        <f t="shared" si="68"/>
        <v>17265760</v>
      </c>
      <c r="AB58" s="1620">
        <f t="shared" si="68"/>
        <v>15321840</v>
      </c>
      <c r="AC58" s="1648">
        <f t="shared" si="68"/>
        <v>1943920</v>
      </c>
      <c r="AD58" s="1619">
        <f t="shared" si="68"/>
        <v>17265760</v>
      </c>
      <c r="AE58" s="1620">
        <f t="shared" si="68"/>
        <v>15321840</v>
      </c>
      <c r="AF58" s="1648">
        <f t="shared" si="68"/>
        <v>1943920</v>
      </c>
      <c r="AG58" s="1619">
        <f t="shared" si="68"/>
        <v>17265760</v>
      </c>
      <c r="AH58" s="1620">
        <f t="shared" si="68"/>
        <v>13926826</v>
      </c>
      <c r="AI58" s="1618">
        <f t="shared" si="68"/>
        <v>13926826</v>
      </c>
      <c r="AJ58" s="1621">
        <f t="shared" si="68"/>
        <v>13926826</v>
      </c>
      <c r="AK58" s="1448"/>
      <c r="AL58" s="1649">
        <f>SUM(AL59:AL60)</f>
        <v>0</v>
      </c>
      <c r="AM58" s="1650">
        <f>SUM(AM59:AM60)</f>
        <v>0</v>
      </c>
      <c r="AN58" s="1448"/>
      <c r="AO58" s="1729"/>
      <c r="AP58" s="1728"/>
      <c r="AQ58" s="1401"/>
      <c r="AR58" s="1401"/>
      <c r="AS58" s="1401"/>
      <c r="AT58" s="1401"/>
      <c r="AU58" s="1401"/>
      <c r="AV58" s="1401"/>
      <c r="AW58" s="1401"/>
      <c r="AX58" s="1401"/>
      <c r="AY58" s="1401"/>
      <c r="AZ58" s="1401"/>
      <c r="BA58" s="1572"/>
      <c r="BF58" s="1572"/>
      <c r="BG58" s="1572"/>
      <c r="BH58" s="1572"/>
      <c r="BI58" s="1572"/>
      <c r="BJ58" s="1572"/>
      <c r="BK58" s="1572"/>
      <c r="BL58" s="1572"/>
      <c r="BM58" s="1572"/>
      <c r="BN58" s="1572"/>
      <c r="BO58" s="1572"/>
      <c r="BP58" s="1572"/>
      <c r="BQ58" s="1572"/>
      <c r="BR58" s="1572"/>
    </row>
    <row r="59" spans="1:70" s="1659" customFormat="1" ht="24.95" customHeight="1">
      <c r="A59" s="1551" t="str">
        <f>+IF(AGOSTO!A59=0,"",AGOSTO!A59)</f>
        <v>1130111-2</v>
      </c>
      <c r="B59" s="1682" t="str">
        <f>+IF(AGOSTO!B59=0,"",AGOSTO!B59)</f>
        <v>Vigencia Anterior</v>
      </c>
      <c r="C59" s="1553">
        <f>+ENERO!C59</f>
        <v>0</v>
      </c>
      <c r="D59" s="1554">
        <f>AGOSTO!D59+SEPTIEMBRE!P59</f>
        <v>0</v>
      </c>
      <c r="E59" s="1554">
        <f>AGOSTO!E59+SEPTIEMBRE!Q59</f>
        <v>176960</v>
      </c>
      <c r="F59" s="1554">
        <f>SUM(C59:E59)</f>
        <v>176960</v>
      </c>
      <c r="G59" s="1554">
        <f>AGOSTO!I59</f>
        <v>176960</v>
      </c>
      <c r="H59" s="1557">
        <v>0</v>
      </c>
      <c r="I59" s="1554">
        <f>SUM(G59:H59)</f>
        <v>176960</v>
      </c>
      <c r="J59" s="1554">
        <f>AGOSTO!L59</f>
        <v>176960</v>
      </c>
      <c r="K59" s="1557">
        <v>0</v>
      </c>
      <c r="L59" s="1554">
        <f>SUM(J59:K59)</f>
        <v>176960</v>
      </c>
      <c r="M59" s="1554">
        <f>F59-I59</f>
        <v>0</v>
      </c>
      <c r="N59" s="1555">
        <f>F59-L59</f>
        <v>0</v>
      </c>
      <c r="O59" s="1572"/>
      <c r="P59" s="1559">
        <v>0</v>
      </c>
      <c r="Q59" s="1560">
        <v>0</v>
      </c>
      <c r="R59" s="1448"/>
      <c r="S59" s="1662" t="str">
        <f>+IF(AGOSTO!S59=0,"",AGOSTO!S59)</f>
        <v>1010402-1</v>
      </c>
      <c r="T59" s="1663" t="str">
        <f>+IF(AGOSTO!T59=0,"",AGOSTO!T59)</f>
        <v>S.E.N.A.</v>
      </c>
      <c r="U59" s="1617">
        <f>+ENERO!U59</f>
        <v>18775492</v>
      </c>
      <c r="V59" s="1618">
        <f>AGOSTO!V59+SEPTIEMBRE!AL59</f>
        <v>0</v>
      </c>
      <c r="W59" s="1618">
        <f>AGOSTO!W59+SEPTIEMBRE!AM59</f>
        <v>0</v>
      </c>
      <c r="X59" s="1619">
        <f>SUM(U59:W59)</f>
        <v>18775492</v>
      </c>
      <c r="Y59" s="1620">
        <f>AGOSTO!AA59</f>
        <v>6128559</v>
      </c>
      <c r="Z59" s="1557">
        <v>777568</v>
      </c>
      <c r="AA59" s="1619">
        <f>SUM(Y59:Z59)</f>
        <v>6906127</v>
      </c>
      <c r="AB59" s="1620">
        <f>AGOSTO!AD59</f>
        <v>6128559</v>
      </c>
      <c r="AC59" s="1557">
        <v>777568</v>
      </c>
      <c r="AD59" s="1619">
        <f>SUM(AB59:AC59)</f>
        <v>6906127</v>
      </c>
      <c r="AE59" s="1620">
        <f>AGOSTO!AG59</f>
        <v>6128559</v>
      </c>
      <c r="AF59" s="1557">
        <v>777568</v>
      </c>
      <c r="AG59" s="1619">
        <f>SUM(AE59:AF59)</f>
        <v>6906127</v>
      </c>
      <c r="AH59" s="1620">
        <f>X59-AA59</f>
        <v>11869365</v>
      </c>
      <c r="AI59" s="1618">
        <f>X59-AD59</f>
        <v>11869365</v>
      </c>
      <c r="AJ59" s="1621">
        <f>X59-AG59</f>
        <v>11869365</v>
      </c>
      <c r="AK59" s="1448"/>
      <c r="AL59" s="1559">
        <v>0</v>
      </c>
      <c r="AM59" s="1560">
        <v>0</v>
      </c>
      <c r="AN59" s="1448"/>
      <c r="AO59" s="1401"/>
      <c r="AP59" s="1401"/>
      <c r="AQ59" s="1401"/>
      <c r="AR59" s="1401"/>
      <c r="AS59" s="1401"/>
      <c r="AT59" s="1401"/>
      <c r="AU59" s="1401"/>
      <c r="AV59" s="1401"/>
      <c r="AW59" s="1401"/>
      <c r="AX59" s="1401"/>
      <c r="AY59" s="1401"/>
      <c r="AZ59" s="1401"/>
      <c r="BA59" s="1572"/>
      <c r="BF59" s="1572"/>
      <c r="BG59" s="1572"/>
      <c r="BH59" s="1572"/>
      <c r="BI59" s="1572"/>
      <c r="BJ59" s="1572"/>
      <c r="BK59" s="1572"/>
      <c r="BL59" s="1572"/>
      <c r="BM59" s="1572"/>
      <c r="BN59" s="1572"/>
      <c r="BO59" s="1572"/>
      <c r="BP59" s="1572"/>
      <c r="BQ59" s="1572"/>
      <c r="BR59" s="1572"/>
    </row>
    <row r="60" spans="1:70" s="1572" customFormat="1" ht="24.95" customHeight="1">
      <c r="A60" s="1635">
        <f>+IF(AGOSTO!A60=0,"",AGOSTO!A60)</f>
        <v>1130112</v>
      </c>
      <c r="B60" s="1670" t="str">
        <f>+IF(AGOSTO!B60=0,"",AGOSTO!B60)</f>
        <v>IPS PUBLICAS</v>
      </c>
      <c r="C60" s="1637">
        <f t="shared" ref="C60:N60" si="69">SUM(C61:C62)</f>
        <v>45194994</v>
      </c>
      <c r="D60" s="1671">
        <f t="shared" si="69"/>
        <v>0</v>
      </c>
      <c r="E60" s="1671">
        <f t="shared" si="69"/>
        <v>1907315</v>
      </c>
      <c r="F60" s="1671">
        <f t="shared" si="69"/>
        <v>47102309</v>
      </c>
      <c r="G60" s="1671">
        <f t="shared" si="69"/>
        <v>286033209</v>
      </c>
      <c r="H60" s="1671">
        <f t="shared" si="69"/>
        <v>8684233</v>
      </c>
      <c r="I60" s="1671">
        <f t="shared" si="69"/>
        <v>294717442</v>
      </c>
      <c r="J60" s="1671">
        <f t="shared" si="69"/>
        <v>13751638</v>
      </c>
      <c r="K60" s="1671">
        <f t="shared" si="69"/>
        <v>8070203</v>
      </c>
      <c r="L60" s="1671">
        <f t="shared" si="69"/>
        <v>21821841</v>
      </c>
      <c r="M60" s="1671">
        <f t="shared" si="69"/>
        <v>-247615133</v>
      </c>
      <c r="N60" s="1638">
        <f t="shared" si="69"/>
        <v>25280468</v>
      </c>
      <c r="P60" s="1637">
        <f>SUM(P61:P62)</f>
        <v>0</v>
      </c>
      <c r="Q60" s="1638">
        <f>SUM(Q61:Q62)</f>
        <v>0</v>
      </c>
      <c r="R60" s="1448"/>
      <c r="S60" s="1662" t="str">
        <f>+IF(AGOSTO!S60=0,"",AGOSTO!S60)</f>
        <v>1010402-2</v>
      </c>
      <c r="T60" s="1663" t="str">
        <f>+IF(AGOSTO!T60=0,"",AGOSTO!T60)</f>
        <v>I.C.B.F.</v>
      </c>
      <c r="U60" s="1617">
        <f>+ENERO!U60</f>
        <v>12417094</v>
      </c>
      <c r="V60" s="1618">
        <f>AGOSTO!V60+SEPTIEMBRE!AL60</f>
        <v>0</v>
      </c>
      <c r="W60" s="1618">
        <f>AGOSTO!W60+SEPTIEMBRE!AM60</f>
        <v>0</v>
      </c>
      <c r="X60" s="1619">
        <f>SUM(U60:W60)</f>
        <v>12417094</v>
      </c>
      <c r="Y60" s="1620">
        <f>AGOSTO!AA60</f>
        <v>9193281</v>
      </c>
      <c r="Z60" s="1557">
        <v>1166352</v>
      </c>
      <c r="AA60" s="1619">
        <f>SUM(Y60:Z60)</f>
        <v>10359633</v>
      </c>
      <c r="AB60" s="1620">
        <f>AGOSTO!AD60</f>
        <v>9193281</v>
      </c>
      <c r="AC60" s="1557">
        <v>1166352</v>
      </c>
      <c r="AD60" s="1619">
        <f>SUM(AB60:AC60)</f>
        <v>10359633</v>
      </c>
      <c r="AE60" s="1620">
        <f>AGOSTO!AG60</f>
        <v>9193281</v>
      </c>
      <c r="AF60" s="1557">
        <v>1166352</v>
      </c>
      <c r="AG60" s="1619">
        <f>SUM(AE60:AF60)</f>
        <v>10359633</v>
      </c>
      <c r="AH60" s="1620">
        <f>X60-AA60</f>
        <v>2057461</v>
      </c>
      <c r="AI60" s="1618">
        <f>X60-AD60</f>
        <v>2057461</v>
      </c>
      <c r="AJ60" s="1621">
        <f>X60-AG60</f>
        <v>2057461</v>
      </c>
      <c r="AK60" s="1448"/>
      <c r="AL60" s="1559">
        <v>0</v>
      </c>
      <c r="AM60" s="1560">
        <v>0</v>
      </c>
      <c r="AN60" s="1448"/>
      <c r="AO60" s="1401"/>
      <c r="AP60" s="1401"/>
      <c r="AQ60" s="1401"/>
      <c r="AR60" s="1401"/>
      <c r="AS60" s="1401"/>
      <c r="AT60" s="1401"/>
      <c r="AU60" s="1401"/>
      <c r="AV60" s="1401"/>
      <c r="AW60" s="1401"/>
      <c r="AX60" s="1401"/>
      <c r="AY60" s="1401"/>
      <c r="AZ60" s="1401"/>
    </row>
    <row r="61" spans="1:70" s="1659" customFormat="1" ht="24.95" customHeight="1">
      <c r="A61" s="1551" t="str">
        <f>+IF(AGOSTO!A61=0,"",AGOSTO!A61)</f>
        <v>1130112-1</v>
      </c>
      <c r="B61" s="1682" t="str">
        <f>+CONCATENATE("Vigencia ",INSTRUCCIONES!$F$3)</f>
        <v>Vigencia 2017</v>
      </c>
      <c r="C61" s="1553">
        <f>+ENERO!C61</f>
        <v>45194994</v>
      </c>
      <c r="D61" s="1554">
        <f>AGOSTO!D61+SEPTIEMBRE!P61</f>
        <v>0</v>
      </c>
      <c r="E61" s="1554">
        <f>AGOSTO!E61+SEPTIEMBRE!Q61</f>
        <v>0</v>
      </c>
      <c r="F61" s="1554">
        <f>SUM(C61:E61)</f>
        <v>45194994</v>
      </c>
      <c r="G61" s="1554">
        <f>AGOSTO!I61</f>
        <v>283847445</v>
      </c>
      <c r="H61" s="1557">
        <v>7822032</v>
      </c>
      <c r="I61" s="1554">
        <f>SUM(G61:H61)</f>
        <v>291669477</v>
      </c>
      <c r="J61" s="1554">
        <f>AGOSTO!L61</f>
        <v>11565874</v>
      </c>
      <c r="K61" s="1557">
        <v>7208002</v>
      </c>
      <c r="L61" s="1554">
        <f>SUM(J61:K61)</f>
        <v>18773876</v>
      </c>
      <c r="M61" s="1554">
        <f>F61-I61</f>
        <v>-246474483</v>
      </c>
      <c r="N61" s="1555">
        <f>F61-L61</f>
        <v>26421118</v>
      </c>
      <c r="O61" s="1572"/>
      <c r="P61" s="1559">
        <v>0</v>
      </c>
      <c r="Q61" s="1560">
        <v>0</v>
      </c>
      <c r="R61" s="1448"/>
      <c r="S61" s="1615">
        <f>+IF(AGOSTO!S61=0,"",AGOSTO!S61)</f>
        <v>1010499</v>
      </c>
      <c r="T61" s="1616" t="str">
        <f>+IF(AGOSTO!T61=0,"",AGOSTO!T61)</f>
        <v>Vigencias Anteriores</v>
      </c>
      <c r="U61" s="1617">
        <f>+ENERO!U61</f>
        <v>0</v>
      </c>
      <c r="V61" s="1618">
        <f>AGOSTO!V61+SEPTIEMBRE!AL61</f>
        <v>0</v>
      </c>
      <c r="W61" s="1618">
        <f>AGOSTO!W61+SEPTIEMBRE!AM61</f>
        <v>0</v>
      </c>
      <c r="X61" s="1619">
        <f>SUM(U61:W61)</f>
        <v>0</v>
      </c>
      <c r="Y61" s="1620">
        <f>AGOSTO!AA61</f>
        <v>0</v>
      </c>
      <c r="Z61" s="1557">
        <v>0</v>
      </c>
      <c r="AA61" s="1619">
        <f>SUM(Y61:Z61)</f>
        <v>0</v>
      </c>
      <c r="AB61" s="1620">
        <f>AGOSTO!AD61</f>
        <v>0</v>
      </c>
      <c r="AC61" s="1557">
        <v>0</v>
      </c>
      <c r="AD61" s="1619">
        <f>SUM(AB61:AC61)</f>
        <v>0</v>
      </c>
      <c r="AE61" s="1620">
        <f>AGOSTO!AG61</f>
        <v>0</v>
      </c>
      <c r="AF61" s="1557">
        <v>0</v>
      </c>
      <c r="AG61" s="1619">
        <f>SUM(AE61:AF61)</f>
        <v>0</v>
      </c>
      <c r="AH61" s="1620">
        <f>X61-AA61</f>
        <v>0</v>
      </c>
      <c r="AI61" s="1618">
        <f>X61-AD61</f>
        <v>0</v>
      </c>
      <c r="AJ61" s="1621">
        <f>X61-AG61</f>
        <v>0</v>
      </c>
      <c r="AK61" s="1448"/>
      <c r="AL61" s="1559">
        <v>0</v>
      </c>
      <c r="AM61" s="1560">
        <v>0</v>
      </c>
      <c r="AN61" s="1448"/>
      <c r="AO61" s="1401"/>
      <c r="AP61" s="1728"/>
      <c r="AQ61" s="1401"/>
      <c r="AR61" s="1401"/>
      <c r="AS61" s="1401"/>
      <c r="AT61" s="1401"/>
      <c r="AU61" s="1728"/>
      <c r="AV61" s="1728"/>
      <c r="AW61" s="1401"/>
      <c r="AX61" s="1401"/>
      <c r="AY61" s="1401"/>
      <c r="AZ61" s="1401"/>
      <c r="BA61" s="1572"/>
      <c r="BF61" s="1572"/>
      <c r="BG61" s="1572"/>
      <c r="BH61" s="1572"/>
      <c r="BI61" s="1572"/>
      <c r="BJ61" s="1572"/>
      <c r="BK61" s="1572"/>
      <c r="BL61" s="1572"/>
      <c r="BM61" s="1572"/>
      <c r="BN61" s="1572"/>
      <c r="BO61" s="1572"/>
      <c r="BP61" s="1572"/>
      <c r="BQ61" s="1572"/>
      <c r="BR61" s="1572"/>
    </row>
    <row r="62" spans="1:70" s="1659" customFormat="1" ht="24.95" customHeight="1">
      <c r="A62" s="1551" t="str">
        <f>+IF(AGOSTO!A62=0,"",AGOSTO!A62)</f>
        <v>1130112-2</v>
      </c>
      <c r="B62" s="1682" t="str">
        <f>+IF(AGOSTO!B62=0,"",AGOSTO!B62)</f>
        <v>Vigencia Anterior</v>
      </c>
      <c r="C62" s="1553">
        <f>+ENERO!C62</f>
        <v>0</v>
      </c>
      <c r="D62" s="1554">
        <f>AGOSTO!D62+SEPTIEMBRE!P62</f>
        <v>0</v>
      </c>
      <c r="E62" s="1554">
        <f>AGOSTO!E62+SEPTIEMBRE!Q62</f>
        <v>1907315</v>
      </c>
      <c r="F62" s="1554">
        <f>SUM(C62:E62)</f>
        <v>1907315</v>
      </c>
      <c r="G62" s="1554">
        <f>AGOSTO!I62</f>
        <v>2185764</v>
      </c>
      <c r="H62" s="1557">
        <v>862201</v>
      </c>
      <c r="I62" s="1554">
        <f>SUM(G62:H62)</f>
        <v>3047965</v>
      </c>
      <c r="J62" s="1554">
        <f>AGOSTO!L62</f>
        <v>2185764</v>
      </c>
      <c r="K62" s="1557">
        <v>862201</v>
      </c>
      <c r="L62" s="1554">
        <f>SUM(J62:K62)</f>
        <v>3047965</v>
      </c>
      <c r="M62" s="1554">
        <f>F62-I62</f>
        <v>-1140650</v>
      </c>
      <c r="N62" s="1555">
        <f>F62-L62</f>
        <v>-1140650</v>
      </c>
      <c r="O62" s="1572"/>
      <c r="P62" s="1559">
        <v>0</v>
      </c>
      <c r="Q62" s="1560">
        <v>0</v>
      </c>
      <c r="R62" s="1448"/>
      <c r="S62" s="1538" t="str">
        <f>+IF(AGOSTO!S62=0,"",AGOSTO!S62)</f>
        <v/>
      </c>
      <c r="T62" s="1539" t="str">
        <f>+IF(AGOSTO!T62=0,"",AGOSTO!T62)</f>
        <v/>
      </c>
      <c r="U62" s="1540"/>
      <c r="V62" s="1540"/>
      <c r="W62" s="1540"/>
      <c r="X62" s="1540"/>
      <c r="Y62" s="1540"/>
      <c r="Z62" s="1540"/>
      <c r="AA62" s="1540"/>
      <c r="AB62" s="1540"/>
      <c r="AC62" s="1540"/>
      <c r="AD62" s="1540"/>
      <c r="AE62" s="1540"/>
      <c r="AF62" s="1540"/>
      <c r="AG62" s="1540"/>
      <c r="AH62" s="1540"/>
      <c r="AI62" s="1540"/>
      <c r="AJ62" s="1541"/>
      <c r="AK62" s="1566"/>
      <c r="AL62" s="1726"/>
      <c r="AM62" s="1727"/>
      <c r="AN62" s="1448"/>
      <c r="AO62" s="1401"/>
      <c r="AP62" s="1401"/>
      <c r="AQ62" s="1401"/>
      <c r="AR62" s="1401"/>
      <c r="AS62" s="1401"/>
      <c r="AT62" s="1401"/>
      <c r="AU62" s="1401"/>
      <c r="AV62" s="1401"/>
      <c r="AW62" s="1401"/>
      <c r="AX62" s="1401"/>
      <c r="AY62" s="1401"/>
      <c r="AZ62" s="1401"/>
      <c r="BA62" s="1572"/>
      <c r="BF62" s="1572"/>
      <c r="BG62" s="1572"/>
      <c r="BH62" s="1572"/>
      <c r="BI62" s="1572"/>
      <c r="BJ62" s="1572"/>
      <c r="BK62" s="1572"/>
      <c r="BL62" s="1572"/>
      <c r="BM62" s="1572"/>
      <c r="BN62" s="1572"/>
      <c r="BO62" s="1572"/>
      <c r="BP62" s="1572"/>
      <c r="BQ62" s="1572"/>
      <c r="BR62" s="1572"/>
    </row>
    <row r="63" spans="1:70" s="1572" customFormat="1" ht="24.95" customHeight="1">
      <c r="A63" s="1635">
        <f>+IF(AGOSTO!A63=0,"",AGOSTO!A63)</f>
        <v>1130113</v>
      </c>
      <c r="B63" s="1670" t="str">
        <f>+IF(AGOSTO!B63=0,"",AGOSTO!B63)</f>
        <v>COMPAÑIAS DE SEGUROS  - ACCIDENTES DE TRANSITO (SOAT)</v>
      </c>
      <c r="C63" s="1637">
        <f t="shared" ref="C63:N63" si="70">SUM(C64:C65)</f>
        <v>5110724757</v>
      </c>
      <c r="D63" s="1671">
        <f t="shared" si="70"/>
        <v>0</v>
      </c>
      <c r="E63" s="1671">
        <f t="shared" si="70"/>
        <v>807551501</v>
      </c>
      <c r="F63" s="1671">
        <f t="shared" si="70"/>
        <v>5918276258</v>
      </c>
      <c r="G63" s="1671">
        <f t="shared" si="70"/>
        <v>2412040698</v>
      </c>
      <c r="H63" s="1671">
        <f t="shared" si="70"/>
        <v>222653293</v>
      </c>
      <c r="I63" s="1671">
        <f t="shared" si="70"/>
        <v>2634693991</v>
      </c>
      <c r="J63" s="1671">
        <f t="shared" si="70"/>
        <v>1192555174</v>
      </c>
      <c r="K63" s="1671">
        <f t="shared" si="70"/>
        <v>189619018</v>
      </c>
      <c r="L63" s="1671">
        <f t="shared" si="70"/>
        <v>1382174192</v>
      </c>
      <c r="M63" s="1671">
        <f t="shared" si="70"/>
        <v>3283582267</v>
      </c>
      <c r="N63" s="1638">
        <f t="shared" si="70"/>
        <v>4536102066</v>
      </c>
      <c r="P63" s="1637">
        <f>SUM(P64:P65)</f>
        <v>0</v>
      </c>
      <c r="Q63" s="1638">
        <f>SUM(Q64:Q65)</f>
        <v>0</v>
      </c>
      <c r="R63" s="1448"/>
      <c r="S63" s="1579">
        <f>+IF(AGOSTO!S63=0,"",AGOSTO!S63)</f>
        <v>1020010</v>
      </c>
      <c r="T63" s="1580" t="str">
        <f>+IF(AGOSTO!T63=0,"",AGOSTO!T63)</f>
        <v>Gastos de Operación</v>
      </c>
      <c r="U63" s="1581">
        <f t="shared" ref="U63:AJ63" si="71">U65+U83+U90+U104</f>
        <v>23745928633</v>
      </c>
      <c r="V63" s="1582">
        <f t="shared" si="71"/>
        <v>1309199904</v>
      </c>
      <c r="W63" s="1582">
        <f t="shared" si="71"/>
        <v>6894158607</v>
      </c>
      <c r="X63" s="1583">
        <f t="shared" si="71"/>
        <v>31949287144</v>
      </c>
      <c r="Y63" s="1584">
        <f t="shared" si="71"/>
        <v>28444509473</v>
      </c>
      <c r="Z63" s="1582">
        <f t="shared" si="71"/>
        <v>2531894795</v>
      </c>
      <c r="AA63" s="1583">
        <f t="shared" si="71"/>
        <v>30976404268</v>
      </c>
      <c r="AB63" s="1584">
        <f t="shared" si="71"/>
        <v>21688070196</v>
      </c>
      <c r="AC63" s="1582">
        <f t="shared" si="71"/>
        <v>1764121983</v>
      </c>
      <c r="AD63" s="1583">
        <f t="shared" si="71"/>
        <v>23452192179</v>
      </c>
      <c r="AE63" s="1584">
        <f t="shared" si="71"/>
        <v>13597759853</v>
      </c>
      <c r="AF63" s="1582">
        <f t="shared" si="71"/>
        <v>1972925414</v>
      </c>
      <c r="AG63" s="1583">
        <f t="shared" si="71"/>
        <v>15570685267</v>
      </c>
      <c r="AH63" s="1584">
        <f t="shared" si="71"/>
        <v>972882876</v>
      </c>
      <c r="AI63" s="1582">
        <f t="shared" si="71"/>
        <v>8497094965</v>
      </c>
      <c r="AJ63" s="1585">
        <f t="shared" si="71"/>
        <v>16378601877</v>
      </c>
      <c r="AK63" s="1448"/>
      <c r="AL63" s="1584">
        <f>AL65+AL83+AL90+AL104</f>
        <v>1040204000</v>
      </c>
      <c r="AM63" s="1585">
        <f>AM65+AM83+AM90+AM104</f>
        <v>0</v>
      </c>
      <c r="AN63" s="1448"/>
      <c r="AO63" s="1401"/>
      <c r="AP63" s="1401"/>
      <c r="AQ63" s="1401"/>
      <c r="AR63" s="1401"/>
      <c r="AS63" s="1401"/>
      <c r="AT63" s="1401"/>
      <c r="AU63" s="1401"/>
      <c r="AV63" s="1401"/>
      <c r="AW63" s="1401"/>
      <c r="AX63" s="1401"/>
      <c r="AY63" s="1401"/>
      <c r="AZ63" s="1401"/>
    </row>
    <row r="64" spans="1:70" s="1659" customFormat="1" ht="24.95" customHeight="1">
      <c r="A64" s="1551" t="str">
        <f>+IF(AGOSTO!A64=0,"",AGOSTO!A64)</f>
        <v>1130113-1</v>
      </c>
      <c r="B64" s="1682" t="str">
        <f>+CONCATENATE("Vigencia ",INSTRUCCIONES!$F$3)</f>
        <v>Vigencia 2017</v>
      </c>
      <c r="C64" s="1553">
        <f>+ENERO!C64</f>
        <v>5110724757</v>
      </c>
      <c r="D64" s="1554">
        <f>AGOSTO!D64+SEPTIEMBRE!P64</f>
        <v>0</v>
      </c>
      <c r="E64" s="1554">
        <f>AGOSTO!E64+SEPTIEMBRE!Q64</f>
        <v>0</v>
      </c>
      <c r="F64" s="1554">
        <f>SUM(C64:E64)</f>
        <v>5110724757</v>
      </c>
      <c r="G64" s="1554">
        <f>AGOSTO!I64</f>
        <v>1445370153</v>
      </c>
      <c r="H64" s="1557">
        <v>222653293</v>
      </c>
      <c r="I64" s="1554">
        <f>SUM(G64:H64)</f>
        <v>1668023446</v>
      </c>
      <c r="J64" s="1554">
        <f>AGOSTO!L64</f>
        <v>225884629</v>
      </c>
      <c r="K64" s="1557">
        <v>189619018</v>
      </c>
      <c r="L64" s="1554">
        <f>SUM(J64:K64)</f>
        <v>415503647</v>
      </c>
      <c r="M64" s="1554">
        <f>F64-I64</f>
        <v>3442701311</v>
      </c>
      <c r="N64" s="1555">
        <f>F64-L64</f>
        <v>4695221110</v>
      </c>
      <c r="O64" s="1572"/>
      <c r="P64" s="1559">
        <v>0</v>
      </c>
      <c r="Q64" s="1560">
        <v>0</v>
      </c>
      <c r="R64" s="1448"/>
      <c r="S64" s="1538" t="str">
        <f>+IF(AGOSTO!S64=0,"",AGOSTO!S64)</f>
        <v/>
      </c>
      <c r="T64" s="1539" t="str">
        <f>+IF(AGOSTO!T64=0,"",AGOSTO!T64)</f>
        <v/>
      </c>
      <c r="U64" s="1540"/>
      <c r="V64" s="1540"/>
      <c r="W64" s="1540"/>
      <c r="X64" s="1540"/>
      <c r="Y64" s="1540"/>
      <c r="Z64" s="1540"/>
      <c r="AA64" s="1540"/>
      <c r="AB64" s="1540"/>
      <c r="AC64" s="1540"/>
      <c r="AD64" s="1540"/>
      <c r="AE64" s="1540"/>
      <c r="AF64" s="1540"/>
      <c r="AG64" s="1540"/>
      <c r="AH64" s="1540"/>
      <c r="AI64" s="1540"/>
      <c r="AJ64" s="1541"/>
      <c r="AK64" s="1448"/>
      <c r="AL64" s="1599"/>
      <c r="AM64" s="1600"/>
      <c r="AN64" s="1448"/>
      <c r="AO64" s="1401"/>
      <c r="AP64" s="1401"/>
      <c r="AQ64" s="1401"/>
      <c r="AR64" s="1401"/>
      <c r="AS64" s="1401"/>
      <c r="AT64" s="1401"/>
      <c r="AU64" s="1401"/>
      <c r="AV64" s="1401"/>
      <c r="AW64" s="1401"/>
      <c r="AX64" s="1401"/>
      <c r="AY64" s="1401"/>
      <c r="AZ64" s="1401"/>
      <c r="BA64" s="1572"/>
      <c r="BB64" s="1572"/>
      <c r="BC64" s="1572"/>
      <c r="BD64" s="1572"/>
      <c r="BE64" s="1572"/>
      <c r="BF64" s="1572"/>
      <c r="BG64" s="1572"/>
      <c r="BH64" s="1572"/>
      <c r="BI64" s="1572"/>
      <c r="BJ64" s="1572"/>
      <c r="BK64" s="1572"/>
      <c r="BL64" s="1572"/>
      <c r="BM64" s="1572"/>
      <c r="BN64" s="1572"/>
      <c r="BO64" s="1572"/>
      <c r="BP64" s="1572"/>
      <c r="BQ64" s="1572"/>
      <c r="BR64" s="1572"/>
    </row>
    <row r="65" spans="1:70" s="1659" customFormat="1" ht="24.95" customHeight="1">
      <c r="A65" s="1551" t="str">
        <f>+IF(AGOSTO!A65=0,"",AGOSTO!A65)</f>
        <v>1130113-2</v>
      </c>
      <c r="B65" s="1682" t="str">
        <f>+IF(AGOSTO!B65=0,"",AGOSTO!B65)</f>
        <v>Vigencia Anterior</v>
      </c>
      <c r="C65" s="1553">
        <f>+ENERO!C65</f>
        <v>0</v>
      </c>
      <c r="D65" s="1554">
        <f>AGOSTO!D65+SEPTIEMBRE!P65</f>
        <v>0</v>
      </c>
      <c r="E65" s="1554">
        <f>AGOSTO!E65+SEPTIEMBRE!Q65</f>
        <v>807551501</v>
      </c>
      <c r="F65" s="1554">
        <f>SUM(C65:E65)</f>
        <v>807551501</v>
      </c>
      <c r="G65" s="1554">
        <f>AGOSTO!I65</f>
        <v>966670545</v>
      </c>
      <c r="H65" s="1557">
        <v>0</v>
      </c>
      <c r="I65" s="1554">
        <f>SUM(G65:H65)</f>
        <v>966670545</v>
      </c>
      <c r="J65" s="1554">
        <f>AGOSTO!L65</f>
        <v>966670545</v>
      </c>
      <c r="K65" s="1557">
        <v>0</v>
      </c>
      <c r="L65" s="1554">
        <f>SUM(J65:K65)</f>
        <v>966670545</v>
      </c>
      <c r="M65" s="1554">
        <f>F65-I65</f>
        <v>-159119044</v>
      </c>
      <c r="N65" s="1555">
        <f>F65-L65</f>
        <v>-159119044</v>
      </c>
      <c r="O65" s="1572"/>
      <c r="P65" s="1559">
        <v>0</v>
      </c>
      <c r="Q65" s="1560">
        <v>0</v>
      </c>
      <c r="R65" s="1448"/>
      <c r="S65" s="1607">
        <f>+IF(AGOSTO!S65=0,"",AGOSTO!S65)</f>
        <v>1020100</v>
      </c>
      <c r="T65" s="1608" t="str">
        <f>+IF(AGOSTO!T65=0,"",AGOSTO!T65)</f>
        <v>Servicios Personales Asociados a Nómina</v>
      </c>
      <c r="U65" s="1581">
        <f t="shared" ref="U65:AJ65" si="72">SUM(U66:U69)+U81</f>
        <v>1210753694</v>
      </c>
      <c r="V65" s="1582">
        <f t="shared" si="72"/>
        <v>33746000</v>
      </c>
      <c r="W65" s="1582">
        <f t="shared" si="72"/>
        <v>68455774</v>
      </c>
      <c r="X65" s="1583">
        <f t="shared" si="72"/>
        <v>1312955468</v>
      </c>
      <c r="Y65" s="1584">
        <f t="shared" si="72"/>
        <v>761835016</v>
      </c>
      <c r="Z65" s="1582">
        <f t="shared" si="72"/>
        <v>137994531</v>
      </c>
      <c r="AA65" s="1583">
        <f t="shared" si="72"/>
        <v>899829547</v>
      </c>
      <c r="AB65" s="1584">
        <f t="shared" si="72"/>
        <v>761835016</v>
      </c>
      <c r="AC65" s="1582">
        <f t="shared" si="72"/>
        <v>137994531</v>
      </c>
      <c r="AD65" s="1583">
        <f t="shared" si="72"/>
        <v>899829547</v>
      </c>
      <c r="AE65" s="1584">
        <f t="shared" si="72"/>
        <v>761835016</v>
      </c>
      <c r="AF65" s="1582">
        <f t="shared" si="72"/>
        <v>137994531</v>
      </c>
      <c r="AG65" s="1583">
        <f t="shared" si="72"/>
        <v>899829547</v>
      </c>
      <c r="AH65" s="1584">
        <f t="shared" si="72"/>
        <v>413125921</v>
      </c>
      <c r="AI65" s="1582">
        <f t="shared" si="72"/>
        <v>413125921</v>
      </c>
      <c r="AJ65" s="1585">
        <f t="shared" si="72"/>
        <v>413125921</v>
      </c>
      <c r="AK65" s="1448"/>
      <c r="AL65" s="1584">
        <f>SUM(AL66:AL69)+AL81</f>
        <v>3746000</v>
      </c>
      <c r="AM65" s="1585">
        <f>SUM(AM66:AM69)+AM81</f>
        <v>0</v>
      </c>
      <c r="AN65" s="1448"/>
      <c r="AO65" s="1401"/>
      <c r="AP65" s="1401"/>
      <c r="AQ65" s="1401"/>
      <c r="AR65" s="1401"/>
      <c r="AS65" s="1401"/>
      <c r="AT65" s="1401"/>
      <c r="AU65" s="1401"/>
      <c r="AV65" s="1401"/>
      <c r="AW65" s="1401"/>
      <c r="AX65" s="1401"/>
      <c r="AY65" s="1401"/>
      <c r="AZ65" s="1401"/>
      <c r="BA65" s="1572"/>
      <c r="BB65" s="1572"/>
      <c r="BC65" s="1572"/>
      <c r="BD65" s="1572"/>
      <c r="BE65" s="1572"/>
      <c r="BF65" s="1572"/>
      <c r="BG65" s="1572"/>
      <c r="BH65" s="1572"/>
      <c r="BI65" s="1572"/>
      <c r="BJ65" s="1572"/>
      <c r="BK65" s="1572"/>
      <c r="BL65" s="1572"/>
      <c r="BM65" s="1572"/>
      <c r="BN65" s="1572"/>
      <c r="BO65" s="1572"/>
      <c r="BP65" s="1572"/>
      <c r="BQ65" s="1572"/>
      <c r="BR65" s="1572"/>
    </row>
    <row r="66" spans="1:70" s="1572" customFormat="1" ht="24.95" customHeight="1">
      <c r="A66" s="1635">
        <f>+IF(AGOSTO!A66=0,"",AGOSTO!A66)</f>
        <v>1130114</v>
      </c>
      <c r="B66" s="1670" t="str">
        <f>+IF(AGOSTO!B66=0,"",AGOSTO!B66)</f>
        <v xml:space="preserve">COMPAÑIAS DE SEGUROS  - PLANES DE SALUD  </v>
      </c>
      <c r="C66" s="1637">
        <f t="shared" ref="C66:N66" si="73">SUM(C67:C68)</f>
        <v>0</v>
      </c>
      <c r="D66" s="1671">
        <f t="shared" si="73"/>
        <v>0</v>
      </c>
      <c r="E66" s="1671">
        <f t="shared" si="73"/>
        <v>23280608</v>
      </c>
      <c r="F66" s="1671">
        <f t="shared" si="73"/>
        <v>23280608</v>
      </c>
      <c r="G66" s="1671">
        <f t="shared" si="73"/>
        <v>411722787</v>
      </c>
      <c r="H66" s="1671">
        <f t="shared" si="73"/>
        <v>67226262</v>
      </c>
      <c r="I66" s="1671">
        <f t="shared" si="73"/>
        <v>478949049</v>
      </c>
      <c r="J66" s="1671">
        <f t="shared" si="73"/>
        <v>98389226</v>
      </c>
      <c r="K66" s="1671">
        <f t="shared" si="73"/>
        <v>63426744</v>
      </c>
      <c r="L66" s="1671">
        <f t="shared" si="73"/>
        <v>161815970</v>
      </c>
      <c r="M66" s="1671">
        <f t="shared" si="73"/>
        <v>-455668441</v>
      </c>
      <c r="N66" s="1638">
        <f t="shared" si="73"/>
        <v>-138535362</v>
      </c>
      <c r="P66" s="1637">
        <f>SUM(P67:P68)</f>
        <v>0</v>
      </c>
      <c r="Q66" s="1638">
        <f>SUM(Q67:Q68)</f>
        <v>0</v>
      </c>
      <c r="R66" s="1448"/>
      <c r="S66" s="1615">
        <f>+IF(AGOSTO!S66=0,"",AGOSTO!S66)</f>
        <v>1020101</v>
      </c>
      <c r="T66" s="1616" t="str">
        <f>+IF(AGOSTO!T66=0,"",AGOSTO!T66)</f>
        <v>Sueldos del Personal de nómina</v>
      </c>
      <c r="U66" s="1617">
        <f>+ENERO!U66</f>
        <v>893219355</v>
      </c>
      <c r="V66" s="1618">
        <f>AGOSTO!V66+SEPTIEMBRE!AL66</f>
        <v>0</v>
      </c>
      <c r="W66" s="1618">
        <f>AGOSTO!W66+SEPTIEMBRE!AM66</f>
        <v>0</v>
      </c>
      <c r="X66" s="1619">
        <f>SUM(U66:W66)</f>
        <v>893219355</v>
      </c>
      <c r="Y66" s="1620">
        <f>AGOSTO!AA66</f>
        <v>521744987</v>
      </c>
      <c r="Z66" s="1557">
        <v>99452220</v>
      </c>
      <c r="AA66" s="1619">
        <f>SUM(Y66:Z66)</f>
        <v>621197207</v>
      </c>
      <c r="AB66" s="1620">
        <f>AGOSTO!AD66</f>
        <v>521744987</v>
      </c>
      <c r="AC66" s="1557">
        <v>99452220</v>
      </c>
      <c r="AD66" s="1619">
        <f>SUM(AB66:AC66)</f>
        <v>621197207</v>
      </c>
      <c r="AE66" s="1620">
        <f>AGOSTO!AG66</f>
        <v>521744987</v>
      </c>
      <c r="AF66" s="1557">
        <v>99452220</v>
      </c>
      <c r="AG66" s="1619">
        <f>SUM(AE66:AF66)</f>
        <v>621197207</v>
      </c>
      <c r="AH66" s="1620">
        <f>X66-AA66</f>
        <v>272022148</v>
      </c>
      <c r="AI66" s="1618">
        <f>X66-AD66</f>
        <v>272022148</v>
      </c>
      <c r="AJ66" s="1621">
        <f>X66-AG66</f>
        <v>272022148</v>
      </c>
      <c r="AK66" s="1448"/>
      <c r="AL66" s="1559">
        <v>0</v>
      </c>
      <c r="AM66" s="1560">
        <v>0</v>
      </c>
      <c r="AN66" s="1448"/>
      <c r="AO66" s="1401"/>
      <c r="AP66" s="1401"/>
      <c r="AQ66" s="1401"/>
      <c r="AR66" s="1401"/>
      <c r="AS66" s="1401"/>
      <c r="AT66" s="1401"/>
      <c r="AU66" s="1401"/>
      <c r="AV66" s="1401"/>
      <c r="AW66" s="1401"/>
      <c r="AX66" s="1401"/>
      <c r="AY66" s="1401"/>
      <c r="AZ66" s="1401"/>
    </row>
    <row r="67" spans="1:70" s="1659" customFormat="1" ht="24.95" customHeight="1">
      <c r="A67" s="1551" t="str">
        <f>+IF(AGOSTO!A67=0,"",AGOSTO!A67)</f>
        <v>1130114-1</v>
      </c>
      <c r="B67" s="1682" t="str">
        <f>+CONCATENATE("Vigencia ",INSTRUCCIONES!$F$3)</f>
        <v>Vigencia 2017</v>
      </c>
      <c r="C67" s="1553">
        <f>+ENERO!C67</f>
        <v>0</v>
      </c>
      <c r="D67" s="1554">
        <f>AGOSTO!D67+SEPTIEMBRE!P67</f>
        <v>0</v>
      </c>
      <c r="E67" s="1554">
        <f>AGOSTO!E67+SEPTIEMBRE!Q67</f>
        <v>2055774</v>
      </c>
      <c r="F67" s="1554">
        <f>SUM(C67:E67)</f>
        <v>2055774</v>
      </c>
      <c r="G67" s="1554">
        <f>AGOSTO!I67</f>
        <v>357914196</v>
      </c>
      <c r="H67" s="1557">
        <v>65529740</v>
      </c>
      <c r="I67" s="1554">
        <f>SUM(G67:H67)</f>
        <v>423443936</v>
      </c>
      <c r="J67" s="1554">
        <f>AGOSTO!L67</f>
        <v>44580635</v>
      </c>
      <c r="K67" s="1557">
        <v>61730222</v>
      </c>
      <c r="L67" s="1554">
        <f>SUM(J67:K67)</f>
        <v>106310857</v>
      </c>
      <c r="M67" s="1554">
        <f>F67-I67</f>
        <v>-421388162</v>
      </c>
      <c r="N67" s="1555">
        <f>F67-L67</f>
        <v>-104255083</v>
      </c>
      <c r="O67" s="1572"/>
      <c r="P67" s="1559">
        <v>0</v>
      </c>
      <c r="Q67" s="1560">
        <v>0</v>
      </c>
      <c r="R67" s="1448"/>
      <c r="S67" s="1615">
        <f>+IF(AGOSTO!S67=0,"",AGOSTO!S67)</f>
        <v>1020102</v>
      </c>
      <c r="T67" s="1616" t="str">
        <f>+IF(AGOSTO!T67=0,"",AGOSTO!T67)</f>
        <v>Horas Extras,Dominic.,Festivos y Rec. Nocturnos</v>
      </c>
      <c r="U67" s="1617">
        <f>+ENERO!U67</f>
        <v>36988810</v>
      </c>
      <c r="V67" s="1618">
        <f>AGOSTO!V67+SEPTIEMBRE!AL67</f>
        <v>3623000</v>
      </c>
      <c r="W67" s="1618">
        <f>AGOSTO!W67+SEPTIEMBRE!AM67</f>
        <v>36000000</v>
      </c>
      <c r="X67" s="1619">
        <f>SUM(U67:W67)</f>
        <v>76611810</v>
      </c>
      <c r="Y67" s="1620">
        <f>AGOSTO!AA67</f>
        <v>56632858</v>
      </c>
      <c r="Z67" s="1557">
        <v>19878214</v>
      </c>
      <c r="AA67" s="1619">
        <f>SUM(Y67:Z67)</f>
        <v>76511072</v>
      </c>
      <c r="AB67" s="1620">
        <f>AGOSTO!AD67</f>
        <v>56632858</v>
      </c>
      <c r="AC67" s="1557">
        <v>19878214</v>
      </c>
      <c r="AD67" s="1619">
        <f>SUM(AB67:AC67)</f>
        <v>76511072</v>
      </c>
      <c r="AE67" s="1620">
        <f>AGOSTO!AG67</f>
        <v>56632858</v>
      </c>
      <c r="AF67" s="1557">
        <v>19878214</v>
      </c>
      <c r="AG67" s="1619">
        <f>SUM(AE67:AF67)</f>
        <v>76511072</v>
      </c>
      <c r="AH67" s="1620">
        <f>X67-AA67</f>
        <v>100738</v>
      </c>
      <c r="AI67" s="1618">
        <f>X67-AD67</f>
        <v>100738</v>
      </c>
      <c r="AJ67" s="1621">
        <f>X67-AG67</f>
        <v>100738</v>
      </c>
      <c r="AK67" s="1448"/>
      <c r="AL67" s="1559">
        <v>3623000</v>
      </c>
      <c r="AM67" s="1560">
        <v>0</v>
      </c>
      <c r="AN67" s="1448"/>
      <c r="AO67" s="1401"/>
      <c r="AP67" s="1401"/>
      <c r="AQ67" s="1401"/>
      <c r="AR67" s="1401"/>
      <c r="AS67" s="1401"/>
      <c r="AT67" s="1401"/>
      <c r="AU67" s="1401"/>
      <c r="AV67" s="1401"/>
      <c r="AW67" s="1401"/>
      <c r="AX67" s="1401"/>
      <c r="AY67" s="1401"/>
      <c r="AZ67" s="1401"/>
      <c r="BA67" s="1572"/>
      <c r="BB67" s="1572"/>
      <c r="BC67" s="1572"/>
      <c r="BD67" s="1572"/>
      <c r="BE67" s="1572"/>
      <c r="BF67" s="1572"/>
      <c r="BG67" s="1572"/>
      <c r="BH67" s="1572"/>
      <c r="BI67" s="1572"/>
      <c r="BJ67" s="1572"/>
      <c r="BK67" s="1572"/>
      <c r="BL67" s="1572"/>
      <c r="BM67" s="1572"/>
      <c r="BN67" s="1572"/>
      <c r="BO67" s="1572"/>
      <c r="BP67" s="1572"/>
      <c r="BQ67" s="1572"/>
      <c r="BR67" s="1572"/>
    </row>
    <row r="68" spans="1:70" s="1659" customFormat="1" ht="24.95" customHeight="1">
      <c r="A68" s="1551" t="str">
        <f>+IF(AGOSTO!A68=0,"",AGOSTO!A68)</f>
        <v>1130114-2</v>
      </c>
      <c r="B68" s="1682" t="str">
        <f>+IF(AGOSTO!B68=0,"",AGOSTO!B68)</f>
        <v>Vigencia Anterior</v>
      </c>
      <c r="C68" s="1553">
        <f>+ENERO!C68</f>
        <v>0</v>
      </c>
      <c r="D68" s="1554">
        <f>AGOSTO!D68+SEPTIEMBRE!P68</f>
        <v>0</v>
      </c>
      <c r="E68" s="1554">
        <f>AGOSTO!E68+SEPTIEMBRE!Q68</f>
        <v>21224834</v>
      </c>
      <c r="F68" s="1554">
        <f>SUM(C68:E68)</f>
        <v>21224834</v>
      </c>
      <c r="G68" s="1554">
        <f>AGOSTO!I68</f>
        <v>53808591</v>
      </c>
      <c r="H68" s="1557">
        <v>1696522</v>
      </c>
      <c r="I68" s="1554">
        <f>SUM(G68:H68)</f>
        <v>55505113</v>
      </c>
      <c r="J68" s="1554">
        <f>AGOSTO!L68</f>
        <v>53808591</v>
      </c>
      <c r="K68" s="1557">
        <v>1696522</v>
      </c>
      <c r="L68" s="1554">
        <f>SUM(J68:K68)</f>
        <v>55505113</v>
      </c>
      <c r="M68" s="1554">
        <f>F68-I68</f>
        <v>-34280279</v>
      </c>
      <c r="N68" s="1555">
        <f>F68-L68</f>
        <v>-34280279</v>
      </c>
      <c r="O68" s="1572"/>
      <c r="P68" s="1559">
        <v>0</v>
      </c>
      <c r="Q68" s="1560">
        <v>0</v>
      </c>
      <c r="R68" s="1448"/>
      <c r="S68" s="1615">
        <f>+IF(AGOSTO!S68=0,"",AGOSTO!S68)</f>
        <v>1020103</v>
      </c>
      <c r="T68" s="1616" t="str">
        <f>+IF(AGOSTO!T68=0,"",AGOSTO!T68)</f>
        <v>Prima Técnica</v>
      </c>
      <c r="U68" s="1617">
        <f>+ENERO!U68</f>
        <v>0</v>
      </c>
      <c r="V68" s="1618">
        <f>AGOSTO!V68+SEPTIEMBRE!AL68</f>
        <v>0</v>
      </c>
      <c r="W68" s="1618">
        <f>AGOSTO!W68+SEPTIEMBRE!AM68</f>
        <v>0</v>
      </c>
      <c r="X68" s="1619">
        <f>SUM(U68:W68)</f>
        <v>0</v>
      </c>
      <c r="Y68" s="1620">
        <f>AGOSTO!AA68</f>
        <v>0</v>
      </c>
      <c r="Z68" s="1557">
        <v>0</v>
      </c>
      <c r="AA68" s="1619">
        <f>SUM(Y68:Z68)</f>
        <v>0</v>
      </c>
      <c r="AB68" s="1620">
        <f>AGOSTO!AD68</f>
        <v>0</v>
      </c>
      <c r="AC68" s="1557">
        <v>0</v>
      </c>
      <c r="AD68" s="1619">
        <f>SUM(AB68:AC68)</f>
        <v>0</v>
      </c>
      <c r="AE68" s="1620">
        <f>AGOSTO!AG68</f>
        <v>0</v>
      </c>
      <c r="AF68" s="1557">
        <v>0</v>
      </c>
      <c r="AG68" s="1619">
        <f>SUM(AE68:AF68)</f>
        <v>0</v>
      </c>
      <c r="AH68" s="1620">
        <f>X68-AA68</f>
        <v>0</v>
      </c>
      <c r="AI68" s="1618">
        <f>X68-AD68</f>
        <v>0</v>
      </c>
      <c r="AJ68" s="1621">
        <f>X68-AG68</f>
        <v>0</v>
      </c>
      <c r="AK68" s="1448"/>
      <c r="AL68" s="1559">
        <v>0</v>
      </c>
      <c r="AM68" s="1560">
        <v>0</v>
      </c>
      <c r="AN68" s="1448"/>
      <c r="AO68" s="1401"/>
      <c r="AP68" s="1401"/>
      <c r="AQ68" s="1401"/>
      <c r="AR68" s="1401"/>
      <c r="AS68" s="1401"/>
      <c r="AT68" s="1401"/>
      <c r="AU68" s="1401"/>
      <c r="AV68" s="1401"/>
      <c r="AW68" s="1401"/>
      <c r="AX68" s="1401"/>
      <c r="AY68" s="1401"/>
      <c r="AZ68" s="1401"/>
      <c r="BA68" s="1572"/>
      <c r="BB68" s="1572"/>
      <c r="BC68" s="1572"/>
      <c r="BD68" s="1572"/>
      <c r="BE68" s="1572"/>
      <c r="BF68" s="1572"/>
      <c r="BG68" s="1572"/>
      <c r="BH68" s="1572"/>
      <c r="BI68" s="1572"/>
      <c r="BJ68" s="1572"/>
      <c r="BK68" s="1572"/>
      <c r="BL68" s="1572"/>
      <c r="BM68" s="1572"/>
      <c r="BN68" s="1572"/>
      <c r="BO68" s="1572"/>
      <c r="BP68" s="1572"/>
      <c r="BQ68" s="1572"/>
      <c r="BR68" s="1572"/>
    </row>
    <row r="69" spans="1:70" s="1572" customFormat="1" ht="24.95" customHeight="1">
      <c r="A69" s="1635">
        <f>+IF(AGOSTO!A69=0,"",AGOSTO!A69)</f>
        <v>1130115</v>
      </c>
      <c r="B69" s="1670" t="str">
        <f>+IF(AGOSTO!B69=0,"",AGOSTO!B69)</f>
        <v>ENTIDADES DE REGIMEN ESPECIAL (Magisterio, Fuerza Pca.)</v>
      </c>
      <c r="C69" s="1637">
        <f t="shared" ref="C69:N69" si="74">SUM(C70:C71)</f>
        <v>1373481412</v>
      </c>
      <c r="D69" s="1671">
        <f t="shared" si="74"/>
        <v>0</v>
      </c>
      <c r="E69" s="1671">
        <f t="shared" si="74"/>
        <v>2102620336</v>
      </c>
      <c r="F69" s="1671">
        <f t="shared" si="74"/>
        <v>3476101748</v>
      </c>
      <c r="G69" s="1671">
        <f t="shared" si="74"/>
        <v>4599281196</v>
      </c>
      <c r="H69" s="1671">
        <f t="shared" si="74"/>
        <v>224435420</v>
      </c>
      <c r="I69" s="1671">
        <f t="shared" si="74"/>
        <v>4823716616</v>
      </c>
      <c r="J69" s="1671">
        <f t="shared" si="74"/>
        <v>2607454214</v>
      </c>
      <c r="K69" s="1671">
        <f t="shared" si="74"/>
        <v>81058</v>
      </c>
      <c r="L69" s="1671">
        <f t="shared" si="74"/>
        <v>2607535272</v>
      </c>
      <c r="M69" s="1671">
        <f t="shared" si="74"/>
        <v>-1347614868</v>
      </c>
      <c r="N69" s="1638">
        <f t="shared" si="74"/>
        <v>868566476</v>
      </c>
      <c r="P69" s="1637">
        <f>SUM(P70:P71)</f>
        <v>0</v>
      </c>
      <c r="Q69" s="1638">
        <f>SUM(Q70:Q71)</f>
        <v>0</v>
      </c>
      <c r="R69" s="1448"/>
      <c r="S69" s="1615">
        <f>+IF(AGOSTO!S69=0,"",AGOSTO!S69)</f>
        <v>1020104</v>
      </c>
      <c r="T69" s="1616" t="str">
        <f>+IF(AGOSTO!T69=0,"",AGOSTO!T69)</f>
        <v>Otros</v>
      </c>
      <c r="U69" s="1617">
        <f t="shared" ref="U69:AJ69" si="75">SUM(U70:U80)</f>
        <v>280545529</v>
      </c>
      <c r="V69" s="1618">
        <f t="shared" si="75"/>
        <v>30123000</v>
      </c>
      <c r="W69" s="1618">
        <f t="shared" si="75"/>
        <v>32455774</v>
      </c>
      <c r="X69" s="1619">
        <f t="shared" si="75"/>
        <v>343124303</v>
      </c>
      <c r="Y69" s="1620">
        <f t="shared" si="75"/>
        <v>183457171</v>
      </c>
      <c r="Z69" s="1648">
        <f t="shared" si="75"/>
        <v>18664097</v>
      </c>
      <c r="AA69" s="1619">
        <f t="shared" si="75"/>
        <v>202121268</v>
      </c>
      <c r="AB69" s="1620">
        <f t="shared" si="75"/>
        <v>183457171</v>
      </c>
      <c r="AC69" s="1648">
        <f t="shared" si="75"/>
        <v>18664097</v>
      </c>
      <c r="AD69" s="1619">
        <f t="shared" si="75"/>
        <v>202121268</v>
      </c>
      <c r="AE69" s="1620">
        <f t="shared" si="75"/>
        <v>183457171</v>
      </c>
      <c r="AF69" s="1648">
        <f t="shared" si="75"/>
        <v>18664097</v>
      </c>
      <c r="AG69" s="1619">
        <f t="shared" si="75"/>
        <v>202121268</v>
      </c>
      <c r="AH69" s="1620">
        <f t="shared" si="75"/>
        <v>141003035</v>
      </c>
      <c r="AI69" s="1618">
        <f t="shared" si="75"/>
        <v>141003035</v>
      </c>
      <c r="AJ69" s="1621">
        <f t="shared" si="75"/>
        <v>141003035</v>
      </c>
      <c r="AK69" s="1448"/>
      <c r="AL69" s="1649">
        <f>SUM(AL70:AL80)</f>
        <v>123000</v>
      </c>
      <c r="AM69" s="1650">
        <f>SUM(AM70:AM80)</f>
        <v>0</v>
      </c>
      <c r="AN69" s="1448"/>
      <c r="AO69" s="1401"/>
      <c r="AP69" s="1401"/>
      <c r="AQ69" s="1401"/>
      <c r="AR69" s="1401"/>
      <c r="AS69" s="1401"/>
      <c r="AT69" s="1401"/>
      <c r="AU69" s="1401"/>
      <c r="AV69" s="1401"/>
      <c r="AW69" s="1401"/>
      <c r="AX69" s="1401"/>
      <c r="AY69" s="1401"/>
      <c r="AZ69" s="1401"/>
    </row>
    <row r="70" spans="1:70" s="1659" customFormat="1" ht="24.95" customHeight="1">
      <c r="A70" s="1551" t="str">
        <f>+IF(AGOSTO!A70=0,"",AGOSTO!A70)</f>
        <v>1130115-1</v>
      </c>
      <c r="B70" s="1682" t="str">
        <f>+CONCATENATE("Vigencia ",INSTRUCCIONES!$F$3)</f>
        <v>Vigencia 2017</v>
      </c>
      <c r="C70" s="1553">
        <f>+ENERO!C70</f>
        <v>1373481412</v>
      </c>
      <c r="D70" s="1554">
        <f>AGOSTO!D70+SEPTIEMBRE!P70</f>
        <v>0</v>
      </c>
      <c r="E70" s="1554">
        <f>AGOSTO!E70+SEPTIEMBRE!Q70</f>
        <v>0</v>
      </c>
      <c r="F70" s="1554">
        <f>SUM(C70:E70)</f>
        <v>1373481412</v>
      </c>
      <c r="G70" s="1554">
        <f>AGOSTO!I70</f>
        <v>2493280634</v>
      </c>
      <c r="H70" s="1557">
        <v>224376720</v>
      </c>
      <c r="I70" s="1554">
        <f>SUM(G70:H70)</f>
        <v>2717657354</v>
      </c>
      <c r="J70" s="1554">
        <f>AGOSTO!L70</f>
        <v>501453652</v>
      </c>
      <c r="K70" s="1557">
        <v>22358</v>
      </c>
      <c r="L70" s="1554">
        <f>SUM(J70:K70)</f>
        <v>501476010</v>
      </c>
      <c r="M70" s="1554">
        <f>F70-I70</f>
        <v>-1344175942</v>
      </c>
      <c r="N70" s="1555">
        <f>F70-L70</f>
        <v>872005402</v>
      </c>
      <c r="O70" s="1572"/>
      <c r="P70" s="1559">
        <v>0</v>
      </c>
      <c r="Q70" s="1560">
        <v>0</v>
      </c>
      <c r="R70" s="1448"/>
      <c r="S70" s="1662" t="str">
        <f>+IF(AGOSTO!S70=0,"",AGOSTO!S70)</f>
        <v>1020104-1</v>
      </c>
      <c r="T70" s="1663" t="str">
        <f>+IF(AGOSTO!T70=0,"",AGOSTO!T70)</f>
        <v xml:space="preserve">Prima de Navidad </v>
      </c>
      <c r="U70" s="1617">
        <f>+ENERO!U70</f>
        <v>72165521</v>
      </c>
      <c r="V70" s="1618">
        <f>AGOSTO!V70+SEPTIEMBRE!AL70</f>
        <v>0</v>
      </c>
      <c r="W70" s="1618">
        <f>AGOSTO!W70+SEPTIEMBRE!AM70</f>
        <v>0</v>
      </c>
      <c r="X70" s="1619">
        <f t="shared" ref="X70:X81" si="76">SUM(U70:W70)</f>
        <v>72165521</v>
      </c>
      <c r="Y70" s="1620">
        <f>AGOSTO!AA70</f>
        <v>0</v>
      </c>
      <c r="Z70" s="1557">
        <v>0</v>
      </c>
      <c r="AA70" s="1619">
        <f t="shared" ref="AA70:AA81" si="77">SUM(Y70:Z70)</f>
        <v>0</v>
      </c>
      <c r="AB70" s="1620">
        <f>AGOSTO!AD70</f>
        <v>0</v>
      </c>
      <c r="AC70" s="1557">
        <v>0</v>
      </c>
      <c r="AD70" s="1619">
        <f t="shared" ref="AD70:AD81" si="78">SUM(AB70:AC70)</f>
        <v>0</v>
      </c>
      <c r="AE70" s="1620">
        <f>AGOSTO!AG70</f>
        <v>0</v>
      </c>
      <c r="AF70" s="1557">
        <v>0</v>
      </c>
      <c r="AG70" s="1619">
        <f t="shared" ref="AG70:AG81" si="79">SUM(AE70:AF70)</f>
        <v>0</v>
      </c>
      <c r="AH70" s="1620">
        <f t="shared" ref="AH70:AH81" si="80">X70-AA70</f>
        <v>72165521</v>
      </c>
      <c r="AI70" s="1618">
        <f t="shared" ref="AI70:AI81" si="81">X70-AD70</f>
        <v>72165521</v>
      </c>
      <c r="AJ70" s="1621">
        <f t="shared" ref="AJ70:AJ81" si="82">X70-AG70</f>
        <v>72165521</v>
      </c>
      <c r="AK70" s="1448"/>
      <c r="AL70" s="1559">
        <v>0</v>
      </c>
      <c r="AM70" s="1560">
        <v>0</v>
      </c>
      <c r="AN70" s="1448"/>
      <c r="AO70" s="1401"/>
      <c r="AP70" s="1401"/>
      <c r="AQ70" s="1401"/>
      <c r="AR70" s="1401"/>
      <c r="AS70" s="1401"/>
      <c r="AT70" s="1401"/>
      <c r="AU70" s="1401"/>
      <c r="AV70" s="1401"/>
      <c r="AW70" s="1401"/>
      <c r="AX70" s="1401"/>
      <c r="AY70" s="1401"/>
      <c r="AZ70" s="1401"/>
      <c r="BA70" s="1572"/>
      <c r="BB70" s="1572"/>
      <c r="BC70" s="1572"/>
      <c r="BD70" s="1572"/>
      <c r="BE70" s="1572"/>
      <c r="BF70" s="1572"/>
      <c r="BG70" s="1572"/>
      <c r="BH70" s="1572"/>
      <c r="BI70" s="1572"/>
      <c r="BJ70" s="1572"/>
      <c r="BK70" s="1572"/>
      <c r="BL70" s="1572"/>
      <c r="BM70" s="1572"/>
      <c r="BN70" s="1572"/>
      <c r="BO70" s="1572"/>
      <c r="BP70" s="1572"/>
      <c r="BQ70" s="1572"/>
      <c r="BR70" s="1572"/>
    </row>
    <row r="71" spans="1:70" s="1659" customFormat="1" ht="24.95" customHeight="1">
      <c r="A71" s="1551" t="str">
        <f>+IF(AGOSTO!A71=0,"",AGOSTO!A71)</f>
        <v>1130115-2</v>
      </c>
      <c r="B71" s="1682" t="str">
        <f>+IF(AGOSTO!B71=0,"",AGOSTO!B71)</f>
        <v>Vigencia Anterior</v>
      </c>
      <c r="C71" s="1553">
        <f>+ENERO!C71</f>
        <v>0</v>
      </c>
      <c r="D71" s="1554">
        <f>AGOSTO!D71+SEPTIEMBRE!P71</f>
        <v>0</v>
      </c>
      <c r="E71" s="1554">
        <f>AGOSTO!E71+SEPTIEMBRE!Q71</f>
        <v>2102620336</v>
      </c>
      <c r="F71" s="1554">
        <f>SUM(C71:E71)</f>
        <v>2102620336</v>
      </c>
      <c r="G71" s="1554">
        <f>AGOSTO!I71</f>
        <v>2106000562</v>
      </c>
      <c r="H71" s="1557">
        <v>58700</v>
      </c>
      <c r="I71" s="1554">
        <f>SUM(G71:H71)</f>
        <v>2106059262</v>
      </c>
      <c r="J71" s="1554">
        <f>AGOSTO!L71</f>
        <v>2106000562</v>
      </c>
      <c r="K71" s="1557">
        <v>58700</v>
      </c>
      <c r="L71" s="1554">
        <f>SUM(J71:K71)</f>
        <v>2106059262</v>
      </c>
      <c r="M71" s="1554">
        <f>F71-I71</f>
        <v>-3438926</v>
      </c>
      <c r="N71" s="1555">
        <f>F71-L71</f>
        <v>-3438926</v>
      </c>
      <c r="O71" s="1572"/>
      <c r="P71" s="1559">
        <v>0</v>
      </c>
      <c r="Q71" s="1560">
        <v>0</v>
      </c>
      <c r="R71" s="1448"/>
      <c r="S71" s="1662" t="str">
        <f>+IF(AGOSTO!S71=0,"",AGOSTO!S71)</f>
        <v>1020104-2</v>
      </c>
      <c r="T71" s="1663" t="str">
        <f>+IF(AGOSTO!T71=0,"",AGOSTO!T71)</f>
        <v>Prima Vida Cara</v>
      </c>
      <c r="U71" s="1617">
        <f>+ENERO!U71</f>
        <v>65329386</v>
      </c>
      <c r="V71" s="1618">
        <f>AGOSTO!V71+SEPTIEMBRE!AL71</f>
        <v>0</v>
      </c>
      <c r="W71" s="1618">
        <f>AGOSTO!W71+SEPTIEMBRE!AM71</f>
        <v>32455774</v>
      </c>
      <c r="X71" s="1619">
        <f t="shared" si="76"/>
        <v>97785160</v>
      </c>
      <c r="Y71" s="1620">
        <f>AGOSTO!AA71</f>
        <v>67236960</v>
      </c>
      <c r="Z71" s="1557">
        <v>2192114</v>
      </c>
      <c r="AA71" s="1619">
        <f t="shared" si="77"/>
        <v>69429074</v>
      </c>
      <c r="AB71" s="1620">
        <f>AGOSTO!AD71</f>
        <v>67236960</v>
      </c>
      <c r="AC71" s="1557">
        <v>2192114</v>
      </c>
      <c r="AD71" s="1619">
        <f t="shared" si="78"/>
        <v>69429074</v>
      </c>
      <c r="AE71" s="1620">
        <f>AGOSTO!AG71</f>
        <v>67236960</v>
      </c>
      <c r="AF71" s="1557">
        <v>2192114</v>
      </c>
      <c r="AG71" s="1619">
        <f t="shared" si="79"/>
        <v>69429074</v>
      </c>
      <c r="AH71" s="1620">
        <f t="shared" si="80"/>
        <v>28356086</v>
      </c>
      <c r="AI71" s="1618">
        <f t="shared" si="81"/>
        <v>28356086</v>
      </c>
      <c r="AJ71" s="1621">
        <f t="shared" si="82"/>
        <v>28356086</v>
      </c>
      <c r="AK71" s="1448"/>
      <c r="AL71" s="1559">
        <v>0</v>
      </c>
      <c r="AM71" s="1560">
        <v>0</v>
      </c>
      <c r="AN71" s="1448"/>
      <c r="AO71" s="1401"/>
      <c r="AP71" s="1401"/>
      <c r="AQ71" s="1401"/>
      <c r="AR71" s="1401"/>
      <c r="AS71" s="1401"/>
      <c r="AT71" s="1401"/>
      <c r="AU71" s="1401"/>
      <c r="AV71" s="1401"/>
      <c r="AW71" s="1401"/>
      <c r="AX71" s="1401"/>
      <c r="AY71" s="1401"/>
      <c r="AZ71" s="1401"/>
      <c r="BA71" s="1572"/>
      <c r="BB71" s="1572"/>
      <c r="BC71" s="1572"/>
      <c r="BD71" s="1572"/>
      <c r="BE71" s="1572"/>
      <c r="BF71" s="1572"/>
      <c r="BG71" s="1572"/>
      <c r="BH71" s="1572"/>
      <c r="BI71" s="1572"/>
      <c r="BJ71" s="1572"/>
      <c r="BK71" s="1572"/>
      <c r="BL71" s="1572"/>
      <c r="BM71" s="1572"/>
      <c r="BN71" s="1572"/>
      <c r="BO71" s="1572"/>
      <c r="BP71" s="1572"/>
      <c r="BQ71" s="1572"/>
      <c r="BR71" s="1572"/>
    </row>
    <row r="72" spans="1:70" s="1572" customFormat="1" ht="24.95" customHeight="1">
      <c r="A72" s="1635">
        <f>+IF(AGOSTO!A72=0,"",AGOSTO!A72)</f>
        <v>1130116</v>
      </c>
      <c r="B72" s="1670" t="str">
        <f>+IF(AGOSTO!B72=0,"",AGOSTO!B72)</f>
        <v>ADMINISTRADORAS DE RIESGOS PROFESIONALES</v>
      </c>
      <c r="C72" s="1637">
        <f t="shared" ref="C72:N72" si="83">SUM(C73:C74)</f>
        <v>474083630</v>
      </c>
      <c r="D72" s="1671">
        <f t="shared" si="83"/>
        <v>0</v>
      </c>
      <c r="E72" s="1671">
        <f t="shared" si="83"/>
        <v>204340974</v>
      </c>
      <c r="F72" s="1671">
        <f t="shared" si="83"/>
        <v>678424604</v>
      </c>
      <c r="G72" s="1671">
        <f t="shared" si="83"/>
        <v>354390331</v>
      </c>
      <c r="H72" s="1671">
        <f t="shared" si="83"/>
        <v>2184071</v>
      </c>
      <c r="I72" s="1671">
        <f t="shared" si="83"/>
        <v>356574402</v>
      </c>
      <c r="J72" s="1671">
        <f t="shared" si="83"/>
        <v>223924734</v>
      </c>
      <c r="K72" s="1671">
        <f t="shared" si="83"/>
        <v>2698330</v>
      </c>
      <c r="L72" s="1671">
        <f t="shared" si="83"/>
        <v>226623064</v>
      </c>
      <c r="M72" s="1671">
        <f t="shared" si="83"/>
        <v>321850202</v>
      </c>
      <c r="N72" s="1638">
        <f t="shared" si="83"/>
        <v>451801540</v>
      </c>
      <c r="P72" s="1637">
        <f>SUM(P73:P74)</f>
        <v>0</v>
      </c>
      <c r="Q72" s="1638">
        <f>SUM(Q73:Q74)</f>
        <v>0</v>
      </c>
      <c r="R72" s="1448"/>
      <c r="S72" s="1662" t="str">
        <f>+IF(AGOSTO!S72=0,"",AGOSTO!S72)</f>
        <v>1020104-3</v>
      </c>
      <c r="T72" s="1663" t="str">
        <f>+IF(AGOSTO!T72=0,"",AGOSTO!T72)</f>
        <v>Prima de Vacaciones</v>
      </c>
      <c r="U72" s="1617">
        <f>+ENERO!U72</f>
        <v>34829886</v>
      </c>
      <c r="V72" s="1618">
        <f>AGOSTO!V72+SEPTIEMBRE!AL72</f>
        <v>0</v>
      </c>
      <c r="W72" s="1618">
        <f>AGOSTO!W72+SEPTIEMBRE!AM72</f>
        <v>0</v>
      </c>
      <c r="X72" s="1619">
        <f t="shared" si="76"/>
        <v>34829886</v>
      </c>
      <c r="Y72" s="1620">
        <f>AGOSTO!AA72</f>
        <v>13783851</v>
      </c>
      <c r="Z72" s="1557">
        <v>1314923</v>
      </c>
      <c r="AA72" s="1619">
        <f t="shared" si="77"/>
        <v>15098774</v>
      </c>
      <c r="AB72" s="1620">
        <f>AGOSTO!AD72</f>
        <v>13783851</v>
      </c>
      <c r="AC72" s="1557">
        <v>1314923</v>
      </c>
      <c r="AD72" s="1619">
        <f t="shared" si="78"/>
        <v>15098774</v>
      </c>
      <c r="AE72" s="1620">
        <f>AGOSTO!AG72</f>
        <v>13783851</v>
      </c>
      <c r="AF72" s="1557">
        <v>1314923</v>
      </c>
      <c r="AG72" s="1619">
        <f t="shared" si="79"/>
        <v>15098774</v>
      </c>
      <c r="AH72" s="1620">
        <f t="shared" si="80"/>
        <v>19731112</v>
      </c>
      <c r="AI72" s="1618">
        <f t="shared" si="81"/>
        <v>19731112</v>
      </c>
      <c r="AJ72" s="1621">
        <f t="shared" si="82"/>
        <v>19731112</v>
      </c>
      <c r="AK72" s="1448"/>
      <c r="AL72" s="1559">
        <v>0</v>
      </c>
      <c r="AM72" s="1560">
        <v>0</v>
      </c>
      <c r="AN72" s="1448"/>
      <c r="AO72" s="1401"/>
      <c r="AP72" s="1401"/>
      <c r="AQ72" s="1401"/>
      <c r="AR72" s="1401"/>
      <c r="AS72" s="1401"/>
      <c r="AT72" s="1401"/>
      <c r="AU72" s="1401"/>
      <c r="AV72" s="1401"/>
      <c r="AW72" s="1401"/>
      <c r="AX72" s="1401"/>
      <c r="AY72" s="1401"/>
      <c r="AZ72" s="1401"/>
    </row>
    <row r="73" spans="1:70" s="1659" customFormat="1" ht="24.95" customHeight="1">
      <c r="A73" s="1551" t="str">
        <f>+IF(AGOSTO!A73=0,"",AGOSTO!A73)</f>
        <v>1130116-1</v>
      </c>
      <c r="B73" s="1682" t="str">
        <f>+CONCATENATE("Vigencia ",INSTRUCCIONES!$F$3)</f>
        <v>Vigencia 2017</v>
      </c>
      <c r="C73" s="1553">
        <f>+ENERO!C73</f>
        <v>474083630</v>
      </c>
      <c r="D73" s="1554">
        <f>AGOSTO!D73+SEPTIEMBRE!P73</f>
        <v>0</v>
      </c>
      <c r="E73" s="1554">
        <f>AGOSTO!E73+SEPTIEMBRE!Q73</f>
        <v>0</v>
      </c>
      <c r="F73" s="1554">
        <f>SUM(C73:E73)</f>
        <v>474083630</v>
      </c>
      <c r="G73" s="1554">
        <f>AGOSTO!I73</f>
        <v>147775704</v>
      </c>
      <c r="H73" s="1557">
        <v>2184071</v>
      </c>
      <c r="I73" s="1554">
        <f>SUM(G73:H73)</f>
        <v>149959775</v>
      </c>
      <c r="J73" s="1554">
        <f>AGOSTO!L73</f>
        <v>17310107</v>
      </c>
      <c r="K73" s="1557">
        <v>2698330</v>
      </c>
      <c r="L73" s="1554">
        <f>SUM(J73:K73)</f>
        <v>20008437</v>
      </c>
      <c r="M73" s="1554">
        <f>F73-I73</f>
        <v>324123855</v>
      </c>
      <c r="N73" s="1555">
        <f>F73-L73</f>
        <v>454075193</v>
      </c>
      <c r="O73" s="1572"/>
      <c r="P73" s="1559">
        <v>0</v>
      </c>
      <c r="Q73" s="1560">
        <v>0</v>
      </c>
      <c r="R73" s="1448"/>
      <c r="S73" s="1662" t="str">
        <f>+IF(AGOSTO!S73=0,"",AGOSTO!S73)</f>
        <v>1020104-4</v>
      </c>
      <c r="T73" s="1663" t="str">
        <f>+IF(AGOSTO!T73=0,"",AGOSTO!T73)</f>
        <v>Prima Clima</v>
      </c>
      <c r="U73" s="1617">
        <f>+ENERO!U73</f>
        <v>0</v>
      </c>
      <c r="V73" s="1618">
        <f>AGOSTO!V73+SEPTIEMBRE!AL73</f>
        <v>0</v>
      </c>
      <c r="W73" s="1618">
        <f>AGOSTO!W73+SEPTIEMBRE!AM73</f>
        <v>0</v>
      </c>
      <c r="X73" s="1619">
        <f t="shared" si="76"/>
        <v>0</v>
      </c>
      <c r="Y73" s="1620">
        <f>AGOSTO!AA73</f>
        <v>0</v>
      </c>
      <c r="Z73" s="1557">
        <v>0</v>
      </c>
      <c r="AA73" s="1619">
        <f t="shared" si="77"/>
        <v>0</v>
      </c>
      <c r="AB73" s="1620">
        <f>AGOSTO!AD73</f>
        <v>0</v>
      </c>
      <c r="AC73" s="1557">
        <v>0</v>
      </c>
      <c r="AD73" s="1619">
        <f t="shared" si="78"/>
        <v>0</v>
      </c>
      <c r="AE73" s="1620">
        <f>AGOSTO!AG73</f>
        <v>0</v>
      </c>
      <c r="AF73" s="1557">
        <v>0</v>
      </c>
      <c r="AG73" s="1619">
        <f t="shared" si="79"/>
        <v>0</v>
      </c>
      <c r="AH73" s="1620">
        <f t="shared" si="80"/>
        <v>0</v>
      </c>
      <c r="AI73" s="1618">
        <f t="shared" si="81"/>
        <v>0</v>
      </c>
      <c r="AJ73" s="1621">
        <f t="shared" si="82"/>
        <v>0</v>
      </c>
      <c r="AK73" s="1448"/>
      <c r="AL73" s="1559">
        <v>0</v>
      </c>
      <c r="AM73" s="1560">
        <v>0</v>
      </c>
      <c r="AN73" s="1448"/>
      <c r="AO73" s="1401"/>
      <c r="AP73" s="1401"/>
      <c r="AQ73" s="1401"/>
      <c r="AR73" s="1401"/>
      <c r="AS73" s="1401"/>
      <c r="AT73" s="1401"/>
      <c r="AU73" s="1401"/>
      <c r="AV73" s="1401"/>
      <c r="AW73" s="1401"/>
      <c r="AX73" s="1401"/>
      <c r="AY73" s="1401"/>
      <c r="AZ73" s="1401"/>
      <c r="BA73" s="1572"/>
      <c r="BB73" s="1572"/>
      <c r="BC73" s="1572"/>
      <c r="BD73" s="1572"/>
      <c r="BE73" s="1572"/>
      <c r="BF73" s="1572"/>
      <c r="BG73" s="1572"/>
      <c r="BH73" s="1572"/>
      <c r="BI73" s="1572"/>
      <c r="BJ73" s="1572"/>
      <c r="BK73" s="1572"/>
      <c r="BL73" s="1572"/>
      <c r="BM73" s="1572"/>
      <c r="BN73" s="1572"/>
      <c r="BO73" s="1572"/>
      <c r="BP73" s="1572"/>
      <c r="BQ73" s="1572"/>
      <c r="BR73" s="1572"/>
    </row>
    <row r="74" spans="1:70" s="1659" customFormat="1" ht="24.95" customHeight="1">
      <c r="A74" s="1551" t="str">
        <f>+IF(AGOSTO!A74=0,"",AGOSTO!A74)</f>
        <v>1130116-2</v>
      </c>
      <c r="B74" s="1682" t="str">
        <f>+IF(AGOSTO!B74=0,"",AGOSTO!B74)</f>
        <v>Vigencia Anterior</v>
      </c>
      <c r="C74" s="1553">
        <f>+ENERO!C74</f>
        <v>0</v>
      </c>
      <c r="D74" s="1554">
        <f>AGOSTO!D74+SEPTIEMBRE!P74</f>
        <v>0</v>
      </c>
      <c r="E74" s="1554">
        <f>AGOSTO!E74+SEPTIEMBRE!Q74</f>
        <v>204340974</v>
      </c>
      <c r="F74" s="1554">
        <f>SUM(C74:E74)</f>
        <v>204340974</v>
      </c>
      <c r="G74" s="1554">
        <f>AGOSTO!I74</f>
        <v>206614627</v>
      </c>
      <c r="H74" s="1557">
        <v>0</v>
      </c>
      <c r="I74" s="1554">
        <f>SUM(G74:H74)</f>
        <v>206614627</v>
      </c>
      <c r="J74" s="1554">
        <f>AGOSTO!L74</f>
        <v>206614627</v>
      </c>
      <c r="K74" s="1557">
        <v>0</v>
      </c>
      <c r="L74" s="1554">
        <f>SUM(J74:K74)</f>
        <v>206614627</v>
      </c>
      <c r="M74" s="1554">
        <f>F74-I74</f>
        <v>-2273653</v>
      </c>
      <c r="N74" s="1555">
        <f>F74-L74</f>
        <v>-2273653</v>
      </c>
      <c r="O74" s="1572"/>
      <c r="P74" s="1559">
        <v>0</v>
      </c>
      <c r="Q74" s="1560">
        <v>0</v>
      </c>
      <c r="R74" s="1448"/>
      <c r="S74" s="1662" t="str">
        <f>+IF(AGOSTO!S74=0,"",AGOSTO!S74)</f>
        <v>1020104-5</v>
      </c>
      <c r="T74" s="1663" t="str">
        <f>+IF(AGOSTO!T74=0,"",AGOSTO!T74)</f>
        <v>Prima de Servicios</v>
      </c>
      <c r="U74" s="1617">
        <f>+ENERO!U74</f>
        <v>36082760</v>
      </c>
      <c r="V74" s="1618">
        <f>AGOSTO!V74+SEPTIEMBRE!AL74</f>
        <v>0</v>
      </c>
      <c r="W74" s="1618">
        <f>AGOSTO!W74+SEPTIEMBRE!AM74</f>
        <v>0</v>
      </c>
      <c r="X74" s="1619">
        <f t="shared" si="76"/>
        <v>36082760</v>
      </c>
      <c r="Y74" s="1620">
        <f>AGOSTO!AA74</f>
        <v>32456139</v>
      </c>
      <c r="Z74" s="1557">
        <v>2192114</v>
      </c>
      <c r="AA74" s="1619">
        <f t="shared" si="77"/>
        <v>34648253</v>
      </c>
      <c r="AB74" s="1620">
        <f>AGOSTO!AD74</f>
        <v>32456139</v>
      </c>
      <c r="AC74" s="1557">
        <v>2192114</v>
      </c>
      <c r="AD74" s="1619">
        <f t="shared" si="78"/>
        <v>34648253</v>
      </c>
      <c r="AE74" s="1620">
        <f>AGOSTO!AG74</f>
        <v>32456139</v>
      </c>
      <c r="AF74" s="1557">
        <v>2192114</v>
      </c>
      <c r="AG74" s="1619">
        <f t="shared" si="79"/>
        <v>34648253</v>
      </c>
      <c r="AH74" s="1620">
        <f t="shared" si="80"/>
        <v>1434507</v>
      </c>
      <c r="AI74" s="1618">
        <f t="shared" si="81"/>
        <v>1434507</v>
      </c>
      <c r="AJ74" s="1621">
        <f t="shared" si="82"/>
        <v>1434507</v>
      </c>
      <c r="AK74" s="1448"/>
      <c r="AL74" s="1559">
        <v>0</v>
      </c>
      <c r="AM74" s="1560">
        <v>0</v>
      </c>
      <c r="AN74" s="1448"/>
      <c r="AO74" s="1401"/>
      <c r="AP74" s="1401"/>
      <c r="AQ74" s="1401"/>
      <c r="AR74" s="1401"/>
      <c r="AS74" s="1401"/>
      <c r="AT74" s="1401"/>
      <c r="AU74" s="1401"/>
      <c r="AV74" s="1401"/>
      <c r="AW74" s="1401"/>
      <c r="AX74" s="1401"/>
      <c r="AY74" s="1401"/>
      <c r="AZ74" s="1401"/>
      <c r="BA74" s="1572"/>
      <c r="BB74" s="1572"/>
      <c r="BC74" s="1572"/>
      <c r="BD74" s="1572"/>
      <c r="BE74" s="1572"/>
      <c r="BF74" s="1572"/>
      <c r="BG74" s="1572"/>
      <c r="BH74" s="1572"/>
      <c r="BI74" s="1572"/>
      <c r="BJ74" s="1572"/>
      <c r="BK74" s="1572"/>
      <c r="BL74" s="1572"/>
      <c r="BM74" s="1572"/>
      <c r="BN74" s="1572"/>
      <c r="BO74" s="1572"/>
      <c r="BP74" s="1572"/>
      <c r="BQ74" s="1572"/>
      <c r="BR74" s="1572"/>
    </row>
    <row r="75" spans="1:70" s="1572" customFormat="1" ht="24.95" customHeight="1">
      <c r="A75" s="1635">
        <f>+IF(AGOSTO!A75=0,"",AGOSTO!A75)</f>
        <v>1130117</v>
      </c>
      <c r="B75" s="1670" t="str">
        <f>+IF(AGOSTO!B75=0,"",AGOSTO!B75)</f>
        <v>CUOTAS DE RECUPERACION</v>
      </c>
      <c r="C75" s="1637">
        <f t="shared" ref="C75:N75" si="84">SUM(C76:C77)</f>
        <v>52000000</v>
      </c>
      <c r="D75" s="1671">
        <f t="shared" si="84"/>
        <v>0</v>
      </c>
      <c r="E75" s="1671">
        <f t="shared" si="84"/>
        <v>602749</v>
      </c>
      <c r="F75" s="1671">
        <f t="shared" si="84"/>
        <v>52602749</v>
      </c>
      <c r="G75" s="1671">
        <f t="shared" si="84"/>
        <v>31367263</v>
      </c>
      <c r="H75" s="1671">
        <f t="shared" si="84"/>
        <v>0</v>
      </c>
      <c r="I75" s="1671">
        <f t="shared" si="84"/>
        <v>31367263</v>
      </c>
      <c r="J75" s="1671">
        <f t="shared" si="84"/>
        <v>1509049</v>
      </c>
      <c r="K75" s="1671">
        <f t="shared" si="84"/>
        <v>0</v>
      </c>
      <c r="L75" s="1671">
        <f t="shared" si="84"/>
        <v>1509049</v>
      </c>
      <c r="M75" s="1671">
        <f t="shared" si="84"/>
        <v>21235486</v>
      </c>
      <c r="N75" s="1638">
        <f t="shared" si="84"/>
        <v>51093700</v>
      </c>
      <c r="P75" s="1637">
        <f>SUM(P76:P77)</f>
        <v>0</v>
      </c>
      <c r="Q75" s="1638">
        <f>SUM(Q76:Q77)</f>
        <v>0</v>
      </c>
      <c r="R75" s="1448"/>
      <c r="S75" s="1662" t="str">
        <f>+IF(AGOSTO!S75=0,"",AGOSTO!S75)</f>
        <v>1020104-8</v>
      </c>
      <c r="T75" s="1663" t="str">
        <f>+IF(AGOSTO!T75=0,"",AGOSTO!T75)</f>
        <v>Bonific. por Servicios Prestados</v>
      </c>
      <c r="U75" s="1617">
        <f>+ENERO!U75</f>
        <v>17770724</v>
      </c>
      <c r="V75" s="1618">
        <f>AGOSTO!V75+SEPTIEMBRE!AL75</f>
        <v>0</v>
      </c>
      <c r="W75" s="1618">
        <f>AGOSTO!W75+SEPTIEMBRE!AM75</f>
        <v>0</v>
      </c>
      <c r="X75" s="1619">
        <f t="shared" si="76"/>
        <v>17770724</v>
      </c>
      <c r="Y75" s="1620">
        <f>AGOSTO!AA75</f>
        <v>12231584</v>
      </c>
      <c r="Z75" s="1557">
        <v>2905748</v>
      </c>
      <c r="AA75" s="1619">
        <f t="shared" si="77"/>
        <v>15137332</v>
      </c>
      <c r="AB75" s="1620">
        <f>AGOSTO!AD75</f>
        <v>12231584</v>
      </c>
      <c r="AC75" s="1557">
        <v>2905748</v>
      </c>
      <c r="AD75" s="1619">
        <f t="shared" si="78"/>
        <v>15137332</v>
      </c>
      <c r="AE75" s="1620">
        <f>AGOSTO!AG75</f>
        <v>12231584</v>
      </c>
      <c r="AF75" s="1557">
        <v>2905748</v>
      </c>
      <c r="AG75" s="1619">
        <f t="shared" si="79"/>
        <v>15137332</v>
      </c>
      <c r="AH75" s="1620">
        <f t="shared" si="80"/>
        <v>2633392</v>
      </c>
      <c r="AI75" s="1618">
        <f t="shared" si="81"/>
        <v>2633392</v>
      </c>
      <c r="AJ75" s="1621">
        <f t="shared" si="82"/>
        <v>2633392</v>
      </c>
      <c r="AK75" s="1448"/>
      <c r="AL75" s="1559">
        <v>0</v>
      </c>
      <c r="AM75" s="1560">
        <v>0</v>
      </c>
      <c r="AN75" s="1448"/>
      <c r="AO75" s="1401"/>
      <c r="AP75" s="1401"/>
      <c r="AQ75" s="1401"/>
      <c r="AR75" s="1401"/>
      <c r="AS75" s="1401"/>
      <c r="AT75" s="1401"/>
      <c r="AU75" s="1401"/>
      <c r="AV75" s="1401"/>
      <c r="AW75" s="1401"/>
      <c r="AX75" s="1401"/>
      <c r="AY75" s="1401"/>
      <c r="AZ75" s="1401"/>
    </row>
    <row r="76" spans="1:70" s="1659" customFormat="1" ht="24.95" customHeight="1">
      <c r="A76" s="1551" t="str">
        <f>+IF(AGOSTO!A76=0,"",AGOSTO!A76)</f>
        <v>1130117-1</v>
      </c>
      <c r="B76" s="1682" t="str">
        <f>+CONCATENATE("Vigencia ",INSTRUCCIONES!$F$3)</f>
        <v>Vigencia 2017</v>
      </c>
      <c r="C76" s="1553">
        <f>+ENERO!C76</f>
        <v>52000000</v>
      </c>
      <c r="D76" s="1554">
        <f>AGOSTO!D76+SEPTIEMBRE!P76</f>
        <v>0</v>
      </c>
      <c r="E76" s="1554">
        <f>AGOSTO!E76+SEPTIEMBRE!Q76</f>
        <v>0</v>
      </c>
      <c r="F76" s="1554">
        <f t="shared" ref="F76:F83" si="85">SUM(C76:E76)</f>
        <v>52000000</v>
      </c>
      <c r="G76" s="1554">
        <f>AGOSTO!I76</f>
        <v>30764514</v>
      </c>
      <c r="H76" s="1557">
        <v>0</v>
      </c>
      <c r="I76" s="1554">
        <f t="shared" ref="I76:I83" si="86">SUM(G76:H76)</f>
        <v>30764514</v>
      </c>
      <c r="J76" s="1554">
        <f>AGOSTO!L76</f>
        <v>906300</v>
      </c>
      <c r="K76" s="1557">
        <v>0</v>
      </c>
      <c r="L76" s="1554">
        <f t="shared" ref="L76:L83" si="87">SUM(J76:K76)</f>
        <v>906300</v>
      </c>
      <c r="M76" s="1554">
        <f t="shared" ref="M76:M83" si="88">F76-I76</f>
        <v>21235486</v>
      </c>
      <c r="N76" s="1555">
        <f t="shared" ref="N76:N83" si="89">F76-L76</f>
        <v>51093700</v>
      </c>
      <c r="O76" s="1572"/>
      <c r="P76" s="1559">
        <v>0</v>
      </c>
      <c r="Q76" s="1560">
        <v>0</v>
      </c>
      <c r="R76" s="1448"/>
      <c r="S76" s="1662" t="str">
        <f>+IF(AGOSTO!S76=0,"",AGOSTO!S76)</f>
        <v>1020104-9</v>
      </c>
      <c r="T76" s="1663" t="str">
        <f>+IF(AGOSTO!T76=0,"",AGOSTO!T76)</f>
        <v>Auxilio de Transporte</v>
      </c>
      <c r="U76" s="1617">
        <f>+ENERO!U76</f>
        <v>1703268</v>
      </c>
      <c r="V76" s="1618">
        <f>AGOSTO!V76+SEPTIEMBRE!AL76</f>
        <v>5000</v>
      </c>
      <c r="W76" s="1618">
        <f>AGOSTO!W76+SEPTIEMBRE!AM76</f>
        <v>0</v>
      </c>
      <c r="X76" s="1619">
        <f t="shared" si="76"/>
        <v>1708268</v>
      </c>
      <c r="Y76" s="1620">
        <f>AGOSTO!AA76</f>
        <v>1538060</v>
      </c>
      <c r="Z76" s="1557">
        <v>166280</v>
      </c>
      <c r="AA76" s="1619">
        <f t="shared" si="77"/>
        <v>1704340</v>
      </c>
      <c r="AB76" s="1620">
        <f>AGOSTO!AD76</f>
        <v>1538060</v>
      </c>
      <c r="AC76" s="1557">
        <v>166280</v>
      </c>
      <c r="AD76" s="1619">
        <f t="shared" si="78"/>
        <v>1704340</v>
      </c>
      <c r="AE76" s="1620">
        <f>AGOSTO!AG76</f>
        <v>1538060</v>
      </c>
      <c r="AF76" s="1557">
        <v>166280</v>
      </c>
      <c r="AG76" s="1619">
        <f t="shared" si="79"/>
        <v>1704340</v>
      </c>
      <c r="AH76" s="1620">
        <f t="shared" si="80"/>
        <v>3928</v>
      </c>
      <c r="AI76" s="1618">
        <f t="shared" si="81"/>
        <v>3928</v>
      </c>
      <c r="AJ76" s="1621">
        <f t="shared" si="82"/>
        <v>3928</v>
      </c>
      <c r="AK76" s="1448"/>
      <c r="AL76" s="1559">
        <v>5000</v>
      </c>
      <c r="AM76" s="1560">
        <v>0</v>
      </c>
      <c r="AN76" s="1448"/>
      <c r="AO76" s="1401"/>
      <c r="AP76" s="1401"/>
      <c r="AQ76" s="1730"/>
      <c r="AR76" s="1401"/>
      <c r="AS76" s="1401"/>
      <c r="AT76" s="1401"/>
      <c r="AU76" s="1401"/>
      <c r="AV76" s="1401"/>
      <c r="AW76" s="1401"/>
      <c r="AX76" s="1401"/>
      <c r="AY76" s="1401"/>
      <c r="AZ76" s="1401"/>
      <c r="BA76" s="1572"/>
      <c r="BB76" s="1572"/>
      <c r="BC76" s="1572"/>
      <c r="BD76" s="1572"/>
      <c r="BE76" s="1572"/>
      <c r="BF76" s="1572"/>
      <c r="BG76" s="1572"/>
      <c r="BH76" s="1572"/>
      <c r="BI76" s="1572"/>
      <c r="BJ76" s="1572"/>
      <c r="BK76" s="1572"/>
      <c r="BL76" s="1572"/>
      <c r="BM76" s="1572"/>
      <c r="BN76" s="1572"/>
      <c r="BO76" s="1572"/>
      <c r="BP76" s="1572"/>
      <c r="BQ76" s="1572"/>
      <c r="BR76" s="1572"/>
    </row>
    <row r="77" spans="1:70" s="1659" customFormat="1" ht="24.95" customHeight="1">
      <c r="A77" s="1551" t="str">
        <f>+IF(AGOSTO!A77=0,"",AGOSTO!A77)</f>
        <v>1130117-2</v>
      </c>
      <c r="B77" s="1682" t="str">
        <f>+IF(AGOSTO!B77=0,"",AGOSTO!B77)</f>
        <v>Vigencia Anterior</v>
      </c>
      <c r="C77" s="1553">
        <f>+ENERO!C77</f>
        <v>0</v>
      </c>
      <c r="D77" s="1554">
        <f>AGOSTO!D77+SEPTIEMBRE!P77</f>
        <v>0</v>
      </c>
      <c r="E77" s="1554">
        <f>AGOSTO!E77+SEPTIEMBRE!Q77</f>
        <v>602749</v>
      </c>
      <c r="F77" s="1554">
        <f t="shared" si="85"/>
        <v>602749</v>
      </c>
      <c r="G77" s="1554">
        <f>AGOSTO!I77</f>
        <v>602749</v>
      </c>
      <c r="H77" s="1557">
        <v>0</v>
      </c>
      <c r="I77" s="1554">
        <f t="shared" si="86"/>
        <v>602749</v>
      </c>
      <c r="J77" s="1554">
        <f>AGOSTO!L77</f>
        <v>602749</v>
      </c>
      <c r="K77" s="1557">
        <v>0</v>
      </c>
      <c r="L77" s="1554">
        <f t="shared" si="87"/>
        <v>602749</v>
      </c>
      <c r="M77" s="1554">
        <f t="shared" si="88"/>
        <v>0</v>
      </c>
      <c r="N77" s="1555">
        <f t="shared" si="89"/>
        <v>0</v>
      </c>
      <c r="O77" s="1572"/>
      <c r="P77" s="1559">
        <v>0</v>
      </c>
      <c r="Q77" s="1560">
        <v>0</v>
      </c>
      <c r="R77" s="1448"/>
      <c r="S77" s="1662" t="str">
        <f>+IF(AGOSTO!S77=0,"",AGOSTO!S77)</f>
        <v>1020104-10</v>
      </c>
      <c r="T77" s="1663" t="str">
        <f>+IF(AGOSTO!T77=0,"",AGOSTO!T77)</f>
        <v>Subsidio de Alimentación</v>
      </c>
      <c r="U77" s="1617">
        <f>+ENERO!U77</f>
        <v>1200000</v>
      </c>
      <c r="V77" s="1618">
        <f>AGOSTO!V77+SEPTIEMBRE!AL77</f>
        <v>118000</v>
      </c>
      <c r="W77" s="1618">
        <f>AGOSTO!W77+SEPTIEMBRE!AM77</f>
        <v>0</v>
      </c>
      <c r="X77" s="1619">
        <f t="shared" si="76"/>
        <v>1318000</v>
      </c>
      <c r="Y77" s="1620">
        <f>AGOSTO!AA77</f>
        <v>831425</v>
      </c>
      <c r="Z77" s="1557">
        <v>485803</v>
      </c>
      <c r="AA77" s="1619">
        <f t="shared" si="77"/>
        <v>1317228</v>
      </c>
      <c r="AB77" s="1620">
        <f>AGOSTO!AD77</f>
        <v>831425</v>
      </c>
      <c r="AC77" s="1557">
        <v>485803</v>
      </c>
      <c r="AD77" s="1619">
        <f t="shared" si="78"/>
        <v>1317228</v>
      </c>
      <c r="AE77" s="1620">
        <f>AGOSTO!AG77</f>
        <v>831425</v>
      </c>
      <c r="AF77" s="1557">
        <v>485803</v>
      </c>
      <c r="AG77" s="1619">
        <f t="shared" si="79"/>
        <v>1317228</v>
      </c>
      <c r="AH77" s="1620">
        <f t="shared" si="80"/>
        <v>772</v>
      </c>
      <c r="AI77" s="1618">
        <f t="shared" si="81"/>
        <v>772</v>
      </c>
      <c r="AJ77" s="1621">
        <f t="shared" si="82"/>
        <v>772</v>
      </c>
      <c r="AK77" s="1448"/>
      <c r="AL77" s="1559">
        <v>118000</v>
      </c>
      <c r="AM77" s="1560">
        <v>0</v>
      </c>
      <c r="AN77" s="1448"/>
      <c r="AO77" s="1401"/>
      <c r="AP77" s="1401"/>
      <c r="AQ77" s="1401"/>
      <c r="AR77" s="1401"/>
      <c r="AS77" s="1401"/>
      <c r="AT77" s="1401"/>
      <c r="AU77" s="1401"/>
      <c r="AV77" s="1401"/>
      <c r="AW77" s="1401"/>
      <c r="AX77" s="1401"/>
      <c r="AY77" s="1401"/>
      <c r="AZ77" s="1401"/>
      <c r="BA77" s="1572"/>
      <c r="BB77" s="1572"/>
      <c r="BC77" s="1572"/>
      <c r="BD77" s="1572"/>
      <c r="BE77" s="1572"/>
      <c r="BF77" s="1572"/>
      <c r="BG77" s="1572"/>
      <c r="BH77" s="1572"/>
      <c r="BI77" s="1572"/>
      <c r="BJ77" s="1572"/>
      <c r="BK77" s="1572"/>
      <c r="BL77" s="1572"/>
      <c r="BM77" s="1572"/>
      <c r="BN77" s="1572"/>
      <c r="BO77" s="1572"/>
      <c r="BP77" s="1572"/>
      <c r="BQ77" s="1572"/>
      <c r="BR77" s="1572"/>
    </row>
    <row r="78" spans="1:70" s="1659" customFormat="1" ht="24.95" customHeight="1">
      <c r="A78" s="1635">
        <f>+IF(AGOSTO!A78=0,"",AGOSTO!A78)</f>
        <v>1130118</v>
      </c>
      <c r="B78" s="1670" t="str">
        <f>+IF(AGOSTO!B78=0,"",AGOSTO!B78)</f>
        <v>PARTICULARES   (Venta de Contado)</v>
      </c>
      <c r="C78" s="1637">
        <f>SUM(C79:C80)</f>
        <v>435000000</v>
      </c>
      <c r="D78" s="1671">
        <f>SUM(D79:D80)</f>
        <v>0</v>
      </c>
      <c r="E78" s="1671">
        <f>SUM(E79:E80)</f>
        <v>1833000</v>
      </c>
      <c r="F78" s="1671">
        <f t="shared" si="85"/>
        <v>436833000</v>
      </c>
      <c r="G78" s="1671">
        <f>SUM(G79:G80)</f>
        <v>338907836</v>
      </c>
      <c r="H78" s="1671">
        <f>SUM(H79:H80)</f>
        <v>18028220</v>
      </c>
      <c r="I78" s="1671">
        <f t="shared" si="86"/>
        <v>356936056</v>
      </c>
      <c r="J78" s="1671">
        <f>SUM(J79:J80)</f>
        <v>338907836</v>
      </c>
      <c r="K78" s="1671">
        <f>SUM(K79:K80)</f>
        <v>18028220</v>
      </c>
      <c r="L78" s="1671">
        <f t="shared" si="87"/>
        <v>356936056</v>
      </c>
      <c r="M78" s="1671">
        <f t="shared" si="88"/>
        <v>79896944</v>
      </c>
      <c r="N78" s="1638">
        <f t="shared" si="89"/>
        <v>79896944</v>
      </c>
      <c r="O78" s="1572"/>
      <c r="P78" s="1637">
        <f>SUM(P79:P80)</f>
        <v>0</v>
      </c>
      <c r="Q78" s="1638">
        <f>SUM(Q79:Q80)</f>
        <v>0</v>
      </c>
      <c r="R78" s="1448"/>
      <c r="S78" s="1662" t="str">
        <f>+IF(AGOSTO!S78=0,"",AGOSTO!S78)</f>
        <v>1020104-12</v>
      </c>
      <c r="T78" s="1663" t="str">
        <f>+IF(AGOSTO!T78=0,"",AGOSTO!T78)</f>
        <v>Indemnizaciones por Vacaciones o Supresión de Cargos por Reestructuración</v>
      </c>
      <c r="U78" s="1617">
        <f>+ENERO!U78</f>
        <v>0</v>
      </c>
      <c r="V78" s="1618">
        <f>AGOSTO!V78+SEPTIEMBRE!AL78</f>
        <v>0</v>
      </c>
      <c r="W78" s="1618">
        <f>AGOSTO!W78+SEPTIEMBRE!AM78</f>
        <v>0</v>
      </c>
      <c r="X78" s="1619">
        <f t="shared" si="76"/>
        <v>0</v>
      </c>
      <c r="Y78" s="1620">
        <f>AGOSTO!AA78</f>
        <v>0</v>
      </c>
      <c r="Z78" s="1557">
        <v>0</v>
      </c>
      <c r="AA78" s="1619">
        <f t="shared" si="77"/>
        <v>0</v>
      </c>
      <c r="AB78" s="1620">
        <f>AGOSTO!AD78</f>
        <v>0</v>
      </c>
      <c r="AC78" s="1557">
        <v>0</v>
      </c>
      <c r="AD78" s="1619">
        <f t="shared" si="78"/>
        <v>0</v>
      </c>
      <c r="AE78" s="1620">
        <f>AGOSTO!AG78</f>
        <v>0</v>
      </c>
      <c r="AF78" s="1557">
        <v>0</v>
      </c>
      <c r="AG78" s="1619">
        <f t="shared" si="79"/>
        <v>0</v>
      </c>
      <c r="AH78" s="1620">
        <f t="shared" si="80"/>
        <v>0</v>
      </c>
      <c r="AI78" s="1618">
        <f t="shared" si="81"/>
        <v>0</v>
      </c>
      <c r="AJ78" s="1621">
        <f t="shared" si="82"/>
        <v>0</v>
      </c>
      <c r="AK78" s="1448"/>
      <c r="AL78" s="1559">
        <v>0</v>
      </c>
      <c r="AM78" s="1560">
        <v>0</v>
      </c>
      <c r="AN78" s="1448"/>
      <c r="AO78" s="1401"/>
      <c r="AP78" s="1401"/>
      <c r="AQ78" s="1401"/>
      <c r="AR78" s="1401"/>
      <c r="AS78" s="1401"/>
      <c r="AT78" s="1401"/>
      <c r="AU78" s="1401"/>
      <c r="AV78" s="1401"/>
      <c r="AW78" s="1401"/>
      <c r="AX78" s="1401"/>
      <c r="AY78" s="1401"/>
      <c r="AZ78" s="1401"/>
      <c r="BA78" s="1572"/>
      <c r="BB78" s="1572"/>
      <c r="BC78" s="1572"/>
      <c r="BD78" s="1572"/>
      <c r="BE78" s="1572"/>
      <c r="BF78" s="1572"/>
      <c r="BG78" s="1572"/>
      <c r="BH78" s="1572"/>
      <c r="BI78" s="1572"/>
      <c r="BJ78" s="1572"/>
      <c r="BK78" s="1572"/>
      <c r="BL78" s="1572"/>
      <c r="BM78" s="1572"/>
      <c r="BN78" s="1572"/>
      <c r="BO78" s="1572"/>
      <c r="BP78" s="1572"/>
      <c r="BQ78" s="1572"/>
      <c r="BR78" s="1572"/>
    </row>
    <row r="79" spans="1:70" s="1572" customFormat="1" ht="24.95" customHeight="1">
      <c r="A79" s="1551" t="str">
        <f>+IF(AGOSTO!A79=0,"",AGOSTO!A79)</f>
        <v>1130118-1</v>
      </c>
      <c r="B79" s="1682" t="str">
        <f>+CONCATENATE("Vigencia ",INSTRUCCIONES!$F$3)</f>
        <v>Vigencia 2017</v>
      </c>
      <c r="C79" s="1553">
        <f>+ENERO!C79</f>
        <v>435000000</v>
      </c>
      <c r="D79" s="1554">
        <f>AGOSTO!D79+SEPTIEMBRE!P79</f>
        <v>0</v>
      </c>
      <c r="E79" s="1554">
        <f>AGOSTO!E79+SEPTIEMBRE!Q79</f>
        <v>0</v>
      </c>
      <c r="F79" s="1554">
        <f t="shared" si="85"/>
        <v>435000000</v>
      </c>
      <c r="G79" s="1554">
        <f>AGOSTO!I79</f>
        <v>336159582</v>
      </c>
      <c r="H79" s="1557">
        <v>16387911</v>
      </c>
      <c r="I79" s="1554">
        <f t="shared" si="86"/>
        <v>352547493</v>
      </c>
      <c r="J79" s="1554">
        <f>AGOSTO!L79</f>
        <v>336159582</v>
      </c>
      <c r="K79" s="1557">
        <v>16387911</v>
      </c>
      <c r="L79" s="1554">
        <f t="shared" si="87"/>
        <v>352547493</v>
      </c>
      <c r="M79" s="1554">
        <f t="shared" si="88"/>
        <v>82452507</v>
      </c>
      <c r="N79" s="1555">
        <f t="shared" si="89"/>
        <v>82452507</v>
      </c>
      <c r="P79" s="1559">
        <v>0</v>
      </c>
      <c r="Q79" s="1560">
        <v>0</v>
      </c>
      <c r="R79" s="1448"/>
      <c r="S79" s="1662" t="str">
        <f>+IF(AGOSTO!S79=0,"",AGOSTO!S79)</f>
        <v>1020104-13</v>
      </c>
      <c r="T79" s="1663" t="str">
        <f>+IF(AGOSTO!T79=0,"",AGOSTO!T79)</f>
        <v>Bonificación Especial por Recreación</v>
      </c>
      <c r="U79" s="1617">
        <f>+ENERO!U79</f>
        <v>2582164</v>
      </c>
      <c r="V79" s="1618">
        <f>AGOSTO!V79+SEPTIEMBRE!AL79</f>
        <v>0</v>
      </c>
      <c r="W79" s="1618">
        <f>AGOSTO!W79+SEPTIEMBRE!AM79</f>
        <v>0</v>
      </c>
      <c r="X79" s="1619">
        <f t="shared" si="76"/>
        <v>2582164</v>
      </c>
      <c r="Y79" s="1620">
        <f>AGOSTO!AA79</f>
        <v>2003711</v>
      </c>
      <c r="Z79" s="1557">
        <v>222233</v>
      </c>
      <c r="AA79" s="1619">
        <f t="shared" si="77"/>
        <v>2225944</v>
      </c>
      <c r="AB79" s="1620">
        <f>AGOSTO!AD79</f>
        <v>2003711</v>
      </c>
      <c r="AC79" s="1557">
        <v>222233</v>
      </c>
      <c r="AD79" s="1619">
        <f t="shared" si="78"/>
        <v>2225944</v>
      </c>
      <c r="AE79" s="1620">
        <f>AGOSTO!AG79</f>
        <v>2003711</v>
      </c>
      <c r="AF79" s="1557">
        <v>222233</v>
      </c>
      <c r="AG79" s="1619">
        <f t="shared" si="79"/>
        <v>2225944</v>
      </c>
      <c r="AH79" s="1620">
        <f t="shared" si="80"/>
        <v>356220</v>
      </c>
      <c r="AI79" s="1618">
        <f t="shared" si="81"/>
        <v>356220</v>
      </c>
      <c r="AJ79" s="1621">
        <f t="shared" si="82"/>
        <v>356220</v>
      </c>
      <c r="AK79" s="1448"/>
      <c r="AL79" s="1559">
        <v>0</v>
      </c>
      <c r="AM79" s="1560">
        <v>0</v>
      </c>
      <c r="AN79" s="1448"/>
      <c r="AO79" s="1401"/>
      <c r="AP79" s="1401"/>
      <c r="AQ79" s="1401"/>
      <c r="AR79" s="1401"/>
      <c r="AS79" s="1401"/>
      <c r="AT79" s="1401"/>
      <c r="AU79" s="1401"/>
      <c r="AV79" s="1401"/>
      <c r="AW79" s="1401"/>
      <c r="AX79" s="1401"/>
      <c r="AY79" s="1401"/>
      <c r="AZ79" s="1401"/>
      <c r="BL79" s="1448"/>
    </row>
    <row r="80" spans="1:70" s="1448" customFormat="1" ht="24.95" customHeight="1">
      <c r="A80" s="1551" t="str">
        <f>+IF(AGOSTO!A80=0,"",AGOSTO!A80)</f>
        <v>1130118-2</v>
      </c>
      <c r="B80" s="1682" t="str">
        <f>+IF(AGOSTO!B80=0,"",AGOSTO!B80)</f>
        <v>Vigencia Anterior</v>
      </c>
      <c r="C80" s="1553">
        <f>+ENERO!C80</f>
        <v>0</v>
      </c>
      <c r="D80" s="1554">
        <f>AGOSTO!D80+SEPTIEMBRE!P80</f>
        <v>0</v>
      </c>
      <c r="E80" s="1554">
        <f>AGOSTO!E80+SEPTIEMBRE!Q80</f>
        <v>1833000</v>
      </c>
      <c r="F80" s="1554">
        <f t="shared" si="85"/>
        <v>1833000</v>
      </c>
      <c r="G80" s="1554">
        <f>AGOSTO!I80</f>
        <v>2748254</v>
      </c>
      <c r="H80" s="1557">
        <v>1640309</v>
      </c>
      <c r="I80" s="1554">
        <f t="shared" si="86"/>
        <v>4388563</v>
      </c>
      <c r="J80" s="1554">
        <f>AGOSTO!L80</f>
        <v>2748254</v>
      </c>
      <c r="K80" s="1557">
        <v>1640309</v>
      </c>
      <c r="L80" s="1554">
        <f t="shared" si="87"/>
        <v>4388563</v>
      </c>
      <c r="M80" s="1554">
        <f t="shared" si="88"/>
        <v>-2555563</v>
      </c>
      <c r="N80" s="1555">
        <f t="shared" si="89"/>
        <v>-2555563</v>
      </c>
      <c r="O80" s="1572"/>
      <c r="P80" s="1559">
        <v>0</v>
      </c>
      <c r="Q80" s="1560">
        <v>0</v>
      </c>
      <c r="S80" s="1662" t="str">
        <f>+IF(AGOSTO!S80=0,"",AGOSTO!S80)</f>
        <v>1020104-14</v>
      </c>
      <c r="T80" s="1663" t="str">
        <f>+IF(AGOSTO!T80=0,"",AGOSTO!T80)</f>
        <v/>
      </c>
      <c r="U80" s="1617">
        <f>+ENERO!U80</f>
        <v>48881820</v>
      </c>
      <c r="V80" s="1618">
        <f>AGOSTO!V80+SEPTIEMBRE!AL80</f>
        <v>30000000</v>
      </c>
      <c r="W80" s="1618">
        <f>AGOSTO!W80+SEPTIEMBRE!AM80</f>
        <v>0</v>
      </c>
      <c r="X80" s="1619">
        <f t="shared" si="76"/>
        <v>78881820</v>
      </c>
      <c r="Y80" s="1620">
        <f>AGOSTO!AA80</f>
        <v>53375441</v>
      </c>
      <c r="Z80" s="1557">
        <v>9184882</v>
      </c>
      <c r="AA80" s="1619">
        <f t="shared" si="77"/>
        <v>62560323</v>
      </c>
      <c r="AB80" s="1620">
        <f>AGOSTO!AD80</f>
        <v>53375441</v>
      </c>
      <c r="AC80" s="1557">
        <v>9184882</v>
      </c>
      <c r="AD80" s="1619">
        <f t="shared" si="78"/>
        <v>62560323</v>
      </c>
      <c r="AE80" s="1620">
        <f>AGOSTO!AG80</f>
        <v>53375441</v>
      </c>
      <c r="AF80" s="1557">
        <v>9184882</v>
      </c>
      <c r="AG80" s="1619">
        <f t="shared" si="79"/>
        <v>62560323</v>
      </c>
      <c r="AH80" s="1620">
        <f t="shared" si="80"/>
        <v>16321497</v>
      </c>
      <c r="AI80" s="1618">
        <f t="shared" si="81"/>
        <v>16321497</v>
      </c>
      <c r="AJ80" s="1621">
        <f t="shared" si="82"/>
        <v>16321497</v>
      </c>
      <c r="AL80" s="1559">
        <v>0</v>
      </c>
      <c r="AM80" s="1560">
        <v>0</v>
      </c>
      <c r="AO80" s="1401"/>
      <c r="AP80" s="1401"/>
      <c r="AQ80" s="1401"/>
      <c r="AR80" s="1401"/>
      <c r="AS80" s="1401"/>
      <c r="AT80" s="1401"/>
      <c r="AU80" s="1401"/>
      <c r="AV80" s="1401"/>
      <c r="AW80" s="1401"/>
      <c r="AX80" s="1401"/>
      <c r="AY80" s="1401"/>
      <c r="AZ80" s="1401"/>
      <c r="BA80" s="1572"/>
      <c r="BC80" s="1572"/>
      <c r="BD80" s="1572"/>
      <c r="BE80" s="1572"/>
      <c r="BF80" s="1572"/>
      <c r="BL80" s="1572"/>
      <c r="BM80" s="1572"/>
      <c r="BN80" s="1572"/>
      <c r="BO80" s="1572"/>
      <c r="BP80" s="1572"/>
      <c r="BQ80" s="1572"/>
      <c r="BR80" s="1572"/>
    </row>
    <row r="81" spans="1:70" s="1572" customFormat="1" ht="24.95" customHeight="1">
      <c r="A81" s="1635">
        <f>+IF(AGOSTO!A81=0,"",AGOSTO!A81)</f>
        <v>1130119</v>
      </c>
      <c r="B81" s="1731" t="str">
        <f>+IF(AGOSTO!B81=0,"",AGOSTO!B81)</f>
        <v>Digitar nombre de Nuevo Rubro. Si lo Requiere</v>
      </c>
      <c r="C81" s="1637">
        <f>ENERO!C81</f>
        <v>0</v>
      </c>
      <c r="D81" s="1671">
        <f t="shared" ref="D81:Q81" si="90">SUM(D82:D83)</f>
        <v>0</v>
      </c>
      <c r="E81" s="1671">
        <f t="shared" si="90"/>
        <v>0</v>
      </c>
      <c r="F81" s="1671">
        <f t="shared" si="90"/>
        <v>0</v>
      </c>
      <c r="G81" s="1671">
        <f t="shared" si="90"/>
        <v>0</v>
      </c>
      <c r="H81" s="1671">
        <f t="shared" si="90"/>
        <v>0</v>
      </c>
      <c r="I81" s="1671">
        <f t="shared" si="90"/>
        <v>0</v>
      </c>
      <c r="J81" s="1671">
        <f t="shared" si="90"/>
        <v>0</v>
      </c>
      <c r="K81" s="1671">
        <f t="shared" si="90"/>
        <v>0</v>
      </c>
      <c r="L81" s="1671">
        <f t="shared" si="90"/>
        <v>0</v>
      </c>
      <c r="M81" s="1671">
        <f t="shared" si="90"/>
        <v>0</v>
      </c>
      <c r="N81" s="1638">
        <f t="shared" si="90"/>
        <v>0</v>
      </c>
      <c r="P81" s="1637">
        <f t="shared" si="90"/>
        <v>0</v>
      </c>
      <c r="Q81" s="1638">
        <f t="shared" si="90"/>
        <v>0</v>
      </c>
      <c r="R81" s="1448"/>
      <c r="S81" s="1615">
        <f>+IF(AGOSTO!S81=0,"",AGOSTO!S81)</f>
        <v>1020199</v>
      </c>
      <c r="T81" s="1616" t="str">
        <f>+IF(AGOSTO!T81=0,"",AGOSTO!T81)</f>
        <v>Vigencias Anteriores</v>
      </c>
      <c r="U81" s="1617">
        <f>+ENERO!U81</f>
        <v>0</v>
      </c>
      <c r="V81" s="1618">
        <f>AGOSTO!V81+SEPTIEMBRE!AL81</f>
        <v>0</v>
      </c>
      <c r="W81" s="1618">
        <f>AGOSTO!W81+SEPTIEMBRE!AM81</f>
        <v>0</v>
      </c>
      <c r="X81" s="1619">
        <f t="shared" si="76"/>
        <v>0</v>
      </c>
      <c r="Y81" s="1620">
        <f>AGOSTO!AA81</f>
        <v>0</v>
      </c>
      <c r="Z81" s="1557">
        <v>0</v>
      </c>
      <c r="AA81" s="1619">
        <f t="shared" si="77"/>
        <v>0</v>
      </c>
      <c r="AB81" s="1620">
        <f>AGOSTO!AD81</f>
        <v>0</v>
      </c>
      <c r="AC81" s="1557">
        <v>0</v>
      </c>
      <c r="AD81" s="1619">
        <f t="shared" si="78"/>
        <v>0</v>
      </c>
      <c r="AE81" s="1620">
        <f>AGOSTO!AG81</f>
        <v>0</v>
      </c>
      <c r="AF81" s="1557">
        <v>0</v>
      </c>
      <c r="AG81" s="1619">
        <f t="shared" si="79"/>
        <v>0</v>
      </c>
      <c r="AH81" s="1620">
        <f t="shared" si="80"/>
        <v>0</v>
      </c>
      <c r="AI81" s="1618">
        <f t="shared" si="81"/>
        <v>0</v>
      </c>
      <c r="AJ81" s="1621">
        <f t="shared" si="82"/>
        <v>0</v>
      </c>
      <c r="AK81" s="1448"/>
      <c r="AL81" s="1559">
        <v>0</v>
      </c>
      <c r="AM81" s="1560">
        <v>0</v>
      </c>
      <c r="AN81" s="1448"/>
      <c r="AO81" s="1401"/>
      <c r="AP81" s="1401"/>
      <c r="AQ81" s="1401"/>
      <c r="AR81" s="1401"/>
      <c r="AS81" s="1401"/>
      <c r="AT81" s="1401"/>
      <c r="AU81" s="1401"/>
      <c r="AV81" s="1401"/>
      <c r="AW81" s="1401"/>
      <c r="AX81" s="1401"/>
      <c r="AY81" s="1401"/>
      <c r="AZ81" s="1401"/>
      <c r="BA81" s="1448"/>
      <c r="BC81" s="1448"/>
      <c r="BD81" s="1448"/>
      <c r="BE81" s="1448"/>
    </row>
    <row r="82" spans="1:70" s="1572" customFormat="1" ht="24.95" customHeight="1">
      <c r="A82" s="1551" t="str">
        <f>+IF(AGOSTO!A82=0,"",AGOSTO!A82)</f>
        <v>1130119-1</v>
      </c>
      <c r="B82" s="1682" t="str">
        <f>+CONCATENATE("Vigencia ",INSTRUCCIONES!$F$3)</f>
        <v>Vigencia 2017</v>
      </c>
      <c r="C82" s="1553">
        <f>+ENERO!C82</f>
        <v>0</v>
      </c>
      <c r="D82" s="1554">
        <f>AGOSTO!D82+SEPTIEMBRE!P82</f>
        <v>0</v>
      </c>
      <c r="E82" s="1554">
        <f>AGOSTO!E82+SEPTIEMBRE!Q82</f>
        <v>0</v>
      </c>
      <c r="F82" s="1554">
        <f t="shared" si="85"/>
        <v>0</v>
      </c>
      <c r="G82" s="1554">
        <f>AGOSTO!I82</f>
        <v>0</v>
      </c>
      <c r="H82" s="1557">
        <v>0</v>
      </c>
      <c r="I82" s="1554">
        <f t="shared" si="86"/>
        <v>0</v>
      </c>
      <c r="J82" s="1554">
        <f>AGOSTO!L82</f>
        <v>0</v>
      </c>
      <c r="K82" s="1557">
        <v>0</v>
      </c>
      <c r="L82" s="1554">
        <f t="shared" si="87"/>
        <v>0</v>
      </c>
      <c r="M82" s="1554">
        <f t="shared" si="88"/>
        <v>0</v>
      </c>
      <c r="N82" s="1555">
        <f t="shared" si="89"/>
        <v>0</v>
      </c>
      <c r="P82" s="1559">
        <v>0</v>
      </c>
      <c r="Q82" s="1560">
        <v>0</v>
      </c>
      <c r="R82" s="1448"/>
      <c r="S82" s="1538" t="str">
        <f>+IF(AGOSTO!S82=0,"",AGOSTO!S82)</f>
        <v/>
      </c>
      <c r="T82" s="1539" t="str">
        <f>+IF(AGOSTO!T82=0,"",AGOSTO!T82)</f>
        <v/>
      </c>
      <c r="U82" s="1540"/>
      <c r="V82" s="1540"/>
      <c r="W82" s="1540"/>
      <c r="X82" s="1540"/>
      <c r="Y82" s="1540"/>
      <c r="Z82" s="1540"/>
      <c r="AA82" s="1540"/>
      <c r="AB82" s="1540"/>
      <c r="AC82" s="1540"/>
      <c r="AD82" s="1540"/>
      <c r="AE82" s="1540"/>
      <c r="AF82" s="1540"/>
      <c r="AG82" s="1540"/>
      <c r="AH82" s="1540"/>
      <c r="AI82" s="1540"/>
      <c r="AJ82" s="1541"/>
      <c r="AK82" s="1448"/>
      <c r="AL82" s="1726"/>
      <c r="AM82" s="1727"/>
      <c r="AN82" s="1448"/>
      <c r="AO82" s="1401"/>
      <c r="AP82" s="1401"/>
      <c r="AQ82" s="1401"/>
      <c r="AR82" s="1401"/>
      <c r="AS82" s="1401"/>
      <c r="AT82" s="1401"/>
      <c r="AU82" s="1401"/>
      <c r="AV82" s="1401"/>
      <c r="AW82" s="1401"/>
      <c r="AX82" s="1401"/>
      <c r="AY82" s="1401"/>
      <c r="AZ82" s="1401"/>
      <c r="BN82" s="1448"/>
      <c r="BO82" s="1448"/>
      <c r="BP82" s="1448"/>
      <c r="BQ82" s="1448"/>
      <c r="BR82" s="1448"/>
    </row>
    <row r="83" spans="1:70" s="1572" customFormat="1" ht="24.95" customHeight="1" thickBot="1">
      <c r="A83" s="1551" t="str">
        <f>+IF(AGOSTO!A83=0,"",AGOSTO!A83)</f>
        <v>1130119-2</v>
      </c>
      <c r="B83" s="1732" t="str">
        <f>+IF(AGOSTO!B83=0,"",AGOSTO!B83)</f>
        <v>Vigencia Anterior</v>
      </c>
      <c r="C83" s="1591">
        <f>+ENERO!C83</f>
        <v>0</v>
      </c>
      <c r="D83" s="1592">
        <f>AGOSTO!D83+SEPTIEMBRE!P83</f>
        <v>0</v>
      </c>
      <c r="E83" s="1592">
        <f>AGOSTO!E83+SEPTIEMBRE!Q83</f>
        <v>0</v>
      </c>
      <c r="F83" s="1592">
        <f t="shared" si="85"/>
        <v>0</v>
      </c>
      <c r="G83" s="1592">
        <f>AGOSTO!I83</f>
        <v>0</v>
      </c>
      <c r="H83" s="1595">
        <v>0</v>
      </c>
      <c r="I83" s="1592">
        <f t="shared" si="86"/>
        <v>0</v>
      </c>
      <c r="J83" s="1592">
        <f>AGOSTO!L83</f>
        <v>0</v>
      </c>
      <c r="K83" s="1595">
        <v>0</v>
      </c>
      <c r="L83" s="1592">
        <f t="shared" si="87"/>
        <v>0</v>
      </c>
      <c r="M83" s="1592">
        <f t="shared" si="88"/>
        <v>0</v>
      </c>
      <c r="N83" s="1593">
        <f t="shared" si="89"/>
        <v>0</v>
      </c>
      <c r="P83" s="1559">
        <v>0</v>
      </c>
      <c r="Q83" s="1560">
        <v>0</v>
      </c>
      <c r="R83" s="1448"/>
      <c r="S83" s="1607">
        <f>+IF(AGOSTO!S83=0,"",AGOSTO!S83)</f>
        <v>1020200</v>
      </c>
      <c r="T83" s="1608" t="str">
        <f>+IF(AGOSTO!T83=0,"",AGOSTO!T83)</f>
        <v>Servicios Personales Indirectos</v>
      </c>
      <c r="U83" s="1581">
        <f t="shared" ref="U83:AJ83" si="91">SUM(U84:U88)</f>
        <v>22232471701</v>
      </c>
      <c r="V83" s="1582">
        <f t="shared" si="91"/>
        <v>1347993824</v>
      </c>
      <c r="W83" s="1582">
        <f t="shared" si="91"/>
        <v>6533605163</v>
      </c>
      <c r="X83" s="1583">
        <f t="shared" si="91"/>
        <v>30114070688</v>
      </c>
      <c r="Y83" s="1584">
        <f t="shared" si="91"/>
        <v>27504451510</v>
      </c>
      <c r="Z83" s="1582">
        <f t="shared" si="91"/>
        <v>2366467438</v>
      </c>
      <c r="AA83" s="1583">
        <f t="shared" si="91"/>
        <v>29870918948</v>
      </c>
      <c r="AB83" s="1584">
        <f t="shared" si="91"/>
        <v>20748012233</v>
      </c>
      <c r="AC83" s="1582">
        <f t="shared" si="91"/>
        <v>1598694626</v>
      </c>
      <c r="AD83" s="1583">
        <f t="shared" si="91"/>
        <v>22346706859</v>
      </c>
      <c r="AE83" s="1584">
        <f t="shared" si="91"/>
        <v>12657701890</v>
      </c>
      <c r="AF83" s="1582">
        <f t="shared" si="91"/>
        <v>1807498057</v>
      </c>
      <c r="AG83" s="1583">
        <f t="shared" si="91"/>
        <v>14465199947</v>
      </c>
      <c r="AH83" s="1584">
        <f t="shared" si="91"/>
        <v>243151740</v>
      </c>
      <c r="AI83" s="1582">
        <f t="shared" si="91"/>
        <v>7767363829</v>
      </c>
      <c r="AJ83" s="1585">
        <f t="shared" si="91"/>
        <v>15648870741</v>
      </c>
      <c r="AK83" s="1448"/>
      <c r="AL83" s="1584">
        <f>SUM(AL84:AL88)</f>
        <v>1036458000</v>
      </c>
      <c r="AM83" s="1585">
        <f>SUM(AM84:AM88)</f>
        <v>0</v>
      </c>
      <c r="AN83" s="1448"/>
      <c r="AO83" s="1401"/>
      <c r="AP83" s="1401"/>
      <c r="AQ83" s="1401"/>
      <c r="AR83" s="1401"/>
      <c r="AS83" s="1401"/>
      <c r="AT83" s="1401"/>
      <c r="AU83" s="1401"/>
      <c r="AV83" s="1401"/>
      <c r="AW83" s="1401"/>
      <c r="AX83" s="1401"/>
      <c r="AY83" s="1401"/>
      <c r="AZ83" s="1401"/>
      <c r="BM83" s="1448"/>
    </row>
    <row r="84" spans="1:70" s="1572" customFormat="1" ht="24.95" customHeight="1" thickBot="1">
      <c r="A84" s="1733" t="str">
        <f>+IF(AGOSTO!A84=0,"",AGOSTO!A84)</f>
        <v/>
      </c>
      <c r="B84" s="1734" t="str">
        <f>+IF(AGOSTO!B84=0,"",AGOSTO!B84)</f>
        <v/>
      </c>
      <c r="C84" s="1401"/>
      <c r="D84" s="1401"/>
      <c r="E84" s="1401"/>
      <c r="F84" s="1401"/>
      <c r="G84" s="1401"/>
      <c r="H84" s="1401"/>
      <c r="I84" s="1401"/>
      <c r="J84" s="1401"/>
      <c r="K84" s="1401"/>
      <c r="L84" s="1401"/>
      <c r="M84" s="1401"/>
      <c r="N84" s="1632"/>
      <c r="O84" s="1735"/>
      <c r="P84" s="1736"/>
      <c r="Q84" s="1604"/>
      <c r="R84" s="1448"/>
      <c r="S84" s="1615" t="str">
        <f>+IF(AGOSTO!S84=0,"",AGOSTO!S84)</f>
        <v>1020200-1</v>
      </c>
      <c r="T84" s="1616" t="str">
        <f>+IF(AGOSTO!T84=0,"",AGOSTO!T84)</f>
        <v>Remuneración y Honorarios por Servicios Técnicos y Profesionales</v>
      </c>
      <c r="U84" s="1617">
        <f>+ENERO!U84</f>
        <v>1000000000</v>
      </c>
      <c r="V84" s="1618">
        <f>AGOSTO!V84+SEPTIEMBRE!AL84</f>
        <v>2933458000</v>
      </c>
      <c r="W84" s="1618">
        <f>AGOSTO!W84+SEPTIEMBRE!AM84</f>
        <v>1300000000</v>
      </c>
      <c r="X84" s="1619">
        <f>SUM(U84:W84)</f>
        <v>5233458000</v>
      </c>
      <c r="Y84" s="1620">
        <f>AGOSTO!AA84</f>
        <v>3916700058</v>
      </c>
      <c r="Z84" s="1557">
        <v>1166350000</v>
      </c>
      <c r="AA84" s="1619">
        <f>SUM(Y84:Z84)</f>
        <v>5083050058</v>
      </c>
      <c r="AB84" s="1620">
        <f>AGOSTO!AD84</f>
        <v>2588735220</v>
      </c>
      <c r="AC84" s="1557">
        <v>297260434</v>
      </c>
      <c r="AD84" s="1619">
        <f>SUM(AB84:AC84)</f>
        <v>2885995654</v>
      </c>
      <c r="AE84" s="1620">
        <f>AGOSTO!AG84</f>
        <v>1985196145</v>
      </c>
      <c r="AF84" s="1557">
        <v>284516500</v>
      </c>
      <c r="AG84" s="1619">
        <f>SUM(AE84:AF84)</f>
        <v>2269712645</v>
      </c>
      <c r="AH84" s="1620">
        <f>X84-AA84</f>
        <v>150407942</v>
      </c>
      <c r="AI84" s="1618">
        <f>X84-AD84</f>
        <v>2347462346</v>
      </c>
      <c r="AJ84" s="1621">
        <f>X84-AG84</f>
        <v>2963745355</v>
      </c>
      <c r="AK84" s="1448"/>
      <c r="AL84" s="1559">
        <v>556458000</v>
      </c>
      <c r="AM84" s="1560">
        <v>0</v>
      </c>
      <c r="AN84" s="1448"/>
      <c r="AO84" s="1401"/>
      <c r="AP84" s="1401"/>
      <c r="AQ84" s="1401"/>
      <c r="AR84" s="1401"/>
      <c r="AS84" s="1401"/>
      <c r="AT84" s="1401"/>
      <c r="AU84" s="1401"/>
      <c r="AV84" s="1401"/>
      <c r="AW84" s="1401"/>
      <c r="AX84" s="1401"/>
      <c r="AY84" s="1401"/>
      <c r="AZ84" s="1401"/>
    </row>
    <row r="85" spans="1:70" s="1572" customFormat="1" ht="24.95" customHeight="1">
      <c r="A85" s="1737">
        <f>+IF(AGOSTO!A85=0,"",AGOSTO!A85)</f>
        <v>11302</v>
      </c>
      <c r="B85" s="1738" t="str">
        <f>+IF(AGOSTO!B85=0,"",AGOSTO!B85)</f>
        <v>Otras Ventas de Servicios de Salud</v>
      </c>
      <c r="C85" s="1739">
        <f t="shared" ref="C85:N85" si="92">SUM(C86:C92)</f>
        <v>0</v>
      </c>
      <c r="D85" s="1740">
        <f t="shared" si="92"/>
        <v>0</v>
      </c>
      <c r="E85" s="1740">
        <f t="shared" si="92"/>
        <v>0</v>
      </c>
      <c r="F85" s="1740">
        <f t="shared" si="92"/>
        <v>0</v>
      </c>
      <c r="G85" s="1740">
        <f t="shared" si="92"/>
        <v>0</v>
      </c>
      <c r="H85" s="1740">
        <f t="shared" si="92"/>
        <v>0</v>
      </c>
      <c r="I85" s="1740">
        <f t="shared" si="92"/>
        <v>0</v>
      </c>
      <c r="J85" s="1740">
        <f t="shared" si="92"/>
        <v>0</v>
      </c>
      <c r="K85" s="1740">
        <f t="shared" si="92"/>
        <v>0</v>
      </c>
      <c r="L85" s="1740">
        <f t="shared" si="92"/>
        <v>0</v>
      </c>
      <c r="M85" s="1740">
        <f t="shared" si="92"/>
        <v>0</v>
      </c>
      <c r="N85" s="1741">
        <f t="shared" si="92"/>
        <v>0</v>
      </c>
      <c r="P85" s="1637">
        <f>SUM(P86:P92)</f>
        <v>0</v>
      </c>
      <c r="Q85" s="1638">
        <f>SUM(Q86:Q92)</f>
        <v>0</v>
      </c>
      <c r="R85" s="1448"/>
      <c r="S85" s="1615" t="str">
        <f>+IF(AGOSTO!S85=0,"",AGOSTO!S85)</f>
        <v>1020200-2</v>
      </c>
      <c r="T85" s="1616" t="str">
        <f>+IF(AGOSTO!T85=0,"",AGOSTO!T85)</f>
        <v>Personal Supernumerario</v>
      </c>
      <c r="U85" s="1617">
        <f>+ENERO!U85</f>
        <v>0</v>
      </c>
      <c r="V85" s="1618">
        <f>AGOSTO!V85+SEPTIEMBRE!AL85</f>
        <v>0</v>
      </c>
      <c r="W85" s="1618">
        <f>AGOSTO!W85+SEPTIEMBRE!AM85</f>
        <v>0</v>
      </c>
      <c r="X85" s="1619">
        <f>SUM(U85:W85)</f>
        <v>0</v>
      </c>
      <c r="Y85" s="1620">
        <f>AGOSTO!AA85</f>
        <v>0</v>
      </c>
      <c r="Z85" s="1557">
        <v>0</v>
      </c>
      <c r="AA85" s="1619">
        <f>SUM(Y85:Z85)</f>
        <v>0</v>
      </c>
      <c r="AB85" s="1620">
        <f>AGOSTO!AD85</f>
        <v>0</v>
      </c>
      <c r="AC85" s="1557">
        <v>0</v>
      </c>
      <c r="AD85" s="1619">
        <f>SUM(AB85:AC85)</f>
        <v>0</v>
      </c>
      <c r="AE85" s="1620">
        <f>AGOSTO!AG85</f>
        <v>0</v>
      </c>
      <c r="AF85" s="1557">
        <v>0</v>
      </c>
      <c r="AG85" s="1619">
        <f>SUM(AE85:AF85)</f>
        <v>0</v>
      </c>
      <c r="AH85" s="1620">
        <f>X85-AA85</f>
        <v>0</v>
      </c>
      <c r="AI85" s="1618">
        <f>X85-AD85</f>
        <v>0</v>
      </c>
      <c r="AJ85" s="1621">
        <f>X85-AG85</f>
        <v>0</v>
      </c>
      <c r="AK85" s="1448"/>
      <c r="AL85" s="1559">
        <v>0</v>
      </c>
      <c r="AM85" s="1560">
        <v>0</v>
      </c>
      <c r="AN85" s="1448"/>
      <c r="AO85" s="1401"/>
      <c r="AP85" s="1401"/>
      <c r="AQ85" s="1401"/>
      <c r="AR85" s="1401"/>
      <c r="AS85" s="1401"/>
      <c r="AT85" s="1401"/>
      <c r="AU85" s="1401"/>
      <c r="AV85" s="1401"/>
      <c r="AW85" s="1401"/>
      <c r="AX85" s="1401"/>
      <c r="AY85" s="1401"/>
      <c r="AZ85" s="1401"/>
      <c r="BL85" s="1448"/>
    </row>
    <row r="86" spans="1:70" s="1448" customFormat="1" ht="24.95" customHeight="1">
      <c r="A86" s="1742">
        <f>+IF(AGOSTO!A86=0,"",AGOSTO!A86)</f>
        <v>1130201</v>
      </c>
      <c r="B86" s="1743" t="str">
        <f>+IF(AGOSTO!B86=0,"",AGOSTO!B86)</f>
        <v/>
      </c>
      <c r="C86" s="1744">
        <f>+ENERO!C86</f>
        <v>0</v>
      </c>
      <c r="D86" s="1554">
        <f>AGOSTO!D86+SEPTIEMBRE!P86</f>
        <v>0</v>
      </c>
      <c r="E86" s="1554">
        <f>AGOSTO!E86+SEPTIEMBRE!Q86</f>
        <v>0</v>
      </c>
      <c r="F86" s="1554">
        <f t="shared" ref="F86:F92" si="93">SUM(C86:E86)</f>
        <v>0</v>
      </c>
      <c r="G86" s="1554">
        <f>AGOSTO!I86</f>
        <v>0</v>
      </c>
      <c r="H86" s="1557">
        <v>0</v>
      </c>
      <c r="I86" s="1554">
        <f t="shared" ref="I86:I92" si="94">SUM(G86:H86)</f>
        <v>0</v>
      </c>
      <c r="J86" s="1554">
        <f>AGOSTO!L86</f>
        <v>0</v>
      </c>
      <c r="K86" s="1557">
        <v>0</v>
      </c>
      <c r="L86" s="1554">
        <f t="shared" ref="L86:L92" si="95">SUM(J86:K86)</f>
        <v>0</v>
      </c>
      <c r="M86" s="1554">
        <f t="shared" ref="M86:M92" si="96">F86-I86</f>
        <v>0</v>
      </c>
      <c r="N86" s="1555">
        <f t="shared" ref="N86:N92" si="97">F86-L86</f>
        <v>0</v>
      </c>
      <c r="O86" s="1572"/>
      <c r="P86" s="1559">
        <v>0</v>
      </c>
      <c r="Q86" s="1560">
        <v>0</v>
      </c>
      <c r="R86" s="1448">
        <v>0</v>
      </c>
      <c r="S86" s="1615" t="str">
        <f>+IF(AGOSTO!S86=0,"",AGOSTO!S86)</f>
        <v>1020200-4</v>
      </c>
      <c r="T86" s="1616" t="str">
        <f>+IF(AGOSTO!T86=0,"",AGOSTO!T86)</f>
        <v>Otros Honorarios</v>
      </c>
      <c r="U86" s="1617">
        <f>+ENERO!U86</f>
        <v>19000000000</v>
      </c>
      <c r="V86" s="1618">
        <f>AGOSTO!V86+SEPTIEMBRE!AL86</f>
        <v>-3445446678</v>
      </c>
      <c r="W86" s="1618">
        <f>AGOSTO!W86+SEPTIEMBRE!AM86</f>
        <v>2850000000</v>
      </c>
      <c r="X86" s="1619">
        <f>SUM(U86:W86)</f>
        <v>18404553322</v>
      </c>
      <c r="Y86" s="1620">
        <f>AGOSTO!AA86</f>
        <v>17284980657</v>
      </c>
      <c r="Z86" s="1557">
        <v>1113637772</v>
      </c>
      <c r="AA86" s="1619">
        <f>SUM(Y86:Z86)</f>
        <v>18398618429</v>
      </c>
      <c r="AB86" s="1620">
        <f>AGOSTO!AD86</f>
        <v>11856506218</v>
      </c>
      <c r="AC86" s="1557">
        <v>1214954526</v>
      </c>
      <c r="AD86" s="1619">
        <f>SUM(AB86:AC86)</f>
        <v>13071460744</v>
      </c>
      <c r="AE86" s="1620">
        <f>AGOSTO!AG86</f>
        <v>4369734950</v>
      </c>
      <c r="AF86" s="1557">
        <v>1436501891</v>
      </c>
      <c r="AG86" s="1619">
        <f>SUM(AE86:AF86)</f>
        <v>5806236841</v>
      </c>
      <c r="AH86" s="1620">
        <f>X86-AA86</f>
        <v>5934893</v>
      </c>
      <c r="AI86" s="1618">
        <f>X86-AD86</f>
        <v>5333092578</v>
      </c>
      <c r="AJ86" s="1621">
        <f>X86-AG86</f>
        <v>12598316481</v>
      </c>
      <c r="AL86" s="1559">
        <v>480000000</v>
      </c>
      <c r="AM86" s="1560">
        <v>0</v>
      </c>
      <c r="AO86" s="1401"/>
      <c r="AP86" s="1401"/>
      <c r="AQ86" s="1401"/>
      <c r="AR86" s="1401"/>
      <c r="AS86" s="1401"/>
      <c r="AT86" s="1401"/>
      <c r="AU86" s="1401"/>
      <c r="AV86" s="1401"/>
      <c r="AW86" s="1401"/>
      <c r="AX86" s="1401"/>
      <c r="AY86" s="1401"/>
      <c r="AZ86" s="1401"/>
      <c r="BA86" s="1572"/>
      <c r="BC86" s="1572"/>
      <c r="BD86" s="1572"/>
      <c r="BE86" s="1572"/>
      <c r="BF86" s="1572"/>
      <c r="BL86" s="1572"/>
      <c r="BM86" s="1572"/>
      <c r="BN86" s="1572"/>
      <c r="BO86" s="1572"/>
      <c r="BP86" s="1572"/>
      <c r="BQ86" s="1572"/>
      <c r="BR86" s="1572"/>
    </row>
    <row r="87" spans="1:70" s="1572" customFormat="1" ht="24.95" customHeight="1">
      <c r="A87" s="1742">
        <f>+IF(AGOSTO!A87=0,"",AGOSTO!A87)</f>
        <v>1130202</v>
      </c>
      <c r="B87" s="1743" t="str">
        <f>+IF(AGOSTO!B87=0,"",AGOSTO!B87)</f>
        <v/>
      </c>
      <c r="C87" s="1744">
        <f>+ENERO!C87</f>
        <v>0</v>
      </c>
      <c r="D87" s="1554">
        <f>AGOSTO!D87+SEPTIEMBRE!P87</f>
        <v>0</v>
      </c>
      <c r="E87" s="1554">
        <f>AGOSTO!E87+SEPTIEMBRE!Q87</f>
        <v>0</v>
      </c>
      <c r="F87" s="1554">
        <f t="shared" si="93"/>
        <v>0</v>
      </c>
      <c r="G87" s="1554">
        <f>AGOSTO!I87</f>
        <v>0</v>
      </c>
      <c r="H87" s="1557">
        <v>0</v>
      </c>
      <c r="I87" s="1554">
        <f t="shared" si="94"/>
        <v>0</v>
      </c>
      <c r="J87" s="1554">
        <f>AGOSTO!L87</f>
        <v>0</v>
      </c>
      <c r="K87" s="1557">
        <v>0</v>
      </c>
      <c r="L87" s="1554">
        <f t="shared" si="95"/>
        <v>0</v>
      </c>
      <c r="M87" s="1554">
        <f t="shared" si="96"/>
        <v>0</v>
      </c>
      <c r="N87" s="1555">
        <f t="shared" si="97"/>
        <v>0</v>
      </c>
      <c r="P87" s="1559">
        <v>0</v>
      </c>
      <c r="Q87" s="1560">
        <v>0</v>
      </c>
      <c r="R87" s="1448"/>
      <c r="S87" s="1615" t="str">
        <f>+IF(AGOSTO!S87=0,"",AGOSTO!S87)</f>
        <v/>
      </c>
      <c r="T87" s="1616" t="str">
        <f>+IF(AGOSTO!T87=0,"",AGOSTO!T87)</f>
        <v/>
      </c>
      <c r="U87" s="1617">
        <f>+ENERO!U87</f>
        <v>0</v>
      </c>
      <c r="V87" s="1618">
        <f>AGOSTO!V87+SEPTIEMBRE!AL87</f>
        <v>0</v>
      </c>
      <c r="W87" s="1618">
        <f>AGOSTO!W87+SEPTIEMBRE!AM87</f>
        <v>0</v>
      </c>
      <c r="X87" s="1619">
        <f>SUM(U87:W87)</f>
        <v>0</v>
      </c>
      <c r="Y87" s="1620">
        <f>AGOSTO!AA87</f>
        <v>0</v>
      </c>
      <c r="Z87" s="1557">
        <v>0</v>
      </c>
      <c r="AA87" s="1619">
        <f>SUM(Y87:Z87)</f>
        <v>0</v>
      </c>
      <c r="AB87" s="1620">
        <f>AGOSTO!AD87</f>
        <v>0</v>
      </c>
      <c r="AC87" s="1557">
        <v>0</v>
      </c>
      <c r="AD87" s="1619">
        <f>SUM(AB87:AC87)</f>
        <v>0</v>
      </c>
      <c r="AE87" s="1620">
        <f>AGOSTO!AG87</f>
        <v>0</v>
      </c>
      <c r="AF87" s="1557">
        <v>0</v>
      </c>
      <c r="AG87" s="1619">
        <f>SUM(AE87:AF87)</f>
        <v>0</v>
      </c>
      <c r="AH87" s="1620">
        <f>X87-AA87</f>
        <v>0</v>
      </c>
      <c r="AI87" s="1618">
        <f>X87-AD87</f>
        <v>0</v>
      </c>
      <c r="AJ87" s="1621">
        <f>X87-AG87</f>
        <v>0</v>
      </c>
      <c r="AK87" s="1448"/>
      <c r="AL87" s="1559">
        <v>0</v>
      </c>
      <c r="AM87" s="1560">
        <v>0</v>
      </c>
      <c r="AN87" s="1448"/>
      <c r="AO87" s="1401"/>
      <c r="AP87" s="1401"/>
      <c r="AQ87" s="1401"/>
      <c r="AR87" s="1401"/>
      <c r="AS87" s="1401"/>
      <c r="AT87" s="1401"/>
      <c r="AU87" s="1401"/>
      <c r="AV87" s="1401"/>
      <c r="AW87" s="1401"/>
      <c r="AX87" s="1401"/>
      <c r="AY87" s="1401"/>
      <c r="AZ87" s="1401"/>
      <c r="BA87" s="1448"/>
      <c r="BC87" s="1448"/>
      <c r="BD87" s="1448"/>
      <c r="BE87" s="1448"/>
    </row>
    <row r="88" spans="1:70" s="1572" customFormat="1" ht="24.95" customHeight="1">
      <c r="A88" s="1742">
        <f>+IF(AGOSTO!A88=0,"",AGOSTO!A88)</f>
        <v>1130203</v>
      </c>
      <c r="B88" s="1745" t="str">
        <f>+IF(AGOSTO!B88=0,"",AGOSTO!B88)</f>
        <v>CONVENIOS CON LA NACION LIGADOS A LA VENTA DE SERVICIOS</v>
      </c>
      <c r="C88" s="1744">
        <f>+ENERO!C88</f>
        <v>0</v>
      </c>
      <c r="D88" s="1554">
        <f>AGOSTO!D88+SEPTIEMBRE!P88</f>
        <v>0</v>
      </c>
      <c r="E88" s="1554">
        <f>AGOSTO!E88+SEPTIEMBRE!Q88</f>
        <v>0</v>
      </c>
      <c r="F88" s="1554">
        <f t="shared" si="93"/>
        <v>0</v>
      </c>
      <c r="G88" s="1554">
        <f>AGOSTO!I88</f>
        <v>0</v>
      </c>
      <c r="H88" s="1557">
        <v>0</v>
      </c>
      <c r="I88" s="1554">
        <f t="shared" si="94"/>
        <v>0</v>
      </c>
      <c r="J88" s="1554">
        <f>AGOSTO!L88</f>
        <v>0</v>
      </c>
      <c r="K88" s="1557">
        <v>0</v>
      </c>
      <c r="L88" s="1554">
        <f t="shared" si="95"/>
        <v>0</v>
      </c>
      <c r="M88" s="1554">
        <f t="shared" si="96"/>
        <v>0</v>
      </c>
      <c r="N88" s="1555">
        <f t="shared" si="97"/>
        <v>0</v>
      </c>
      <c r="P88" s="1559">
        <v>0</v>
      </c>
      <c r="Q88" s="1560">
        <v>0</v>
      </c>
      <c r="R88" s="1448"/>
      <c r="S88" s="1615">
        <f>+IF(AGOSTO!S88=0,"",AGOSTO!S88)</f>
        <v>1020299</v>
      </c>
      <c r="T88" s="1616" t="str">
        <f>+IF(AGOSTO!T88=0,"",AGOSTO!T88)</f>
        <v>Vigencias Anteriores</v>
      </c>
      <c r="U88" s="1617">
        <f>+ENERO!U88</f>
        <v>2232471701</v>
      </c>
      <c r="V88" s="1618">
        <f>AGOSTO!V88+SEPTIEMBRE!AL88</f>
        <v>1859982502</v>
      </c>
      <c r="W88" s="1618">
        <f>AGOSTO!W88+SEPTIEMBRE!AM88</f>
        <v>2383605163</v>
      </c>
      <c r="X88" s="1619">
        <f>SUM(U88:W88)</f>
        <v>6476059366</v>
      </c>
      <c r="Y88" s="1620">
        <f>AGOSTO!AA88</f>
        <v>6302770795</v>
      </c>
      <c r="Z88" s="1557">
        <v>86479666</v>
      </c>
      <c r="AA88" s="1619">
        <f>SUM(Y88:Z88)</f>
        <v>6389250461</v>
      </c>
      <c r="AB88" s="1620">
        <f>AGOSTO!AD88</f>
        <v>6302770795</v>
      </c>
      <c r="AC88" s="1557">
        <v>86479666</v>
      </c>
      <c r="AD88" s="1619">
        <f>SUM(AB88:AC88)</f>
        <v>6389250461</v>
      </c>
      <c r="AE88" s="1620">
        <f>AGOSTO!AG88</f>
        <v>6302770795</v>
      </c>
      <c r="AF88" s="1557">
        <v>86479666</v>
      </c>
      <c r="AG88" s="1619">
        <f>SUM(AE88:AF88)</f>
        <v>6389250461</v>
      </c>
      <c r="AH88" s="1620">
        <f>X88-AA88</f>
        <v>86808905</v>
      </c>
      <c r="AI88" s="1618">
        <f>X88-AD88</f>
        <v>86808905</v>
      </c>
      <c r="AJ88" s="1621">
        <f>X88-AG88</f>
        <v>86808905</v>
      </c>
      <c r="AK88" s="1448"/>
      <c r="AL88" s="1559">
        <v>0</v>
      </c>
      <c r="AM88" s="1560">
        <v>0</v>
      </c>
      <c r="AN88" s="1448"/>
      <c r="AO88" s="1401"/>
      <c r="AP88" s="1401"/>
      <c r="AQ88" s="1401"/>
      <c r="AR88" s="1401"/>
      <c r="AS88" s="1401"/>
      <c r="AT88" s="1401"/>
      <c r="AU88" s="1401"/>
      <c r="AV88" s="1401"/>
      <c r="AW88" s="1401"/>
      <c r="AX88" s="1401"/>
      <c r="AY88" s="1401"/>
      <c r="AZ88" s="1401"/>
      <c r="BN88" s="1448"/>
      <c r="BO88" s="1448"/>
      <c r="BP88" s="1448"/>
      <c r="BQ88" s="1448"/>
      <c r="BR88" s="1448"/>
    </row>
    <row r="89" spans="1:70" s="1572" customFormat="1" ht="24.95" customHeight="1">
      <c r="A89" s="1742">
        <f>+IF(AGOSTO!A89=0,"",AGOSTO!A89)</f>
        <v>1130204</v>
      </c>
      <c r="B89" s="1745" t="str">
        <f>+IF(AGOSTO!B89=0,"",AGOSTO!B89)</f>
        <v>CONVENIOS CON EL DEPARTAMENTO LIGADOS A LA VENTA SERVICIOS</v>
      </c>
      <c r="C89" s="1744">
        <f>+ENERO!C89</f>
        <v>0</v>
      </c>
      <c r="D89" s="1554">
        <f>AGOSTO!D89+SEPTIEMBRE!P89</f>
        <v>0</v>
      </c>
      <c r="E89" s="1554">
        <f>AGOSTO!E89+SEPTIEMBRE!Q89</f>
        <v>0</v>
      </c>
      <c r="F89" s="1554">
        <f t="shared" si="93"/>
        <v>0</v>
      </c>
      <c r="G89" s="1554">
        <f>AGOSTO!I89</f>
        <v>0</v>
      </c>
      <c r="H89" s="1557">
        <v>0</v>
      </c>
      <c r="I89" s="1554">
        <f t="shared" si="94"/>
        <v>0</v>
      </c>
      <c r="J89" s="1554">
        <f>AGOSTO!L89</f>
        <v>0</v>
      </c>
      <c r="K89" s="1557">
        <v>0</v>
      </c>
      <c r="L89" s="1554">
        <f t="shared" si="95"/>
        <v>0</v>
      </c>
      <c r="M89" s="1554">
        <f t="shared" si="96"/>
        <v>0</v>
      </c>
      <c r="N89" s="1555">
        <f t="shared" si="97"/>
        <v>0</v>
      </c>
      <c r="P89" s="1559">
        <v>0</v>
      </c>
      <c r="Q89" s="1560">
        <v>0</v>
      </c>
      <c r="R89" s="1448"/>
      <c r="S89" s="1538" t="str">
        <f>+IF(AGOSTO!S89=0,"",AGOSTO!S89)</f>
        <v/>
      </c>
      <c r="T89" s="1539" t="str">
        <f>+IF(AGOSTO!T89=0,"",AGOSTO!T89)</f>
        <v/>
      </c>
      <c r="U89" s="1540"/>
      <c r="V89" s="1540"/>
      <c r="W89" s="1540"/>
      <c r="X89" s="1540"/>
      <c r="Y89" s="1540"/>
      <c r="Z89" s="1540"/>
      <c r="AA89" s="1540"/>
      <c r="AB89" s="1540"/>
      <c r="AC89" s="1540"/>
      <c r="AD89" s="1540"/>
      <c r="AE89" s="1540"/>
      <c r="AF89" s="1540"/>
      <c r="AG89" s="1540"/>
      <c r="AH89" s="1540"/>
      <c r="AI89" s="1540"/>
      <c r="AJ89" s="1541"/>
      <c r="AK89" s="1448"/>
      <c r="AL89" s="1726"/>
      <c r="AM89" s="1727"/>
      <c r="AN89" s="1448"/>
      <c r="AO89" s="1401"/>
      <c r="AP89" s="1401"/>
      <c r="AQ89" s="1401"/>
      <c r="AR89" s="1401"/>
      <c r="AS89" s="1401"/>
      <c r="AT89" s="1401"/>
      <c r="AU89" s="1401"/>
      <c r="AV89" s="1401"/>
      <c r="AW89" s="1401"/>
      <c r="AX89" s="1401"/>
      <c r="AY89" s="1401"/>
      <c r="AZ89" s="1401"/>
      <c r="BM89" s="1448"/>
    </row>
    <row r="90" spans="1:70" s="1735" customFormat="1" ht="24.95" customHeight="1">
      <c r="A90" s="1742">
        <f>+IF(AGOSTO!A90=0,"",AGOSTO!A90)</f>
        <v>1130205</v>
      </c>
      <c r="B90" s="1745" t="str">
        <f>+IF(AGOSTO!B90=0,"",AGOSTO!B90)</f>
        <v>CONVENIOS CON EL MUNICIPIO LIGADOS A LA VENTA DE SERVICIOS</v>
      </c>
      <c r="C90" s="1744">
        <f>+ENERO!C90</f>
        <v>0</v>
      </c>
      <c r="D90" s="1554">
        <f>AGOSTO!D90+SEPTIEMBRE!P90</f>
        <v>0</v>
      </c>
      <c r="E90" s="1554">
        <f>AGOSTO!E90+SEPTIEMBRE!Q90</f>
        <v>0</v>
      </c>
      <c r="F90" s="1554">
        <f t="shared" si="93"/>
        <v>0</v>
      </c>
      <c r="G90" s="1554">
        <f>AGOSTO!I90</f>
        <v>0</v>
      </c>
      <c r="H90" s="1557">
        <v>0</v>
      </c>
      <c r="I90" s="1554">
        <f t="shared" si="94"/>
        <v>0</v>
      </c>
      <c r="J90" s="1554">
        <f>AGOSTO!L90</f>
        <v>0</v>
      </c>
      <c r="K90" s="1557">
        <v>0</v>
      </c>
      <c r="L90" s="1554">
        <f t="shared" si="95"/>
        <v>0</v>
      </c>
      <c r="M90" s="1554">
        <f t="shared" si="96"/>
        <v>0</v>
      </c>
      <c r="N90" s="1555">
        <f t="shared" si="97"/>
        <v>0</v>
      </c>
      <c r="O90" s="1572"/>
      <c r="P90" s="1559">
        <v>0</v>
      </c>
      <c r="Q90" s="1560">
        <v>0</v>
      </c>
      <c r="R90" s="1746"/>
      <c r="S90" s="1607">
        <f>+IF(AGOSTO!S90=0,"",AGOSTO!S90)</f>
        <v>1020300</v>
      </c>
      <c r="T90" s="1608" t="str">
        <f>+IF(AGOSTO!T90=0,"",AGOSTO!T90)</f>
        <v>Contribuciones Inherentes nómina al Sector Privado</v>
      </c>
      <c r="U90" s="1581">
        <f t="shared" ref="U90:AJ90" si="98">U91+U96+U102</f>
        <v>259627762</v>
      </c>
      <c r="V90" s="1582">
        <f t="shared" si="98"/>
        <v>-77539920</v>
      </c>
      <c r="W90" s="1582">
        <f t="shared" si="98"/>
        <v>292097670</v>
      </c>
      <c r="X90" s="1583">
        <f t="shared" si="98"/>
        <v>474185512</v>
      </c>
      <c r="Y90" s="1584">
        <f t="shared" si="98"/>
        <v>149433756</v>
      </c>
      <c r="Z90" s="1582">
        <f t="shared" si="98"/>
        <v>23588426</v>
      </c>
      <c r="AA90" s="1583">
        <f t="shared" si="98"/>
        <v>173022182</v>
      </c>
      <c r="AB90" s="1584">
        <f t="shared" si="98"/>
        <v>149433756</v>
      </c>
      <c r="AC90" s="1582">
        <f t="shared" si="98"/>
        <v>23588426</v>
      </c>
      <c r="AD90" s="1583">
        <f t="shared" si="98"/>
        <v>173022182</v>
      </c>
      <c r="AE90" s="1584">
        <f t="shared" si="98"/>
        <v>149433756</v>
      </c>
      <c r="AF90" s="1582">
        <f t="shared" si="98"/>
        <v>23588426</v>
      </c>
      <c r="AG90" s="1583">
        <f t="shared" si="98"/>
        <v>173022182</v>
      </c>
      <c r="AH90" s="1584">
        <f t="shared" si="98"/>
        <v>301163330</v>
      </c>
      <c r="AI90" s="1582">
        <f t="shared" si="98"/>
        <v>301163330</v>
      </c>
      <c r="AJ90" s="1585">
        <f t="shared" si="98"/>
        <v>301163330</v>
      </c>
      <c r="AK90" s="1448"/>
      <c r="AL90" s="1584">
        <f>AL91+AL96+AL102</f>
        <v>-5000000</v>
      </c>
      <c r="AM90" s="1585">
        <f>AM91+AM96+AM102</f>
        <v>0</v>
      </c>
      <c r="AN90" s="1746"/>
      <c r="AO90" s="1747"/>
      <c r="AP90" s="1747"/>
      <c r="AQ90" s="1747"/>
      <c r="AR90" s="1747"/>
      <c r="AS90" s="1747"/>
      <c r="AT90" s="1747"/>
      <c r="AU90" s="1747"/>
      <c r="AV90" s="1747"/>
      <c r="AW90" s="1747"/>
      <c r="AX90" s="1747"/>
      <c r="AY90" s="1747"/>
      <c r="AZ90" s="1747"/>
      <c r="BM90" s="1572"/>
      <c r="BN90" s="1572"/>
      <c r="BO90" s="1572"/>
      <c r="BP90" s="1572"/>
      <c r="BQ90" s="1572"/>
      <c r="BR90" s="1572"/>
    </row>
    <row r="91" spans="1:70" s="1735" customFormat="1" ht="24.95" customHeight="1">
      <c r="A91" s="1742">
        <f>+IF(AGOSTO!A91=0,"",AGOSTO!A91)</f>
        <v>1130206</v>
      </c>
      <c r="B91" s="1745" t="str">
        <f>+IF(AGOSTO!B91=0,"",AGOSTO!B91)</f>
        <v>OTROS CONVENIOS LIGADOS A LA VENTA DE SERVICIOS</v>
      </c>
      <c r="C91" s="1744">
        <f>+ENERO!C91</f>
        <v>0</v>
      </c>
      <c r="D91" s="1554">
        <f>AGOSTO!D91+SEPTIEMBRE!P91</f>
        <v>0</v>
      </c>
      <c r="E91" s="1554">
        <f>AGOSTO!E91+SEPTIEMBRE!Q91</f>
        <v>0</v>
      </c>
      <c r="F91" s="1554">
        <f t="shared" si="93"/>
        <v>0</v>
      </c>
      <c r="G91" s="1554">
        <f>AGOSTO!I91</f>
        <v>0</v>
      </c>
      <c r="H91" s="1557">
        <v>0</v>
      </c>
      <c r="I91" s="1554">
        <f t="shared" si="94"/>
        <v>0</v>
      </c>
      <c r="J91" s="1554">
        <f>AGOSTO!L91</f>
        <v>0</v>
      </c>
      <c r="K91" s="1557">
        <v>0</v>
      </c>
      <c r="L91" s="1554">
        <f t="shared" si="95"/>
        <v>0</v>
      </c>
      <c r="M91" s="1554">
        <f t="shared" si="96"/>
        <v>0</v>
      </c>
      <c r="N91" s="1555">
        <f t="shared" si="97"/>
        <v>0</v>
      </c>
      <c r="O91" s="1572"/>
      <c r="P91" s="1559">
        <v>0</v>
      </c>
      <c r="Q91" s="1560">
        <v>0</v>
      </c>
      <c r="R91" s="1746"/>
      <c r="S91" s="1615">
        <f>+IF(AGOSTO!S91=0,"",AGOSTO!S91)</f>
        <v>1020301</v>
      </c>
      <c r="T91" s="1616" t="str">
        <f>+IF(AGOSTO!T91=0,"",AGOSTO!T91)</f>
        <v>Contribuciones - SGP - Aportes Patronales - Cuentas Maestras</v>
      </c>
      <c r="U91" s="1617">
        <f t="shared" ref="U91:AJ91" si="99">SUM(U92:U95)</f>
        <v>0</v>
      </c>
      <c r="V91" s="1618">
        <f t="shared" si="99"/>
        <v>0</v>
      </c>
      <c r="W91" s="1618">
        <f t="shared" si="99"/>
        <v>193557750</v>
      </c>
      <c r="X91" s="1619">
        <f t="shared" si="99"/>
        <v>193557750</v>
      </c>
      <c r="Y91" s="1620">
        <f t="shared" si="99"/>
        <v>31081806</v>
      </c>
      <c r="Z91" s="1648">
        <f t="shared" si="99"/>
        <v>17122578</v>
      </c>
      <c r="AA91" s="1619">
        <f t="shared" si="99"/>
        <v>48204384</v>
      </c>
      <c r="AB91" s="1620">
        <f t="shared" si="99"/>
        <v>31081806</v>
      </c>
      <c r="AC91" s="1648">
        <f t="shared" si="99"/>
        <v>17122578</v>
      </c>
      <c r="AD91" s="1619">
        <f t="shared" si="99"/>
        <v>48204384</v>
      </c>
      <c r="AE91" s="1620">
        <f t="shared" si="99"/>
        <v>31081806</v>
      </c>
      <c r="AF91" s="1648">
        <f t="shared" si="99"/>
        <v>17122578</v>
      </c>
      <c r="AG91" s="1619">
        <f t="shared" si="99"/>
        <v>48204384</v>
      </c>
      <c r="AH91" s="1620">
        <f t="shared" si="99"/>
        <v>145353366</v>
      </c>
      <c r="AI91" s="1618">
        <f t="shared" si="99"/>
        <v>145353366</v>
      </c>
      <c r="AJ91" s="1621">
        <f t="shared" si="99"/>
        <v>145353366</v>
      </c>
      <c r="AK91" s="1448"/>
      <c r="AL91" s="1649">
        <f>SUM(AL92:AL95)</f>
        <v>0</v>
      </c>
      <c r="AM91" s="1650">
        <f>SUM(AM92:AM95)</f>
        <v>0</v>
      </c>
      <c r="AN91" s="1746"/>
      <c r="AO91" s="1747"/>
      <c r="AP91" s="1747"/>
      <c r="AQ91" s="1747"/>
      <c r="AR91" s="1747"/>
      <c r="AS91" s="1747"/>
      <c r="AT91" s="1747"/>
      <c r="AU91" s="1747"/>
      <c r="AV91" s="1747"/>
      <c r="AW91" s="1747"/>
      <c r="AX91" s="1747"/>
      <c r="AY91" s="1747"/>
      <c r="AZ91" s="1747"/>
      <c r="BL91" s="1746"/>
      <c r="BM91" s="1572"/>
      <c r="BN91" s="1572"/>
      <c r="BO91" s="1572"/>
      <c r="BP91" s="1572"/>
      <c r="BQ91" s="1572"/>
      <c r="BR91" s="1572"/>
    </row>
    <row r="92" spans="1:70" s="1735" customFormat="1" ht="24.95" customHeight="1" thickBot="1">
      <c r="A92" s="1742">
        <f>+IF(AGOSTO!A92=0,"",AGOSTO!A92)</f>
        <v>1130207</v>
      </c>
      <c r="B92" s="1748" t="str">
        <f>+IF(AGOSTO!B92=0,"",AGOSTO!B92)</f>
        <v>Vigencia Anterior</v>
      </c>
      <c r="C92" s="1749">
        <f>+ENERO!C92</f>
        <v>0</v>
      </c>
      <c r="D92" s="1592">
        <f>AGOSTO!D92+SEPTIEMBRE!P92</f>
        <v>0</v>
      </c>
      <c r="E92" s="1592">
        <f>AGOSTO!E92+SEPTIEMBRE!Q92</f>
        <v>0</v>
      </c>
      <c r="F92" s="1592">
        <f t="shared" si="93"/>
        <v>0</v>
      </c>
      <c r="G92" s="1592">
        <f>AGOSTO!I92</f>
        <v>0</v>
      </c>
      <c r="H92" s="1595">
        <v>0</v>
      </c>
      <c r="I92" s="1592">
        <f t="shared" si="94"/>
        <v>0</v>
      </c>
      <c r="J92" s="1592">
        <f>AGOSTO!L92</f>
        <v>0</v>
      </c>
      <c r="K92" s="1595">
        <v>0</v>
      </c>
      <c r="L92" s="1592">
        <f t="shared" si="95"/>
        <v>0</v>
      </c>
      <c r="M92" s="1592">
        <f t="shared" si="96"/>
        <v>0</v>
      </c>
      <c r="N92" s="1593">
        <f t="shared" si="97"/>
        <v>0</v>
      </c>
      <c r="O92" s="1572"/>
      <c r="P92" s="1559">
        <v>0</v>
      </c>
      <c r="Q92" s="1560">
        <v>0</v>
      </c>
      <c r="R92" s="1746"/>
      <c r="S92" s="1662" t="str">
        <f>+IF(AGOSTO!S92=0,"",AGOSTO!S92)</f>
        <v>1020301-1</v>
      </c>
      <c r="T92" s="1663" t="str">
        <f>+IF(AGOSTO!T92=0,"",AGOSTO!T92)</f>
        <v>E.P.S. - Aportes cuentas maestras</v>
      </c>
      <c r="U92" s="1617">
        <f>+ENERO!U92</f>
        <v>0</v>
      </c>
      <c r="V92" s="1618">
        <f>AGOSTO!V92+SEPTIEMBRE!AL92</f>
        <v>0</v>
      </c>
      <c r="W92" s="1618">
        <f>AGOSTO!W92+SEPTIEMBRE!AM92</f>
        <v>40900445</v>
      </c>
      <c r="X92" s="1619">
        <f>SUM(U92:W92)</f>
        <v>40900445</v>
      </c>
      <c r="Y92" s="1620">
        <f>AGOSTO!AA92</f>
        <v>12049684</v>
      </c>
      <c r="Z92" s="1557">
        <v>6535480</v>
      </c>
      <c r="AA92" s="1619">
        <f>SUM(Y92:Z92)</f>
        <v>18585164</v>
      </c>
      <c r="AB92" s="1620">
        <f>AGOSTO!AD92</f>
        <v>12049684</v>
      </c>
      <c r="AC92" s="1557">
        <v>6535480</v>
      </c>
      <c r="AD92" s="1619">
        <f>SUM(AB92:AC92)</f>
        <v>18585164</v>
      </c>
      <c r="AE92" s="1620">
        <f>AGOSTO!AG92</f>
        <v>12049684</v>
      </c>
      <c r="AF92" s="1557">
        <v>6535480</v>
      </c>
      <c r="AG92" s="1619">
        <f>SUM(AE92:AF92)</f>
        <v>18585164</v>
      </c>
      <c r="AH92" s="1620">
        <f>X92-AA92</f>
        <v>22315281</v>
      </c>
      <c r="AI92" s="1618">
        <f>X92-AD92</f>
        <v>22315281</v>
      </c>
      <c r="AJ92" s="1621">
        <f>X92-AG92</f>
        <v>22315281</v>
      </c>
      <c r="AK92" s="1448"/>
      <c r="AL92" s="1559">
        <v>0</v>
      </c>
      <c r="AM92" s="1560">
        <v>0</v>
      </c>
      <c r="AN92" s="1746"/>
      <c r="AO92" s="1747"/>
      <c r="AP92" s="1747"/>
      <c r="AQ92" s="1747"/>
      <c r="AR92" s="1747"/>
      <c r="AS92" s="1747"/>
      <c r="AT92" s="1747"/>
      <c r="AU92" s="1747"/>
      <c r="AV92" s="1747"/>
      <c r="AW92" s="1747"/>
      <c r="AX92" s="1747"/>
      <c r="AY92" s="1747"/>
      <c r="AZ92" s="1747"/>
      <c r="BL92" s="1746"/>
    </row>
    <row r="93" spans="1:70" s="1735" customFormat="1" ht="24.95" customHeight="1" thickBot="1">
      <c r="A93" s="1733" t="str">
        <f>+IF(AGOSTO!A93=0,"",AGOSTO!A93)</f>
        <v/>
      </c>
      <c r="B93" s="1734" t="str">
        <f>+IF(AGOSTO!B93=0,"",AGOSTO!B93)</f>
        <v/>
      </c>
      <c r="C93" s="1401"/>
      <c r="D93" s="1401"/>
      <c r="E93" s="1401"/>
      <c r="F93" s="1401"/>
      <c r="G93" s="1401"/>
      <c r="H93" s="1401"/>
      <c r="I93" s="1401"/>
      <c r="J93" s="1401"/>
      <c r="K93" s="1401"/>
      <c r="L93" s="1401"/>
      <c r="M93" s="1401"/>
      <c r="N93" s="1632"/>
      <c r="P93" s="1736"/>
      <c r="Q93" s="1604"/>
      <c r="R93" s="1746"/>
      <c r="S93" s="1662" t="str">
        <f>+IF(AGOSTO!S93=0,"",AGOSTO!S93)</f>
        <v>1020301-2</v>
      </c>
      <c r="T93" s="1663" t="str">
        <f>+IF(AGOSTO!T93=0,"",AGOSTO!T93)</f>
        <v>Fondos pensionales - Aportes cuentas maestras</v>
      </c>
      <c r="U93" s="1617">
        <f>+ENERO!U93</f>
        <v>0</v>
      </c>
      <c r="V93" s="1618">
        <f>AGOSTO!V93+SEPTIEMBRE!AL93</f>
        <v>0</v>
      </c>
      <c r="W93" s="1618">
        <f>AGOSTO!W93+SEPTIEMBRE!AM93</f>
        <v>114718500</v>
      </c>
      <c r="X93" s="1619">
        <f>SUM(U93:W93)</f>
        <v>114718500</v>
      </c>
      <c r="Y93" s="1620">
        <f>AGOSTO!AA93</f>
        <v>15899095</v>
      </c>
      <c r="Z93" s="1557">
        <v>8714106</v>
      </c>
      <c r="AA93" s="1619">
        <f>SUM(Y93:Z93)</f>
        <v>24613201</v>
      </c>
      <c r="AB93" s="1620">
        <f>AGOSTO!AD93</f>
        <v>15899095</v>
      </c>
      <c r="AC93" s="1557">
        <v>8714106</v>
      </c>
      <c r="AD93" s="1619">
        <f>SUM(AB93:AC93)</f>
        <v>24613201</v>
      </c>
      <c r="AE93" s="1620">
        <f>AGOSTO!AG93</f>
        <v>15899095</v>
      </c>
      <c r="AF93" s="1557">
        <v>8714106</v>
      </c>
      <c r="AG93" s="1619">
        <f>SUM(AE93:AF93)</f>
        <v>24613201</v>
      </c>
      <c r="AH93" s="1620">
        <f>X93-AA93</f>
        <v>90105299</v>
      </c>
      <c r="AI93" s="1618">
        <f>X93-AD93</f>
        <v>90105299</v>
      </c>
      <c r="AJ93" s="1621">
        <f>X93-AG93</f>
        <v>90105299</v>
      </c>
      <c r="AK93" s="1448"/>
      <c r="AL93" s="1559">
        <v>0</v>
      </c>
      <c r="AM93" s="1560">
        <v>0</v>
      </c>
      <c r="AN93" s="1746"/>
      <c r="AO93" s="1747"/>
      <c r="AP93" s="1747"/>
      <c r="AQ93" s="1747"/>
      <c r="AR93" s="1747"/>
      <c r="AS93" s="1747"/>
      <c r="AT93" s="1747"/>
      <c r="AU93" s="1747"/>
      <c r="AV93" s="1747"/>
      <c r="AW93" s="1747"/>
      <c r="AX93" s="1747"/>
      <c r="AY93" s="1747"/>
      <c r="AZ93" s="1747"/>
      <c r="BL93" s="1746"/>
    </row>
    <row r="94" spans="1:70" s="1735" customFormat="1" ht="39.75" customHeight="1">
      <c r="A94" s="1750">
        <f>+IF(AGOSTO!A94=0,"",AGOSTO!A94)</f>
        <v>11303</v>
      </c>
      <c r="B94" s="1751" t="str">
        <f>+IF(AGOSTO!B94=0,"",AGOSTO!B94)</f>
        <v>Aportes (No ligados a la venta de servicios de salud)</v>
      </c>
      <c r="C94" s="1739">
        <f>SUM(C95:C102)</f>
        <v>0</v>
      </c>
      <c r="D94" s="1740">
        <f t="shared" ref="D94:N94" si="100">SUM(D95:D102)</f>
        <v>0</v>
      </c>
      <c r="E94" s="1740">
        <f t="shared" si="100"/>
        <v>176903055</v>
      </c>
      <c r="F94" s="1740">
        <f t="shared" si="100"/>
        <v>176903055</v>
      </c>
      <c r="G94" s="1740">
        <f t="shared" si="100"/>
        <v>232220059</v>
      </c>
      <c r="H94" s="1740">
        <f t="shared" si="100"/>
        <v>66036772</v>
      </c>
      <c r="I94" s="1740">
        <f t="shared" si="100"/>
        <v>298256831</v>
      </c>
      <c r="J94" s="1740">
        <f t="shared" si="100"/>
        <v>232220059</v>
      </c>
      <c r="K94" s="1740">
        <f t="shared" si="100"/>
        <v>66036772</v>
      </c>
      <c r="L94" s="1740">
        <f t="shared" si="100"/>
        <v>298256831</v>
      </c>
      <c r="M94" s="1740">
        <f t="shared" si="100"/>
        <v>-121353776</v>
      </c>
      <c r="N94" s="1741">
        <f t="shared" si="100"/>
        <v>-121353776</v>
      </c>
      <c r="O94" s="1572"/>
      <c r="P94" s="1637">
        <f>SUM(P95:P102)</f>
        <v>0</v>
      </c>
      <c r="Q94" s="1638">
        <f>SUM(Q95:Q102)</f>
        <v>0</v>
      </c>
      <c r="R94" s="1746"/>
      <c r="S94" s="1662" t="str">
        <f>+IF(AGOSTO!S94=0,"",AGOSTO!S94)</f>
        <v>1020301-3</v>
      </c>
      <c r="T94" s="1663" t="str">
        <f>+IF(AGOSTO!T94=0,"",AGOSTO!T94)</f>
        <v>Fondos de cesantías - Aportes cuentas maestras</v>
      </c>
      <c r="U94" s="1617">
        <f>+ENERO!U94</f>
        <v>0</v>
      </c>
      <c r="V94" s="1618">
        <f>AGOSTO!V94+SEPTIEMBRE!AL94</f>
        <v>0</v>
      </c>
      <c r="W94" s="1618">
        <f>AGOSTO!W94+SEPTIEMBRE!AM94</f>
        <v>28200000</v>
      </c>
      <c r="X94" s="1619">
        <f>SUM(U94:W94)</f>
        <v>28200000</v>
      </c>
      <c r="Y94" s="1620">
        <f>AGOSTO!AA94</f>
        <v>0</v>
      </c>
      <c r="Z94" s="1557">
        <v>0</v>
      </c>
      <c r="AA94" s="1619">
        <f>SUM(Y94:Z94)</f>
        <v>0</v>
      </c>
      <c r="AB94" s="1620">
        <f>AGOSTO!AD94</f>
        <v>0</v>
      </c>
      <c r="AC94" s="1557">
        <v>0</v>
      </c>
      <c r="AD94" s="1619">
        <f>SUM(AB94:AC94)</f>
        <v>0</v>
      </c>
      <c r="AE94" s="1620">
        <f>AGOSTO!AG94</f>
        <v>0</v>
      </c>
      <c r="AF94" s="1557">
        <v>0</v>
      </c>
      <c r="AG94" s="1619">
        <f>SUM(AE94:AF94)</f>
        <v>0</v>
      </c>
      <c r="AH94" s="1620">
        <f>X94-AA94</f>
        <v>28200000</v>
      </c>
      <c r="AI94" s="1618">
        <f>X94-AD94</f>
        <v>28200000</v>
      </c>
      <c r="AJ94" s="1621">
        <f>X94-AG94</f>
        <v>28200000</v>
      </c>
      <c r="AK94" s="1448"/>
      <c r="AL94" s="1559">
        <v>0</v>
      </c>
      <c r="AM94" s="1560">
        <v>0</v>
      </c>
      <c r="AN94" s="1746"/>
      <c r="AO94" s="1747"/>
      <c r="AP94" s="1747"/>
      <c r="AQ94" s="1747"/>
      <c r="AR94" s="1747"/>
      <c r="AS94" s="1747"/>
      <c r="AT94" s="1747"/>
      <c r="AU94" s="1747"/>
      <c r="AV94" s="1747"/>
      <c r="AW94" s="1747"/>
      <c r="AX94" s="1747"/>
      <c r="AY94" s="1747"/>
      <c r="AZ94" s="1747"/>
      <c r="BL94" s="1746"/>
    </row>
    <row r="95" spans="1:70" s="1735" customFormat="1" ht="24.95" customHeight="1">
      <c r="A95" s="1752" t="str">
        <f>+IF(AGOSTO!A95=0,"",AGOSTO!A95)</f>
        <v>11303-1</v>
      </c>
      <c r="B95" s="1753" t="str">
        <f>+IF(AGOSTO!B95=0,"",AGOSTO!B95)</f>
        <v>CONVENIOS CON LA NACION NO LIGADOS A LA VENTA DE SERVICIOS</v>
      </c>
      <c r="C95" s="1744">
        <f>+ENERO!C95</f>
        <v>0</v>
      </c>
      <c r="D95" s="1554">
        <f>AGOSTO!D95+SEPTIEMBRE!P95</f>
        <v>0</v>
      </c>
      <c r="E95" s="1554">
        <f>AGOSTO!E95+SEPTIEMBRE!Q95</f>
        <v>0</v>
      </c>
      <c r="F95" s="1554">
        <f t="shared" ref="F95:F102" si="101">SUM(C95:E95)</f>
        <v>0</v>
      </c>
      <c r="G95" s="1554">
        <f>AGOSTO!I95</f>
        <v>0</v>
      </c>
      <c r="H95" s="1557">
        <v>0</v>
      </c>
      <c r="I95" s="1554">
        <f t="shared" ref="I95:I102" si="102">SUM(G95:H95)</f>
        <v>0</v>
      </c>
      <c r="J95" s="1554">
        <f>AGOSTO!L95</f>
        <v>0</v>
      </c>
      <c r="K95" s="1557">
        <v>0</v>
      </c>
      <c r="L95" s="1554">
        <f t="shared" ref="L95:L102" si="103">SUM(J95:K95)</f>
        <v>0</v>
      </c>
      <c r="M95" s="1554">
        <f t="shared" ref="M95:M102" si="104">F95-I95</f>
        <v>0</v>
      </c>
      <c r="N95" s="1555">
        <f t="shared" ref="N95:N102" si="105">F95-L95</f>
        <v>0</v>
      </c>
      <c r="O95" s="1572"/>
      <c r="P95" s="1559">
        <v>0</v>
      </c>
      <c r="Q95" s="1560">
        <v>0</v>
      </c>
      <c r="R95" s="1746">
        <v>0</v>
      </c>
      <c r="S95" s="1662" t="str">
        <f>+IF(AGOSTO!S95=0,"",AGOSTO!S95)</f>
        <v>1020301-4</v>
      </c>
      <c r="T95" s="1663" t="str">
        <f>+IF(AGOSTO!T95=0,"",AGOSTO!T95)</f>
        <v>Riesgos laborales - Aportes cuentas maestras</v>
      </c>
      <c r="U95" s="1617">
        <f>+ENERO!U95</f>
        <v>0</v>
      </c>
      <c r="V95" s="1618">
        <f>AGOSTO!V95+SEPTIEMBRE!AL95</f>
        <v>0</v>
      </c>
      <c r="W95" s="1618">
        <f>AGOSTO!W95+SEPTIEMBRE!AM95</f>
        <v>9738805</v>
      </c>
      <c r="X95" s="1619">
        <f>SUM(U95:W95)</f>
        <v>9738805</v>
      </c>
      <c r="Y95" s="1620">
        <f>AGOSTO!AA95</f>
        <v>3133027</v>
      </c>
      <c r="Z95" s="1557">
        <v>1872992</v>
      </c>
      <c r="AA95" s="1619">
        <f>SUM(Y95:Z95)</f>
        <v>5006019</v>
      </c>
      <c r="AB95" s="1620">
        <f>AGOSTO!AD95</f>
        <v>3133027</v>
      </c>
      <c r="AC95" s="1557">
        <v>1872992</v>
      </c>
      <c r="AD95" s="1619">
        <f>SUM(AB95:AC95)</f>
        <v>5006019</v>
      </c>
      <c r="AE95" s="1620">
        <f>AGOSTO!AG95</f>
        <v>3133027</v>
      </c>
      <c r="AF95" s="1557">
        <v>1872992</v>
      </c>
      <c r="AG95" s="1619">
        <f>SUM(AE95:AF95)</f>
        <v>5006019</v>
      </c>
      <c r="AH95" s="1620">
        <f>X95-AA95</f>
        <v>4732786</v>
      </c>
      <c r="AI95" s="1618">
        <f>X95-AD95</f>
        <v>4732786</v>
      </c>
      <c r="AJ95" s="1621">
        <f>X95-AG95</f>
        <v>4732786</v>
      </c>
      <c r="AK95" s="1448"/>
      <c r="AL95" s="1559">
        <v>0</v>
      </c>
      <c r="AM95" s="1560">
        <v>0</v>
      </c>
      <c r="AN95" s="1746"/>
      <c r="AO95" s="1747"/>
      <c r="AP95" s="1747"/>
      <c r="AQ95" s="1747"/>
      <c r="AR95" s="1747"/>
      <c r="AS95" s="1747"/>
      <c r="AT95" s="1747"/>
      <c r="AU95" s="1747"/>
      <c r="AV95" s="1747"/>
      <c r="AW95" s="1747"/>
      <c r="AX95" s="1747"/>
      <c r="AY95" s="1747"/>
      <c r="AZ95" s="1747"/>
      <c r="BL95" s="1746"/>
    </row>
    <row r="96" spans="1:70" s="1746" customFormat="1" ht="24.95" customHeight="1">
      <c r="A96" s="1752" t="str">
        <f>+IF(AGOSTO!A96=0,"",AGOSTO!A96)</f>
        <v>11303-2</v>
      </c>
      <c r="B96" s="1753" t="str">
        <f>+IF(AGOSTO!B96=0,"",AGOSTO!B96)</f>
        <v>CONVENIOS CON EL DEPARTAMENTO NO LIGADOS A LA VENTA SERVICIOS</v>
      </c>
      <c r="C96" s="1744">
        <f>+ENERO!C96</f>
        <v>0</v>
      </c>
      <c r="D96" s="1554">
        <f>AGOSTO!D96+SEPTIEMBRE!P96</f>
        <v>0</v>
      </c>
      <c r="E96" s="1554">
        <f>AGOSTO!E96+SEPTIEMBRE!Q96</f>
        <v>125236928</v>
      </c>
      <c r="F96" s="1554">
        <f t="shared" si="101"/>
        <v>125236928</v>
      </c>
      <c r="G96" s="1554">
        <f>AGOSTO!I96</f>
        <v>125236928</v>
      </c>
      <c r="H96" s="1557">
        <v>0</v>
      </c>
      <c r="I96" s="1554">
        <f t="shared" si="102"/>
        <v>125236928</v>
      </c>
      <c r="J96" s="1554">
        <f>AGOSTO!L96</f>
        <v>125236928</v>
      </c>
      <c r="K96" s="1557">
        <v>0</v>
      </c>
      <c r="L96" s="1554">
        <f t="shared" si="103"/>
        <v>125236928</v>
      </c>
      <c r="M96" s="1554">
        <f t="shared" si="104"/>
        <v>0</v>
      </c>
      <c r="N96" s="1555">
        <f t="shared" si="105"/>
        <v>0</v>
      </c>
      <c r="O96" s="1572"/>
      <c r="P96" s="1559">
        <v>0</v>
      </c>
      <c r="Q96" s="1560">
        <v>0</v>
      </c>
      <c r="S96" s="1615">
        <f>+IF(AGOSTO!S96=0,"",AGOSTO!S96)</f>
        <v>1020302</v>
      </c>
      <c r="T96" s="1616" t="str">
        <f>+IF(AGOSTO!T96=0,"",AGOSTO!T96)</f>
        <v>Contribuciones - Otros</v>
      </c>
      <c r="U96" s="1617">
        <f t="shared" ref="U96:AJ96" si="106">SUM(U97:U101)</f>
        <v>259627762</v>
      </c>
      <c r="V96" s="1618">
        <f t="shared" si="106"/>
        <v>1000000</v>
      </c>
      <c r="W96" s="1618">
        <f t="shared" si="106"/>
        <v>20000000</v>
      </c>
      <c r="X96" s="1619">
        <f t="shared" si="106"/>
        <v>280627762</v>
      </c>
      <c r="Y96" s="1620">
        <f t="shared" si="106"/>
        <v>118351950</v>
      </c>
      <c r="Z96" s="1648">
        <f t="shared" si="106"/>
        <v>6465848</v>
      </c>
      <c r="AA96" s="1619">
        <f t="shared" si="106"/>
        <v>124817798</v>
      </c>
      <c r="AB96" s="1620">
        <f t="shared" si="106"/>
        <v>118351950</v>
      </c>
      <c r="AC96" s="1648">
        <f t="shared" si="106"/>
        <v>6465848</v>
      </c>
      <c r="AD96" s="1619">
        <f t="shared" si="106"/>
        <v>124817798</v>
      </c>
      <c r="AE96" s="1620">
        <f t="shared" si="106"/>
        <v>118351950</v>
      </c>
      <c r="AF96" s="1648">
        <f t="shared" si="106"/>
        <v>6465848</v>
      </c>
      <c r="AG96" s="1619">
        <f t="shared" si="106"/>
        <v>124817798</v>
      </c>
      <c r="AH96" s="1620">
        <f t="shared" si="106"/>
        <v>155809964</v>
      </c>
      <c r="AI96" s="1618">
        <f t="shared" si="106"/>
        <v>155809964</v>
      </c>
      <c r="AJ96" s="1621">
        <f t="shared" si="106"/>
        <v>155809964</v>
      </c>
      <c r="AL96" s="1754">
        <f>SUM(AL97:AL101)</f>
        <v>-5000000</v>
      </c>
      <c r="AM96" s="1755">
        <f>SUM(AM97:AM101)</f>
        <v>0</v>
      </c>
      <c r="AO96" s="1747"/>
      <c r="AP96" s="1747"/>
      <c r="AQ96" s="1747"/>
      <c r="AR96" s="1747"/>
      <c r="AS96" s="1747"/>
      <c r="AT96" s="1747"/>
      <c r="AU96" s="1747"/>
      <c r="AV96" s="1747"/>
      <c r="AW96" s="1747"/>
      <c r="AX96" s="1747"/>
      <c r="AY96" s="1747"/>
      <c r="AZ96" s="1747"/>
      <c r="BA96" s="1735"/>
      <c r="BC96" s="1735"/>
      <c r="BD96" s="1735"/>
      <c r="BE96" s="1735"/>
      <c r="BF96" s="1735"/>
      <c r="BL96" s="1735"/>
      <c r="BM96" s="1735"/>
      <c r="BN96" s="1735"/>
      <c r="BO96" s="1735"/>
      <c r="BP96" s="1735"/>
      <c r="BQ96" s="1735"/>
      <c r="BR96" s="1735"/>
    </row>
    <row r="97" spans="1:70" s="1735" customFormat="1" ht="24.95" customHeight="1">
      <c r="A97" s="1752" t="str">
        <f>+IF(AGOSTO!A97=0,"",AGOSTO!A97)</f>
        <v>11303-3</v>
      </c>
      <c r="B97" s="1753" t="str">
        <f>+IF(AGOSTO!B97=0,"",AGOSTO!B97)</f>
        <v>CONVENIOS CON EL MUNICIPIO NO LIGADOS A LA VENTA DE SERVICIOS</v>
      </c>
      <c r="C97" s="1744">
        <f>+ENERO!C97</f>
        <v>0</v>
      </c>
      <c r="D97" s="1554">
        <f>AGOSTO!D97+SEPTIEMBRE!P97</f>
        <v>0</v>
      </c>
      <c r="E97" s="1554">
        <f>AGOSTO!E97+SEPTIEMBRE!Q97</f>
        <v>0</v>
      </c>
      <c r="F97" s="1554">
        <f t="shared" si="101"/>
        <v>0</v>
      </c>
      <c r="G97" s="1554">
        <f>AGOSTO!I97</f>
        <v>0</v>
      </c>
      <c r="H97" s="1557">
        <v>0</v>
      </c>
      <c r="I97" s="1554">
        <f t="shared" si="102"/>
        <v>0</v>
      </c>
      <c r="J97" s="1554">
        <f>AGOSTO!L97</f>
        <v>0</v>
      </c>
      <c r="K97" s="1557">
        <v>0</v>
      </c>
      <c r="L97" s="1554">
        <f t="shared" si="103"/>
        <v>0</v>
      </c>
      <c r="M97" s="1554">
        <f t="shared" si="104"/>
        <v>0</v>
      </c>
      <c r="N97" s="1555">
        <f t="shared" si="105"/>
        <v>0</v>
      </c>
      <c r="O97" s="1572"/>
      <c r="P97" s="1559">
        <v>0</v>
      </c>
      <c r="Q97" s="1560">
        <v>0</v>
      </c>
      <c r="R97" s="1746"/>
      <c r="S97" s="1662" t="str">
        <f>+IF(AGOSTO!S97=0,"",AGOSTO!S97)</f>
        <v>1020302-1</v>
      </c>
      <c r="T97" s="1663" t="str">
        <f>+IF(AGOSTO!T97=0,"",AGOSTO!T97)</f>
        <v>Aportes a E.P.S.- Con sit. Fondos</v>
      </c>
      <c r="U97" s="1617">
        <f>+ENERO!U97</f>
        <v>52772649</v>
      </c>
      <c r="V97" s="1618">
        <f>AGOSTO!V97+SEPTIEMBRE!AL97</f>
        <v>0</v>
      </c>
      <c r="W97" s="1618">
        <f>AGOSTO!W97+SEPTIEMBRE!AM97</f>
        <v>0</v>
      </c>
      <c r="X97" s="1619">
        <f t="shared" ref="X97:X102" si="107">SUM(U97:W97)</f>
        <v>52772649</v>
      </c>
      <c r="Y97" s="1620">
        <f>AGOSTO!AA97</f>
        <v>37010174</v>
      </c>
      <c r="Z97" s="1557">
        <v>0</v>
      </c>
      <c r="AA97" s="1619">
        <f t="shared" ref="AA97:AA102" si="108">SUM(Y97:Z97)</f>
        <v>37010174</v>
      </c>
      <c r="AB97" s="1620">
        <f>AGOSTO!AD97</f>
        <v>37010174</v>
      </c>
      <c r="AC97" s="1557">
        <v>0</v>
      </c>
      <c r="AD97" s="1619">
        <f t="shared" ref="AD97:AD102" si="109">SUM(AB97:AC97)</f>
        <v>37010174</v>
      </c>
      <c r="AE97" s="1620">
        <f>AGOSTO!AG97</f>
        <v>37010174</v>
      </c>
      <c r="AF97" s="1557">
        <v>0</v>
      </c>
      <c r="AG97" s="1619">
        <f t="shared" ref="AG97:AG102" si="110">SUM(AE97:AF97)</f>
        <v>37010174</v>
      </c>
      <c r="AH97" s="1620">
        <f t="shared" ref="AH97:AH102" si="111">X97-AA97</f>
        <v>15762475</v>
      </c>
      <c r="AI97" s="1618">
        <f t="shared" ref="AI97:AI102" si="112">X97-AD97</f>
        <v>15762475</v>
      </c>
      <c r="AJ97" s="1621">
        <f t="shared" ref="AJ97:AJ102" si="113">X97-AG97</f>
        <v>15762475</v>
      </c>
      <c r="AK97" s="1746"/>
      <c r="AL97" s="1559">
        <v>0</v>
      </c>
      <c r="AM97" s="1560">
        <v>0</v>
      </c>
      <c r="AN97" s="1746"/>
      <c r="AO97" s="1747"/>
      <c r="AP97" s="1747"/>
      <c r="AQ97" s="1747"/>
      <c r="AR97" s="1747"/>
      <c r="AS97" s="1747"/>
      <c r="AT97" s="1747"/>
      <c r="AU97" s="1747"/>
      <c r="AV97" s="1747"/>
      <c r="AW97" s="1747"/>
      <c r="AX97" s="1747"/>
      <c r="AY97" s="1747"/>
      <c r="AZ97" s="1747"/>
      <c r="BC97" s="1746"/>
      <c r="BD97" s="1746"/>
      <c r="BE97" s="1746"/>
    </row>
    <row r="98" spans="1:70" s="1735" customFormat="1" ht="24.95" customHeight="1">
      <c r="A98" s="1752" t="str">
        <f>+IF(AGOSTO!A98=0,"",AGOSTO!A98)</f>
        <v>11303-4</v>
      </c>
      <c r="B98" s="1753" t="str">
        <f>+IF(AGOSTO!B98=0,"",AGOSTO!B98)</f>
        <v>OTROS CONVENIOS NO LIGADOS A LA VENTA DE SERVICIOS</v>
      </c>
      <c r="C98" s="1744">
        <f>+ENERO!C98</f>
        <v>0</v>
      </c>
      <c r="D98" s="1554">
        <f>AGOSTO!D98+SEPTIEMBRE!P98</f>
        <v>0</v>
      </c>
      <c r="E98" s="1554">
        <f>AGOSTO!E98+SEPTIEMBRE!Q98</f>
        <v>0</v>
      </c>
      <c r="F98" s="1554">
        <f t="shared" si="101"/>
        <v>0</v>
      </c>
      <c r="G98" s="1554">
        <f>AGOSTO!I98</f>
        <v>0</v>
      </c>
      <c r="H98" s="1557">
        <v>0</v>
      </c>
      <c r="I98" s="1554">
        <f t="shared" si="102"/>
        <v>0</v>
      </c>
      <c r="J98" s="1554">
        <f>AGOSTO!L98</f>
        <v>0</v>
      </c>
      <c r="K98" s="1557">
        <v>0</v>
      </c>
      <c r="L98" s="1554">
        <f t="shared" si="103"/>
        <v>0</v>
      </c>
      <c r="M98" s="1554">
        <f t="shared" si="104"/>
        <v>0</v>
      </c>
      <c r="N98" s="1555">
        <f t="shared" si="105"/>
        <v>0</v>
      </c>
      <c r="O98" s="1572"/>
      <c r="P98" s="1559">
        <v>0</v>
      </c>
      <c r="Q98" s="1560">
        <v>0</v>
      </c>
      <c r="R98" s="1746"/>
      <c r="S98" s="1662" t="str">
        <f>+IF(AGOSTO!S98=0,"",AGOSTO!S98)</f>
        <v>1020302-2</v>
      </c>
      <c r="T98" s="1663" t="str">
        <f>+IF(AGOSTO!T98=0,"",AGOSTO!T98)</f>
        <v>Aportes Fondos Pensionales - Con Sit. Fondos</v>
      </c>
      <c r="U98" s="1617">
        <f>+ENERO!U98</f>
        <v>103712246</v>
      </c>
      <c r="V98" s="1618">
        <f>AGOSTO!V98+SEPTIEMBRE!AL98</f>
        <v>-5000000</v>
      </c>
      <c r="W98" s="1618">
        <f>AGOSTO!W98+SEPTIEMBRE!AM98</f>
        <v>0</v>
      </c>
      <c r="X98" s="1619">
        <f t="shared" si="107"/>
        <v>98712246</v>
      </c>
      <c r="Y98" s="1620">
        <f>AGOSTO!AA98</f>
        <v>50124903</v>
      </c>
      <c r="Z98" s="1557">
        <v>0</v>
      </c>
      <c r="AA98" s="1619">
        <f t="shared" si="108"/>
        <v>50124903</v>
      </c>
      <c r="AB98" s="1620">
        <f>AGOSTO!AD98</f>
        <v>50124903</v>
      </c>
      <c r="AC98" s="1557">
        <v>0</v>
      </c>
      <c r="AD98" s="1619">
        <f t="shared" si="109"/>
        <v>50124903</v>
      </c>
      <c r="AE98" s="1620">
        <f>AGOSTO!AG98</f>
        <v>50124903</v>
      </c>
      <c r="AF98" s="1557">
        <v>0</v>
      </c>
      <c r="AG98" s="1619">
        <f t="shared" si="110"/>
        <v>50124903</v>
      </c>
      <c r="AH98" s="1620">
        <f t="shared" si="111"/>
        <v>48587343</v>
      </c>
      <c r="AI98" s="1618">
        <f t="shared" si="112"/>
        <v>48587343</v>
      </c>
      <c r="AJ98" s="1621">
        <f t="shared" si="113"/>
        <v>48587343</v>
      </c>
      <c r="AK98" s="1746"/>
      <c r="AL98" s="1559">
        <v>-5000000</v>
      </c>
      <c r="AM98" s="1560">
        <v>0</v>
      </c>
      <c r="AN98" s="1746"/>
      <c r="AO98" s="1747"/>
      <c r="AP98" s="1747"/>
      <c r="AQ98" s="1747"/>
      <c r="AR98" s="1747"/>
      <c r="AS98" s="1747"/>
      <c r="AT98" s="1747"/>
      <c r="AU98" s="1747"/>
      <c r="AV98" s="1747"/>
      <c r="AW98" s="1747"/>
      <c r="AX98" s="1747"/>
      <c r="AY98" s="1747"/>
      <c r="AZ98" s="1747"/>
      <c r="BN98" s="1746"/>
      <c r="BO98" s="1746"/>
      <c r="BP98" s="1746"/>
      <c r="BQ98" s="1746"/>
      <c r="BR98" s="1746"/>
    </row>
    <row r="99" spans="1:70" s="1735" customFormat="1" ht="24.95" customHeight="1">
      <c r="A99" s="1752" t="str">
        <f>+IF(AGOSTO!A99=0,"",AGOSTO!A99)</f>
        <v>11303-5</v>
      </c>
      <c r="B99" s="1753" t="str">
        <f>+IF(AGOSTO!B99=0,"",AGOSTO!B99)</f>
        <v>APORTES PATRONALES - MUNICIPIO / DEPARTAMENTO</v>
      </c>
      <c r="C99" s="1744">
        <f>+ENERO!C99</f>
        <v>0</v>
      </c>
      <c r="D99" s="1554">
        <f>AGOSTO!D99+SEPTIEMBRE!P99</f>
        <v>0</v>
      </c>
      <c r="E99" s="1554">
        <f>AGOSTO!E99+SEPTIEMBRE!Q99</f>
        <v>0</v>
      </c>
      <c r="F99" s="1554">
        <f t="shared" si="101"/>
        <v>0</v>
      </c>
      <c r="G99" s="1554">
        <f>AGOSTO!I99</f>
        <v>0</v>
      </c>
      <c r="H99" s="1756">
        <v>0</v>
      </c>
      <c r="I99" s="1554">
        <f t="shared" si="102"/>
        <v>0</v>
      </c>
      <c r="J99" s="1554">
        <f>AGOSTO!L99</f>
        <v>0</v>
      </c>
      <c r="K99" s="1756">
        <v>0</v>
      </c>
      <c r="L99" s="1554">
        <f t="shared" si="103"/>
        <v>0</v>
      </c>
      <c r="M99" s="1554">
        <f t="shared" si="104"/>
        <v>0</v>
      </c>
      <c r="N99" s="1555">
        <f t="shared" si="105"/>
        <v>0</v>
      </c>
      <c r="O99" s="1572"/>
      <c r="P99" s="1553">
        <v>0</v>
      </c>
      <c r="Q99" s="1757">
        <v>0</v>
      </c>
      <c r="R99" s="1746"/>
      <c r="S99" s="1662" t="str">
        <f>+IF(AGOSTO!S99=0,"",AGOSTO!S99)</f>
        <v>1020302-3</v>
      </c>
      <c r="T99" s="1663" t="str">
        <f>+IF(AGOSTO!T99=0,"",AGOSTO!T99)</f>
        <v xml:space="preserve">Aportes a Fondos de Cesantia - Con Sit. de Fondos </v>
      </c>
      <c r="U99" s="1617">
        <f>+ENERO!U99</f>
        <v>72193404</v>
      </c>
      <c r="V99" s="1618">
        <f>AGOSTO!V99+SEPTIEMBRE!AL99</f>
        <v>0</v>
      </c>
      <c r="W99" s="1618">
        <f>AGOSTO!W99+SEPTIEMBRE!AM99</f>
        <v>0</v>
      </c>
      <c r="X99" s="1619">
        <f t="shared" si="107"/>
        <v>72193404</v>
      </c>
      <c r="Y99" s="1620">
        <f>AGOSTO!AA99</f>
        <v>0</v>
      </c>
      <c r="Z99" s="1557">
        <v>3390328</v>
      </c>
      <c r="AA99" s="1619">
        <f t="shared" si="108"/>
        <v>3390328</v>
      </c>
      <c r="AB99" s="1620">
        <f>AGOSTO!AD99</f>
        <v>0</v>
      </c>
      <c r="AC99" s="1557">
        <v>3390328</v>
      </c>
      <c r="AD99" s="1619">
        <f t="shared" si="109"/>
        <v>3390328</v>
      </c>
      <c r="AE99" s="1620">
        <f>AGOSTO!AG99</f>
        <v>0</v>
      </c>
      <c r="AF99" s="1557">
        <v>3390328</v>
      </c>
      <c r="AG99" s="1619">
        <f t="shared" si="110"/>
        <v>3390328</v>
      </c>
      <c r="AH99" s="1620">
        <f t="shared" si="111"/>
        <v>68803076</v>
      </c>
      <c r="AI99" s="1618">
        <f t="shared" si="112"/>
        <v>68803076</v>
      </c>
      <c r="AJ99" s="1621">
        <f t="shared" si="113"/>
        <v>68803076</v>
      </c>
      <c r="AK99" s="1746"/>
      <c r="AL99" s="1559">
        <v>0</v>
      </c>
      <c r="AM99" s="1560">
        <v>0</v>
      </c>
      <c r="AN99" s="1746"/>
      <c r="AO99" s="1747"/>
      <c r="AP99" s="1747"/>
      <c r="AQ99" s="1747"/>
      <c r="AR99" s="1747"/>
      <c r="AS99" s="1747"/>
      <c r="AT99" s="1747"/>
      <c r="AU99" s="1747"/>
      <c r="AV99" s="1747"/>
      <c r="AW99" s="1747"/>
      <c r="AX99" s="1747"/>
      <c r="AY99" s="1747"/>
      <c r="AZ99" s="1747"/>
      <c r="BM99" s="1746"/>
    </row>
    <row r="100" spans="1:70" s="1572" customFormat="1" ht="24.95" customHeight="1">
      <c r="A100" s="1752" t="str">
        <f>+IF(AGOSTO!A100=0,"",AGOSTO!A100)</f>
        <v>11303-6</v>
      </c>
      <c r="B100" s="1753" t="str">
        <f>+IF(AGOSTO!B100=0,"",AGOSTO!B100)</f>
        <v>RECURSOS PARA PROGRAMA DE SANEAMIENTO FINANCIERO</v>
      </c>
      <c r="C100" s="1744">
        <f>+ENERO!C100</f>
        <v>0</v>
      </c>
      <c r="D100" s="1554">
        <f>AGOSTO!D100+SEPTIEMBRE!P100</f>
        <v>0</v>
      </c>
      <c r="E100" s="1554">
        <f>AGOSTO!E100+SEPTIEMBRE!Q100</f>
        <v>0</v>
      </c>
      <c r="F100" s="1554">
        <f t="shared" si="101"/>
        <v>0</v>
      </c>
      <c r="G100" s="1554">
        <f>AGOSTO!I100</f>
        <v>0</v>
      </c>
      <c r="H100" s="1557">
        <v>0</v>
      </c>
      <c r="I100" s="1554">
        <f t="shared" si="102"/>
        <v>0</v>
      </c>
      <c r="J100" s="1554">
        <f>AGOSTO!L100</f>
        <v>0</v>
      </c>
      <c r="K100" s="1557">
        <v>0</v>
      </c>
      <c r="L100" s="1554">
        <f t="shared" si="103"/>
        <v>0</v>
      </c>
      <c r="M100" s="1554">
        <f t="shared" si="104"/>
        <v>0</v>
      </c>
      <c r="N100" s="1555">
        <f t="shared" si="105"/>
        <v>0</v>
      </c>
      <c r="P100" s="1559">
        <v>0</v>
      </c>
      <c r="Q100" s="1560">
        <v>0</v>
      </c>
      <c r="R100" s="1448"/>
      <c r="S100" s="1662" t="str">
        <f>+IF(AGOSTO!S100=0,"",AGOSTO!S100)</f>
        <v>1020302-4</v>
      </c>
      <c r="T100" s="1663" t="str">
        <f>+IF(AGOSTO!T100=0,"",AGOSTO!T100)</f>
        <v>Aporte a ARL. - Con Sit. de Fondos</v>
      </c>
      <c r="U100" s="1617">
        <f>+ENERO!U100</f>
        <v>20885552</v>
      </c>
      <c r="V100" s="1618">
        <f>AGOSTO!V100+SEPTIEMBRE!AL100</f>
        <v>0</v>
      </c>
      <c r="W100" s="1618">
        <f>AGOSTO!W100+SEPTIEMBRE!AM100</f>
        <v>0</v>
      </c>
      <c r="X100" s="1619">
        <f t="shared" si="107"/>
        <v>20885552</v>
      </c>
      <c r="Y100" s="1620">
        <f>AGOSTO!AA100</f>
        <v>9831767</v>
      </c>
      <c r="Z100" s="1557">
        <v>0</v>
      </c>
      <c r="AA100" s="1619">
        <f t="shared" si="108"/>
        <v>9831767</v>
      </c>
      <c r="AB100" s="1620">
        <f>AGOSTO!AD100</f>
        <v>9831767</v>
      </c>
      <c r="AC100" s="1557">
        <v>0</v>
      </c>
      <c r="AD100" s="1619">
        <f t="shared" si="109"/>
        <v>9831767</v>
      </c>
      <c r="AE100" s="1620">
        <f>AGOSTO!AG100</f>
        <v>9831767</v>
      </c>
      <c r="AF100" s="1557">
        <v>0</v>
      </c>
      <c r="AG100" s="1619">
        <f t="shared" si="110"/>
        <v>9831767</v>
      </c>
      <c r="AH100" s="1620">
        <f t="shared" si="111"/>
        <v>11053785</v>
      </c>
      <c r="AI100" s="1618">
        <f t="shared" si="112"/>
        <v>11053785</v>
      </c>
      <c r="AJ100" s="1621">
        <f t="shared" si="113"/>
        <v>11053785</v>
      </c>
      <c r="AK100" s="1746"/>
      <c r="AL100" s="1559">
        <v>0</v>
      </c>
      <c r="AM100" s="1560">
        <v>0</v>
      </c>
      <c r="AN100" s="1448"/>
      <c r="AO100" s="1401"/>
      <c r="AP100" s="1401"/>
      <c r="AQ100" s="1401"/>
      <c r="AR100" s="1401"/>
      <c r="AS100" s="1401"/>
      <c r="AT100" s="1401"/>
      <c r="AU100" s="1401"/>
      <c r="AV100" s="1401"/>
      <c r="AW100" s="1401"/>
      <c r="AX100" s="1401"/>
      <c r="AY100" s="1401"/>
      <c r="AZ100" s="1401"/>
      <c r="BM100" s="1735"/>
      <c r="BN100" s="1735"/>
      <c r="BO100" s="1735"/>
      <c r="BP100" s="1735"/>
      <c r="BQ100" s="1735"/>
      <c r="BR100" s="1735"/>
    </row>
    <row r="101" spans="1:70" s="1572" customFormat="1" ht="24.95" customHeight="1">
      <c r="A101" s="1752" t="str">
        <f>+IF(AGOSTO!A101=0,"",AGOSTO!A101)</f>
        <v>11303-7</v>
      </c>
      <c r="B101" s="1753" t="str">
        <f>+IF(AGOSTO!B101=0,"",AGOSTO!B101)</f>
        <v/>
      </c>
      <c r="C101" s="1744">
        <f>+ENERO!C101</f>
        <v>0</v>
      </c>
      <c r="D101" s="1554">
        <f>AGOSTO!D101+SEPTIEMBRE!P101</f>
        <v>0</v>
      </c>
      <c r="E101" s="1554">
        <f>AGOSTO!E101+SEPTIEMBRE!Q101</f>
        <v>0</v>
      </c>
      <c r="F101" s="1554">
        <f t="shared" si="101"/>
        <v>0</v>
      </c>
      <c r="G101" s="1554">
        <f>AGOSTO!I101</f>
        <v>0</v>
      </c>
      <c r="H101" s="1557">
        <v>0</v>
      </c>
      <c r="I101" s="1554">
        <f t="shared" si="102"/>
        <v>0</v>
      </c>
      <c r="J101" s="1554">
        <f>AGOSTO!L101</f>
        <v>0</v>
      </c>
      <c r="K101" s="1557">
        <v>0</v>
      </c>
      <c r="L101" s="1554">
        <f t="shared" si="103"/>
        <v>0</v>
      </c>
      <c r="M101" s="1554">
        <f t="shared" si="104"/>
        <v>0</v>
      </c>
      <c r="N101" s="1555">
        <f t="shared" si="105"/>
        <v>0</v>
      </c>
      <c r="P101" s="1559">
        <v>0</v>
      </c>
      <c r="Q101" s="1560">
        <v>0</v>
      </c>
      <c r="R101" s="1448"/>
      <c r="S101" s="1662" t="str">
        <f>+IF(AGOSTO!S101=0,"",AGOSTO!S101)</f>
        <v>1020302-5</v>
      </c>
      <c r="T101" s="1663" t="str">
        <f>+IF(AGOSTO!T101=0,"",AGOSTO!T101)</f>
        <v>Aporte a Caja Compensación Familiar</v>
      </c>
      <c r="U101" s="1617">
        <f>+ENERO!U101</f>
        <v>10063911</v>
      </c>
      <c r="V101" s="1618">
        <f>AGOSTO!V101+SEPTIEMBRE!AL101</f>
        <v>6000000</v>
      </c>
      <c r="W101" s="1618">
        <f>AGOSTO!W101+SEPTIEMBRE!AM101</f>
        <v>20000000</v>
      </c>
      <c r="X101" s="1619">
        <f t="shared" si="107"/>
        <v>36063911</v>
      </c>
      <c r="Y101" s="1620">
        <f>AGOSTO!AA101</f>
        <v>21385106</v>
      </c>
      <c r="Z101" s="1557">
        <v>3075520</v>
      </c>
      <c r="AA101" s="1619">
        <f t="shared" si="108"/>
        <v>24460626</v>
      </c>
      <c r="AB101" s="1620">
        <f>AGOSTO!AD101</f>
        <v>21385106</v>
      </c>
      <c r="AC101" s="1557">
        <v>3075520</v>
      </c>
      <c r="AD101" s="1619">
        <f t="shared" si="109"/>
        <v>24460626</v>
      </c>
      <c r="AE101" s="1620">
        <f>AGOSTO!AG101</f>
        <v>21385106</v>
      </c>
      <c r="AF101" s="1557">
        <v>3075520</v>
      </c>
      <c r="AG101" s="1619">
        <f t="shared" si="110"/>
        <v>24460626</v>
      </c>
      <c r="AH101" s="1620">
        <f t="shared" si="111"/>
        <v>11603285</v>
      </c>
      <c r="AI101" s="1618">
        <f t="shared" si="112"/>
        <v>11603285</v>
      </c>
      <c r="AJ101" s="1621">
        <f t="shared" si="113"/>
        <v>11603285</v>
      </c>
      <c r="AK101" s="1746"/>
      <c r="AL101" s="1559">
        <v>0</v>
      </c>
      <c r="AM101" s="1560">
        <v>0</v>
      </c>
      <c r="AN101" s="1448"/>
      <c r="AO101" s="1401"/>
      <c r="AP101" s="1401"/>
      <c r="AQ101" s="1401"/>
      <c r="AR101" s="1401"/>
      <c r="AS101" s="1401"/>
      <c r="AT101" s="1401"/>
      <c r="AU101" s="1401"/>
      <c r="AV101" s="1401"/>
      <c r="AW101" s="1401"/>
      <c r="AX101" s="1401"/>
      <c r="AY101" s="1401"/>
      <c r="AZ101" s="1401"/>
      <c r="BM101" s="1735"/>
      <c r="BN101" s="1735"/>
      <c r="BO101" s="1735"/>
      <c r="BP101" s="1735"/>
      <c r="BQ101" s="1735"/>
      <c r="BR101" s="1735"/>
    </row>
    <row r="102" spans="1:70" s="1572" customFormat="1" ht="24.95" customHeight="1" thickBot="1">
      <c r="A102" s="1752" t="str">
        <f>+IF(AGOSTO!A102=0,"",AGOSTO!A102)</f>
        <v>11303-8</v>
      </c>
      <c r="B102" s="1748" t="str">
        <f>+IF(AGOSTO!B102=0,"",AGOSTO!B102)</f>
        <v>Vigencia Anterior</v>
      </c>
      <c r="C102" s="1749">
        <f>+ENERO!C102</f>
        <v>0</v>
      </c>
      <c r="D102" s="1592">
        <f>AGOSTO!D102+SEPTIEMBRE!P102</f>
        <v>0</v>
      </c>
      <c r="E102" s="1592">
        <f>AGOSTO!E102+SEPTIEMBRE!Q102</f>
        <v>51666127</v>
      </c>
      <c r="F102" s="1592">
        <f t="shared" si="101"/>
        <v>51666127</v>
      </c>
      <c r="G102" s="1592">
        <f>AGOSTO!I102</f>
        <v>106983131</v>
      </c>
      <c r="H102" s="1595">
        <v>66036772</v>
      </c>
      <c r="I102" s="1592">
        <f t="shared" si="102"/>
        <v>173019903</v>
      </c>
      <c r="J102" s="1592">
        <f>AGOSTO!L102</f>
        <v>106983131</v>
      </c>
      <c r="K102" s="1595">
        <v>66036772</v>
      </c>
      <c r="L102" s="1592">
        <f t="shared" si="103"/>
        <v>173019903</v>
      </c>
      <c r="M102" s="1592">
        <f t="shared" si="104"/>
        <v>-121353776</v>
      </c>
      <c r="N102" s="1593">
        <f t="shared" si="105"/>
        <v>-121353776</v>
      </c>
      <c r="P102" s="1559">
        <v>0</v>
      </c>
      <c r="Q102" s="1560">
        <v>0</v>
      </c>
      <c r="R102" s="1448"/>
      <c r="S102" s="1615">
        <f>+IF(AGOSTO!S102=0,"",AGOSTO!S102)</f>
        <v>1020399</v>
      </c>
      <c r="T102" s="1616" t="str">
        <f>+IF(AGOSTO!T102=0,"",AGOSTO!T102)</f>
        <v>Vigencias Anteriores</v>
      </c>
      <c r="U102" s="1617">
        <f>+ENERO!U102</f>
        <v>0</v>
      </c>
      <c r="V102" s="1618">
        <f>AGOSTO!V102+SEPTIEMBRE!AL102</f>
        <v>-78539920</v>
      </c>
      <c r="W102" s="1618">
        <f>AGOSTO!W102+SEPTIEMBRE!AM102</f>
        <v>78539920</v>
      </c>
      <c r="X102" s="1619">
        <f t="shared" si="107"/>
        <v>0</v>
      </c>
      <c r="Y102" s="1620">
        <f>AGOSTO!AA102</f>
        <v>0</v>
      </c>
      <c r="Z102" s="1557">
        <v>0</v>
      </c>
      <c r="AA102" s="1619">
        <f t="shared" si="108"/>
        <v>0</v>
      </c>
      <c r="AB102" s="1620">
        <f>AGOSTO!AD102</f>
        <v>0</v>
      </c>
      <c r="AC102" s="1557">
        <v>0</v>
      </c>
      <c r="AD102" s="1619">
        <f t="shared" si="109"/>
        <v>0</v>
      </c>
      <c r="AE102" s="1620">
        <f>AGOSTO!AG102</f>
        <v>0</v>
      </c>
      <c r="AF102" s="1557">
        <v>0</v>
      </c>
      <c r="AG102" s="1619">
        <f t="shared" si="110"/>
        <v>0</v>
      </c>
      <c r="AH102" s="1620">
        <f t="shared" si="111"/>
        <v>0</v>
      </c>
      <c r="AI102" s="1618">
        <f t="shared" si="112"/>
        <v>0</v>
      </c>
      <c r="AJ102" s="1621">
        <f t="shared" si="113"/>
        <v>0</v>
      </c>
      <c r="AK102" s="1448"/>
      <c r="AL102" s="1559">
        <v>0</v>
      </c>
      <c r="AM102" s="1560">
        <v>0</v>
      </c>
      <c r="AN102" s="1448"/>
      <c r="AO102" s="1401"/>
      <c r="AP102" s="1401"/>
      <c r="AQ102" s="1401"/>
      <c r="AR102" s="1401"/>
      <c r="AS102" s="1401"/>
      <c r="AT102" s="1401"/>
      <c r="AU102" s="1401"/>
      <c r="AV102" s="1401"/>
      <c r="AW102" s="1401"/>
      <c r="AX102" s="1401"/>
      <c r="AY102" s="1401"/>
      <c r="AZ102" s="1401"/>
    </row>
    <row r="103" spans="1:70" s="1572" customFormat="1" ht="24.95" customHeight="1" thickBot="1">
      <c r="A103" s="1758" t="str">
        <f>+IF(AGOSTO!A103=0,"",AGOSTO!A103)</f>
        <v/>
      </c>
      <c r="B103" s="1759" t="str">
        <f>+IF(AGOSTO!B103=0,"",AGOSTO!B103)</f>
        <v/>
      </c>
      <c r="C103" s="1760"/>
      <c r="D103" s="1760"/>
      <c r="E103" s="1760"/>
      <c r="F103" s="1760"/>
      <c r="G103" s="1760"/>
      <c r="H103" s="1760"/>
      <c r="I103" s="1760"/>
      <c r="J103" s="1760"/>
      <c r="K103" s="1760"/>
      <c r="L103" s="1760"/>
      <c r="M103" s="1760"/>
      <c r="N103" s="1761"/>
      <c r="P103" s="1762"/>
      <c r="Q103" s="1761"/>
      <c r="R103" s="1448"/>
      <c r="S103" s="1538" t="str">
        <f>+IF(AGOSTO!S103=0,"",AGOSTO!S103)</f>
        <v/>
      </c>
      <c r="T103" s="1539" t="str">
        <f>+IF(AGOSTO!T103=0,"",AGOSTO!T103)</f>
        <v/>
      </c>
      <c r="U103" s="1540"/>
      <c r="V103" s="1540"/>
      <c r="W103" s="1540"/>
      <c r="X103" s="1540"/>
      <c r="Y103" s="1540"/>
      <c r="Z103" s="1540"/>
      <c r="AA103" s="1540"/>
      <c r="AB103" s="1540"/>
      <c r="AC103" s="1540"/>
      <c r="AD103" s="1540"/>
      <c r="AE103" s="1540"/>
      <c r="AF103" s="1540"/>
      <c r="AG103" s="1540"/>
      <c r="AH103" s="1540"/>
      <c r="AI103" s="1540"/>
      <c r="AJ103" s="1541"/>
      <c r="AK103" s="1448"/>
      <c r="AL103" s="1726"/>
      <c r="AM103" s="1727"/>
      <c r="AN103" s="1448"/>
      <c r="AO103" s="1401"/>
      <c r="AP103" s="1401"/>
      <c r="AQ103" s="1401"/>
      <c r="AR103" s="1401"/>
      <c r="AS103" s="1401"/>
      <c r="AT103" s="1401"/>
      <c r="AU103" s="1401"/>
      <c r="AV103" s="1401"/>
      <c r="AW103" s="1401"/>
      <c r="AX103" s="1401"/>
      <c r="AY103" s="1401"/>
      <c r="AZ103" s="1401"/>
    </row>
    <row r="104" spans="1:70" s="1572" customFormat="1" ht="24.95" customHeight="1">
      <c r="A104" s="1750">
        <f>+IF(AGOSTO!A104=0,"",AGOSTO!A104)</f>
        <v>11304</v>
      </c>
      <c r="B104" s="1751" t="str">
        <f>+IF(AGOSTO!B104=0,"",AGOSTO!B104)</f>
        <v>Otros ingresos corrientes</v>
      </c>
      <c r="C104" s="1739">
        <f>SUM(C105:C111)</f>
        <v>667440000</v>
      </c>
      <c r="D104" s="1740">
        <f t="shared" ref="D104:N104" si="114">SUM(D105:D111)</f>
        <v>0</v>
      </c>
      <c r="E104" s="1740">
        <f t="shared" si="114"/>
        <v>80764441</v>
      </c>
      <c r="F104" s="1740">
        <f t="shared" si="114"/>
        <v>748204441</v>
      </c>
      <c r="G104" s="1740">
        <f t="shared" si="114"/>
        <v>752426090</v>
      </c>
      <c r="H104" s="1740">
        <f t="shared" si="114"/>
        <v>73252542</v>
      </c>
      <c r="I104" s="1740">
        <f t="shared" si="114"/>
        <v>825678632</v>
      </c>
      <c r="J104" s="1740">
        <f t="shared" si="114"/>
        <v>512913638</v>
      </c>
      <c r="K104" s="1740">
        <f t="shared" si="114"/>
        <v>60305856</v>
      </c>
      <c r="L104" s="1740">
        <f t="shared" si="114"/>
        <v>573219494</v>
      </c>
      <c r="M104" s="1740">
        <f t="shared" si="114"/>
        <v>-77474191</v>
      </c>
      <c r="N104" s="1741">
        <f t="shared" si="114"/>
        <v>174984947</v>
      </c>
      <c r="P104" s="1637">
        <f>SUM(P105:P111)</f>
        <v>0</v>
      </c>
      <c r="Q104" s="1638">
        <f>SUM(Q105:Q111)</f>
        <v>0</v>
      </c>
      <c r="R104" s="1448"/>
      <c r="S104" s="1607">
        <f>+IF(AGOSTO!S104=0,"",AGOSTO!S104)</f>
        <v>1020400</v>
      </c>
      <c r="T104" s="1608" t="str">
        <f>+IF(AGOSTO!T104=0,"",AGOSTO!T104)</f>
        <v>Contribuciones Inherentes nómina del Sector Publico</v>
      </c>
      <c r="U104" s="1581">
        <f t="shared" ref="U104:AJ104" si="115">U105+U108</f>
        <v>43075476</v>
      </c>
      <c r="V104" s="1582">
        <f t="shared" si="115"/>
        <v>5000000</v>
      </c>
      <c r="W104" s="1582">
        <f t="shared" si="115"/>
        <v>0</v>
      </c>
      <c r="X104" s="1583">
        <f t="shared" si="115"/>
        <v>48075476</v>
      </c>
      <c r="Y104" s="1584">
        <f t="shared" si="115"/>
        <v>28789191</v>
      </c>
      <c r="Z104" s="1582">
        <f t="shared" si="115"/>
        <v>3844400</v>
      </c>
      <c r="AA104" s="1583">
        <f t="shared" si="115"/>
        <v>32633591</v>
      </c>
      <c r="AB104" s="1584">
        <f t="shared" si="115"/>
        <v>28789191</v>
      </c>
      <c r="AC104" s="1582">
        <f t="shared" si="115"/>
        <v>3844400</v>
      </c>
      <c r="AD104" s="1583">
        <f t="shared" si="115"/>
        <v>32633591</v>
      </c>
      <c r="AE104" s="1584">
        <f t="shared" si="115"/>
        <v>28789191</v>
      </c>
      <c r="AF104" s="1582">
        <f t="shared" si="115"/>
        <v>3844400</v>
      </c>
      <c r="AG104" s="1583">
        <f t="shared" si="115"/>
        <v>32633591</v>
      </c>
      <c r="AH104" s="1584">
        <f t="shared" si="115"/>
        <v>15441885</v>
      </c>
      <c r="AI104" s="1582">
        <f t="shared" si="115"/>
        <v>15441885</v>
      </c>
      <c r="AJ104" s="1585">
        <f t="shared" si="115"/>
        <v>15441885</v>
      </c>
      <c r="AK104" s="1448"/>
      <c r="AL104" s="1584">
        <f>AL105+AL108</f>
        <v>5000000</v>
      </c>
      <c r="AM104" s="1585">
        <f>AM105+AM108</f>
        <v>0</v>
      </c>
      <c r="AN104" s="1448"/>
      <c r="AO104" s="1401"/>
      <c r="AP104" s="1401"/>
      <c r="AQ104" s="1401"/>
      <c r="AR104" s="1401"/>
      <c r="AS104" s="1401"/>
      <c r="AT104" s="1401"/>
      <c r="AU104" s="1401"/>
      <c r="AV104" s="1401"/>
      <c r="AW104" s="1401"/>
      <c r="AX104" s="1401"/>
      <c r="AY104" s="1401"/>
      <c r="AZ104" s="1401"/>
    </row>
    <row r="105" spans="1:70" s="1572" customFormat="1" ht="24.95" customHeight="1">
      <c r="A105" s="1752" t="str">
        <f>+IF(AGOSTO!A105=0,"",AGOSTO!A105)</f>
        <v>11304-1</v>
      </c>
      <c r="B105" s="1753" t="str">
        <f>+IF(AGOSTO!B105=0,"",AGOSTO!B105)</f>
        <v>ARRENDAMIENTO Y ALQUILER DE BIENES MUEBLES E INMUEBLES</v>
      </c>
      <c r="C105" s="1744">
        <f>+ENERO!C105</f>
        <v>667440000</v>
      </c>
      <c r="D105" s="1554">
        <f>AGOSTO!D105+SEPTIEMBRE!P105</f>
        <v>0</v>
      </c>
      <c r="E105" s="1554">
        <f>AGOSTO!E105+SEPTIEMBRE!Q105</f>
        <v>0</v>
      </c>
      <c r="F105" s="1554">
        <f t="shared" ref="F105:F111" si="116">SUM(C105:E105)</f>
        <v>667440000</v>
      </c>
      <c r="G105" s="1554">
        <f>AGOSTO!I105</f>
        <v>593891182</v>
      </c>
      <c r="H105" s="1557">
        <v>56840159</v>
      </c>
      <c r="I105" s="1554">
        <f t="shared" ref="I105:I111" si="117">SUM(G105:H105)</f>
        <v>650731341</v>
      </c>
      <c r="J105" s="1554">
        <f>AGOSTO!L105</f>
        <v>399662948</v>
      </c>
      <c r="K105" s="1557">
        <v>38241470</v>
      </c>
      <c r="L105" s="1554">
        <f t="shared" ref="L105:L111" si="118">SUM(J105:K105)</f>
        <v>437904418</v>
      </c>
      <c r="M105" s="1554">
        <f t="shared" ref="M105:M111" si="119">F105-I105</f>
        <v>16708659</v>
      </c>
      <c r="N105" s="1555">
        <f t="shared" ref="N105:N111" si="120">F105-L105</f>
        <v>229535582</v>
      </c>
      <c r="P105" s="1559">
        <v>0</v>
      </c>
      <c r="Q105" s="1560">
        <v>0</v>
      </c>
      <c r="R105" s="1448"/>
      <c r="S105" s="1615">
        <f>+IF(AGOSTO!S105=0,"",AGOSTO!S105)</f>
        <v>1020402</v>
      </c>
      <c r="T105" s="1616" t="str">
        <f>+IF(AGOSTO!T105=0,"",AGOSTO!T105)</f>
        <v>Contribuciones - Otros</v>
      </c>
      <c r="U105" s="1617">
        <f t="shared" ref="U105:AJ105" si="121">SUM(U106:U107)</f>
        <v>43075476</v>
      </c>
      <c r="V105" s="1618">
        <f t="shared" si="121"/>
        <v>5000000</v>
      </c>
      <c r="W105" s="1618">
        <f t="shared" si="121"/>
        <v>0</v>
      </c>
      <c r="X105" s="1619">
        <f t="shared" si="121"/>
        <v>48075476</v>
      </c>
      <c r="Y105" s="1620">
        <f t="shared" si="121"/>
        <v>28789191</v>
      </c>
      <c r="Z105" s="1648">
        <f t="shared" si="121"/>
        <v>3844400</v>
      </c>
      <c r="AA105" s="1619">
        <f t="shared" si="121"/>
        <v>32633591</v>
      </c>
      <c r="AB105" s="1620">
        <f t="shared" si="121"/>
        <v>28789191</v>
      </c>
      <c r="AC105" s="1648">
        <f t="shared" si="121"/>
        <v>3844400</v>
      </c>
      <c r="AD105" s="1619">
        <f t="shared" si="121"/>
        <v>32633591</v>
      </c>
      <c r="AE105" s="1620">
        <f t="shared" si="121"/>
        <v>28789191</v>
      </c>
      <c r="AF105" s="1648">
        <f t="shared" si="121"/>
        <v>3844400</v>
      </c>
      <c r="AG105" s="1619">
        <f t="shared" si="121"/>
        <v>32633591</v>
      </c>
      <c r="AH105" s="1620">
        <f t="shared" si="121"/>
        <v>15441885</v>
      </c>
      <c r="AI105" s="1618">
        <f t="shared" si="121"/>
        <v>15441885</v>
      </c>
      <c r="AJ105" s="1621">
        <f t="shared" si="121"/>
        <v>15441885</v>
      </c>
      <c r="AK105" s="1566"/>
      <c r="AL105" s="1649">
        <f>SUM(AL106:AL107)</f>
        <v>5000000</v>
      </c>
      <c r="AM105" s="1650">
        <f>SUM(AM106:AM107)</f>
        <v>0</v>
      </c>
      <c r="AN105" s="1448"/>
      <c r="AO105" s="1401"/>
      <c r="AP105" s="1401"/>
      <c r="AQ105" s="1401"/>
      <c r="AR105" s="1401"/>
      <c r="AS105" s="1401"/>
      <c r="AT105" s="1401"/>
      <c r="AU105" s="1401"/>
      <c r="AV105" s="1401"/>
      <c r="AW105" s="1401"/>
      <c r="AX105" s="1401"/>
      <c r="AY105" s="1401"/>
      <c r="AZ105" s="1401"/>
    </row>
    <row r="106" spans="1:70" s="1572" customFormat="1" ht="24.95" customHeight="1">
      <c r="A106" s="1752" t="str">
        <f>+IF(AGOSTO!A106=0,"",AGOSTO!A106)</f>
        <v>11304-2</v>
      </c>
      <c r="B106" s="1763" t="str">
        <f>+IF(AGOSTO!B106=0,"",AGOSTO!B106)</f>
        <v>COMERCIALIZACIÓN DE MERCANCÍAS</v>
      </c>
      <c r="C106" s="1744">
        <f>+ENERO!C106</f>
        <v>0</v>
      </c>
      <c r="D106" s="1554">
        <f>AGOSTO!D106+SEPTIEMBRE!P106</f>
        <v>0</v>
      </c>
      <c r="E106" s="1554">
        <f>AGOSTO!E106+SEPTIEMBRE!Q106</f>
        <v>0</v>
      </c>
      <c r="F106" s="1554">
        <f t="shared" si="116"/>
        <v>0</v>
      </c>
      <c r="G106" s="1554">
        <f>AGOSTO!I106</f>
        <v>0</v>
      </c>
      <c r="H106" s="1557">
        <v>0</v>
      </c>
      <c r="I106" s="1554">
        <f t="shared" si="117"/>
        <v>0</v>
      </c>
      <c r="J106" s="1554">
        <f>AGOSTO!L106</f>
        <v>0</v>
      </c>
      <c r="K106" s="1557">
        <v>0</v>
      </c>
      <c r="L106" s="1554">
        <f t="shared" si="118"/>
        <v>0</v>
      </c>
      <c r="M106" s="1554">
        <f t="shared" si="119"/>
        <v>0</v>
      </c>
      <c r="N106" s="1555">
        <f t="shared" si="120"/>
        <v>0</v>
      </c>
      <c r="P106" s="1559">
        <v>0</v>
      </c>
      <c r="Q106" s="1560">
        <v>0</v>
      </c>
      <c r="R106" s="1448"/>
      <c r="S106" s="1662" t="str">
        <f>+IF(AGOSTO!S106=0,"",AGOSTO!S106)</f>
        <v>1020402-1</v>
      </c>
      <c r="T106" s="1663" t="str">
        <f>+IF(AGOSTO!T106=0,"",AGOSTO!T106)</f>
        <v>S.E.N.A.</v>
      </c>
      <c r="U106" s="1617">
        <f>+ENERO!U106</f>
        <v>25928061</v>
      </c>
      <c r="V106" s="1618">
        <f>AGOSTO!V106+SEPTIEMBRE!AL106</f>
        <v>0</v>
      </c>
      <c r="W106" s="1618">
        <f>AGOSTO!W106+SEPTIEMBRE!AM106</f>
        <v>0</v>
      </c>
      <c r="X106" s="1619">
        <f>SUM(U106:W106)</f>
        <v>25928061</v>
      </c>
      <c r="Y106" s="1620">
        <f>AGOSTO!AA106</f>
        <v>11684462</v>
      </c>
      <c r="Z106" s="1557">
        <v>1537760</v>
      </c>
      <c r="AA106" s="1619">
        <f>SUM(Y106:Z106)</f>
        <v>13222222</v>
      </c>
      <c r="AB106" s="1620">
        <f>AGOSTO!AD106</f>
        <v>11684462</v>
      </c>
      <c r="AC106" s="1557">
        <v>1537760</v>
      </c>
      <c r="AD106" s="1619">
        <f>SUM(AB106:AC106)</f>
        <v>13222222</v>
      </c>
      <c r="AE106" s="1620">
        <f>AGOSTO!AG106</f>
        <v>11684462</v>
      </c>
      <c r="AF106" s="1557">
        <v>1537760</v>
      </c>
      <c r="AG106" s="1619">
        <f>SUM(AE106:AF106)</f>
        <v>13222222</v>
      </c>
      <c r="AH106" s="1620">
        <f>X106-AA106</f>
        <v>12705839</v>
      </c>
      <c r="AI106" s="1618">
        <f>X106-AD106</f>
        <v>12705839</v>
      </c>
      <c r="AJ106" s="1621">
        <f>X106-AG106</f>
        <v>12705839</v>
      </c>
      <c r="AK106" s="1448"/>
      <c r="AL106" s="1559">
        <v>0</v>
      </c>
      <c r="AM106" s="1560">
        <v>0</v>
      </c>
      <c r="AN106" s="1448"/>
      <c r="AO106" s="1401"/>
      <c r="AP106" s="1401"/>
      <c r="AQ106" s="1401"/>
      <c r="AR106" s="1401"/>
      <c r="AS106" s="1401"/>
      <c r="AT106" s="1401"/>
      <c r="AU106" s="1401"/>
      <c r="AV106" s="1401"/>
      <c r="AW106" s="1401"/>
      <c r="AX106" s="1401"/>
      <c r="AY106" s="1401"/>
      <c r="AZ106" s="1401"/>
    </row>
    <row r="107" spans="1:70" s="1572" customFormat="1" ht="24.95" customHeight="1">
      <c r="A107" s="1752" t="str">
        <f>+IF(AGOSTO!A107=0,"",AGOSTO!A107)</f>
        <v>11304-3</v>
      </c>
      <c r="B107" s="1753" t="str">
        <f>+IF(AGOSTO!B107=0,"",AGOSTO!B107)</f>
        <v>Bienestar Social</v>
      </c>
      <c r="C107" s="1744">
        <f>+ENERO!C107</f>
        <v>0</v>
      </c>
      <c r="D107" s="1554">
        <f>AGOSTO!D107+SEPTIEMBRE!P107</f>
        <v>0</v>
      </c>
      <c r="E107" s="1554">
        <f>AGOSTO!E107+SEPTIEMBRE!Q107</f>
        <v>0</v>
      </c>
      <c r="F107" s="1554">
        <f t="shared" si="116"/>
        <v>0</v>
      </c>
      <c r="G107" s="1554">
        <f>AGOSTO!I107</f>
        <v>445983</v>
      </c>
      <c r="H107" s="1557">
        <v>0</v>
      </c>
      <c r="I107" s="1554">
        <f t="shared" si="117"/>
        <v>445983</v>
      </c>
      <c r="J107" s="1554">
        <f>AGOSTO!L107</f>
        <v>445983</v>
      </c>
      <c r="K107" s="1557">
        <v>0</v>
      </c>
      <c r="L107" s="1554">
        <f t="shared" si="118"/>
        <v>445983</v>
      </c>
      <c r="M107" s="1554">
        <f t="shared" si="119"/>
        <v>-445983</v>
      </c>
      <c r="N107" s="1555">
        <f t="shared" si="120"/>
        <v>-445983</v>
      </c>
      <c r="P107" s="1559">
        <v>0</v>
      </c>
      <c r="Q107" s="1560">
        <v>0</v>
      </c>
      <c r="R107" s="1448"/>
      <c r="S107" s="1662" t="str">
        <f>+IF(AGOSTO!S107=0,"",AGOSTO!S107)</f>
        <v>1020402-2</v>
      </c>
      <c r="T107" s="1663" t="str">
        <f>+IF(AGOSTO!T107=0,"",AGOSTO!T107)</f>
        <v>I.C.B.F.</v>
      </c>
      <c r="U107" s="1617">
        <f>+ENERO!U107</f>
        <v>17147415</v>
      </c>
      <c r="V107" s="1618">
        <f>AGOSTO!V107+SEPTIEMBRE!AL107</f>
        <v>5000000</v>
      </c>
      <c r="W107" s="1618">
        <f>AGOSTO!W107+SEPTIEMBRE!AM107</f>
        <v>0</v>
      </c>
      <c r="X107" s="1619">
        <f>SUM(U107:W107)</f>
        <v>22147415</v>
      </c>
      <c r="Y107" s="1620">
        <f>AGOSTO!AA107</f>
        <v>17104729</v>
      </c>
      <c r="Z107" s="1557">
        <v>2306640</v>
      </c>
      <c r="AA107" s="1619">
        <f>SUM(Y107:Z107)</f>
        <v>19411369</v>
      </c>
      <c r="AB107" s="1620">
        <f>AGOSTO!AD107</f>
        <v>17104729</v>
      </c>
      <c r="AC107" s="1557">
        <v>2306640</v>
      </c>
      <c r="AD107" s="1619">
        <f>SUM(AB107:AC107)</f>
        <v>19411369</v>
      </c>
      <c r="AE107" s="1620">
        <f>AGOSTO!AG107</f>
        <v>17104729</v>
      </c>
      <c r="AF107" s="1557">
        <v>2306640</v>
      </c>
      <c r="AG107" s="1619">
        <f>SUM(AE107:AF107)</f>
        <v>19411369</v>
      </c>
      <c r="AH107" s="1620">
        <f>X107-AA107</f>
        <v>2736046</v>
      </c>
      <c r="AI107" s="1618">
        <f>X107-AD107</f>
        <v>2736046</v>
      </c>
      <c r="AJ107" s="1621">
        <f>X107-AG107</f>
        <v>2736046</v>
      </c>
      <c r="AK107" s="1448"/>
      <c r="AL107" s="1559">
        <v>5000000</v>
      </c>
      <c r="AM107" s="1560">
        <v>0</v>
      </c>
      <c r="AN107" s="1448"/>
      <c r="AO107" s="1401"/>
      <c r="AP107" s="1401"/>
      <c r="AQ107" s="1401"/>
      <c r="AR107" s="1401"/>
      <c r="AS107" s="1401"/>
      <c r="AT107" s="1401"/>
      <c r="AU107" s="1401"/>
      <c r="AV107" s="1401"/>
      <c r="AW107" s="1401"/>
      <c r="AX107" s="1401"/>
      <c r="AY107" s="1401"/>
      <c r="AZ107" s="1401"/>
    </row>
    <row r="108" spans="1:70" s="1572" customFormat="1" ht="24.95" customHeight="1">
      <c r="A108" s="1752" t="str">
        <f>+IF(AGOSTO!A108=0,"",AGOSTO!A108)</f>
        <v>11304-4</v>
      </c>
      <c r="B108" s="1753" t="str">
        <f>+IF(AGOSTO!B108=0,"",AGOSTO!B108)</f>
        <v>Fondo de la Vivienda</v>
      </c>
      <c r="C108" s="1744">
        <f>+ENERO!C108</f>
        <v>0</v>
      </c>
      <c r="D108" s="1554">
        <f>AGOSTO!D108+SEPTIEMBRE!P108</f>
        <v>0</v>
      </c>
      <c r="E108" s="1554">
        <f>AGOSTO!E108+SEPTIEMBRE!Q108</f>
        <v>0</v>
      </c>
      <c r="F108" s="1554">
        <f t="shared" si="116"/>
        <v>0</v>
      </c>
      <c r="G108" s="1554">
        <f>AGOSTO!I108</f>
        <v>22091912</v>
      </c>
      <c r="H108" s="1557">
        <v>2769680</v>
      </c>
      <c r="I108" s="1554">
        <f t="shared" si="117"/>
        <v>24861592</v>
      </c>
      <c r="J108" s="1554">
        <f>AGOSTO!L108</f>
        <v>22091912</v>
      </c>
      <c r="K108" s="1557">
        <v>2769680</v>
      </c>
      <c r="L108" s="1554">
        <f t="shared" si="118"/>
        <v>24861592</v>
      </c>
      <c r="M108" s="1554">
        <f t="shared" si="119"/>
        <v>-24861592</v>
      </c>
      <c r="N108" s="1555">
        <f t="shared" si="120"/>
        <v>-24861592</v>
      </c>
      <c r="P108" s="1559">
        <v>0</v>
      </c>
      <c r="Q108" s="1560">
        <v>0</v>
      </c>
      <c r="R108" s="1448"/>
      <c r="S108" s="1615">
        <f>+IF(AGOSTO!S108=0,"",AGOSTO!S108)</f>
        <v>1020499</v>
      </c>
      <c r="T108" s="1616" t="str">
        <f>+IF(AGOSTO!T108=0,"",AGOSTO!T108)</f>
        <v>Vigencias Anteriores</v>
      </c>
      <c r="U108" s="1617">
        <f>+ENERO!U108</f>
        <v>0</v>
      </c>
      <c r="V108" s="1618">
        <f>AGOSTO!V108+SEPTIEMBRE!AL108</f>
        <v>0</v>
      </c>
      <c r="W108" s="1618">
        <f>AGOSTO!W108+SEPTIEMBRE!AM108</f>
        <v>0</v>
      </c>
      <c r="X108" s="1619">
        <f>SUM(U108:W108)</f>
        <v>0</v>
      </c>
      <c r="Y108" s="1620">
        <f>AGOSTO!AA108</f>
        <v>0</v>
      </c>
      <c r="Z108" s="1557">
        <v>0</v>
      </c>
      <c r="AA108" s="1619">
        <f>SUM(Y108:Z108)</f>
        <v>0</v>
      </c>
      <c r="AB108" s="1620">
        <f>AGOSTO!AD108</f>
        <v>0</v>
      </c>
      <c r="AC108" s="1557">
        <v>0</v>
      </c>
      <c r="AD108" s="1619">
        <f>SUM(AB108:AC108)</f>
        <v>0</v>
      </c>
      <c r="AE108" s="1620">
        <f>AGOSTO!AG108</f>
        <v>0</v>
      </c>
      <c r="AF108" s="1557">
        <v>0</v>
      </c>
      <c r="AG108" s="1619">
        <f>SUM(AE108:AF108)</f>
        <v>0</v>
      </c>
      <c r="AH108" s="1620">
        <f>X108-AA108</f>
        <v>0</v>
      </c>
      <c r="AI108" s="1618">
        <f>X108-AD108</f>
        <v>0</v>
      </c>
      <c r="AJ108" s="1621">
        <f>X108-AG108</f>
        <v>0</v>
      </c>
      <c r="AK108" s="1448"/>
      <c r="AL108" s="1559">
        <v>0</v>
      </c>
      <c r="AM108" s="1560">
        <v>0</v>
      </c>
      <c r="AN108" s="1448"/>
      <c r="AO108" s="1401"/>
      <c r="AP108" s="1401"/>
      <c r="AQ108" s="1401"/>
      <c r="AR108" s="1401"/>
      <c r="AS108" s="1401"/>
      <c r="AT108" s="1401"/>
      <c r="AU108" s="1401"/>
      <c r="AV108" s="1401"/>
      <c r="AW108" s="1401"/>
      <c r="AX108" s="1401"/>
      <c r="AY108" s="1401"/>
      <c r="AZ108" s="1401"/>
    </row>
    <row r="109" spans="1:70" s="1572" customFormat="1" ht="24.95" customHeight="1">
      <c r="A109" s="1752" t="str">
        <f>+IF(AGOSTO!A109=0,"",AGOSTO!A109)</f>
        <v>11304-5</v>
      </c>
      <c r="B109" s="1753" t="str">
        <f>+IF(AGOSTO!B109=0,"",AGOSTO!B109)</f>
        <v xml:space="preserve">Aprovechamientos </v>
      </c>
      <c r="C109" s="1744">
        <f>+ENERO!C109</f>
        <v>0</v>
      </c>
      <c r="D109" s="1554">
        <f>AGOSTO!D109+SEPTIEMBRE!P109</f>
        <v>0</v>
      </c>
      <c r="E109" s="1554">
        <f>AGOSTO!E109+SEPTIEMBRE!Q109</f>
        <v>0</v>
      </c>
      <c r="F109" s="1554">
        <f t="shared" si="116"/>
        <v>0</v>
      </c>
      <c r="G109" s="1554">
        <f>AGOSTO!I109</f>
        <v>0</v>
      </c>
      <c r="H109" s="1557">
        <v>0</v>
      </c>
      <c r="I109" s="1554">
        <f t="shared" si="117"/>
        <v>0</v>
      </c>
      <c r="J109" s="1554">
        <f>AGOSTO!L109</f>
        <v>0</v>
      </c>
      <c r="K109" s="1557">
        <v>0</v>
      </c>
      <c r="L109" s="1554">
        <f t="shared" si="118"/>
        <v>0</v>
      </c>
      <c r="M109" s="1554">
        <f t="shared" si="119"/>
        <v>0</v>
      </c>
      <c r="N109" s="1555">
        <f t="shared" si="120"/>
        <v>0</v>
      </c>
      <c r="P109" s="1559">
        <v>0</v>
      </c>
      <c r="Q109" s="1560">
        <v>0</v>
      </c>
      <c r="R109" s="1448"/>
      <c r="S109" s="1538" t="str">
        <f>+IF(AGOSTO!S109=0,"",AGOSTO!S109)</f>
        <v/>
      </c>
      <c r="T109" s="1539" t="str">
        <f>+IF(AGOSTO!T109=0,"",AGOSTO!T109)</f>
        <v/>
      </c>
      <c r="U109" s="1540"/>
      <c r="V109" s="1540"/>
      <c r="W109" s="1540"/>
      <c r="X109" s="1540"/>
      <c r="Y109" s="1540"/>
      <c r="Z109" s="1540"/>
      <c r="AA109" s="1540"/>
      <c r="AB109" s="1540"/>
      <c r="AC109" s="1540"/>
      <c r="AD109" s="1540"/>
      <c r="AE109" s="1540"/>
      <c r="AF109" s="1540"/>
      <c r="AG109" s="1540"/>
      <c r="AH109" s="1540"/>
      <c r="AI109" s="1540"/>
      <c r="AJ109" s="1541"/>
      <c r="AK109" s="1566"/>
      <c r="AL109" s="1726"/>
      <c r="AM109" s="1727"/>
      <c r="AN109" s="1448"/>
      <c r="AO109" s="1401"/>
      <c r="AP109" s="1401"/>
      <c r="AQ109" s="1401"/>
      <c r="AR109" s="1401"/>
      <c r="AS109" s="1401"/>
      <c r="AT109" s="1401"/>
      <c r="AU109" s="1401"/>
      <c r="AV109" s="1401"/>
      <c r="AW109" s="1401"/>
      <c r="AX109" s="1401"/>
      <c r="AY109" s="1401"/>
      <c r="AZ109" s="1401"/>
    </row>
    <row r="110" spans="1:70" s="1572" customFormat="1" ht="24.95" customHeight="1">
      <c r="A110" s="1752" t="str">
        <f>+IF(AGOSTO!A110=0,"",AGOSTO!A110)</f>
        <v>11304-6</v>
      </c>
      <c r="B110" s="1753" t="str">
        <f>+IF(AGOSTO!B110=0,"",AGOSTO!B110)</f>
        <v>Otros</v>
      </c>
      <c r="C110" s="1744">
        <f>+ENERO!C110</f>
        <v>0</v>
      </c>
      <c r="D110" s="1554">
        <f>AGOSTO!D110+SEPTIEMBRE!P110</f>
        <v>0</v>
      </c>
      <c r="E110" s="1554">
        <f>AGOSTO!E110+SEPTIEMBRE!Q110</f>
        <v>80764441</v>
      </c>
      <c r="F110" s="1554">
        <f t="shared" si="116"/>
        <v>80764441</v>
      </c>
      <c r="G110" s="1554">
        <f>AGOSTO!I110</f>
        <v>135997013</v>
      </c>
      <c r="H110" s="1557">
        <v>13642703</v>
      </c>
      <c r="I110" s="1554">
        <f t="shared" si="117"/>
        <v>149639716</v>
      </c>
      <c r="J110" s="1554">
        <f>AGOSTO!L110</f>
        <v>90712795</v>
      </c>
      <c r="K110" s="1557">
        <v>19294706</v>
      </c>
      <c r="L110" s="1554">
        <f t="shared" si="118"/>
        <v>110007501</v>
      </c>
      <c r="M110" s="1554">
        <f t="shared" si="119"/>
        <v>-68875275</v>
      </c>
      <c r="N110" s="1555">
        <f t="shared" si="120"/>
        <v>-29243060</v>
      </c>
      <c r="P110" s="1559">
        <v>0</v>
      </c>
      <c r="Q110" s="1560">
        <v>0</v>
      </c>
      <c r="R110" s="1448"/>
      <c r="S110" s="1579">
        <f>+IF(AGOSTO!S110=0,"",AGOSTO!S110)</f>
        <v>2000000</v>
      </c>
      <c r="T110" s="1764" t="str">
        <f>+IF(AGOSTO!T110=0,"",AGOSTO!T110)</f>
        <v>GASTOS GENERALES</v>
      </c>
      <c r="U110" s="1765">
        <f t="shared" ref="U110:AJ110" si="122">U112+U145</f>
        <v>7574161274</v>
      </c>
      <c r="V110" s="1766">
        <f t="shared" si="122"/>
        <v>-334006252</v>
      </c>
      <c r="W110" s="1766">
        <f t="shared" si="122"/>
        <v>3478156707</v>
      </c>
      <c r="X110" s="1767">
        <f t="shared" si="122"/>
        <v>10718311729</v>
      </c>
      <c r="Y110" s="1567">
        <f t="shared" si="122"/>
        <v>7971301652</v>
      </c>
      <c r="Z110" s="1766">
        <f t="shared" si="122"/>
        <v>405139522</v>
      </c>
      <c r="AA110" s="1767">
        <f t="shared" si="122"/>
        <v>8376441174</v>
      </c>
      <c r="AB110" s="1567">
        <f t="shared" si="122"/>
        <v>6292904220</v>
      </c>
      <c r="AC110" s="1766">
        <f t="shared" si="122"/>
        <v>681259453</v>
      </c>
      <c r="AD110" s="1767">
        <f t="shared" si="122"/>
        <v>6974163673</v>
      </c>
      <c r="AE110" s="1567">
        <f t="shared" si="122"/>
        <v>3830265482</v>
      </c>
      <c r="AF110" s="1766">
        <f t="shared" si="122"/>
        <v>538557425</v>
      </c>
      <c r="AG110" s="1767">
        <f t="shared" si="122"/>
        <v>4368822907</v>
      </c>
      <c r="AH110" s="1567">
        <f t="shared" si="122"/>
        <v>2341870555</v>
      </c>
      <c r="AI110" s="1766">
        <f t="shared" si="122"/>
        <v>3744148056</v>
      </c>
      <c r="AJ110" s="1568">
        <f t="shared" si="122"/>
        <v>6349488822</v>
      </c>
      <c r="AK110" s="1566"/>
      <c r="AL110" s="1584">
        <f>AL112+AL145</f>
        <v>959338548</v>
      </c>
      <c r="AM110" s="1585">
        <f>AM112+AM145</f>
        <v>0</v>
      </c>
      <c r="AN110" s="1448"/>
      <c r="AO110" s="1401"/>
      <c r="AP110" s="1401"/>
      <c r="AQ110" s="1401"/>
      <c r="AR110" s="1401"/>
      <c r="AS110" s="1401"/>
      <c r="AT110" s="1401"/>
      <c r="AU110" s="1401"/>
      <c r="AV110" s="1401"/>
      <c r="AW110" s="1401"/>
      <c r="AX110" s="1401"/>
      <c r="AY110" s="1401"/>
      <c r="AZ110" s="1401"/>
    </row>
    <row r="111" spans="1:70" s="1572" customFormat="1" ht="24.95" customHeight="1" thickBot="1">
      <c r="A111" s="1752" t="str">
        <f>+IF(AGOSTO!A111=0,"",AGOSTO!A111)</f>
        <v>11304-7</v>
      </c>
      <c r="B111" s="1768" t="str">
        <f>+IF(AGOSTO!B111=0,"",AGOSTO!B111)</f>
        <v>Vigencia Anterior</v>
      </c>
      <c r="C111" s="1749">
        <f>+ENERO!C111</f>
        <v>0</v>
      </c>
      <c r="D111" s="1592">
        <f>AGOSTO!D111+SEPTIEMBRE!P111</f>
        <v>0</v>
      </c>
      <c r="E111" s="1592">
        <f>AGOSTO!E111+SEPTIEMBRE!Q111</f>
        <v>0</v>
      </c>
      <c r="F111" s="1592">
        <f t="shared" si="116"/>
        <v>0</v>
      </c>
      <c r="G111" s="1592">
        <f>AGOSTO!I111</f>
        <v>0</v>
      </c>
      <c r="H111" s="1595">
        <v>0</v>
      </c>
      <c r="I111" s="1592">
        <f t="shared" si="117"/>
        <v>0</v>
      </c>
      <c r="J111" s="1592">
        <f>AGOSTO!L111</f>
        <v>0</v>
      </c>
      <c r="K111" s="1595">
        <v>0</v>
      </c>
      <c r="L111" s="1592">
        <f t="shared" si="118"/>
        <v>0</v>
      </c>
      <c r="M111" s="1592">
        <f t="shared" si="119"/>
        <v>0</v>
      </c>
      <c r="N111" s="1593">
        <f t="shared" si="120"/>
        <v>0</v>
      </c>
      <c r="P111" s="1559">
        <v>0</v>
      </c>
      <c r="Q111" s="1560">
        <v>0</v>
      </c>
      <c r="R111" s="1448"/>
      <c r="S111" s="1538" t="str">
        <f>+IF(AGOSTO!S111=0,"",AGOSTO!S111)</f>
        <v/>
      </c>
      <c r="T111" s="1539" t="str">
        <f>+IF(AGOSTO!T111=0,"",AGOSTO!T111)</f>
        <v/>
      </c>
      <c r="U111" s="1540"/>
      <c r="V111" s="1540"/>
      <c r="W111" s="1540"/>
      <c r="X111" s="1540"/>
      <c r="Y111" s="1540"/>
      <c r="Z111" s="1540"/>
      <c r="AA111" s="1540"/>
      <c r="AB111" s="1540"/>
      <c r="AC111" s="1540"/>
      <c r="AD111" s="1540"/>
      <c r="AE111" s="1540"/>
      <c r="AF111" s="1540"/>
      <c r="AG111" s="1540"/>
      <c r="AH111" s="1540"/>
      <c r="AI111" s="1540"/>
      <c r="AJ111" s="1541"/>
      <c r="AK111" s="1448"/>
      <c r="AL111" s="1542"/>
      <c r="AM111" s="1543"/>
      <c r="AN111" s="1448"/>
      <c r="AO111" s="1401"/>
      <c r="AP111" s="1401"/>
      <c r="AQ111" s="1401"/>
      <c r="AR111" s="1401"/>
      <c r="AS111" s="1401"/>
      <c r="AT111" s="1401"/>
      <c r="AU111" s="1401"/>
      <c r="AV111" s="1401"/>
      <c r="AW111" s="1401"/>
      <c r="AX111" s="1401"/>
      <c r="AY111" s="1401"/>
      <c r="AZ111" s="1401"/>
    </row>
    <row r="112" spans="1:70" s="1572" customFormat="1" ht="24.95" customHeight="1" thickBot="1">
      <c r="A112" s="1758" t="str">
        <f>+IF(AGOSTO!A112=0,"",AGOSTO!A112)</f>
        <v/>
      </c>
      <c r="B112" s="1759" t="str">
        <f>+IF(AGOSTO!B112=0,"",AGOSTO!B112)</f>
        <v/>
      </c>
      <c r="C112" s="1760"/>
      <c r="D112" s="1760"/>
      <c r="E112" s="1760"/>
      <c r="F112" s="1760"/>
      <c r="G112" s="1760"/>
      <c r="H112" s="1760"/>
      <c r="I112" s="1760"/>
      <c r="J112" s="1760"/>
      <c r="K112" s="1760"/>
      <c r="L112" s="1760"/>
      <c r="M112" s="1760"/>
      <c r="N112" s="1761"/>
      <c r="P112" s="1762"/>
      <c r="Q112" s="1761"/>
      <c r="R112" s="1448"/>
      <c r="S112" s="1579">
        <f>+IF(AGOSTO!S112=0,"",AGOSTO!S112)</f>
        <v>2010000</v>
      </c>
      <c r="T112" s="1580" t="str">
        <f>+IF(AGOSTO!T112=0,"",AGOSTO!T112)</f>
        <v>Gastos de Administración</v>
      </c>
      <c r="U112" s="1581">
        <f t="shared" ref="U112:AJ112" si="123">U114+U123+U141</f>
        <v>4915028612</v>
      </c>
      <c r="V112" s="1582">
        <f t="shared" si="123"/>
        <v>751512594</v>
      </c>
      <c r="W112" s="1582">
        <f t="shared" si="123"/>
        <v>1828156707</v>
      </c>
      <c r="X112" s="1583">
        <f t="shared" si="123"/>
        <v>7494697913</v>
      </c>
      <c r="Y112" s="1584">
        <f t="shared" si="123"/>
        <v>5827702126</v>
      </c>
      <c r="Z112" s="1582">
        <f t="shared" si="123"/>
        <v>239720856</v>
      </c>
      <c r="AA112" s="1583">
        <f t="shared" si="123"/>
        <v>6067422982</v>
      </c>
      <c r="AB112" s="1584">
        <f t="shared" si="123"/>
        <v>4587361725</v>
      </c>
      <c r="AC112" s="1582">
        <f t="shared" si="123"/>
        <v>557788862</v>
      </c>
      <c r="AD112" s="1583">
        <f t="shared" si="123"/>
        <v>5145150587</v>
      </c>
      <c r="AE112" s="1584">
        <f t="shared" si="123"/>
        <v>3029386418</v>
      </c>
      <c r="AF112" s="1582">
        <f t="shared" si="123"/>
        <v>431298205</v>
      </c>
      <c r="AG112" s="1583">
        <f t="shared" si="123"/>
        <v>3460684623</v>
      </c>
      <c r="AH112" s="1584">
        <f t="shared" si="123"/>
        <v>1427274931</v>
      </c>
      <c r="AI112" s="1582">
        <f t="shared" si="123"/>
        <v>2349547326</v>
      </c>
      <c r="AJ112" s="1585">
        <f t="shared" si="123"/>
        <v>4034013290</v>
      </c>
      <c r="AK112" s="1448"/>
      <c r="AL112" s="1584">
        <f>AL114+AL123+AL141</f>
        <v>945000000</v>
      </c>
      <c r="AM112" s="1585">
        <f>AM114+AM123+AM141</f>
        <v>0</v>
      </c>
      <c r="AN112" s="1448"/>
      <c r="AO112" s="1401"/>
      <c r="AP112" s="1401"/>
      <c r="AQ112" s="1401"/>
      <c r="AR112" s="1401"/>
      <c r="AS112" s="1401"/>
      <c r="AT112" s="1401"/>
      <c r="AU112" s="1401"/>
      <c r="AV112" s="1401"/>
      <c r="AW112" s="1401"/>
      <c r="AX112" s="1401"/>
      <c r="AY112" s="1401"/>
      <c r="AZ112" s="1401"/>
    </row>
    <row r="113" spans="1:52" s="1572" customFormat="1" ht="24.95" customHeight="1" thickBot="1">
      <c r="A113" s="1470">
        <f>+IF(AGOSTO!A113=0,"",AGOSTO!A113)</f>
        <v>2000</v>
      </c>
      <c r="B113" s="1614" t="str">
        <f>+IF(AGOSTO!B113=0,"",AGOSTO!B113)</f>
        <v>INGRESOS DE CAPITAL</v>
      </c>
      <c r="C113" s="1769">
        <f>SUM(C115:C124)</f>
        <v>9052927194</v>
      </c>
      <c r="D113" s="1770">
        <f>SUM(D115:D124)</f>
        <v>0</v>
      </c>
      <c r="E113" s="1770">
        <f t="shared" ref="E113:N113" si="124">SUM(E115:E124)</f>
        <v>3516381</v>
      </c>
      <c r="F113" s="1770">
        <f t="shared" si="124"/>
        <v>9056443575</v>
      </c>
      <c r="G113" s="1770">
        <f t="shared" si="124"/>
        <v>25849681</v>
      </c>
      <c r="H113" s="1770">
        <f t="shared" si="124"/>
        <v>81922287</v>
      </c>
      <c r="I113" s="1770">
        <f t="shared" si="124"/>
        <v>107771968</v>
      </c>
      <c r="J113" s="1770">
        <f t="shared" si="124"/>
        <v>25849681</v>
      </c>
      <c r="K113" s="1770">
        <f t="shared" si="124"/>
        <v>81922287</v>
      </c>
      <c r="L113" s="1770">
        <f t="shared" si="124"/>
        <v>107771968</v>
      </c>
      <c r="M113" s="1770">
        <f t="shared" si="124"/>
        <v>8948671607</v>
      </c>
      <c r="N113" s="1771">
        <f t="shared" si="124"/>
        <v>8948671607</v>
      </c>
      <c r="O113" s="1735"/>
      <c r="P113" s="1519">
        <f>SUM(P115:P124)</f>
        <v>0</v>
      </c>
      <c r="Q113" s="1521">
        <f>SUM(Q115:Q124)</f>
        <v>0</v>
      </c>
      <c r="R113" s="1448"/>
      <c r="S113" s="1538" t="str">
        <f>+IF(AGOSTO!S113=0,"",AGOSTO!S113)</f>
        <v/>
      </c>
      <c r="T113" s="1539" t="str">
        <f>+IF(AGOSTO!T113=0,"",AGOSTO!T113)</f>
        <v/>
      </c>
      <c r="U113" s="1540"/>
      <c r="V113" s="1540"/>
      <c r="W113" s="1540"/>
      <c r="X113" s="1540"/>
      <c r="Y113" s="1540"/>
      <c r="Z113" s="1540"/>
      <c r="AA113" s="1540"/>
      <c r="AB113" s="1540"/>
      <c r="AC113" s="1540"/>
      <c r="AD113" s="1540"/>
      <c r="AE113" s="1540"/>
      <c r="AF113" s="1540"/>
      <c r="AG113" s="1540"/>
      <c r="AH113" s="1540"/>
      <c r="AI113" s="1540"/>
      <c r="AJ113" s="1541"/>
      <c r="AK113" s="1448"/>
      <c r="AL113" s="1542"/>
      <c r="AM113" s="1543"/>
      <c r="AN113" s="1448"/>
      <c r="AO113" s="1401"/>
      <c r="AP113" s="1401"/>
      <c r="AQ113" s="1401"/>
      <c r="AR113" s="1401"/>
      <c r="AS113" s="1401"/>
      <c r="AT113" s="1401"/>
      <c r="AU113" s="1401"/>
      <c r="AV113" s="1401"/>
      <c r="AW113" s="1401"/>
      <c r="AX113" s="1401"/>
      <c r="AY113" s="1401"/>
      <c r="AZ113" s="1401"/>
    </row>
    <row r="114" spans="1:52" s="1572" customFormat="1" ht="24.95" customHeight="1" thickBot="1">
      <c r="A114" s="1758" t="str">
        <f>+IF(AGOSTO!A114=0,"",AGOSTO!A114)</f>
        <v/>
      </c>
      <c r="B114" s="1759" t="str">
        <f>+IF(AGOSTO!B114=0,"",AGOSTO!B114)</f>
        <v/>
      </c>
      <c r="C114" s="1760"/>
      <c r="D114" s="1760"/>
      <c r="E114" s="1760"/>
      <c r="F114" s="1760"/>
      <c r="G114" s="1760"/>
      <c r="H114" s="1760"/>
      <c r="I114" s="1760"/>
      <c r="J114" s="1760"/>
      <c r="K114" s="1760"/>
      <c r="L114" s="1760"/>
      <c r="M114" s="1760"/>
      <c r="N114" s="1761"/>
      <c r="P114" s="1762"/>
      <c r="Q114" s="1761"/>
      <c r="R114" s="1448"/>
      <c r="S114" s="1607">
        <f>+IF(AGOSTO!S114=0,"",AGOSTO!S114)</f>
        <v>2010100</v>
      </c>
      <c r="T114" s="1608" t="str">
        <f>+IF(AGOSTO!T114=0,"",AGOSTO!T114)</f>
        <v>Adquisición de bienes</v>
      </c>
      <c r="U114" s="1581">
        <f t="shared" ref="U114:AJ114" si="125">SUM(U115:U121)</f>
        <v>256200000</v>
      </c>
      <c r="V114" s="1582">
        <f t="shared" si="125"/>
        <v>640959419</v>
      </c>
      <c r="W114" s="1582">
        <f t="shared" si="125"/>
        <v>330000000</v>
      </c>
      <c r="X114" s="1583">
        <f t="shared" si="125"/>
        <v>1227159419</v>
      </c>
      <c r="Y114" s="1584">
        <f t="shared" si="125"/>
        <v>257771118</v>
      </c>
      <c r="Z114" s="1582">
        <f t="shared" si="125"/>
        <v>28789673</v>
      </c>
      <c r="AA114" s="1583">
        <f t="shared" si="125"/>
        <v>286560791</v>
      </c>
      <c r="AB114" s="1584">
        <f t="shared" si="125"/>
        <v>245325348</v>
      </c>
      <c r="AC114" s="1582">
        <f t="shared" si="125"/>
        <v>12117687</v>
      </c>
      <c r="AD114" s="1583">
        <f t="shared" si="125"/>
        <v>257443035</v>
      </c>
      <c r="AE114" s="1584">
        <f t="shared" si="125"/>
        <v>203740582</v>
      </c>
      <c r="AF114" s="1582">
        <f t="shared" si="125"/>
        <v>1540979</v>
      </c>
      <c r="AG114" s="1583">
        <f t="shared" si="125"/>
        <v>205281561</v>
      </c>
      <c r="AH114" s="1584">
        <f t="shared" si="125"/>
        <v>940598628</v>
      </c>
      <c r="AI114" s="1582">
        <f t="shared" si="125"/>
        <v>969716384</v>
      </c>
      <c r="AJ114" s="1585">
        <f t="shared" si="125"/>
        <v>1021877858</v>
      </c>
      <c r="AK114" s="1448"/>
      <c r="AL114" s="1584">
        <f>SUM(AL115:AL121)</f>
        <v>730000000</v>
      </c>
      <c r="AM114" s="1585">
        <f>SUM(AM115:AM121)</f>
        <v>0</v>
      </c>
      <c r="AN114" s="1448"/>
      <c r="AO114" s="1401"/>
      <c r="AP114" s="1401"/>
      <c r="AQ114" s="1401"/>
      <c r="AR114" s="1401"/>
      <c r="AS114" s="1401"/>
      <c r="AT114" s="1401"/>
      <c r="AU114" s="1401"/>
      <c r="AV114" s="1401"/>
      <c r="AW114" s="1401"/>
      <c r="AX114" s="1401"/>
      <c r="AY114" s="1401"/>
      <c r="AZ114" s="1401"/>
    </row>
    <row r="115" spans="1:52" s="1572" customFormat="1" ht="24.95" customHeight="1">
      <c r="A115" s="1772">
        <f>+IF(AGOSTO!A115=0,"",AGOSTO!A115)</f>
        <v>2100</v>
      </c>
      <c r="B115" s="1743" t="str">
        <f>+IF(AGOSTO!B115=0,"",AGOSTO!B115)</f>
        <v>CREDITO INTERNO</v>
      </c>
      <c r="C115" s="1553">
        <f>+ENERO!C115</f>
        <v>0</v>
      </c>
      <c r="D115" s="1773">
        <f>AGOSTO!D115+SEPTIEMBRE!P115</f>
        <v>0</v>
      </c>
      <c r="E115" s="1773">
        <f>AGOSTO!E115+SEPTIEMBRE!Q115</f>
        <v>0</v>
      </c>
      <c r="F115" s="1774">
        <f t="shared" ref="F115:F124" si="126">SUM(C115:E115)</f>
        <v>0</v>
      </c>
      <c r="G115" s="1775">
        <f>AGOSTO!I115</f>
        <v>0</v>
      </c>
      <c r="H115" s="1557">
        <v>0</v>
      </c>
      <c r="I115" s="1774">
        <f t="shared" ref="I115:I124" si="127">SUM(G115:H115)</f>
        <v>0</v>
      </c>
      <c r="J115" s="1775">
        <f>AGOSTO!L115</f>
        <v>0</v>
      </c>
      <c r="K115" s="1557">
        <v>0</v>
      </c>
      <c r="L115" s="1776">
        <f t="shared" ref="L115:L124" si="128">SUM(J115:K115)</f>
        <v>0</v>
      </c>
      <c r="M115" s="1777">
        <f t="shared" ref="M115:M124" si="129">F115-I115</f>
        <v>0</v>
      </c>
      <c r="N115" s="1776">
        <f t="shared" ref="N115:N124" si="130">F115-L115</f>
        <v>0</v>
      </c>
      <c r="O115" s="1735"/>
      <c r="P115" s="1559">
        <v>0</v>
      </c>
      <c r="Q115" s="1560">
        <v>0</v>
      </c>
      <c r="R115" s="1448"/>
      <c r="S115" s="1615" t="str">
        <f>+IF(AGOSTO!S115=0,"",AGOSTO!S115)</f>
        <v>2010100-1</v>
      </c>
      <c r="T115" s="1616" t="str">
        <f>+IF(AGOSTO!T115=0,"",AGOSTO!T115)</f>
        <v>Compra de Equipos</v>
      </c>
      <c r="U115" s="1617">
        <f>+ENERO!U115</f>
        <v>175000000</v>
      </c>
      <c r="V115" s="1618">
        <f>AGOSTO!V115+SEPTIEMBRE!AL115</f>
        <v>740000000</v>
      </c>
      <c r="W115" s="1618">
        <f>AGOSTO!W115+SEPTIEMBRE!AM115</f>
        <v>0</v>
      </c>
      <c r="X115" s="1619">
        <f t="shared" ref="X115:X121" si="131">SUM(U115:W115)</f>
        <v>915000000</v>
      </c>
      <c r="Y115" s="1620">
        <f>AGOSTO!AA115</f>
        <v>68794004</v>
      </c>
      <c r="Z115" s="1557">
        <v>449854</v>
      </c>
      <c r="AA115" s="1619">
        <f t="shared" ref="AA115:AA121" si="132">SUM(Y115:Z115)</f>
        <v>69243858</v>
      </c>
      <c r="AB115" s="1620">
        <f>AGOSTO!AD115</f>
        <v>66307505</v>
      </c>
      <c r="AC115" s="1557">
        <v>449854</v>
      </c>
      <c r="AD115" s="1619">
        <f t="shared" ref="AD115:AD121" si="133">SUM(AB115:AC115)</f>
        <v>66757359</v>
      </c>
      <c r="AE115" s="1620">
        <f>AGOSTO!AG115</f>
        <v>54083722</v>
      </c>
      <c r="AF115" s="1557">
        <v>0</v>
      </c>
      <c r="AG115" s="1619">
        <f t="shared" ref="AG115:AG121" si="134">SUM(AE115:AF115)</f>
        <v>54083722</v>
      </c>
      <c r="AH115" s="1620">
        <f t="shared" ref="AH115:AH121" si="135">X115-AA115</f>
        <v>845756142</v>
      </c>
      <c r="AI115" s="1618">
        <f t="shared" ref="AI115:AI121" si="136">X115-AD115</f>
        <v>848242641</v>
      </c>
      <c r="AJ115" s="1621">
        <f t="shared" ref="AJ115:AJ121" si="137">X115-AG115</f>
        <v>860916278</v>
      </c>
      <c r="AK115" s="1448"/>
      <c r="AL115" s="1559">
        <v>740000000</v>
      </c>
      <c r="AM115" s="1560">
        <v>0</v>
      </c>
      <c r="AN115" s="1448"/>
      <c r="AO115" s="1401"/>
      <c r="AP115" s="1401"/>
      <c r="AQ115" s="1401"/>
      <c r="AR115" s="1401"/>
      <c r="AS115" s="1401"/>
      <c r="AT115" s="1401"/>
      <c r="AU115" s="1401"/>
      <c r="AV115" s="1401"/>
      <c r="AW115" s="1401"/>
      <c r="AX115" s="1401"/>
      <c r="AY115" s="1401"/>
      <c r="AZ115" s="1401"/>
    </row>
    <row r="116" spans="1:52" s="1572" customFormat="1" ht="24.95" customHeight="1">
      <c r="A116" s="1772" t="str">
        <f>+IF(AGOSTO!A116=0,"",AGOSTO!A116)</f>
        <v>2100-1</v>
      </c>
      <c r="B116" s="1745" t="str">
        <f>+IF(AGOSTO!B116=0,"",AGOSTO!B116)</f>
        <v>Vigencia Anterior</v>
      </c>
      <c r="C116" s="1553">
        <f>+ENERO!C116</f>
        <v>0</v>
      </c>
      <c r="D116" s="1773">
        <f>AGOSTO!D116+SEPTIEMBRE!P116</f>
        <v>0</v>
      </c>
      <c r="E116" s="1773">
        <f>AGOSTO!E116+SEPTIEMBRE!Q116</f>
        <v>0</v>
      </c>
      <c r="F116" s="1774">
        <f t="shared" si="126"/>
        <v>0</v>
      </c>
      <c r="G116" s="1775">
        <f>AGOSTO!I116</f>
        <v>0</v>
      </c>
      <c r="H116" s="1557">
        <v>0</v>
      </c>
      <c r="I116" s="1774">
        <f t="shared" si="127"/>
        <v>0</v>
      </c>
      <c r="J116" s="1775">
        <f>AGOSTO!L116</f>
        <v>0</v>
      </c>
      <c r="K116" s="1557">
        <v>0</v>
      </c>
      <c r="L116" s="1776">
        <f t="shared" si="128"/>
        <v>0</v>
      </c>
      <c r="M116" s="1777">
        <f t="shared" si="129"/>
        <v>0</v>
      </c>
      <c r="N116" s="1776">
        <f t="shared" si="130"/>
        <v>0</v>
      </c>
      <c r="O116" s="1735"/>
      <c r="P116" s="1559">
        <v>0</v>
      </c>
      <c r="Q116" s="1560">
        <v>0</v>
      </c>
      <c r="R116" s="1448"/>
      <c r="S116" s="1615" t="str">
        <f>+IF(AGOSTO!S116=0,"",AGOSTO!S116)</f>
        <v>2010100-2</v>
      </c>
      <c r="T116" s="1616" t="str">
        <f>+IF(AGOSTO!T116=0,"",AGOSTO!T116)</f>
        <v>Materiales</v>
      </c>
      <c r="U116" s="1617">
        <f>+ENERO!U116</f>
        <v>76200000</v>
      </c>
      <c r="V116" s="1618">
        <f>AGOSTO!V116+SEPTIEMBRE!AL116</f>
        <v>-10000000</v>
      </c>
      <c r="W116" s="1618">
        <f>AGOSTO!W116+SEPTIEMBRE!AM116</f>
        <v>130000000</v>
      </c>
      <c r="X116" s="1619">
        <f t="shared" si="131"/>
        <v>196200000</v>
      </c>
      <c r="Y116" s="1620">
        <f>AGOSTO!AA116</f>
        <v>75786650</v>
      </c>
      <c r="Z116" s="1557">
        <v>28339819</v>
      </c>
      <c r="AA116" s="1619">
        <f t="shared" si="132"/>
        <v>104126469</v>
      </c>
      <c r="AB116" s="1620">
        <f>AGOSTO!AD116</f>
        <v>65827379</v>
      </c>
      <c r="AC116" s="1557">
        <v>11667833</v>
      </c>
      <c r="AD116" s="1619">
        <f t="shared" si="133"/>
        <v>77495212</v>
      </c>
      <c r="AE116" s="1620">
        <f>AGOSTO!AG116</f>
        <v>38622296</v>
      </c>
      <c r="AF116" s="1557">
        <v>1540979</v>
      </c>
      <c r="AG116" s="1619">
        <f t="shared" si="134"/>
        <v>40163275</v>
      </c>
      <c r="AH116" s="1620">
        <f t="shared" si="135"/>
        <v>92073531</v>
      </c>
      <c r="AI116" s="1618">
        <f t="shared" si="136"/>
        <v>118704788</v>
      </c>
      <c r="AJ116" s="1621">
        <f t="shared" si="137"/>
        <v>156036725</v>
      </c>
      <c r="AK116" s="1448"/>
      <c r="AL116" s="1559">
        <v>-10000000</v>
      </c>
      <c r="AM116" s="1560">
        <v>0</v>
      </c>
      <c r="AN116" s="1448"/>
      <c r="AO116" s="1401"/>
      <c r="AP116" s="1401"/>
      <c r="AQ116" s="1401"/>
      <c r="AR116" s="1401"/>
      <c r="AS116" s="1401"/>
      <c r="AT116" s="1401"/>
      <c r="AU116" s="1401"/>
      <c r="AV116" s="1401"/>
      <c r="AW116" s="1401"/>
      <c r="AX116" s="1401"/>
      <c r="AY116" s="1401"/>
      <c r="AZ116" s="1401"/>
    </row>
    <row r="117" spans="1:52" s="1572" customFormat="1" ht="24.95" customHeight="1">
      <c r="A117" s="1772">
        <f>+IF(AGOSTO!A117=0,"",AGOSTO!A117)</f>
        <v>2200</v>
      </c>
      <c r="B117" s="1743" t="str">
        <f>+IF(AGOSTO!B117=0,"",AGOSTO!B117)</f>
        <v>CREDITO EXTERNO</v>
      </c>
      <c r="C117" s="1553">
        <f>+ENERO!C117</f>
        <v>0</v>
      </c>
      <c r="D117" s="1773">
        <f>AGOSTO!D117+SEPTIEMBRE!P117</f>
        <v>0</v>
      </c>
      <c r="E117" s="1773">
        <f>AGOSTO!E117+SEPTIEMBRE!Q117</f>
        <v>0</v>
      </c>
      <c r="F117" s="1774">
        <f t="shared" si="126"/>
        <v>0</v>
      </c>
      <c r="G117" s="1775">
        <f>AGOSTO!I117</f>
        <v>0</v>
      </c>
      <c r="H117" s="1557">
        <v>0</v>
      </c>
      <c r="I117" s="1774">
        <f t="shared" si="127"/>
        <v>0</v>
      </c>
      <c r="J117" s="1775">
        <f>AGOSTO!L117</f>
        <v>0</v>
      </c>
      <c r="K117" s="1557">
        <v>0</v>
      </c>
      <c r="L117" s="1776">
        <f t="shared" si="128"/>
        <v>0</v>
      </c>
      <c r="M117" s="1777">
        <f t="shared" si="129"/>
        <v>0</v>
      </c>
      <c r="N117" s="1776">
        <f t="shared" si="130"/>
        <v>0</v>
      </c>
      <c r="O117" s="1735"/>
      <c r="P117" s="1559">
        <v>0</v>
      </c>
      <c r="Q117" s="1560">
        <v>0</v>
      </c>
      <c r="R117" s="1448"/>
      <c r="S117" s="1615" t="str">
        <f>+IF(AGOSTO!S117=0,"",AGOSTO!S117)</f>
        <v>2010100-3</v>
      </c>
      <c r="T117" s="1616" t="str">
        <f>+IF(AGOSTO!T117=0,"",AGOSTO!T117)</f>
        <v>Salud Ocupacional</v>
      </c>
      <c r="U117" s="1617">
        <f>+ENERO!U117</f>
        <v>5000000</v>
      </c>
      <c r="V117" s="1618">
        <f>AGOSTO!V117+SEPTIEMBRE!AL117</f>
        <v>0</v>
      </c>
      <c r="W117" s="1618">
        <f>AGOSTO!W117+SEPTIEMBRE!AM117</f>
        <v>0</v>
      </c>
      <c r="X117" s="1619">
        <f t="shared" si="131"/>
        <v>5000000</v>
      </c>
      <c r="Y117" s="1620">
        <f>AGOSTO!AA117</f>
        <v>2231045</v>
      </c>
      <c r="Z117" s="1557">
        <v>0</v>
      </c>
      <c r="AA117" s="1619">
        <f t="shared" si="132"/>
        <v>2231045</v>
      </c>
      <c r="AB117" s="1620">
        <f>AGOSTO!AD117</f>
        <v>2231045</v>
      </c>
      <c r="AC117" s="1557">
        <v>0</v>
      </c>
      <c r="AD117" s="1619">
        <f t="shared" si="133"/>
        <v>2231045</v>
      </c>
      <c r="AE117" s="1620">
        <f>AGOSTO!AG117</f>
        <v>75145</v>
      </c>
      <c r="AF117" s="1557">
        <v>0</v>
      </c>
      <c r="AG117" s="1619">
        <f t="shared" si="134"/>
        <v>75145</v>
      </c>
      <c r="AH117" s="1620">
        <f t="shared" si="135"/>
        <v>2768955</v>
      </c>
      <c r="AI117" s="1618">
        <f t="shared" si="136"/>
        <v>2768955</v>
      </c>
      <c r="AJ117" s="1621">
        <f t="shared" si="137"/>
        <v>4924855</v>
      </c>
      <c r="AK117" s="1448"/>
      <c r="AL117" s="1559">
        <v>0</v>
      </c>
      <c r="AM117" s="1560">
        <v>0</v>
      </c>
      <c r="AN117" s="1448"/>
      <c r="AO117" s="1401"/>
      <c r="AP117" s="1401"/>
      <c r="AQ117" s="1401"/>
      <c r="AR117" s="1401"/>
      <c r="AS117" s="1401"/>
      <c r="AT117" s="1401"/>
      <c r="AU117" s="1401"/>
      <c r="AV117" s="1401"/>
      <c r="AW117" s="1401"/>
      <c r="AX117" s="1401"/>
      <c r="AY117" s="1401"/>
      <c r="AZ117" s="1401"/>
    </row>
    <row r="118" spans="1:52" s="1572" customFormat="1" ht="24.95" customHeight="1">
      <c r="A118" s="1778" t="str">
        <f>+IF(AGOSTO!A118=0,"",AGOSTO!A118)</f>
        <v>2200-1</v>
      </c>
      <c r="B118" s="1745" t="str">
        <f>+IF(AGOSTO!B118=0,"",AGOSTO!B118)</f>
        <v>Vigencia Anterior</v>
      </c>
      <c r="C118" s="1553">
        <f>+ENERO!C118</f>
        <v>0</v>
      </c>
      <c r="D118" s="1773">
        <f>AGOSTO!D118+SEPTIEMBRE!P118</f>
        <v>0</v>
      </c>
      <c r="E118" s="1773">
        <f>AGOSTO!E118+SEPTIEMBRE!Q118</f>
        <v>0</v>
      </c>
      <c r="F118" s="1774">
        <f t="shared" si="126"/>
        <v>0</v>
      </c>
      <c r="G118" s="1775">
        <f>AGOSTO!I118</f>
        <v>0</v>
      </c>
      <c r="H118" s="1557">
        <v>0</v>
      </c>
      <c r="I118" s="1774">
        <f t="shared" si="127"/>
        <v>0</v>
      </c>
      <c r="J118" s="1775">
        <f>AGOSTO!L118</f>
        <v>0</v>
      </c>
      <c r="K118" s="1557">
        <v>0</v>
      </c>
      <c r="L118" s="1776">
        <f t="shared" si="128"/>
        <v>0</v>
      </c>
      <c r="M118" s="1777">
        <f t="shared" si="129"/>
        <v>0</v>
      </c>
      <c r="N118" s="1776">
        <f t="shared" si="130"/>
        <v>0</v>
      </c>
      <c r="O118" s="1735"/>
      <c r="P118" s="1559">
        <v>0</v>
      </c>
      <c r="Q118" s="1560">
        <v>0</v>
      </c>
      <c r="R118" s="1448"/>
      <c r="S118" s="1615" t="str">
        <f>+IF(AGOSTO!S118=0,"",AGOSTO!S118)</f>
        <v>2010100-4</v>
      </c>
      <c r="T118" s="1616" t="str">
        <f>+IF(AGOSTO!T118=0,"",AGOSTO!T118)</f>
        <v/>
      </c>
      <c r="U118" s="1617">
        <f>+ENERO!U118</f>
        <v>0</v>
      </c>
      <c r="V118" s="1618">
        <f>AGOSTO!V118+SEPTIEMBRE!AL118</f>
        <v>0</v>
      </c>
      <c r="W118" s="1618">
        <f>AGOSTO!W118+SEPTIEMBRE!AM118</f>
        <v>0</v>
      </c>
      <c r="X118" s="1619">
        <f t="shared" si="131"/>
        <v>0</v>
      </c>
      <c r="Y118" s="1620">
        <f>AGOSTO!AA118</f>
        <v>0</v>
      </c>
      <c r="Z118" s="1557">
        <v>0</v>
      </c>
      <c r="AA118" s="1619">
        <f t="shared" si="132"/>
        <v>0</v>
      </c>
      <c r="AB118" s="1620">
        <f>AGOSTO!AD118</f>
        <v>0</v>
      </c>
      <c r="AC118" s="1557">
        <v>0</v>
      </c>
      <c r="AD118" s="1619">
        <f t="shared" si="133"/>
        <v>0</v>
      </c>
      <c r="AE118" s="1620">
        <f>AGOSTO!AG118</f>
        <v>0</v>
      </c>
      <c r="AF118" s="1557">
        <v>0</v>
      </c>
      <c r="AG118" s="1619">
        <f t="shared" si="134"/>
        <v>0</v>
      </c>
      <c r="AH118" s="1620">
        <f t="shared" si="135"/>
        <v>0</v>
      </c>
      <c r="AI118" s="1618">
        <f t="shared" si="136"/>
        <v>0</v>
      </c>
      <c r="AJ118" s="1621">
        <f t="shared" si="137"/>
        <v>0</v>
      </c>
      <c r="AK118" s="1448"/>
      <c r="AL118" s="1559">
        <v>0</v>
      </c>
      <c r="AM118" s="1560">
        <v>0</v>
      </c>
      <c r="AN118" s="1448"/>
      <c r="AO118" s="1401"/>
      <c r="AP118" s="1401"/>
      <c r="AQ118" s="1401"/>
      <c r="AR118" s="1401"/>
      <c r="AS118" s="1401"/>
      <c r="AT118" s="1401"/>
      <c r="AU118" s="1401"/>
      <c r="AV118" s="1401"/>
      <c r="AW118" s="1401"/>
      <c r="AX118" s="1401"/>
      <c r="AY118" s="1401"/>
      <c r="AZ118" s="1401"/>
    </row>
    <row r="119" spans="1:52" s="1572" customFormat="1" ht="24.95" customHeight="1">
      <c r="A119" s="1772">
        <f>+IF(AGOSTO!A119=0,"",AGOSTO!A119)</f>
        <v>2300</v>
      </c>
      <c r="B119" s="1743" t="str">
        <f>+IF(AGOSTO!B119=0,"",AGOSTO!B119)</f>
        <v>RENDIMIENTOS FINANCIEROS</v>
      </c>
      <c r="C119" s="1553">
        <f>+ENERO!C119</f>
        <v>0</v>
      </c>
      <c r="D119" s="1773">
        <f>AGOSTO!D119+SEPTIEMBRE!P119</f>
        <v>0</v>
      </c>
      <c r="E119" s="1773">
        <f>AGOSTO!E119+SEPTIEMBRE!Q119</f>
        <v>3516381</v>
      </c>
      <c r="F119" s="1774">
        <f t="shared" si="126"/>
        <v>3516381</v>
      </c>
      <c r="G119" s="1556">
        <f>AGOSTO!I119</f>
        <v>4221801</v>
      </c>
      <c r="H119" s="1557">
        <v>369633</v>
      </c>
      <c r="I119" s="1779">
        <f t="shared" si="127"/>
        <v>4591434</v>
      </c>
      <c r="J119" s="1556">
        <f>AGOSTO!L119</f>
        <v>4221801</v>
      </c>
      <c r="K119" s="1557">
        <v>369633</v>
      </c>
      <c r="L119" s="1555">
        <f t="shared" si="128"/>
        <v>4591434</v>
      </c>
      <c r="M119" s="1687">
        <f t="shared" si="129"/>
        <v>-1075053</v>
      </c>
      <c r="N119" s="1555">
        <f t="shared" si="130"/>
        <v>-1075053</v>
      </c>
      <c r="O119" s="1735"/>
      <c r="P119" s="1559">
        <v>0</v>
      </c>
      <c r="Q119" s="1560">
        <v>0</v>
      </c>
      <c r="R119" s="1448"/>
      <c r="S119" s="1615" t="str">
        <f>+IF(AGOSTO!S119=0,"",AGOSTO!S119)</f>
        <v>2010100-5</v>
      </c>
      <c r="T119" s="1616" t="str">
        <f>+IF(AGOSTO!T119=0,"",AGOSTO!T119)</f>
        <v/>
      </c>
      <c r="U119" s="1617">
        <f>+ENERO!U119</f>
        <v>0</v>
      </c>
      <c r="V119" s="1618">
        <f>AGOSTO!V119+SEPTIEMBRE!AL119</f>
        <v>0</v>
      </c>
      <c r="W119" s="1618">
        <f>AGOSTO!W119+SEPTIEMBRE!AM119</f>
        <v>0</v>
      </c>
      <c r="X119" s="1619">
        <f t="shared" si="131"/>
        <v>0</v>
      </c>
      <c r="Y119" s="1620">
        <f>AGOSTO!AA119</f>
        <v>0</v>
      </c>
      <c r="Z119" s="1557">
        <v>0</v>
      </c>
      <c r="AA119" s="1619">
        <f t="shared" si="132"/>
        <v>0</v>
      </c>
      <c r="AB119" s="1620">
        <f>AGOSTO!AD119</f>
        <v>0</v>
      </c>
      <c r="AC119" s="1557">
        <v>0</v>
      </c>
      <c r="AD119" s="1619">
        <f t="shared" si="133"/>
        <v>0</v>
      </c>
      <c r="AE119" s="1620">
        <f>AGOSTO!AG119</f>
        <v>0</v>
      </c>
      <c r="AF119" s="1557">
        <v>0</v>
      </c>
      <c r="AG119" s="1619">
        <f t="shared" si="134"/>
        <v>0</v>
      </c>
      <c r="AH119" s="1620">
        <f t="shared" si="135"/>
        <v>0</v>
      </c>
      <c r="AI119" s="1618">
        <f t="shared" si="136"/>
        <v>0</v>
      </c>
      <c r="AJ119" s="1621">
        <f t="shared" si="137"/>
        <v>0</v>
      </c>
      <c r="AK119" s="1448"/>
      <c r="AL119" s="1559">
        <v>0</v>
      </c>
      <c r="AM119" s="1560">
        <v>0</v>
      </c>
      <c r="AN119" s="1448"/>
      <c r="AO119" s="1401"/>
      <c r="AP119" s="1401"/>
      <c r="AQ119" s="1401"/>
      <c r="AR119" s="1401"/>
      <c r="AS119" s="1401"/>
      <c r="AT119" s="1401"/>
      <c r="AU119" s="1401"/>
      <c r="AV119" s="1401"/>
      <c r="AW119" s="1401"/>
      <c r="AX119" s="1401"/>
      <c r="AY119" s="1401"/>
      <c r="AZ119" s="1401"/>
    </row>
    <row r="120" spans="1:52" s="1572" customFormat="1" ht="24.95" customHeight="1">
      <c r="A120" s="1780">
        <f>+IF(AGOSTO!A120=0,"",AGOSTO!A120)</f>
        <v>2400</v>
      </c>
      <c r="B120" s="1745" t="str">
        <f>+IF(AGOSTO!B120=0,"",AGOSTO!B120)</f>
        <v>VENTA DE ACTIVOS</v>
      </c>
      <c r="C120" s="1553">
        <f>+ENERO!C120</f>
        <v>0</v>
      </c>
      <c r="D120" s="1773">
        <f>AGOSTO!D120+SEPTIEMBRE!P120</f>
        <v>0</v>
      </c>
      <c r="E120" s="1773">
        <f>AGOSTO!E120+SEPTIEMBRE!Q120</f>
        <v>0</v>
      </c>
      <c r="F120" s="1774">
        <f t="shared" si="126"/>
        <v>0</v>
      </c>
      <c r="G120" s="1556">
        <f>AGOSTO!I120</f>
        <v>0</v>
      </c>
      <c r="H120" s="1557">
        <v>0</v>
      </c>
      <c r="I120" s="1779">
        <f t="shared" si="127"/>
        <v>0</v>
      </c>
      <c r="J120" s="1556">
        <f>AGOSTO!L120</f>
        <v>0</v>
      </c>
      <c r="K120" s="1557">
        <v>0</v>
      </c>
      <c r="L120" s="1555">
        <f t="shared" si="128"/>
        <v>0</v>
      </c>
      <c r="M120" s="1687">
        <f t="shared" si="129"/>
        <v>0</v>
      </c>
      <c r="N120" s="1555">
        <f t="shared" si="130"/>
        <v>0</v>
      </c>
      <c r="P120" s="1559">
        <v>0</v>
      </c>
      <c r="Q120" s="1560">
        <v>0</v>
      </c>
      <c r="R120" s="1448"/>
      <c r="S120" s="1615" t="str">
        <f>+IF(AGOSTO!S120=0,"",AGOSTO!S120)</f>
        <v>2010100-6</v>
      </c>
      <c r="T120" s="1616" t="str">
        <f>+IF(AGOSTO!T120=0,"",AGOSTO!T120)</f>
        <v/>
      </c>
      <c r="U120" s="1617">
        <f>+ENERO!U120</f>
        <v>0</v>
      </c>
      <c r="V120" s="1618">
        <f>AGOSTO!V120+SEPTIEMBRE!AL120</f>
        <v>0</v>
      </c>
      <c r="W120" s="1618">
        <f>AGOSTO!W120+SEPTIEMBRE!AM120</f>
        <v>0</v>
      </c>
      <c r="X120" s="1619">
        <f t="shared" si="131"/>
        <v>0</v>
      </c>
      <c r="Y120" s="1620">
        <f>AGOSTO!AA120</f>
        <v>0</v>
      </c>
      <c r="Z120" s="1557">
        <v>0</v>
      </c>
      <c r="AA120" s="1619">
        <f t="shared" si="132"/>
        <v>0</v>
      </c>
      <c r="AB120" s="1620">
        <f>AGOSTO!AD120</f>
        <v>0</v>
      </c>
      <c r="AC120" s="1557">
        <v>0</v>
      </c>
      <c r="AD120" s="1619">
        <f t="shared" si="133"/>
        <v>0</v>
      </c>
      <c r="AE120" s="1620">
        <f>AGOSTO!AG120</f>
        <v>0</v>
      </c>
      <c r="AF120" s="1557">
        <v>0</v>
      </c>
      <c r="AG120" s="1619">
        <f t="shared" si="134"/>
        <v>0</v>
      </c>
      <c r="AH120" s="1620">
        <f t="shared" si="135"/>
        <v>0</v>
      </c>
      <c r="AI120" s="1618">
        <f t="shared" si="136"/>
        <v>0</v>
      </c>
      <c r="AJ120" s="1621">
        <f t="shared" si="137"/>
        <v>0</v>
      </c>
      <c r="AK120" s="1448"/>
      <c r="AL120" s="1559">
        <v>0</v>
      </c>
      <c r="AM120" s="1560">
        <v>0</v>
      </c>
      <c r="AN120" s="1448"/>
      <c r="AO120" s="1401"/>
      <c r="AP120" s="1401"/>
      <c r="AQ120" s="1401"/>
      <c r="AR120" s="1401"/>
      <c r="AS120" s="1401"/>
      <c r="AT120" s="1401"/>
      <c r="AU120" s="1401"/>
      <c r="AV120" s="1401"/>
      <c r="AW120" s="1401"/>
      <c r="AX120" s="1401"/>
      <c r="AY120" s="1401"/>
      <c r="AZ120" s="1401"/>
    </row>
    <row r="121" spans="1:52" s="1572" customFormat="1" ht="24.95" customHeight="1">
      <c r="A121" s="1780">
        <f>+IF(AGOSTO!A121=0,"",AGOSTO!A121)</f>
        <v>2500</v>
      </c>
      <c r="B121" s="1745" t="str">
        <f>+IF(AGOSTO!B121=0,"",AGOSTO!B121)</f>
        <v>DONACIONES</v>
      </c>
      <c r="C121" s="1553">
        <f>+ENERO!C121</f>
        <v>0</v>
      </c>
      <c r="D121" s="1773">
        <f>AGOSTO!D121+SEPTIEMBRE!P121</f>
        <v>0</v>
      </c>
      <c r="E121" s="1773">
        <f>AGOSTO!E121+SEPTIEMBRE!Q121</f>
        <v>0</v>
      </c>
      <c r="F121" s="1774">
        <f t="shared" si="126"/>
        <v>0</v>
      </c>
      <c r="G121" s="1556">
        <f>AGOSTO!I121</f>
        <v>0</v>
      </c>
      <c r="H121" s="1557">
        <v>0</v>
      </c>
      <c r="I121" s="1779">
        <f t="shared" si="127"/>
        <v>0</v>
      </c>
      <c r="J121" s="1556">
        <f>AGOSTO!L121</f>
        <v>0</v>
      </c>
      <c r="K121" s="1557">
        <v>0</v>
      </c>
      <c r="L121" s="1555">
        <f t="shared" si="128"/>
        <v>0</v>
      </c>
      <c r="M121" s="1687">
        <f t="shared" si="129"/>
        <v>0</v>
      </c>
      <c r="N121" s="1555">
        <f t="shared" si="130"/>
        <v>0</v>
      </c>
      <c r="P121" s="1559">
        <v>0</v>
      </c>
      <c r="Q121" s="1560">
        <v>0</v>
      </c>
      <c r="R121" s="1448"/>
      <c r="S121" s="1615">
        <f>+IF(AGOSTO!S121=0,"",AGOSTO!S121)</f>
        <v>2010199</v>
      </c>
      <c r="T121" s="1616" t="str">
        <f>+IF(AGOSTO!T121=0,"",AGOSTO!T121)</f>
        <v>Vigencias Anteriores</v>
      </c>
      <c r="U121" s="1617">
        <f>+ENERO!U121</f>
        <v>0</v>
      </c>
      <c r="V121" s="1618">
        <f>AGOSTO!V121+SEPTIEMBRE!AL121</f>
        <v>-89040581</v>
      </c>
      <c r="W121" s="1618">
        <f>AGOSTO!W121+SEPTIEMBRE!AM121</f>
        <v>200000000</v>
      </c>
      <c r="X121" s="1619">
        <f t="shared" si="131"/>
        <v>110959419</v>
      </c>
      <c r="Y121" s="1620">
        <f>AGOSTO!AA121</f>
        <v>110959419</v>
      </c>
      <c r="Z121" s="1557">
        <v>0</v>
      </c>
      <c r="AA121" s="1619">
        <f t="shared" si="132"/>
        <v>110959419</v>
      </c>
      <c r="AB121" s="1620">
        <f>AGOSTO!AD121</f>
        <v>110959419</v>
      </c>
      <c r="AC121" s="1557">
        <v>0</v>
      </c>
      <c r="AD121" s="1619">
        <f t="shared" si="133"/>
        <v>110959419</v>
      </c>
      <c r="AE121" s="1620">
        <f>AGOSTO!AG121</f>
        <v>110959419</v>
      </c>
      <c r="AF121" s="1557">
        <v>0</v>
      </c>
      <c r="AG121" s="1619">
        <f t="shared" si="134"/>
        <v>110959419</v>
      </c>
      <c r="AH121" s="1620">
        <f t="shared" si="135"/>
        <v>0</v>
      </c>
      <c r="AI121" s="1618">
        <f t="shared" si="136"/>
        <v>0</v>
      </c>
      <c r="AJ121" s="1621">
        <f t="shared" si="137"/>
        <v>0</v>
      </c>
      <c r="AK121" s="1448"/>
      <c r="AL121" s="1559">
        <v>0</v>
      </c>
      <c r="AM121" s="1560">
        <v>0</v>
      </c>
      <c r="AN121" s="1448"/>
      <c r="AO121" s="1401"/>
      <c r="AP121" s="1401"/>
      <c r="AQ121" s="1401"/>
      <c r="AR121" s="1401"/>
      <c r="AS121" s="1401"/>
      <c r="AT121" s="1401"/>
      <c r="AU121" s="1401"/>
      <c r="AV121" s="1401"/>
      <c r="AW121" s="1401"/>
      <c r="AX121" s="1401"/>
      <c r="AY121" s="1401"/>
      <c r="AZ121" s="1401"/>
    </row>
    <row r="122" spans="1:52" s="1572" customFormat="1" ht="24.95" customHeight="1">
      <c r="A122" s="1780">
        <f>+IF(AGOSTO!A122=0,"",AGOSTO!A122)</f>
        <v>2600</v>
      </c>
      <c r="B122" s="1745" t="str">
        <f>+IF(AGOSTO!B122=0,"",AGOSTO!B122)</f>
        <v>RECUPERACIÓN DE CARTERA (AÑO 2015 Y ANTERIORES)</v>
      </c>
      <c r="C122" s="1553">
        <f>+ENERO!C122</f>
        <v>9052927194</v>
      </c>
      <c r="D122" s="1773">
        <f>AGOSTO!D122+SEPTIEMBRE!P122</f>
        <v>0</v>
      </c>
      <c r="E122" s="1773">
        <f>AGOSTO!E122+SEPTIEMBRE!Q122</f>
        <v>0</v>
      </c>
      <c r="F122" s="1774">
        <f t="shared" si="126"/>
        <v>9052927194</v>
      </c>
      <c r="G122" s="1556">
        <f>AGOSTO!I122</f>
        <v>21627880</v>
      </c>
      <c r="H122" s="1557">
        <v>81552654</v>
      </c>
      <c r="I122" s="1779">
        <f t="shared" si="127"/>
        <v>103180534</v>
      </c>
      <c r="J122" s="1556">
        <f>AGOSTO!L122</f>
        <v>21627880</v>
      </c>
      <c r="K122" s="1557">
        <v>81552654</v>
      </c>
      <c r="L122" s="1555">
        <f t="shared" si="128"/>
        <v>103180534</v>
      </c>
      <c r="M122" s="1687">
        <f t="shared" si="129"/>
        <v>8949746660</v>
      </c>
      <c r="N122" s="1555">
        <f t="shared" si="130"/>
        <v>8949746660</v>
      </c>
      <c r="P122" s="1559">
        <v>0</v>
      </c>
      <c r="Q122" s="1560">
        <v>0</v>
      </c>
      <c r="R122" s="1448"/>
      <c r="S122" s="1538" t="str">
        <f>+IF(AGOSTO!S122=0,"",AGOSTO!S122)</f>
        <v/>
      </c>
      <c r="T122" s="1539" t="str">
        <f>+IF(AGOSTO!T122=0,"",AGOSTO!T122)</f>
        <v/>
      </c>
      <c r="U122" s="1540"/>
      <c r="V122" s="1540"/>
      <c r="W122" s="1540"/>
      <c r="X122" s="1540"/>
      <c r="Y122" s="1540"/>
      <c r="Z122" s="1540"/>
      <c r="AA122" s="1540"/>
      <c r="AB122" s="1540"/>
      <c r="AC122" s="1540"/>
      <c r="AD122" s="1540"/>
      <c r="AE122" s="1540"/>
      <c r="AF122" s="1540"/>
      <c r="AG122" s="1540"/>
      <c r="AH122" s="1540"/>
      <c r="AI122" s="1540"/>
      <c r="AJ122" s="1541"/>
      <c r="AK122" s="1448"/>
      <c r="AL122" s="1726"/>
      <c r="AM122" s="1727"/>
      <c r="AN122" s="1448"/>
      <c r="AO122" s="1401"/>
      <c r="AP122" s="1401"/>
      <c r="AQ122" s="1401"/>
      <c r="AR122" s="1401"/>
      <c r="AS122" s="1401"/>
      <c r="AT122" s="1401"/>
      <c r="AU122" s="1401"/>
      <c r="AV122" s="1401"/>
      <c r="AW122" s="1401"/>
      <c r="AX122" s="1401"/>
      <c r="AY122" s="1401"/>
      <c r="AZ122" s="1401"/>
    </row>
    <row r="123" spans="1:52" s="1572" customFormat="1" ht="24.95" customHeight="1">
      <c r="A123" s="1781">
        <f>+IF(AGOSTO!A123=0,"",AGOSTO!A123)</f>
        <v>2700</v>
      </c>
      <c r="B123" s="1745" t="str">
        <f>+IF(AGOSTO!B123=0,"",AGOSTO!B123)</f>
        <v>OTROS INGRESOS DE CAPITAL</v>
      </c>
      <c r="C123" s="1553">
        <f>+ENERO!C123</f>
        <v>0</v>
      </c>
      <c r="D123" s="1773">
        <f>AGOSTO!D123+SEPTIEMBRE!P123</f>
        <v>0</v>
      </c>
      <c r="E123" s="1773">
        <f>AGOSTO!E123+SEPTIEMBRE!Q123</f>
        <v>0</v>
      </c>
      <c r="F123" s="1774">
        <f t="shared" si="126"/>
        <v>0</v>
      </c>
      <c r="G123" s="1556">
        <f>AGOSTO!I123</f>
        <v>0</v>
      </c>
      <c r="H123" s="1557">
        <v>0</v>
      </c>
      <c r="I123" s="1779">
        <f t="shared" si="127"/>
        <v>0</v>
      </c>
      <c r="J123" s="1556">
        <f>AGOSTO!L123</f>
        <v>0</v>
      </c>
      <c r="K123" s="1557">
        <v>0</v>
      </c>
      <c r="L123" s="1555">
        <f t="shared" si="128"/>
        <v>0</v>
      </c>
      <c r="M123" s="1687">
        <f t="shared" si="129"/>
        <v>0</v>
      </c>
      <c r="N123" s="1555">
        <f t="shared" si="130"/>
        <v>0</v>
      </c>
      <c r="P123" s="1559">
        <v>0</v>
      </c>
      <c r="Q123" s="1560">
        <v>0</v>
      </c>
      <c r="R123" s="1448"/>
      <c r="S123" s="1607">
        <f>+IF(AGOSTO!S123=0,"",AGOSTO!S123)</f>
        <v>2010200</v>
      </c>
      <c r="T123" s="1608" t="str">
        <f>+IF(AGOSTO!T123=0,"",AGOSTO!T123)</f>
        <v>Adquisición de Servicios</v>
      </c>
      <c r="U123" s="1581">
        <f t="shared" ref="U123:AJ123" si="138">SUM(U124:U139)</f>
        <v>4658828612</v>
      </c>
      <c r="V123" s="1582">
        <f t="shared" si="138"/>
        <v>107660997</v>
      </c>
      <c r="W123" s="1582">
        <f t="shared" si="138"/>
        <v>1498156707</v>
      </c>
      <c r="X123" s="1583">
        <f t="shared" si="138"/>
        <v>6264646316</v>
      </c>
      <c r="Y123" s="1584">
        <f t="shared" si="138"/>
        <v>5567038830</v>
      </c>
      <c r="Z123" s="1582">
        <f t="shared" si="138"/>
        <v>210931183</v>
      </c>
      <c r="AA123" s="1583">
        <f t="shared" si="138"/>
        <v>5777970013</v>
      </c>
      <c r="AB123" s="1584">
        <f t="shared" si="138"/>
        <v>4339144199</v>
      </c>
      <c r="AC123" s="1582">
        <f t="shared" si="138"/>
        <v>545671175</v>
      </c>
      <c r="AD123" s="1583">
        <f t="shared" si="138"/>
        <v>4884815374</v>
      </c>
      <c r="AE123" s="1584">
        <f t="shared" si="138"/>
        <v>2825645836</v>
      </c>
      <c r="AF123" s="1582">
        <f t="shared" si="138"/>
        <v>426865048</v>
      </c>
      <c r="AG123" s="1583">
        <f t="shared" si="138"/>
        <v>3252510884</v>
      </c>
      <c r="AH123" s="1584">
        <f t="shared" si="138"/>
        <v>486676303</v>
      </c>
      <c r="AI123" s="1582">
        <f t="shared" si="138"/>
        <v>1379830942</v>
      </c>
      <c r="AJ123" s="1585">
        <f t="shared" si="138"/>
        <v>3012135432</v>
      </c>
      <c r="AK123" s="1448"/>
      <c r="AL123" s="1584">
        <f>SUM(AL124:AL139)</f>
        <v>215000000</v>
      </c>
      <c r="AM123" s="1585">
        <f>SUM(AM124:AM139)</f>
        <v>0</v>
      </c>
      <c r="AN123" s="1448"/>
      <c r="AO123" s="1401"/>
      <c r="AP123" s="1401"/>
      <c r="AQ123" s="1401"/>
      <c r="AR123" s="1401"/>
      <c r="AS123" s="1401"/>
      <c r="AT123" s="1401"/>
      <c r="AU123" s="1401"/>
      <c r="AV123" s="1401"/>
      <c r="AW123" s="1401"/>
      <c r="AX123" s="1401"/>
      <c r="AY123" s="1401"/>
      <c r="AZ123" s="1401"/>
    </row>
    <row r="124" spans="1:52" s="1572" customFormat="1" ht="24.95" customHeight="1" thickBot="1">
      <c r="A124" s="1782">
        <f>+IF(AGOSTO!A124=0,"",AGOSTO!A124)</f>
        <v>2800</v>
      </c>
      <c r="B124" s="1783" t="str">
        <f>+IF(AGOSTO!B124=0,"",AGOSTO!B124)</f>
        <v/>
      </c>
      <c r="C124" s="1591">
        <f>+ENERO!C124</f>
        <v>0</v>
      </c>
      <c r="D124" s="1784">
        <f>AGOSTO!D124+SEPTIEMBRE!P124</f>
        <v>0</v>
      </c>
      <c r="E124" s="1784">
        <f>AGOSTO!E124+SEPTIEMBRE!Q124</f>
        <v>0</v>
      </c>
      <c r="F124" s="1785">
        <f t="shared" si="126"/>
        <v>0</v>
      </c>
      <c r="G124" s="1594">
        <f>AGOSTO!I124</f>
        <v>0</v>
      </c>
      <c r="H124" s="1595">
        <v>0</v>
      </c>
      <c r="I124" s="1786">
        <f t="shared" si="127"/>
        <v>0</v>
      </c>
      <c r="J124" s="1594">
        <f>AGOSTO!L124</f>
        <v>0</v>
      </c>
      <c r="K124" s="1595">
        <v>0</v>
      </c>
      <c r="L124" s="1593">
        <f t="shared" si="128"/>
        <v>0</v>
      </c>
      <c r="M124" s="1787">
        <f t="shared" si="129"/>
        <v>0</v>
      </c>
      <c r="N124" s="1593">
        <f t="shared" si="130"/>
        <v>0</v>
      </c>
      <c r="P124" s="1597">
        <v>0</v>
      </c>
      <c r="Q124" s="1598">
        <v>0</v>
      </c>
      <c r="R124" s="1448"/>
      <c r="S124" s="1615" t="str">
        <f>+IF(AGOSTO!S124=0,"",AGOSTO!S124)</f>
        <v>2010200-1</v>
      </c>
      <c r="T124" s="1616" t="str">
        <f>+IF(AGOSTO!T124=0,"",AGOSTO!T124)</f>
        <v>Seguros</v>
      </c>
      <c r="U124" s="1617">
        <f>+ENERO!U124</f>
        <v>350000000</v>
      </c>
      <c r="V124" s="1618">
        <f>AGOSTO!V124+SEPTIEMBRE!AL124</f>
        <v>109168059</v>
      </c>
      <c r="W124" s="1618">
        <f>AGOSTO!W124+SEPTIEMBRE!AM124</f>
        <v>0</v>
      </c>
      <c r="X124" s="1619">
        <f t="shared" ref="X124:X139" si="139">SUM(U124:W124)</f>
        <v>459168059</v>
      </c>
      <c r="Y124" s="1620">
        <f>AGOSTO!AA124</f>
        <v>371605737</v>
      </c>
      <c r="Z124" s="1557">
        <v>57537</v>
      </c>
      <c r="AA124" s="1619">
        <f t="shared" ref="AA124:AA139" si="140">SUM(Y124:Z124)</f>
        <v>371663274</v>
      </c>
      <c r="AB124" s="1620">
        <f>AGOSTO!AD124</f>
        <v>371570880</v>
      </c>
      <c r="AC124" s="1557">
        <v>57537</v>
      </c>
      <c r="AD124" s="1619">
        <f t="shared" ref="AD124:AD139" si="141">SUM(AB124:AC124)</f>
        <v>371628417</v>
      </c>
      <c r="AE124" s="1620">
        <f>AGOSTO!AG124</f>
        <v>368830743</v>
      </c>
      <c r="AF124" s="1557">
        <v>97840</v>
      </c>
      <c r="AG124" s="1619">
        <f t="shared" ref="AG124:AG139" si="142">SUM(AE124:AF124)</f>
        <v>368928583</v>
      </c>
      <c r="AH124" s="1620">
        <f t="shared" ref="AH124:AH139" si="143">X124-AA124</f>
        <v>87504785</v>
      </c>
      <c r="AI124" s="1618">
        <f t="shared" ref="AI124:AI139" si="144">X124-AD124</f>
        <v>87539642</v>
      </c>
      <c r="AJ124" s="1621">
        <f t="shared" ref="AJ124:AJ139" si="145">X124-AG124</f>
        <v>90239476</v>
      </c>
      <c r="AK124" s="1448"/>
      <c r="AL124" s="1559">
        <v>87000000</v>
      </c>
      <c r="AM124" s="1560">
        <v>0</v>
      </c>
      <c r="AN124" s="1448"/>
      <c r="AO124" s="1401"/>
      <c r="AP124" s="1401"/>
      <c r="AQ124" s="1401"/>
      <c r="AR124" s="1401"/>
      <c r="AS124" s="1401"/>
      <c r="AT124" s="1401"/>
      <c r="AU124" s="1401"/>
      <c r="AV124" s="1401"/>
      <c r="AW124" s="1401"/>
      <c r="AX124" s="1401"/>
      <c r="AY124" s="1401"/>
      <c r="AZ124" s="1401"/>
    </row>
    <row r="125" spans="1:52" s="1572" customFormat="1" ht="24.95" customHeight="1" thickBot="1">
      <c r="A125" s="1758"/>
      <c r="B125" s="1759"/>
      <c r="C125" s="1760"/>
      <c r="D125" s="1760"/>
      <c r="E125" s="1760"/>
      <c r="F125" s="1760"/>
      <c r="G125" s="1760"/>
      <c r="H125" s="1760"/>
      <c r="I125" s="1760"/>
      <c r="J125" s="1760"/>
      <c r="K125" s="1760"/>
      <c r="L125" s="1760"/>
      <c r="M125" s="1760"/>
      <c r="N125" s="1761"/>
      <c r="P125" s="1762"/>
      <c r="Q125" s="1761"/>
      <c r="R125" s="1448"/>
      <c r="S125" s="1615" t="str">
        <f>+IF(AGOSTO!S125=0,"",AGOSTO!S125)</f>
        <v>2010200-2</v>
      </c>
      <c r="T125" s="1616" t="str">
        <f>+IF(AGOSTO!T125=0,"",AGOSTO!T125)</f>
        <v>Impresos y Publicaciones</v>
      </c>
      <c r="U125" s="1617">
        <f>+ENERO!U125</f>
        <v>60000000</v>
      </c>
      <c r="V125" s="1618">
        <f>AGOSTO!V125+SEPTIEMBRE!AL125</f>
        <v>27994312</v>
      </c>
      <c r="W125" s="1618">
        <f>AGOSTO!W125+SEPTIEMBRE!AM125</f>
        <v>0</v>
      </c>
      <c r="X125" s="1619">
        <f t="shared" si="139"/>
        <v>87994312</v>
      </c>
      <c r="Y125" s="1620">
        <f>AGOSTO!AA125</f>
        <v>81581777</v>
      </c>
      <c r="Z125" s="1557">
        <v>0</v>
      </c>
      <c r="AA125" s="1619">
        <f t="shared" si="140"/>
        <v>81581777</v>
      </c>
      <c r="AB125" s="1620">
        <f>AGOSTO!AD125</f>
        <v>48581777</v>
      </c>
      <c r="AC125" s="1557">
        <v>8250000</v>
      </c>
      <c r="AD125" s="1619">
        <f t="shared" si="141"/>
        <v>56831777</v>
      </c>
      <c r="AE125" s="1620">
        <f>AGOSTO!AG125</f>
        <v>34695000</v>
      </c>
      <c r="AF125" s="1557">
        <v>286771</v>
      </c>
      <c r="AG125" s="1619">
        <f t="shared" si="142"/>
        <v>34981771</v>
      </c>
      <c r="AH125" s="1620">
        <f t="shared" si="143"/>
        <v>6412535</v>
      </c>
      <c r="AI125" s="1618">
        <f t="shared" si="144"/>
        <v>31162535</v>
      </c>
      <c r="AJ125" s="1621">
        <f t="shared" si="145"/>
        <v>53012541</v>
      </c>
      <c r="AK125" s="1448"/>
      <c r="AL125" s="1559">
        <v>-2000000</v>
      </c>
      <c r="AM125" s="1560">
        <v>0</v>
      </c>
      <c r="AN125" s="1448"/>
      <c r="AO125" s="1401"/>
      <c r="AP125" s="1401"/>
      <c r="AQ125" s="1401"/>
      <c r="AR125" s="1401"/>
      <c r="AS125" s="1401"/>
      <c r="AT125" s="1401"/>
      <c r="AU125" s="1401"/>
      <c r="AV125" s="1401"/>
      <c r="AW125" s="1401"/>
      <c r="AX125" s="1401"/>
      <c r="AY125" s="1401"/>
      <c r="AZ125" s="1401"/>
    </row>
    <row r="126" spans="1:52" s="1572" customFormat="1" ht="24.95" customHeight="1" thickBot="1">
      <c r="A126" s="1788" t="s">
        <v>246</v>
      </c>
      <c r="B126" s="1789"/>
      <c r="C126" s="1790">
        <f t="shared" ref="C126:Q126" si="146">C8-C128</f>
        <v>41169250887</v>
      </c>
      <c r="D126" s="1790">
        <f t="shared" si="146"/>
        <v>0</v>
      </c>
      <c r="E126" s="1790">
        <f t="shared" si="146"/>
        <v>1086980446</v>
      </c>
      <c r="F126" s="1790">
        <f t="shared" si="146"/>
        <v>42256231333</v>
      </c>
      <c r="G126" s="1790">
        <f t="shared" si="146"/>
        <v>32138771617</v>
      </c>
      <c r="H126" s="1790">
        <f t="shared" si="146"/>
        <v>3303524124</v>
      </c>
      <c r="I126" s="1790">
        <f t="shared" si="146"/>
        <v>35442295741</v>
      </c>
      <c r="J126" s="1790">
        <f t="shared" si="146"/>
        <v>9276405935</v>
      </c>
      <c r="K126" s="1790">
        <f t="shared" si="146"/>
        <v>3302840573</v>
      </c>
      <c r="L126" s="1790">
        <f t="shared" si="146"/>
        <v>12557618628</v>
      </c>
      <c r="M126" s="1790">
        <f t="shared" si="146"/>
        <v>15763682252</v>
      </c>
      <c r="N126" s="1791">
        <f t="shared" si="146"/>
        <v>29698612705</v>
      </c>
      <c r="O126" s="1572">
        <f t="shared" si="146"/>
        <v>0</v>
      </c>
      <c r="P126" s="1792">
        <f t="shared" si="146"/>
        <v>0</v>
      </c>
      <c r="Q126" s="1793">
        <f t="shared" si="146"/>
        <v>0</v>
      </c>
      <c r="R126" s="1448"/>
      <c r="S126" s="1615" t="str">
        <f>+IF(AGOSTO!S126=0,"",AGOSTO!S126)</f>
        <v>2010200-3</v>
      </c>
      <c r="T126" s="1616" t="str">
        <f>+IF(AGOSTO!T126=0,"",AGOSTO!T126)</f>
        <v xml:space="preserve">Servicios Públicos </v>
      </c>
      <c r="U126" s="1617">
        <f>+ENERO!U126</f>
        <v>904500000</v>
      </c>
      <c r="V126" s="1618">
        <f>AGOSTO!V126+SEPTIEMBRE!AL126</f>
        <v>0</v>
      </c>
      <c r="W126" s="1618">
        <f>AGOSTO!W126+SEPTIEMBRE!AM126</f>
        <v>0</v>
      </c>
      <c r="X126" s="1619">
        <f t="shared" si="139"/>
        <v>904500000</v>
      </c>
      <c r="Y126" s="1620">
        <f>AGOSTO!AA126</f>
        <v>732228216</v>
      </c>
      <c r="Z126" s="1557">
        <v>88580875</v>
      </c>
      <c r="AA126" s="1619">
        <f t="shared" si="140"/>
        <v>820809091</v>
      </c>
      <c r="AB126" s="1620">
        <f>AGOSTO!AD126</f>
        <v>732159931</v>
      </c>
      <c r="AC126" s="1557">
        <v>88580875</v>
      </c>
      <c r="AD126" s="1619">
        <f t="shared" si="141"/>
        <v>820740806</v>
      </c>
      <c r="AE126" s="1620">
        <f>AGOSTO!AG126</f>
        <v>693318280</v>
      </c>
      <c r="AF126" s="1557">
        <v>54702707</v>
      </c>
      <c r="AG126" s="1619">
        <f t="shared" si="142"/>
        <v>748020987</v>
      </c>
      <c r="AH126" s="1620">
        <f t="shared" si="143"/>
        <v>83690909</v>
      </c>
      <c r="AI126" s="1618">
        <f t="shared" si="144"/>
        <v>83759194</v>
      </c>
      <c r="AJ126" s="1621">
        <f t="shared" si="145"/>
        <v>156479013</v>
      </c>
      <c r="AK126" s="1448"/>
      <c r="AL126" s="1559">
        <v>0</v>
      </c>
      <c r="AM126" s="1560">
        <v>0</v>
      </c>
      <c r="AN126" s="1448"/>
      <c r="AO126" s="1401"/>
      <c r="AP126" s="1401"/>
      <c r="AQ126" s="1401"/>
      <c r="AR126" s="1401"/>
      <c r="AS126" s="1401"/>
      <c r="AT126" s="1401"/>
      <c r="AU126" s="1401"/>
      <c r="AV126" s="1401"/>
      <c r="AW126" s="1401"/>
      <c r="AX126" s="1401"/>
      <c r="AY126" s="1401"/>
      <c r="AZ126" s="1401"/>
    </row>
    <row r="127" spans="1:52" s="1572" customFormat="1" ht="24.95" customHeight="1" thickBot="1">
      <c r="A127" s="1794"/>
      <c r="B127" s="1795"/>
      <c r="C127" s="1760"/>
      <c r="D127" s="1760"/>
      <c r="E127" s="1760"/>
      <c r="F127" s="1760"/>
      <c r="G127" s="1760"/>
      <c r="H127" s="1760"/>
      <c r="I127" s="1760"/>
      <c r="J127" s="1760"/>
      <c r="K127" s="1760"/>
      <c r="L127" s="1760"/>
      <c r="M127" s="1760"/>
      <c r="N127" s="1761"/>
      <c r="P127" s="1762"/>
      <c r="Q127" s="1761"/>
      <c r="R127" s="1448"/>
      <c r="S127" s="1615" t="str">
        <f>+IF(AGOSTO!S127=0,"",AGOSTO!S127)</f>
        <v>2010200-4</v>
      </c>
      <c r="T127" s="1616" t="str">
        <f>+IF(AGOSTO!T127=0,"",AGOSTO!T127)</f>
        <v>Comunicaciones y Transportes</v>
      </c>
      <c r="U127" s="1617">
        <f>+ENERO!U127</f>
        <v>35257108</v>
      </c>
      <c r="V127" s="1618">
        <f>AGOSTO!V127+SEPTIEMBRE!AL127</f>
        <v>2000000</v>
      </c>
      <c r="W127" s="1618">
        <f>AGOSTO!W127+SEPTIEMBRE!AM127</f>
        <v>0</v>
      </c>
      <c r="X127" s="1619">
        <f t="shared" si="139"/>
        <v>37257108</v>
      </c>
      <c r="Y127" s="1620">
        <f>AGOSTO!AA127</f>
        <v>34275969</v>
      </c>
      <c r="Z127" s="1557">
        <v>1392039</v>
      </c>
      <c r="AA127" s="1619">
        <f t="shared" si="140"/>
        <v>35668008</v>
      </c>
      <c r="AB127" s="1620">
        <f>AGOSTO!AD127</f>
        <v>34275969</v>
      </c>
      <c r="AC127" s="1557">
        <v>1392039</v>
      </c>
      <c r="AD127" s="1619">
        <f t="shared" si="141"/>
        <v>35668008</v>
      </c>
      <c r="AE127" s="1620">
        <f>AGOSTO!AG127</f>
        <v>21003243</v>
      </c>
      <c r="AF127" s="1557">
        <v>981139</v>
      </c>
      <c r="AG127" s="1619">
        <f t="shared" si="142"/>
        <v>21984382</v>
      </c>
      <c r="AH127" s="1620">
        <f t="shared" si="143"/>
        <v>1589100</v>
      </c>
      <c r="AI127" s="1618">
        <f t="shared" si="144"/>
        <v>1589100</v>
      </c>
      <c r="AJ127" s="1621">
        <f t="shared" si="145"/>
        <v>15272726</v>
      </c>
      <c r="AK127" s="1448"/>
      <c r="AL127" s="1559">
        <v>2000000</v>
      </c>
      <c r="AM127" s="1560">
        <v>0</v>
      </c>
      <c r="AN127" s="1448"/>
      <c r="AO127" s="1401"/>
      <c r="AP127" s="1401"/>
      <c r="AQ127" s="1401"/>
      <c r="AR127" s="1401"/>
      <c r="AS127" s="1401"/>
      <c r="AT127" s="1401"/>
      <c r="AU127" s="1401"/>
      <c r="AV127" s="1401"/>
      <c r="AW127" s="1401"/>
      <c r="AX127" s="1401"/>
      <c r="AY127" s="1401"/>
      <c r="AZ127" s="1401"/>
    </row>
    <row r="128" spans="1:52" s="1572" customFormat="1" ht="24.95" customHeight="1" thickBot="1">
      <c r="A128" s="1796" t="s">
        <v>249</v>
      </c>
      <c r="B128" s="1797"/>
      <c r="C128" s="1798">
        <f>SUMIF($B8:$B$122,$B$24,C8:C122)+C122</f>
        <v>9052927194</v>
      </c>
      <c r="D128" s="1798">
        <f>SUMIF($B8:$B$122,$B$24,D8:D122)+D122</f>
        <v>0</v>
      </c>
      <c r="E128" s="1798">
        <f>SUMIF($B8:$B$122,$B$24,E8:E122)+E122</f>
        <v>15569175587</v>
      </c>
      <c r="F128" s="1798">
        <f>SUMIF($B8:$B$122,$B$24,F8:F122)+F122</f>
        <v>24622102781</v>
      </c>
      <c r="G128" s="1798">
        <f>SUMIF($B8:$B$122,$B$24,G8:G122)+G122</f>
        <v>17487131820</v>
      </c>
      <c r="H128" s="1798">
        <f>SUMIF($B8:$B$122,$B$24,H8:H122)+H122</f>
        <v>240473195</v>
      </c>
      <c r="I128" s="1798">
        <f>SUMIF($B8:$B$122,$B$24,I8:I122)+I122</f>
        <v>17727605015</v>
      </c>
      <c r="J128" s="1798">
        <f>SUMIF($B8:$B$122,$B$24,J8:J122)+J1212</f>
        <v>17465503940</v>
      </c>
      <c r="K128" s="1798">
        <f>SUMIF($B8:$B$122,$B$24,K8:K122)+K122</f>
        <v>240473195</v>
      </c>
      <c r="L128" s="1798">
        <f>SUMIF($B8:$B$122,$B$24,L8:L122)+L122</f>
        <v>17727605015</v>
      </c>
      <c r="M128" s="1798">
        <f>SUMIF($B8:$B$122,$B$24,M8:M122)+M12</f>
        <v>-2055248894</v>
      </c>
      <c r="N128" s="1799">
        <f>SUMIF($B8:$B$122,$B$24,N8:N122)+N122</f>
        <v>6894497766</v>
      </c>
      <c r="O128" s="1735"/>
      <c r="P128" s="1798">
        <f>SUMIF($B8:$B$122,$B$24,P8:P122)+P122</f>
        <v>0</v>
      </c>
      <c r="Q128" s="1800">
        <f>SUMIF($B8:$B$122,$B$24,Q8:Q122)+Q122</f>
        <v>0</v>
      </c>
      <c r="R128" s="1448"/>
      <c r="S128" s="1615" t="str">
        <f>+IF(AGOSTO!S128=0,"",AGOSTO!S128)</f>
        <v>2010200-5</v>
      </c>
      <c r="T128" s="1616" t="str">
        <f>+IF(AGOSTO!T128=0,"",AGOSTO!T128)</f>
        <v>Viáticos y Gastos de Viaje</v>
      </c>
      <c r="U128" s="1617">
        <f>+ENERO!U128</f>
        <v>12609000</v>
      </c>
      <c r="V128" s="1618">
        <f>AGOSTO!V128+SEPTIEMBRE!AL128</f>
        <v>0</v>
      </c>
      <c r="W128" s="1618">
        <f>AGOSTO!W128+SEPTIEMBRE!AM128</f>
        <v>0</v>
      </c>
      <c r="X128" s="1619">
        <f t="shared" si="139"/>
        <v>12609000</v>
      </c>
      <c r="Y128" s="1620">
        <f>AGOSTO!AA128</f>
        <v>3169537</v>
      </c>
      <c r="Z128" s="1557">
        <v>0</v>
      </c>
      <c r="AA128" s="1619">
        <f t="shared" si="140"/>
        <v>3169537</v>
      </c>
      <c r="AB128" s="1620">
        <f>AGOSTO!AD128</f>
        <v>3169537</v>
      </c>
      <c r="AC128" s="1557">
        <v>0</v>
      </c>
      <c r="AD128" s="1619">
        <f t="shared" si="141"/>
        <v>3169537</v>
      </c>
      <c r="AE128" s="1620">
        <f>AGOSTO!AG128</f>
        <v>2851926</v>
      </c>
      <c r="AF128" s="1557">
        <v>0</v>
      </c>
      <c r="AG128" s="1619">
        <f t="shared" si="142"/>
        <v>2851926</v>
      </c>
      <c r="AH128" s="1620">
        <f t="shared" si="143"/>
        <v>9439463</v>
      </c>
      <c r="AI128" s="1618">
        <f t="shared" si="144"/>
        <v>9439463</v>
      </c>
      <c r="AJ128" s="1621">
        <f t="shared" si="145"/>
        <v>9757074</v>
      </c>
      <c r="AK128" s="1448"/>
      <c r="AL128" s="1559">
        <v>0</v>
      </c>
      <c r="AM128" s="1560">
        <v>0</v>
      </c>
      <c r="AN128" s="1448"/>
      <c r="AO128" s="1401"/>
      <c r="AP128" s="1401"/>
      <c r="AQ128" s="1401"/>
      <c r="AR128" s="1401"/>
      <c r="AS128" s="1401"/>
      <c r="AT128" s="1401"/>
      <c r="AU128" s="1401"/>
      <c r="AV128" s="1401"/>
      <c r="AW128" s="1401"/>
      <c r="AX128" s="1401"/>
      <c r="AY128" s="1401"/>
      <c r="AZ128" s="1401"/>
    </row>
    <row r="129" spans="1:52" s="1572" customFormat="1" ht="24.95" customHeight="1" thickBot="1">
      <c r="A129" s="1794"/>
      <c r="B129" s="1795"/>
      <c r="C129" s="1760"/>
      <c r="D129" s="1760"/>
      <c r="E129" s="1760"/>
      <c r="F129" s="1760"/>
      <c r="G129" s="1760"/>
      <c r="H129" s="1760"/>
      <c r="I129" s="1760"/>
      <c r="J129" s="1760"/>
      <c r="K129" s="1760"/>
      <c r="L129" s="1760"/>
      <c r="M129" s="1760"/>
      <c r="N129" s="1761"/>
      <c r="P129" s="1762"/>
      <c r="Q129" s="1761"/>
      <c r="R129" s="1448"/>
      <c r="S129" s="1615" t="str">
        <f>+IF(AGOSTO!S129=0,"",AGOSTO!S129)</f>
        <v>2010200-6</v>
      </c>
      <c r="T129" s="1616" t="str">
        <f>+IF(AGOSTO!T129=0,"",AGOSTO!T129)</f>
        <v>Arrendamientos</v>
      </c>
      <c r="U129" s="1617">
        <f>+ENERO!U129</f>
        <v>1100000000</v>
      </c>
      <c r="V129" s="1618">
        <f>AGOSTO!V129+SEPTIEMBRE!AL129</f>
        <v>1195817483</v>
      </c>
      <c r="W129" s="1618">
        <f>AGOSTO!W129+SEPTIEMBRE!AM129</f>
        <v>110000000</v>
      </c>
      <c r="X129" s="1619">
        <f t="shared" si="139"/>
        <v>2405817483</v>
      </c>
      <c r="Y129" s="1620">
        <f>AGOSTO!AA129</f>
        <v>2334972976</v>
      </c>
      <c r="Z129" s="1557">
        <v>70700000</v>
      </c>
      <c r="AA129" s="1619">
        <f t="shared" si="140"/>
        <v>2405672976</v>
      </c>
      <c r="AB129" s="1620">
        <f>AGOSTO!AD129</f>
        <v>1621045043</v>
      </c>
      <c r="AC129" s="1557">
        <v>204077650</v>
      </c>
      <c r="AD129" s="1619">
        <f t="shared" si="141"/>
        <v>1825122693</v>
      </c>
      <c r="AE129" s="1620">
        <f>AGOSTO!AG129</f>
        <v>927050002</v>
      </c>
      <c r="AF129" s="1557">
        <v>193921442</v>
      </c>
      <c r="AG129" s="1619">
        <f t="shared" si="142"/>
        <v>1120971444</v>
      </c>
      <c r="AH129" s="1620">
        <f t="shared" si="143"/>
        <v>144507</v>
      </c>
      <c r="AI129" s="1618">
        <f t="shared" si="144"/>
        <v>580694790</v>
      </c>
      <c r="AJ129" s="1621">
        <f t="shared" si="145"/>
        <v>1284846039</v>
      </c>
      <c r="AK129" s="1448"/>
      <c r="AL129" s="1559">
        <v>28000000</v>
      </c>
      <c r="AM129" s="1560">
        <v>0</v>
      </c>
      <c r="AN129" s="1448"/>
      <c r="AO129" s="1401"/>
      <c r="AP129" s="1401"/>
      <c r="AQ129" s="1401"/>
      <c r="AR129" s="1401"/>
      <c r="AS129" s="1401"/>
      <c r="AT129" s="1401"/>
      <c r="AU129" s="1401"/>
      <c r="AV129" s="1401"/>
      <c r="AW129" s="1401"/>
      <c r="AX129" s="1401"/>
      <c r="AY129" s="1401"/>
      <c r="AZ129" s="1401"/>
    </row>
    <row r="130" spans="1:52" s="1572" customFormat="1" ht="24.95" customHeight="1" thickBot="1">
      <c r="A130" s="1801" t="s">
        <v>252</v>
      </c>
      <c r="B130" s="1802"/>
      <c r="C130" s="1803">
        <f t="shared" ref="C130:N130" si="147">C128+C126</f>
        <v>50222178081</v>
      </c>
      <c r="D130" s="1804">
        <f t="shared" si="147"/>
        <v>0</v>
      </c>
      <c r="E130" s="1804">
        <f t="shared" si="147"/>
        <v>16656156033</v>
      </c>
      <c r="F130" s="1805">
        <f t="shared" si="147"/>
        <v>66878334114</v>
      </c>
      <c r="G130" s="1803">
        <f t="shared" si="147"/>
        <v>49625903437</v>
      </c>
      <c r="H130" s="1804">
        <f t="shared" si="147"/>
        <v>3543997319</v>
      </c>
      <c r="I130" s="1805">
        <f t="shared" si="147"/>
        <v>53169900756</v>
      </c>
      <c r="J130" s="1803">
        <f t="shared" si="147"/>
        <v>26741909875</v>
      </c>
      <c r="K130" s="1804">
        <f t="shared" si="147"/>
        <v>3543313768</v>
      </c>
      <c r="L130" s="1805">
        <f t="shared" si="147"/>
        <v>30285223643</v>
      </c>
      <c r="M130" s="1803">
        <f t="shared" si="147"/>
        <v>13708433358</v>
      </c>
      <c r="N130" s="1805">
        <f t="shared" si="147"/>
        <v>36593110471</v>
      </c>
      <c r="P130" s="1792">
        <f>P128+P126</f>
        <v>0</v>
      </c>
      <c r="Q130" s="1793">
        <f>Q128+Q126</f>
        <v>0</v>
      </c>
      <c r="R130" s="1448"/>
      <c r="S130" s="1615" t="str">
        <f>+IF(AGOSTO!S130=0,"",AGOSTO!S130)</f>
        <v>2010200-7</v>
      </c>
      <c r="T130" s="1616" t="str">
        <f>+IF(AGOSTO!T130=0,"",AGOSTO!T130)</f>
        <v>Vigilancia y Aseo</v>
      </c>
      <c r="U130" s="1617">
        <f>+ENERO!U130</f>
        <v>2121073970</v>
      </c>
      <c r="V130" s="1618">
        <f>AGOSTO!V130+SEPTIEMBRE!AL130</f>
        <v>-552319027</v>
      </c>
      <c r="W130" s="1618">
        <f>AGOSTO!W130+SEPTIEMBRE!AM130</f>
        <v>220000000</v>
      </c>
      <c r="X130" s="1619">
        <f t="shared" si="139"/>
        <v>1788754943</v>
      </c>
      <c r="Y130" s="1620">
        <f>AGOSTO!AA130</f>
        <v>1632786670</v>
      </c>
      <c r="Z130" s="1557">
        <v>-52619547</v>
      </c>
      <c r="AA130" s="1619">
        <f t="shared" si="140"/>
        <v>1580167123</v>
      </c>
      <c r="AB130" s="1620">
        <f>AGOSTO!AD130</f>
        <v>1152967437</v>
      </c>
      <c r="AC130" s="1557">
        <v>140492795</v>
      </c>
      <c r="AD130" s="1619">
        <f t="shared" si="141"/>
        <v>1293460232</v>
      </c>
      <c r="AE130" s="1620">
        <f>AGOSTO!AG130</f>
        <v>404083895</v>
      </c>
      <c r="AF130" s="1557">
        <v>77163137</v>
      </c>
      <c r="AG130" s="1619">
        <f t="shared" si="142"/>
        <v>481247032</v>
      </c>
      <c r="AH130" s="1620">
        <f t="shared" si="143"/>
        <v>208587820</v>
      </c>
      <c r="AI130" s="1618">
        <f t="shared" si="144"/>
        <v>495294711</v>
      </c>
      <c r="AJ130" s="1621">
        <f t="shared" si="145"/>
        <v>1307507911</v>
      </c>
      <c r="AK130" s="1448"/>
      <c r="AL130" s="1559">
        <v>0</v>
      </c>
      <c r="AM130" s="1560">
        <v>0</v>
      </c>
      <c r="AN130" s="1448"/>
      <c r="AO130" s="1401"/>
      <c r="AP130" s="1401"/>
      <c r="AQ130" s="1401"/>
      <c r="AR130" s="1401"/>
      <c r="AS130" s="1401"/>
      <c r="AT130" s="1401"/>
      <c r="AU130" s="1401"/>
      <c r="AV130" s="1401"/>
      <c r="AW130" s="1401"/>
      <c r="AX130" s="1401"/>
      <c r="AY130" s="1401"/>
      <c r="AZ130" s="1401"/>
    </row>
    <row r="131" spans="1:52" s="1572" customFormat="1" ht="24.95" customHeight="1">
      <c r="A131" s="1806"/>
      <c r="B131" s="1807"/>
      <c r="N131" s="1448"/>
      <c r="R131" s="1448"/>
      <c r="S131" s="1615" t="str">
        <f>+IF(AGOSTO!S131=0,"",AGOSTO!S131)</f>
        <v>2010200-8</v>
      </c>
      <c r="T131" s="1616" t="str">
        <f>+IF(AGOSTO!T131=0,"",AGOSTO!T131)</f>
        <v>Bienestar Social</v>
      </c>
      <c r="U131" s="1617">
        <f>+ENERO!U131</f>
        <v>45388534</v>
      </c>
      <c r="V131" s="1618">
        <f>AGOSTO!V131+SEPTIEMBRE!AL131</f>
        <v>0</v>
      </c>
      <c r="W131" s="1618">
        <f>AGOSTO!W131+SEPTIEMBRE!AM131</f>
        <v>26156707</v>
      </c>
      <c r="X131" s="1619">
        <f t="shared" si="139"/>
        <v>71545241</v>
      </c>
      <c r="Y131" s="1620">
        <f>AGOSTO!AA131</f>
        <v>19527486</v>
      </c>
      <c r="Z131" s="1557">
        <v>2248867</v>
      </c>
      <c r="AA131" s="1619">
        <f t="shared" si="140"/>
        <v>21776353</v>
      </c>
      <c r="AB131" s="1620">
        <f>AGOSTO!AD131</f>
        <v>18483163</v>
      </c>
      <c r="AC131" s="1557">
        <v>2248867</v>
      </c>
      <c r="AD131" s="1619">
        <f t="shared" si="141"/>
        <v>20732030</v>
      </c>
      <c r="AE131" s="1620">
        <f>AGOSTO!AG131</f>
        <v>18033163</v>
      </c>
      <c r="AF131" s="1557">
        <v>0</v>
      </c>
      <c r="AG131" s="1619">
        <f t="shared" si="142"/>
        <v>18033163</v>
      </c>
      <c r="AH131" s="1620">
        <f t="shared" si="143"/>
        <v>49768888</v>
      </c>
      <c r="AI131" s="1618">
        <f t="shared" si="144"/>
        <v>50813211</v>
      </c>
      <c r="AJ131" s="1621">
        <f t="shared" si="145"/>
        <v>53512078</v>
      </c>
      <c r="AK131" s="1448"/>
      <c r="AL131" s="1559">
        <v>0</v>
      </c>
      <c r="AM131" s="1560">
        <v>0</v>
      </c>
      <c r="AN131" s="1448"/>
      <c r="AO131" s="1401"/>
      <c r="AP131" s="1401"/>
      <c r="AQ131" s="1401"/>
      <c r="AR131" s="1401"/>
      <c r="AS131" s="1401"/>
      <c r="AT131" s="1401"/>
      <c r="AU131" s="1401"/>
      <c r="AV131" s="1401"/>
      <c r="AW131" s="1401"/>
      <c r="AX131" s="1401"/>
      <c r="AY131" s="1401"/>
      <c r="AZ131" s="1401"/>
    </row>
    <row r="132" spans="1:52" s="1572" customFormat="1" ht="24.95" customHeight="1">
      <c r="A132" s="1806"/>
      <c r="B132" s="1807"/>
      <c r="N132" s="1448"/>
      <c r="R132" s="1448"/>
      <c r="S132" s="1615" t="str">
        <f>+IF(AGOSTO!S132=0,"",AGOSTO!S132)</f>
        <v>2010200-9</v>
      </c>
      <c r="T132" s="1616" t="str">
        <f>+IF(AGOSTO!T132=0,"",AGOSTO!T132)</f>
        <v>Capacitación, estimulos, incentivos, programa de calidad</v>
      </c>
      <c r="U132" s="1617">
        <f>+ENERO!U132</f>
        <v>15000000</v>
      </c>
      <c r="V132" s="1618">
        <f>AGOSTO!V132+SEPTIEMBRE!AL132</f>
        <v>0</v>
      </c>
      <c r="W132" s="1618">
        <f>AGOSTO!W132+SEPTIEMBRE!AM132</f>
        <v>0</v>
      </c>
      <c r="X132" s="1619">
        <f t="shared" si="139"/>
        <v>15000000</v>
      </c>
      <c r="Y132" s="1620">
        <f>AGOSTO!AA132</f>
        <v>640000</v>
      </c>
      <c r="Z132" s="1557">
        <v>1499400</v>
      </c>
      <c r="AA132" s="1619">
        <f t="shared" si="140"/>
        <v>2139400</v>
      </c>
      <c r="AB132" s="1620">
        <f>AGOSTO!AD132</f>
        <v>640000</v>
      </c>
      <c r="AC132" s="1557">
        <v>1499400</v>
      </c>
      <c r="AD132" s="1619">
        <f t="shared" si="141"/>
        <v>2139400</v>
      </c>
      <c r="AE132" s="1620">
        <f>AGOSTO!AG132</f>
        <v>0</v>
      </c>
      <c r="AF132" s="1557">
        <v>640000</v>
      </c>
      <c r="AG132" s="1619">
        <f t="shared" si="142"/>
        <v>640000</v>
      </c>
      <c r="AH132" s="1620">
        <f t="shared" si="143"/>
        <v>12860600</v>
      </c>
      <c r="AI132" s="1618">
        <f t="shared" si="144"/>
        <v>12860600</v>
      </c>
      <c r="AJ132" s="1621">
        <f t="shared" si="145"/>
        <v>14360000</v>
      </c>
      <c r="AK132" s="1448"/>
      <c r="AL132" s="1559">
        <v>0</v>
      </c>
      <c r="AM132" s="1560">
        <v>0</v>
      </c>
      <c r="AN132" s="1448"/>
      <c r="AO132" s="1401"/>
      <c r="AP132" s="1401"/>
      <c r="AQ132" s="1401"/>
      <c r="AR132" s="1401"/>
      <c r="AS132" s="1401"/>
      <c r="AT132" s="1401"/>
      <c r="AU132" s="1401"/>
      <c r="AV132" s="1401"/>
      <c r="AW132" s="1401"/>
      <c r="AX132" s="1401"/>
      <c r="AY132" s="1401"/>
      <c r="AZ132" s="1401"/>
    </row>
    <row r="133" spans="1:52" s="1572" customFormat="1" ht="24.95" customHeight="1">
      <c r="A133" s="1806"/>
      <c r="B133" s="1807"/>
      <c r="N133" s="1448"/>
      <c r="R133" s="1448"/>
      <c r="S133" s="1615" t="str">
        <f>+IF(AGOSTO!S133=0,"",AGOSTO!S133)</f>
        <v>2010200-10</v>
      </c>
      <c r="T133" s="1616" t="str">
        <f>+IF(AGOSTO!T133=0,"",AGOSTO!T133)</f>
        <v>Pagos otras IPS</v>
      </c>
      <c r="U133" s="1617">
        <f>+ENERO!U133</f>
        <v>5000000</v>
      </c>
      <c r="V133" s="1618">
        <f>AGOSTO!V133+SEPTIEMBRE!AL133</f>
        <v>0</v>
      </c>
      <c r="W133" s="1618">
        <f>AGOSTO!W133+SEPTIEMBRE!AM133</f>
        <v>0</v>
      </c>
      <c r="X133" s="1619">
        <f t="shared" si="139"/>
        <v>5000000</v>
      </c>
      <c r="Y133" s="1620">
        <f>AGOSTO!AA133</f>
        <v>0</v>
      </c>
      <c r="Z133" s="1557">
        <v>0</v>
      </c>
      <c r="AA133" s="1619">
        <f t="shared" si="140"/>
        <v>0</v>
      </c>
      <c r="AB133" s="1620">
        <f>AGOSTO!AD133</f>
        <v>0</v>
      </c>
      <c r="AC133" s="1557">
        <v>0</v>
      </c>
      <c r="AD133" s="1619">
        <f t="shared" si="141"/>
        <v>0</v>
      </c>
      <c r="AE133" s="1620">
        <f>AGOSTO!AG133</f>
        <v>0</v>
      </c>
      <c r="AF133" s="1557">
        <v>0</v>
      </c>
      <c r="AG133" s="1619">
        <f t="shared" si="142"/>
        <v>0</v>
      </c>
      <c r="AH133" s="1620">
        <f t="shared" si="143"/>
        <v>5000000</v>
      </c>
      <c r="AI133" s="1618">
        <f t="shared" si="144"/>
        <v>5000000</v>
      </c>
      <c r="AJ133" s="1621">
        <f t="shared" si="145"/>
        <v>5000000</v>
      </c>
      <c r="AK133" s="1448"/>
      <c r="AL133" s="1559">
        <v>0</v>
      </c>
      <c r="AM133" s="1560">
        <v>0</v>
      </c>
      <c r="AN133" s="1448"/>
      <c r="AO133" s="1401"/>
      <c r="AP133" s="1401"/>
      <c r="AQ133" s="1401"/>
      <c r="AR133" s="1401"/>
      <c r="AS133" s="1401"/>
      <c r="AT133" s="1401"/>
      <c r="AU133" s="1401"/>
      <c r="AV133" s="1401"/>
      <c r="AW133" s="1401"/>
      <c r="AX133" s="1401"/>
      <c r="AY133" s="1401"/>
      <c r="AZ133" s="1401"/>
    </row>
    <row r="134" spans="1:52" s="1572" customFormat="1" ht="24.95" customHeight="1">
      <c r="A134" s="1806"/>
      <c r="B134" s="1807"/>
      <c r="N134" s="1448"/>
      <c r="R134" s="1448"/>
      <c r="S134" s="1615" t="str">
        <f>+IF(AGOSTO!S134=0,"",AGOSTO!S134)</f>
        <v>2010200-11</v>
      </c>
      <c r="T134" s="1616" t="str">
        <f>+IF(AGOSTO!T134=0,"",AGOSTO!T134)</f>
        <v>Gastos financieros</v>
      </c>
      <c r="U134" s="1617">
        <f>+ENERO!U134</f>
        <v>10000000</v>
      </c>
      <c r="V134" s="1618">
        <f>AGOSTO!V134+SEPTIEMBRE!AL134</f>
        <v>14000000</v>
      </c>
      <c r="W134" s="1618">
        <f>AGOSTO!W134+SEPTIEMBRE!AM134</f>
        <v>22000000</v>
      </c>
      <c r="X134" s="1619">
        <f t="shared" si="139"/>
        <v>46000000</v>
      </c>
      <c r="Y134" s="1620">
        <f>AGOSTO!AA134</f>
        <v>25250292</v>
      </c>
      <c r="Z134" s="1557">
        <v>0</v>
      </c>
      <c r="AA134" s="1619">
        <f t="shared" si="140"/>
        <v>25250292</v>
      </c>
      <c r="AB134" s="1620">
        <f>AGOSTO!AD134</f>
        <v>25250292</v>
      </c>
      <c r="AC134" s="1557">
        <v>0</v>
      </c>
      <c r="AD134" s="1619">
        <f t="shared" si="141"/>
        <v>25250292</v>
      </c>
      <c r="AE134" s="1620">
        <f>AGOSTO!AG134</f>
        <v>24779414</v>
      </c>
      <c r="AF134" s="1557">
        <v>0</v>
      </c>
      <c r="AG134" s="1619">
        <f t="shared" si="142"/>
        <v>24779414</v>
      </c>
      <c r="AH134" s="1620">
        <f t="shared" si="143"/>
        <v>20749708</v>
      </c>
      <c r="AI134" s="1618">
        <f t="shared" si="144"/>
        <v>20749708</v>
      </c>
      <c r="AJ134" s="1621">
        <f t="shared" si="145"/>
        <v>21220586</v>
      </c>
      <c r="AK134" s="1448"/>
      <c r="AL134" s="1559">
        <v>0</v>
      </c>
      <c r="AM134" s="1560">
        <v>0</v>
      </c>
      <c r="AN134" s="1448"/>
      <c r="AO134" s="1401"/>
      <c r="AP134" s="1401"/>
      <c r="AQ134" s="1401"/>
      <c r="AR134" s="1401"/>
      <c r="AS134" s="1401"/>
      <c r="AT134" s="1401"/>
      <c r="AU134" s="1401"/>
      <c r="AV134" s="1401"/>
      <c r="AW134" s="1401"/>
      <c r="AX134" s="1401"/>
      <c r="AY134" s="1401"/>
      <c r="AZ134" s="1401"/>
    </row>
    <row r="135" spans="1:52" s="1572" customFormat="1" ht="24.95" customHeight="1">
      <c r="A135" s="1806"/>
      <c r="B135" s="1807"/>
      <c r="N135" s="1448"/>
      <c r="R135" s="1448"/>
      <c r="S135" s="1615" t="str">
        <f>+IF(AGOSTO!S135=0,"",AGOSTO!S135)</f>
        <v>2010200-12</v>
      </c>
      <c r="T135" s="1616" t="str">
        <f>+IF(AGOSTO!T135=0,"",AGOSTO!T135)</f>
        <v/>
      </c>
      <c r="U135" s="1617">
        <f>+ENERO!U135</f>
        <v>0</v>
      </c>
      <c r="V135" s="1618">
        <f>AGOSTO!V135+SEPTIEMBRE!AL135</f>
        <v>0</v>
      </c>
      <c r="W135" s="1618">
        <f>AGOSTO!W135+SEPTIEMBRE!AM135</f>
        <v>0</v>
      </c>
      <c r="X135" s="1619">
        <f t="shared" si="139"/>
        <v>0</v>
      </c>
      <c r="Y135" s="1620">
        <f>AGOSTO!AA135</f>
        <v>0</v>
      </c>
      <c r="Z135" s="1557">
        <v>0</v>
      </c>
      <c r="AA135" s="1619">
        <f t="shared" si="140"/>
        <v>0</v>
      </c>
      <c r="AB135" s="1620">
        <f>AGOSTO!AD135</f>
        <v>0</v>
      </c>
      <c r="AC135" s="1557">
        <v>0</v>
      </c>
      <c r="AD135" s="1619">
        <f t="shared" si="141"/>
        <v>0</v>
      </c>
      <c r="AE135" s="1620">
        <f>AGOSTO!AG135</f>
        <v>0</v>
      </c>
      <c r="AF135" s="1557">
        <v>0</v>
      </c>
      <c r="AG135" s="1619">
        <f t="shared" si="142"/>
        <v>0</v>
      </c>
      <c r="AH135" s="1620">
        <f t="shared" si="143"/>
        <v>0</v>
      </c>
      <c r="AI135" s="1618">
        <f t="shared" si="144"/>
        <v>0</v>
      </c>
      <c r="AJ135" s="1621">
        <f t="shared" si="145"/>
        <v>0</v>
      </c>
      <c r="AK135" s="1448"/>
      <c r="AL135" s="1559">
        <v>0</v>
      </c>
      <c r="AM135" s="1560">
        <v>0</v>
      </c>
      <c r="AN135" s="1448"/>
      <c r="AO135" s="1401"/>
      <c r="AP135" s="1401"/>
      <c r="AQ135" s="1401"/>
      <c r="AR135" s="1401"/>
      <c r="AS135" s="1401"/>
      <c r="AT135" s="1401"/>
      <c r="AU135" s="1401"/>
      <c r="AV135" s="1401"/>
      <c r="AW135" s="1401"/>
      <c r="AX135" s="1401"/>
      <c r="AY135" s="1401"/>
      <c r="AZ135" s="1401"/>
    </row>
    <row r="136" spans="1:52" s="1572" customFormat="1" ht="24.95" customHeight="1">
      <c r="A136" s="1806"/>
      <c r="B136" s="1807"/>
      <c r="N136" s="1448"/>
      <c r="R136" s="1448"/>
      <c r="S136" s="1615" t="str">
        <f>+IF(AGOSTO!S136=0,"",AGOSTO!S136)</f>
        <v>2010200-13</v>
      </c>
      <c r="T136" s="1616" t="str">
        <f>+IF(AGOSTO!T136=0,"",AGOSTO!T136)</f>
        <v/>
      </c>
      <c r="U136" s="1617">
        <f>+ENERO!U136</f>
        <v>0</v>
      </c>
      <c r="V136" s="1618">
        <f>AGOSTO!V136+SEPTIEMBRE!AL136</f>
        <v>0</v>
      </c>
      <c r="W136" s="1618">
        <f>AGOSTO!W136+SEPTIEMBRE!AM136</f>
        <v>0</v>
      </c>
      <c r="X136" s="1619">
        <f t="shared" si="139"/>
        <v>0</v>
      </c>
      <c r="Y136" s="1620">
        <f>AGOSTO!AA136</f>
        <v>0</v>
      </c>
      <c r="Z136" s="1557">
        <v>0</v>
      </c>
      <c r="AA136" s="1619">
        <f t="shared" si="140"/>
        <v>0</v>
      </c>
      <c r="AB136" s="1620">
        <f>AGOSTO!AD136</f>
        <v>0</v>
      </c>
      <c r="AC136" s="1557">
        <v>0</v>
      </c>
      <c r="AD136" s="1619">
        <f t="shared" si="141"/>
        <v>0</v>
      </c>
      <c r="AE136" s="1620">
        <f>AGOSTO!AG136</f>
        <v>0</v>
      </c>
      <c r="AF136" s="1557">
        <v>0</v>
      </c>
      <c r="AG136" s="1619">
        <f t="shared" si="142"/>
        <v>0</v>
      </c>
      <c r="AH136" s="1620">
        <f t="shared" si="143"/>
        <v>0</v>
      </c>
      <c r="AI136" s="1618">
        <f t="shared" si="144"/>
        <v>0</v>
      </c>
      <c r="AJ136" s="1621">
        <f t="shared" si="145"/>
        <v>0</v>
      </c>
      <c r="AK136" s="1448"/>
      <c r="AL136" s="1559">
        <v>0</v>
      </c>
      <c r="AM136" s="1560">
        <v>0</v>
      </c>
      <c r="AN136" s="1448"/>
      <c r="AO136" s="1401"/>
      <c r="AP136" s="1401"/>
      <c r="AQ136" s="1401"/>
      <c r="AR136" s="1401"/>
      <c r="AS136" s="1401"/>
      <c r="AT136" s="1401"/>
      <c r="AU136" s="1401"/>
      <c r="AV136" s="1401"/>
      <c r="AW136" s="1401"/>
      <c r="AX136" s="1401"/>
      <c r="AY136" s="1401"/>
      <c r="AZ136" s="1401"/>
    </row>
    <row r="137" spans="1:52" s="1572" customFormat="1" ht="24.95" customHeight="1">
      <c r="A137" s="1806"/>
      <c r="B137" s="1807"/>
      <c r="N137" s="1448"/>
      <c r="R137" s="1448"/>
      <c r="S137" s="1615" t="str">
        <f>+IF(AGOSTO!S137=0,"",AGOSTO!S137)</f>
        <v>2010020-14</v>
      </c>
      <c r="T137" s="1616" t="str">
        <f>+IF(AGOSTO!T137=0,"",AGOSTO!T137)</f>
        <v/>
      </c>
      <c r="U137" s="1617">
        <f>+ENERO!U137</f>
        <v>0</v>
      </c>
      <c r="V137" s="1618">
        <f>AGOSTO!V137+SEPTIEMBRE!AL137</f>
        <v>0</v>
      </c>
      <c r="W137" s="1618">
        <f>AGOSTO!W137+SEPTIEMBRE!AM137</f>
        <v>0</v>
      </c>
      <c r="X137" s="1619">
        <f t="shared" si="139"/>
        <v>0</v>
      </c>
      <c r="Y137" s="1620">
        <f>AGOSTO!AA137</f>
        <v>0</v>
      </c>
      <c r="Z137" s="1557">
        <v>0</v>
      </c>
      <c r="AA137" s="1619">
        <f t="shared" si="140"/>
        <v>0</v>
      </c>
      <c r="AB137" s="1620">
        <f>AGOSTO!AD137</f>
        <v>0</v>
      </c>
      <c r="AC137" s="1557">
        <v>0</v>
      </c>
      <c r="AD137" s="1619">
        <f t="shared" si="141"/>
        <v>0</v>
      </c>
      <c r="AE137" s="1620">
        <f>AGOSTO!AG137</f>
        <v>0</v>
      </c>
      <c r="AF137" s="1557">
        <v>0</v>
      </c>
      <c r="AG137" s="1619">
        <f t="shared" si="142"/>
        <v>0</v>
      </c>
      <c r="AH137" s="1620">
        <f t="shared" si="143"/>
        <v>0</v>
      </c>
      <c r="AI137" s="1618">
        <f t="shared" si="144"/>
        <v>0</v>
      </c>
      <c r="AJ137" s="1621">
        <f t="shared" si="145"/>
        <v>0</v>
      </c>
      <c r="AK137" s="1448"/>
      <c r="AL137" s="1559">
        <v>0</v>
      </c>
      <c r="AM137" s="1560">
        <v>0</v>
      </c>
      <c r="AN137" s="1448"/>
      <c r="AO137" s="1401"/>
      <c r="AP137" s="1401"/>
      <c r="AQ137" s="1401"/>
      <c r="AR137" s="1401"/>
      <c r="AS137" s="1401"/>
      <c r="AT137" s="1401"/>
      <c r="AU137" s="1401"/>
      <c r="AV137" s="1401"/>
      <c r="AW137" s="1401"/>
      <c r="AX137" s="1401"/>
      <c r="AY137" s="1401"/>
      <c r="AZ137" s="1401"/>
    </row>
    <row r="138" spans="1:52" s="1572" customFormat="1" ht="24.95" customHeight="1">
      <c r="A138" s="1806"/>
      <c r="B138" s="1807"/>
      <c r="N138" s="1448"/>
      <c r="R138" s="1448"/>
      <c r="S138" s="1615" t="str">
        <f>+IF(AGOSTO!S138=0,"",AGOSTO!S138)</f>
        <v>2010200-15</v>
      </c>
      <c r="T138" s="1616" t="str">
        <f>+IF(AGOSTO!T138=0,"",AGOSTO!T138)</f>
        <v/>
      </c>
      <c r="U138" s="1617">
        <f>+ENERO!U138</f>
        <v>0</v>
      </c>
      <c r="V138" s="1618">
        <f>AGOSTO!V138+SEPTIEMBRE!AL138</f>
        <v>0</v>
      </c>
      <c r="W138" s="1618">
        <f>AGOSTO!W138+SEPTIEMBRE!AM138</f>
        <v>0</v>
      </c>
      <c r="X138" s="1619">
        <f t="shared" si="139"/>
        <v>0</v>
      </c>
      <c r="Y138" s="1620">
        <f>AGOSTO!AA138</f>
        <v>0</v>
      </c>
      <c r="Z138" s="1557">
        <v>0</v>
      </c>
      <c r="AA138" s="1619">
        <f t="shared" si="140"/>
        <v>0</v>
      </c>
      <c r="AB138" s="1620">
        <f>AGOSTO!AD138</f>
        <v>0</v>
      </c>
      <c r="AC138" s="1557">
        <v>0</v>
      </c>
      <c r="AD138" s="1619">
        <f t="shared" si="141"/>
        <v>0</v>
      </c>
      <c r="AE138" s="1620">
        <f>AGOSTO!AG138</f>
        <v>0</v>
      </c>
      <c r="AF138" s="1557">
        <v>0</v>
      </c>
      <c r="AG138" s="1619">
        <f t="shared" si="142"/>
        <v>0</v>
      </c>
      <c r="AH138" s="1620">
        <f t="shared" si="143"/>
        <v>0</v>
      </c>
      <c r="AI138" s="1618">
        <f t="shared" si="144"/>
        <v>0</v>
      </c>
      <c r="AJ138" s="1621">
        <f t="shared" si="145"/>
        <v>0</v>
      </c>
      <c r="AK138" s="1448"/>
      <c r="AL138" s="1559">
        <v>0</v>
      </c>
      <c r="AM138" s="1560">
        <v>0</v>
      </c>
      <c r="AN138" s="1448"/>
      <c r="AO138" s="1401"/>
      <c r="AP138" s="1401"/>
      <c r="AQ138" s="1401"/>
      <c r="AR138" s="1401"/>
      <c r="AS138" s="1401"/>
      <c r="AT138" s="1401"/>
      <c r="AU138" s="1401"/>
      <c r="AV138" s="1401"/>
      <c r="AW138" s="1401"/>
      <c r="AX138" s="1401"/>
      <c r="AY138" s="1401"/>
      <c r="AZ138" s="1401"/>
    </row>
    <row r="139" spans="1:52" s="1572" customFormat="1" ht="24.95" customHeight="1">
      <c r="A139" s="1806"/>
      <c r="B139" s="1807"/>
      <c r="N139" s="1448"/>
      <c r="R139" s="1448"/>
      <c r="S139" s="1615">
        <f>+IF(AGOSTO!S139=0,"",AGOSTO!S139)</f>
        <v>2010299</v>
      </c>
      <c r="T139" s="1616" t="str">
        <f>+IF(AGOSTO!T139=0,"",AGOSTO!T139)</f>
        <v>Vigencias Anteriores</v>
      </c>
      <c r="U139" s="1617">
        <f>+ENERO!U139</f>
        <v>0</v>
      </c>
      <c r="V139" s="1618">
        <f>AGOSTO!V139+SEPTIEMBRE!AL139</f>
        <v>-688999830</v>
      </c>
      <c r="W139" s="1618">
        <f>AGOSTO!W139+SEPTIEMBRE!AM139</f>
        <v>1120000000</v>
      </c>
      <c r="X139" s="1619">
        <f t="shared" si="139"/>
        <v>431000170</v>
      </c>
      <c r="Y139" s="1620">
        <f>AGOSTO!AA139</f>
        <v>331000170</v>
      </c>
      <c r="Z139" s="1557">
        <v>99072012</v>
      </c>
      <c r="AA139" s="1619">
        <f t="shared" si="140"/>
        <v>430072182</v>
      </c>
      <c r="AB139" s="1620">
        <f>AGOSTO!AD139</f>
        <v>331000170</v>
      </c>
      <c r="AC139" s="1557">
        <v>99072012</v>
      </c>
      <c r="AD139" s="1619">
        <f t="shared" si="141"/>
        <v>430072182</v>
      </c>
      <c r="AE139" s="1620">
        <f>AGOSTO!AG139</f>
        <v>331000170</v>
      </c>
      <c r="AF139" s="1557">
        <v>99072012</v>
      </c>
      <c r="AG139" s="1619">
        <f t="shared" si="142"/>
        <v>430072182</v>
      </c>
      <c r="AH139" s="1620">
        <f t="shared" si="143"/>
        <v>927988</v>
      </c>
      <c r="AI139" s="1618">
        <f t="shared" si="144"/>
        <v>927988</v>
      </c>
      <c r="AJ139" s="1621">
        <f t="shared" si="145"/>
        <v>927988</v>
      </c>
      <c r="AK139" s="1448"/>
      <c r="AL139" s="1559">
        <v>100000000</v>
      </c>
      <c r="AM139" s="1560">
        <v>0</v>
      </c>
      <c r="AN139" s="1448"/>
      <c r="AO139" s="1401"/>
      <c r="AP139" s="1401"/>
      <c r="AQ139" s="1401"/>
    </row>
    <row r="140" spans="1:52" s="1572" customFormat="1" ht="24.95" customHeight="1">
      <c r="A140" s="1806"/>
      <c r="B140" s="1807"/>
      <c r="N140" s="1448"/>
      <c r="R140" s="1448"/>
      <c r="S140" s="1538" t="str">
        <f>+IF(AGOSTO!S140=0,"",AGOSTO!S140)</f>
        <v/>
      </c>
      <c r="T140" s="1539" t="str">
        <f>+IF(AGOSTO!T140=0,"",AGOSTO!T140)</f>
        <v/>
      </c>
      <c r="U140" s="1540"/>
      <c r="V140" s="1540"/>
      <c r="W140" s="1540"/>
      <c r="X140" s="1540"/>
      <c r="Y140" s="1540"/>
      <c r="Z140" s="1540"/>
      <c r="AA140" s="1540"/>
      <c r="AB140" s="1540"/>
      <c r="AC140" s="1540"/>
      <c r="AD140" s="1540"/>
      <c r="AE140" s="1540"/>
      <c r="AF140" s="1540"/>
      <c r="AG140" s="1540"/>
      <c r="AH140" s="1540"/>
      <c r="AI140" s="1540"/>
      <c r="AJ140" s="1541"/>
      <c r="AK140" s="1566"/>
      <c r="AL140" s="1726"/>
      <c r="AM140" s="1727"/>
      <c r="AN140" s="1448"/>
    </row>
    <row r="141" spans="1:52" s="1572" customFormat="1" ht="24.95" customHeight="1">
      <c r="A141" s="1806"/>
      <c r="B141" s="1807"/>
      <c r="N141" s="1448"/>
      <c r="R141" s="1448"/>
      <c r="S141" s="1607">
        <f>+IF(AGOSTO!S141=0,"",AGOSTO!S141)</f>
        <v>2010300</v>
      </c>
      <c r="T141" s="1608" t="str">
        <f>+IF(AGOSTO!T141=0,"",AGOSTO!T141)</f>
        <v>Impuestos y Multas</v>
      </c>
      <c r="U141" s="1581">
        <f t="shared" ref="U141:AJ141" si="148">U142+U143</f>
        <v>0</v>
      </c>
      <c r="V141" s="1582">
        <f t="shared" si="148"/>
        <v>2892178</v>
      </c>
      <c r="W141" s="1582">
        <f t="shared" si="148"/>
        <v>0</v>
      </c>
      <c r="X141" s="1583">
        <f t="shared" si="148"/>
        <v>2892178</v>
      </c>
      <c r="Y141" s="1584">
        <f t="shared" si="148"/>
        <v>2892178</v>
      </c>
      <c r="Z141" s="1582">
        <f t="shared" si="148"/>
        <v>0</v>
      </c>
      <c r="AA141" s="1583">
        <f t="shared" si="148"/>
        <v>2892178</v>
      </c>
      <c r="AB141" s="1584">
        <f t="shared" si="148"/>
        <v>2892178</v>
      </c>
      <c r="AC141" s="1582">
        <f t="shared" si="148"/>
        <v>0</v>
      </c>
      <c r="AD141" s="1583">
        <f t="shared" si="148"/>
        <v>2892178</v>
      </c>
      <c r="AE141" s="1584">
        <f t="shared" si="148"/>
        <v>0</v>
      </c>
      <c r="AF141" s="1582">
        <f t="shared" si="148"/>
        <v>2892178</v>
      </c>
      <c r="AG141" s="1583">
        <f t="shared" si="148"/>
        <v>2892178</v>
      </c>
      <c r="AH141" s="1584">
        <f t="shared" si="148"/>
        <v>0</v>
      </c>
      <c r="AI141" s="1582">
        <f t="shared" si="148"/>
        <v>0</v>
      </c>
      <c r="AJ141" s="1585">
        <f t="shared" si="148"/>
        <v>0</v>
      </c>
      <c r="AK141" s="1566"/>
      <c r="AL141" s="1584">
        <f>AL142+AL143</f>
        <v>0</v>
      </c>
      <c r="AM141" s="1585">
        <f>AM142+AM143</f>
        <v>0</v>
      </c>
      <c r="AN141" s="1448"/>
    </row>
    <row r="142" spans="1:52" s="1572" customFormat="1" ht="24.95" customHeight="1">
      <c r="A142" s="1806"/>
      <c r="B142" s="1807"/>
      <c r="N142" s="1448"/>
      <c r="R142" s="1448"/>
      <c r="S142" s="1615" t="str">
        <f>+IF(AGOSTO!S142=0,"",AGOSTO!S142)</f>
        <v>2010300-1</v>
      </c>
      <c r="T142" s="1616" t="str">
        <f>+IF(AGOSTO!T142=0,"",AGOSTO!T142)</f>
        <v>Impuestos (Predial, Vehiculos, Otros)</v>
      </c>
      <c r="U142" s="1617">
        <f>+ENERO!U142</f>
        <v>0</v>
      </c>
      <c r="V142" s="1618">
        <f>AGOSTO!V142+SEPTIEMBRE!AL142</f>
        <v>2892178</v>
      </c>
      <c r="W142" s="1618">
        <f>AGOSTO!W142+SEPTIEMBRE!AM142</f>
        <v>0</v>
      </c>
      <c r="X142" s="1619">
        <f>SUM(U142:W142)</f>
        <v>2892178</v>
      </c>
      <c r="Y142" s="1620">
        <f>AGOSTO!AA142</f>
        <v>2892178</v>
      </c>
      <c r="Z142" s="1557">
        <v>0</v>
      </c>
      <c r="AA142" s="1619">
        <f>SUM(Y142:Z142)</f>
        <v>2892178</v>
      </c>
      <c r="AB142" s="1620">
        <f>AGOSTO!AD142</f>
        <v>2892178</v>
      </c>
      <c r="AC142" s="1557">
        <v>0</v>
      </c>
      <c r="AD142" s="1619">
        <f>SUM(AB142:AC142)</f>
        <v>2892178</v>
      </c>
      <c r="AE142" s="1620">
        <f>AGOSTO!AG142</f>
        <v>0</v>
      </c>
      <c r="AF142" s="1557">
        <v>2892178</v>
      </c>
      <c r="AG142" s="1619">
        <f>SUM(AE142:AF142)</f>
        <v>2892178</v>
      </c>
      <c r="AH142" s="1620">
        <f>X142-AA142</f>
        <v>0</v>
      </c>
      <c r="AI142" s="1618">
        <f>X142-AD142</f>
        <v>0</v>
      </c>
      <c r="AJ142" s="1621">
        <f>X142-AG142</f>
        <v>0</v>
      </c>
      <c r="AK142" s="1448"/>
      <c r="AL142" s="1559">
        <v>0</v>
      </c>
      <c r="AM142" s="1560">
        <v>0</v>
      </c>
      <c r="AN142" s="1448"/>
    </row>
    <row r="143" spans="1:52" s="1572" customFormat="1" ht="24.95" customHeight="1">
      <c r="A143" s="1806"/>
      <c r="B143" s="1807"/>
      <c r="N143" s="1448"/>
      <c r="R143" s="1448"/>
      <c r="S143" s="1615">
        <f>+IF(AGOSTO!S143=0,"",AGOSTO!S143)</f>
        <v>2010399</v>
      </c>
      <c r="T143" s="1616" t="str">
        <f>+IF(AGOSTO!T143=0,"",AGOSTO!T143)</f>
        <v>Vigencias Anteriores</v>
      </c>
      <c r="U143" s="1617">
        <f>+ENERO!U143</f>
        <v>0</v>
      </c>
      <c r="V143" s="1618">
        <f>AGOSTO!V143+SEPTIEMBRE!AL143</f>
        <v>0</v>
      </c>
      <c r="W143" s="1618">
        <f>AGOSTO!W143+SEPTIEMBRE!AM143</f>
        <v>0</v>
      </c>
      <c r="X143" s="1619">
        <f>SUM(U143:W143)</f>
        <v>0</v>
      </c>
      <c r="Y143" s="1620">
        <f>AGOSTO!AA143</f>
        <v>0</v>
      </c>
      <c r="Z143" s="1557">
        <v>0</v>
      </c>
      <c r="AA143" s="1619">
        <f>SUM(Y143:Z143)</f>
        <v>0</v>
      </c>
      <c r="AB143" s="1620">
        <f>AGOSTO!AD143</f>
        <v>0</v>
      </c>
      <c r="AC143" s="1557">
        <v>0</v>
      </c>
      <c r="AD143" s="1619">
        <f>SUM(AB143:AC143)</f>
        <v>0</v>
      </c>
      <c r="AE143" s="1620">
        <f>AGOSTO!AG143</f>
        <v>0</v>
      </c>
      <c r="AF143" s="1557">
        <v>0</v>
      </c>
      <c r="AG143" s="1619">
        <f>SUM(AE143:AF143)</f>
        <v>0</v>
      </c>
      <c r="AH143" s="1620">
        <f>X143-AA143</f>
        <v>0</v>
      </c>
      <c r="AI143" s="1618">
        <f>X143-AD143</f>
        <v>0</v>
      </c>
      <c r="AJ143" s="1621">
        <f>X143-AG143</f>
        <v>0</v>
      </c>
      <c r="AK143" s="1448"/>
      <c r="AL143" s="1559">
        <v>0</v>
      </c>
      <c r="AM143" s="1560">
        <v>0</v>
      </c>
      <c r="AN143" s="1448"/>
    </row>
    <row r="144" spans="1:52" s="1572" customFormat="1" ht="24.95" customHeight="1">
      <c r="A144" s="1806"/>
      <c r="B144" s="1807"/>
      <c r="N144" s="1448"/>
      <c r="R144" s="1448"/>
      <c r="S144" s="1538" t="str">
        <f>+IF(AGOSTO!S144=0,"",AGOSTO!S144)</f>
        <v/>
      </c>
      <c r="T144" s="1539" t="str">
        <f>+IF(AGOSTO!T144=0,"",AGOSTO!T144)</f>
        <v/>
      </c>
      <c r="U144" s="1540"/>
      <c r="V144" s="1540"/>
      <c r="W144" s="1540"/>
      <c r="X144" s="1540"/>
      <c r="Y144" s="1540"/>
      <c r="Z144" s="1540"/>
      <c r="AA144" s="1540"/>
      <c r="AB144" s="1540"/>
      <c r="AC144" s="1540"/>
      <c r="AD144" s="1540"/>
      <c r="AE144" s="1540"/>
      <c r="AF144" s="1540"/>
      <c r="AG144" s="1540"/>
      <c r="AH144" s="1540"/>
      <c r="AI144" s="1540"/>
      <c r="AJ144" s="1541"/>
      <c r="AK144" s="1448"/>
      <c r="AL144" s="1726"/>
      <c r="AM144" s="1727"/>
      <c r="AN144" s="1448"/>
    </row>
    <row r="145" spans="1:40" s="1572" customFormat="1" ht="24.95" customHeight="1">
      <c r="A145" s="1806"/>
      <c r="B145" s="1807"/>
      <c r="N145" s="1448"/>
      <c r="R145" s="1448"/>
      <c r="S145" s="1579">
        <f>+IF(AGOSTO!S145=0,"",AGOSTO!S145)</f>
        <v>2020010</v>
      </c>
      <c r="T145" s="1580" t="str">
        <f>+IF(AGOSTO!T145=0,"",AGOSTO!T145)</f>
        <v>Gastos de Operación</v>
      </c>
      <c r="U145" s="1581">
        <f t="shared" ref="U145:AJ145" si="149">U147+U155</f>
        <v>2659132662</v>
      </c>
      <c r="V145" s="1582">
        <f t="shared" si="149"/>
        <v>-1085518846</v>
      </c>
      <c r="W145" s="1582">
        <f t="shared" si="149"/>
        <v>1650000000</v>
      </c>
      <c r="X145" s="1583">
        <f t="shared" si="149"/>
        <v>3223613816</v>
      </c>
      <c r="Y145" s="1584">
        <f t="shared" si="149"/>
        <v>2143599526</v>
      </c>
      <c r="Z145" s="1582">
        <f t="shared" si="149"/>
        <v>165418666</v>
      </c>
      <c r="AA145" s="1583">
        <f t="shared" si="149"/>
        <v>2309018192</v>
      </c>
      <c r="AB145" s="1584">
        <f t="shared" si="149"/>
        <v>1705542495</v>
      </c>
      <c r="AC145" s="1582">
        <f t="shared" si="149"/>
        <v>123470591</v>
      </c>
      <c r="AD145" s="1583">
        <f t="shared" si="149"/>
        <v>1829013086</v>
      </c>
      <c r="AE145" s="1584">
        <f t="shared" si="149"/>
        <v>800879064</v>
      </c>
      <c r="AF145" s="1582">
        <f t="shared" si="149"/>
        <v>107259220</v>
      </c>
      <c r="AG145" s="1583">
        <f t="shared" si="149"/>
        <v>908138284</v>
      </c>
      <c r="AH145" s="1584">
        <f t="shared" si="149"/>
        <v>914595624</v>
      </c>
      <c r="AI145" s="1582">
        <f t="shared" si="149"/>
        <v>1394600730</v>
      </c>
      <c r="AJ145" s="1585">
        <f t="shared" si="149"/>
        <v>2315475532</v>
      </c>
      <c r="AK145" s="1566"/>
      <c r="AL145" s="1584">
        <f>AL147+AL155</f>
        <v>14338548</v>
      </c>
      <c r="AM145" s="1585">
        <f>AM147+AM155</f>
        <v>0</v>
      </c>
      <c r="AN145" s="1448"/>
    </row>
    <row r="146" spans="1:40" s="1572" customFormat="1" ht="24.95" customHeight="1">
      <c r="A146" s="1806"/>
      <c r="B146" s="1807"/>
      <c r="N146" s="1448"/>
      <c r="R146" s="1448"/>
      <c r="S146" s="1662" t="str">
        <f>+IF(AGOSTO!S146=0,"",AGOSTO!S146)</f>
        <v/>
      </c>
      <c r="T146" s="1663" t="str">
        <f>+IF(AGOSTO!T146=0,"",AGOSTO!T146)</f>
        <v/>
      </c>
      <c r="U146" s="1808"/>
      <c r="V146" s="1618"/>
      <c r="W146" s="1618"/>
      <c r="X146" s="1619"/>
      <c r="Y146" s="1620"/>
      <c r="Z146" s="1618"/>
      <c r="AA146" s="1619"/>
      <c r="AB146" s="1620"/>
      <c r="AC146" s="1618"/>
      <c r="AD146" s="1619"/>
      <c r="AE146" s="1620"/>
      <c r="AF146" s="1618"/>
      <c r="AG146" s="1619"/>
      <c r="AH146" s="1620"/>
      <c r="AI146" s="1618"/>
      <c r="AJ146" s="1621"/>
      <c r="AK146" s="1448"/>
      <c r="AL146" s="1726"/>
      <c r="AM146" s="1727"/>
      <c r="AN146" s="1448"/>
    </row>
    <row r="147" spans="1:40" s="1572" customFormat="1" ht="24.95" customHeight="1">
      <c r="A147" s="1806"/>
      <c r="B147" s="1807"/>
      <c r="N147" s="1448"/>
      <c r="R147" s="1448"/>
      <c r="S147" s="1607">
        <f>+IF(AGOSTO!S147=0,"",AGOSTO!S147)</f>
        <v>2020100</v>
      </c>
      <c r="T147" s="1608" t="str">
        <f>+IF(AGOSTO!T147=0,"",AGOSTO!T147)</f>
        <v>Adquisición de bienes</v>
      </c>
      <c r="U147" s="1581">
        <f t="shared" ref="U147:AJ147" si="150">SUM(U148:U149)+U153</f>
        <v>1878602056</v>
      </c>
      <c r="V147" s="1582">
        <f t="shared" si="150"/>
        <v>-470673529</v>
      </c>
      <c r="W147" s="1582">
        <f t="shared" si="150"/>
        <v>550000000</v>
      </c>
      <c r="X147" s="1583">
        <f t="shared" si="150"/>
        <v>1957928527</v>
      </c>
      <c r="Y147" s="1584">
        <f t="shared" si="150"/>
        <v>1114576531</v>
      </c>
      <c r="Z147" s="1582">
        <f t="shared" si="150"/>
        <v>77172634</v>
      </c>
      <c r="AA147" s="1583">
        <f t="shared" si="150"/>
        <v>1191749165</v>
      </c>
      <c r="AB147" s="1584">
        <f t="shared" si="150"/>
        <v>964307741</v>
      </c>
      <c r="AC147" s="1582">
        <f t="shared" si="150"/>
        <v>75447407</v>
      </c>
      <c r="AD147" s="1583">
        <f t="shared" si="150"/>
        <v>1039755148</v>
      </c>
      <c r="AE147" s="1584">
        <f t="shared" si="150"/>
        <v>533159962</v>
      </c>
      <c r="AF147" s="1582">
        <f t="shared" si="150"/>
        <v>70844933</v>
      </c>
      <c r="AG147" s="1583">
        <f t="shared" si="150"/>
        <v>604004895</v>
      </c>
      <c r="AH147" s="1584">
        <f t="shared" si="150"/>
        <v>766179362</v>
      </c>
      <c r="AI147" s="1582">
        <f t="shared" si="150"/>
        <v>918173379</v>
      </c>
      <c r="AJ147" s="1585">
        <f t="shared" si="150"/>
        <v>1353923632</v>
      </c>
      <c r="AK147" s="1448"/>
      <c r="AL147" s="1584">
        <f>SUM(AL148:AL149)+AL153</f>
        <v>14338548</v>
      </c>
      <c r="AM147" s="1585">
        <f>SUM(AM148:AM149)+AM153</f>
        <v>0</v>
      </c>
      <c r="AN147" s="1448"/>
    </row>
    <row r="148" spans="1:40" s="1572" customFormat="1" ht="24.95" customHeight="1">
      <c r="A148" s="1806"/>
      <c r="B148" s="1807"/>
      <c r="N148" s="1448"/>
      <c r="R148" s="1448"/>
      <c r="S148" s="1615">
        <f>+IF(AGOSTO!S148=0,"",AGOSTO!S148)</f>
        <v>2020101</v>
      </c>
      <c r="T148" s="1616" t="str">
        <f>+IF(AGOSTO!T148=0,"",AGOSTO!T148)</f>
        <v>Mantenimiento Hospitalario</v>
      </c>
      <c r="U148" s="1617">
        <f>+ENERO!U148</f>
        <v>780530606</v>
      </c>
      <c r="V148" s="1618">
        <f>AGOSTO!V148+SEPTIEMBRE!AL148</f>
        <v>148700666</v>
      </c>
      <c r="W148" s="1618">
        <f>AGOSTO!W148+SEPTIEMBRE!AM148</f>
        <v>0</v>
      </c>
      <c r="X148" s="1619">
        <f>SUM(U148:W148)</f>
        <v>929231272</v>
      </c>
      <c r="Y148" s="1620">
        <f>AGOSTO!AA148</f>
        <v>234980176</v>
      </c>
      <c r="Z148" s="1557">
        <v>18145510</v>
      </c>
      <c r="AA148" s="1619">
        <f>SUM(Y148:Z148)</f>
        <v>253125686</v>
      </c>
      <c r="AB148" s="1620">
        <f>AGOSTO!AD148</f>
        <v>132251785</v>
      </c>
      <c r="AC148" s="1557">
        <v>20305295</v>
      </c>
      <c r="AD148" s="1619">
        <f>SUM(AB148:AC148)</f>
        <v>152557080</v>
      </c>
      <c r="AE148" s="1620">
        <f>AGOSTO!AG148</f>
        <v>84657112</v>
      </c>
      <c r="AF148" s="1557">
        <v>14813448</v>
      </c>
      <c r="AG148" s="1619">
        <f>SUM(AE148:AF148)</f>
        <v>99470560</v>
      </c>
      <c r="AH148" s="1620">
        <f>X148-AA148</f>
        <v>676105586</v>
      </c>
      <c r="AI148" s="1618">
        <f>X148-AD148</f>
        <v>776674192</v>
      </c>
      <c r="AJ148" s="1621">
        <f>X148-AG148</f>
        <v>829760712</v>
      </c>
      <c r="AK148" s="1448"/>
      <c r="AL148" s="1559">
        <v>0</v>
      </c>
      <c r="AM148" s="1560">
        <v>0</v>
      </c>
      <c r="AN148" s="1448"/>
    </row>
    <row r="149" spans="1:40" s="1572" customFormat="1" ht="24.95" customHeight="1">
      <c r="A149" s="1806"/>
      <c r="B149" s="1807"/>
      <c r="N149" s="1448"/>
      <c r="R149" s="1448"/>
      <c r="S149" s="1615">
        <f>+IF(AGOSTO!S149=0,"",AGOSTO!S149)</f>
        <v>2020102</v>
      </c>
      <c r="T149" s="1616" t="str">
        <f>+IF(AGOSTO!T149=0,"",AGOSTO!T149)</f>
        <v>Otros</v>
      </c>
      <c r="U149" s="1617">
        <f t="shared" ref="U149:AJ149" si="151">SUM(U150:U152)</f>
        <v>1098071450</v>
      </c>
      <c r="V149" s="1618">
        <f t="shared" si="151"/>
        <v>-372912662</v>
      </c>
      <c r="W149" s="1618">
        <f t="shared" si="151"/>
        <v>0</v>
      </c>
      <c r="X149" s="1619">
        <f t="shared" si="151"/>
        <v>725158788</v>
      </c>
      <c r="Y149" s="1620">
        <f t="shared" si="151"/>
        <v>598396436</v>
      </c>
      <c r="Z149" s="1648">
        <f t="shared" si="151"/>
        <v>36688576</v>
      </c>
      <c r="AA149" s="1619">
        <f t="shared" si="151"/>
        <v>635085012</v>
      </c>
      <c r="AB149" s="1620">
        <f t="shared" si="151"/>
        <v>550856037</v>
      </c>
      <c r="AC149" s="1648">
        <f t="shared" si="151"/>
        <v>32803564</v>
      </c>
      <c r="AD149" s="1619">
        <f t="shared" si="151"/>
        <v>583659601</v>
      </c>
      <c r="AE149" s="1620">
        <f t="shared" si="151"/>
        <v>167302931</v>
      </c>
      <c r="AF149" s="1648">
        <f t="shared" si="151"/>
        <v>33692937</v>
      </c>
      <c r="AG149" s="1619">
        <f t="shared" si="151"/>
        <v>200995868</v>
      </c>
      <c r="AH149" s="1620">
        <f t="shared" si="151"/>
        <v>90073776</v>
      </c>
      <c r="AI149" s="1618">
        <f t="shared" si="151"/>
        <v>141499187</v>
      </c>
      <c r="AJ149" s="1621">
        <f t="shared" si="151"/>
        <v>524162920</v>
      </c>
      <c r="AK149" s="1448"/>
      <c r="AL149" s="1649">
        <f>SUM(AL150:AL152)</f>
        <v>-8000000</v>
      </c>
      <c r="AM149" s="1650">
        <f>SUM(AM150:AM152)</f>
        <v>0</v>
      </c>
      <c r="AN149" s="1448"/>
    </row>
    <row r="150" spans="1:40" s="1572" customFormat="1" ht="24.95" customHeight="1">
      <c r="A150" s="1806"/>
      <c r="B150" s="1807"/>
      <c r="N150" s="1448"/>
      <c r="R150" s="1448"/>
      <c r="S150" s="1662" t="str">
        <f>+IF(AGOSTO!S150=0,"",AGOSTO!S150)</f>
        <v>2020102-1</v>
      </c>
      <c r="T150" s="1616" t="str">
        <f>+IF(AGOSTO!T150=0,"",AGOSTO!T150)</f>
        <v>Compra de Equipo e Instr. Mco. y Laborat.</v>
      </c>
      <c r="U150" s="1617">
        <f>+ENERO!U150</f>
        <v>514625084</v>
      </c>
      <c r="V150" s="1618">
        <f>AGOSTO!V150+SEPTIEMBRE!AL150</f>
        <v>-347050000</v>
      </c>
      <c r="W150" s="1618">
        <f>AGOSTO!W150+SEPTIEMBRE!AM150</f>
        <v>0</v>
      </c>
      <c r="X150" s="1619">
        <f>SUM(U150:W150)</f>
        <v>167575084</v>
      </c>
      <c r="Y150" s="1620">
        <f>AGOSTO!AA150</f>
        <v>95165035</v>
      </c>
      <c r="Z150" s="1557">
        <v>3635312</v>
      </c>
      <c r="AA150" s="1619">
        <f>SUM(Y150:Z150)</f>
        <v>98800347</v>
      </c>
      <c r="AB150" s="1620">
        <f>AGOSTO!AD150</f>
        <v>55298300</v>
      </c>
      <c r="AC150" s="1557">
        <v>6247917</v>
      </c>
      <c r="AD150" s="1619">
        <f>SUM(AB150:AC150)</f>
        <v>61546217</v>
      </c>
      <c r="AE150" s="1620">
        <f>AGOSTO!AG150</f>
        <v>28274411</v>
      </c>
      <c r="AF150" s="1557">
        <v>173740</v>
      </c>
      <c r="AG150" s="1619">
        <f>SUM(AE150:AF150)</f>
        <v>28448151</v>
      </c>
      <c r="AH150" s="1620">
        <f>X150-AA150</f>
        <v>68774737</v>
      </c>
      <c r="AI150" s="1618">
        <f>X150-AD150</f>
        <v>106028867</v>
      </c>
      <c r="AJ150" s="1621">
        <f>X150-AG150</f>
        <v>139126933</v>
      </c>
      <c r="AK150" s="1448"/>
      <c r="AL150" s="1559">
        <v>-8000000</v>
      </c>
      <c r="AM150" s="1560">
        <v>0</v>
      </c>
      <c r="AN150" s="1448"/>
    </row>
    <row r="151" spans="1:40" s="1572" customFormat="1" ht="24.95" customHeight="1">
      <c r="A151" s="1806"/>
      <c r="B151" s="1807"/>
      <c r="N151" s="1448"/>
      <c r="R151" s="1448"/>
      <c r="S151" s="1662" t="str">
        <f>+IF(AGOSTO!S151=0,"",AGOSTO!S151)</f>
        <v>2020102-2</v>
      </c>
      <c r="T151" s="1616" t="str">
        <f>+IF(AGOSTO!T151=0,"",AGOSTO!T151)</f>
        <v>Materiales</v>
      </c>
      <c r="U151" s="1617">
        <f>+ENERO!U151</f>
        <v>583446366</v>
      </c>
      <c r="V151" s="1618">
        <f>AGOSTO!V151+SEPTIEMBRE!AL151</f>
        <v>-25862662</v>
      </c>
      <c r="W151" s="1618">
        <f>AGOSTO!W151+SEPTIEMBRE!AM151</f>
        <v>0</v>
      </c>
      <c r="X151" s="1619">
        <f>SUM(U151:W151)</f>
        <v>557583704</v>
      </c>
      <c r="Y151" s="1620">
        <f>AGOSTO!AA151</f>
        <v>503231401</v>
      </c>
      <c r="Z151" s="1557">
        <v>33053264</v>
      </c>
      <c r="AA151" s="1619">
        <f>SUM(Y151:Z151)</f>
        <v>536284665</v>
      </c>
      <c r="AB151" s="1620">
        <f>AGOSTO!AD151</f>
        <v>495557737</v>
      </c>
      <c r="AC151" s="1557">
        <v>26555647</v>
      </c>
      <c r="AD151" s="1619">
        <f>SUM(AB151:AC151)</f>
        <v>522113384</v>
      </c>
      <c r="AE151" s="1620">
        <f>AGOSTO!AG151</f>
        <v>139028520</v>
      </c>
      <c r="AF151" s="1557">
        <v>33519197</v>
      </c>
      <c r="AG151" s="1619">
        <f>SUM(AE151:AF151)</f>
        <v>172547717</v>
      </c>
      <c r="AH151" s="1620">
        <f>X151-AA151</f>
        <v>21299039</v>
      </c>
      <c r="AI151" s="1618">
        <f>X151-AD151</f>
        <v>35470320</v>
      </c>
      <c r="AJ151" s="1621">
        <f>X151-AG151</f>
        <v>385035987</v>
      </c>
      <c r="AK151" s="1448"/>
      <c r="AL151" s="1559">
        <v>0</v>
      </c>
      <c r="AM151" s="1560">
        <v>0</v>
      </c>
      <c r="AN151" s="1448"/>
    </row>
    <row r="152" spans="1:40" s="1572" customFormat="1" ht="24.95" customHeight="1">
      <c r="A152" s="1806"/>
      <c r="B152" s="1807"/>
      <c r="N152" s="1448"/>
      <c r="R152" s="1448"/>
      <c r="S152" s="1662" t="str">
        <f>+IF(AGOSTO!S152=0,"",AGOSTO!S152)</f>
        <v>2020102-3</v>
      </c>
      <c r="T152" s="1616" t="str">
        <f>+IF(AGOSTO!T152=0,"",AGOSTO!T152)</f>
        <v/>
      </c>
      <c r="U152" s="1617">
        <f>+ENERO!U152</f>
        <v>0</v>
      </c>
      <c r="V152" s="1618">
        <f>AGOSTO!V152+SEPTIEMBRE!AL152</f>
        <v>0</v>
      </c>
      <c r="W152" s="1618">
        <f>AGOSTO!W152+SEPTIEMBRE!AM152</f>
        <v>0</v>
      </c>
      <c r="X152" s="1619">
        <f>SUM(U152:W152)</f>
        <v>0</v>
      </c>
      <c r="Y152" s="1620">
        <f>AGOSTO!AA152</f>
        <v>0</v>
      </c>
      <c r="Z152" s="1557">
        <v>0</v>
      </c>
      <c r="AA152" s="1619">
        <f>SUM(Y152:Z152)</f>
        <v>0</v>
      </c>
      <c r="AB152" s="1620">
        <f>AGOSTO!AD152</f>
        <v>0</v>
      </c>
      <c r="AC152" s="1557">
        <v>0</v>
      </c>
      <c r="AD152" s="1619">
        <f>SUM(AB152:AC152)</f>
        <v>0</v>
      </c>
      <c r="AE152" s="1620">
        <f>AGOSTO!AG152</f>
        <v>0</v>
      </c>
      <c r="AF152" s="1557">
        <v>0</v>
      </c>
      <c r="AG152" s="1619">
        <f>SUM(AE152:AF152)</f>
        <v>0</v>
      </c>
      <c r="AH152" s="1620">
        <f>X152-AA152</f>
        <v>0</v>
      </c>
      <c r="AI152" s="1618">
        <f>X152-AD152</f>
        <v>0</v>
      </c>
      <c r="AJ152" s="1621">
        <f>X152-AG152</f>
        <v>0</v>
      </c>
      <c r="AK152" s="1448"/>
      <c r="AL152" s="1559">
        <v>0</v>
      </c>
      <c r="AM152" s="1560">
        <v>0</v>
      </c>
      <c r="AN152" s="1448"/>
    </row>
    <row r="153" spans="1:40" s="1572" customFormat="1" ht="24.95" customHeight="1">
      <c r="A153" s="1806"/>
      <c r="B153" s="1807"/>
      <c r="N153" s="1448"/>
      <c r="R153" s="1448"/>
      <c r="S153" s="1615">
        <f>+IF(AGOSTO!S153=0,"",AGOSTO!S153)</f>
        <v>2020199</v>
      </c>
      <c r="T153" s="1616" t="str">
        <f>+IF(AGOSTO!T153=0,"",AGOSTO!T153)</f>
        <v>Vigencias Anteriores</v>
      </c>
      <c r="U153" s="1617">
        <f>+ENERO!U153</f>
        <v>0</v>
      </c>
      <c r="V153" s="1618">
        <f>AGOSTO!V153+SEPTIEMBRE!AL153</f>
        <v>-246461533</v>
      </c>
      <c r="W153" s="1618">
        <f>AGOSTO!W153+SEPTIEMBRE!AM153</f>
        <v>550000000</v>
      </c>
      <c r="X153" s="1619">
        <f>SUM(U153:W153)</f>
        <v>303538467</v>
      </c>
      <c r="Y153" s="1620">
        <f>AGOSTO!AA153</f>
        <v>281199919</v>
      </c>
      <c r="Z153" s="1557">
        <v>22338548</v>
      </c>
      <c r="AA153" s="1619">
        <f>SUM(Y153:Z153)</f>
        <v>303538467</v>
      </c>
      <c r="AB153" s="1620">
        <f>AGOSTO!AD153</f>
        <v>281199919</v>
      </c>
      <c r="AC153" s="1557">
        <v>22338548</v>
      </c>
      <c r="AD153" s="1619">
        <f>SUM(AB153:AC153)</f>
        <v>303538467</v>
      </c>
      <c r="AE153" s="1620">
        <f>AGOSTO!AG153</f>
        <v>281199919</v>
      </c>
      <c r="AF153" s="1557">
        <v>22338548</v>
      </c>
      <c r="AG153" s="1619">
        <f>SUM(AE153:AF153)</f>
        <v>303538467</v>
      </c>
      <c r="AH153" s="1620">
        <f>X153-AA153</f>
        <v>0</v>
      </c>
      <c r="AI153" s="1618">
        <f>X153-AD153</f>
        <v>0</v>
      </c>
      <c r="AJ153" s="1621">
        <f>X153-AG153</f>
        <v>0</v>
      </c>
      <c r="AK153" s="1448"/>
      <c r="AL153" s="1559">
        <v>22338548</v>
      </c>
      <c r="AM153" s="1560">
        <v>0</v>
      </c>
      <c r="AN153" s="1448"/>
    </row>
    <row r="154" spans="1:40" s="1572" customFormat="1" ht="24.95" customHeight="1">
      <c r="A154" s="1806"/>
      <c r="B154" s="1807"/>
      <c r="N154" s="1448"/>
      <c r="R154" s="1448"/>
      <c r="S154" s="1538" t="str">
        <f>+IF(AGOSTO!S154=0,"",AGOSTO!S154)</f>
        <v/>
      </c>
      <c r="T154" s="1539" t="str">
        <f>+IF(AGOSTO!T154=0,"",AGOSTO!T154)</f>
        <v/>
      </c>
      <c r="U154" s="1540"/>
      <c r="V154" s="1540"/>
      <c r="W154" s="1540"/>
      <c r="X154" s="1540"/>
      <c r="Y154" s="1540"/>
      <c r="Z154" s="1540"/>
      <c r="AA154" s="1540"/>
      <c r="AB154" s="1540"/>
      <c r="AC154" s="1540"/>
      <c r="AD154" s="1540"/>
      <c r="AE154" s="1540"/>
      <c r="AF154" s="1540"/>
      <c r="AG154" s="1540"/>
      <c r="AH154" s="1540"/>
      <c r="AI154" s="1540"/>
      <c r="AJ154" s="1541"/>
      <c r="AK154" s="1448"/>
      <c r="AL154" s="1726"/>
      <c r="AM154" s="1727"/>
      <c r="AN154" s="1448"/>
    </row>
    <row r="155" spans="1:40" s="1572" customFormat="1" ht="24.95" customHeight="1">
      <c r="A155" s="1806"/>
      <c r="B155" s="1807"/>
      <c r="N155" s="1448"/>
      <c r="R155" s="1448"/>
      <c r="S155" s="1607">
        <f>+IF(AGOSTO!S155=0,"",AGOSTO!S155)</f>
        <v>2020200</v>
      </c>
      <c r="T155" s="1608" t="str">
        <f>+IF(AGOSTO!T155=0,"",AGOSTO!T155)</f>
        <v>Adquisición de Servicios</v>
      </c>
      <c r="U155" s="1581">
        <f t="shared" ref="U155:AJ155" si="152">SUM(U156:U157)+U168</f>
        <v>780530606</v>
      </c>
      <c r="V155" s="1582">
        <f t="shared" si="152"/>
        <v>-614845317</v>
      </c>
      <c r="W155" s="1582">
        <f t="shared" si="152"/>
        <v>1100000000</v>
      </c>
      <c r="X155" s="1583">
        <f t="shared" si="152"/>
        <v>1265685289</v>
      </c>
      <c r="Y155" s="1584">
        <f t="shared" si="152"/>
        <v>1029022995</v>
      </c>
      <c r="Z155" s="1582">
        <f t="shared" si="152"/>
        <v>88246032</v>
      </c>
      <c r="AA155" s="1583">
        <f t="shared" si="152"/>
        <v>1117269027</v>
      </c>
      <c r="AB155" s="1584">
        <f t="shared" si="152"/>
        <v>741234754</v>
      </c>
      <c r="AC155" s="1582">
        <f t="shared" si="152"/>
        <v>48023184</v>
      </c>
      <c r="AD155" s="1583">
        <f t="shared" si="152"/>
        <v>789257938</v>
      </c>
      <c r="AE155" s="1584">
        <f t="shared" si="152"/>
        <v>267719102</v>
      </c>
      <c r="AF155" s="1582">
        <f t="shared" si="152"/>
        <v>36414287</v>
      </c>
      <c r="AG155" s="1583">
        <f t="shared" si="152"/>
        <v>304133389</v>
      </c>
      <c r="AH155" s="1584">
        <f t="shared" si="152"/>
        <v>148416262</v>
      </c>
      <c r="AI155" s="1582">
        <f t="shared" si="152"/>
        <v>476427351</v>
      </c>
      <c r="AJ155" s="1585">
        <f t="shared" si="152"/>
        <v>961551900</v>
      </c>
      <c r="AK155" s="1448"/>
      <c r="AL155" s="1584">
        <f>SUM(AL156:AL157)+AL168</f>
        <v>0</v>
      </c>
      <c r="AM155" s="1585">
        <f>SUM(AM156:AM157)+AM168</f>
        <v>0</v>
      </c>
      <c r="AN155" s="1448"/>
    </row>
    <row r="156" spans="1:40" s="1572" customFormat="1" ht="24.95" customHeight="1">
      <c r="A156" s="1806"/>
      <c r="B156" s="1807"/>
      <c r="N156" s="1448"/>
      <c r="P156" s="1448"/>
      <c r="Q156" s="1448"/>
      <c r="R156" s="1448"/>
      <c r="S156" s="1615">
        <f>+IF(AGOSTO!S156=0,"",AGOSTO!S156)</f>
        <v>2020201</v>
      </c>
      <c r="T156" s="1616" t="str">
        <f>+IF(AGOSTO!T156=0,"",AGOSTO!T156)</f>
        <v>Mantenimiento Hospitalario</v>
      </c>
      <c r="U156" s="1617">
        <f>+ENERO!U156</f>
        <v>780530606</v>
      </c>
      <c r="V156" s="1618">
        <f>AGOSTO!V156+SEPTIEMBRE!AL156</f>
        <v>348700666</v>
      </c>
      <c r="W156" s="1618">
        <f>AGOSTO!W156+SEPTIEMBRE!AM156</f>
        <v>0</v>
      </c>
      <c r="X156" s="1619">
        <f>SUM(U156:W156)</f>
        <v>1129231272</v>
      </c>
      <c r="Y156" s="1620">
        <f>AGOSTO!AA156</f>
        <v>892568978</v>
      </c>
      <c r="Z156" s="1557">
        <v>88246032</v>
      </c>
      <c r="AA156" s="1619">
        <f>SUM(Y156:Z156)</f>
        <v>980815010</v>
      </c>
      <c r="AB156" s="1620">
        <f>AGOSTO!AD156</f>
        <v>604780737</v>
      </c>
      <c r="AC156" s="1557">
        <v>48023184</v>
      </c>
      <c r="AD156" s="1619">
        <f>SUM(AB156:AC156)</f>
        <v>652803921</v>
      </c>
      <c r="AE156" s="1620">
        <f>AGOSTO!AG156</f>
        <v>131265085</v>
      </c>
      <c r="AF156" s="1557">
        <v>36414287</v>
      </c>
      <c r="AG156" s="1619">
        <f>SUM(AE156:AF156)</f>
        <v>167679372</v>
      </c>
      <c r="AH156" s="1620">
        <f>X156-AA156</f>
        <v>148416262</v>
      </c>
      <c r="AI156" s="1618">
        <f>X156-AD156</f>
        <v>476427351</v>
      </c>
      <c r="AJ156" s="1621">
        <f>X156-AG156</f>
        <v>961551900</v>
      </c>
      <c r="AK156" s="1448"/>
      <c r="AL156" s="1559">
        <v>0</v>
      </c>
      <c r="AM156" s="1560">
        <v>0</v>
      </c>
      <c r="AN156" s="1448"/>
    </row>
    <row r="157" spans="1:40" s="1572" customFormat="1" ht="24.95" customHeight="1">
      <c r="A157" s="1806"/>
      <c r="B157" s="1807"/>
      <c r="N157" s="1448"/>
      <c r="P157" s="1448"/>
      <c r="Q157" s="1448"/>
      <c r="R157" s="1448"/>
      <c r="S157" s="1615">
        <f>+IF(AGOSTO!S157=0,"",AGOSTO!S157)</f>
        <v>2020202</v>
      </c>
      <c r="T157" s="1616" t="str">
        <f>+IF(AGOSTO!T157=0,"",AGOSTO!T157)</f>
        <v>Otros</v>
      </c>
      <c r="U157" s="1617">
        <f t="shared" ref="U157:AJ157" si="153">SUM(U158:U167)</f>
        <v>0</v>
      </c>
      <c r="V157" s="1618">
        <f t="shared" si="153"/>
        <v>0</v>
      </c>
      <c r="W157" s="1618">
        <f t="shared" si="153"/>
        <v>0</v>
      </c>
      <c r="X157" s="1619">
        <f t="shared" si="153"/>
        <v>0</v>
      </c>
      <c r="Y157" s="1620">
        <f t="shared" si="153"/>
        <v>0</v>
      </c>
      <c r="Z157" s="1648">
        <f t="shared" si="153"/>
        <v>0</v>
      </c>
      <c r="AA157" s="1619">
        <f t="shared" si="153"/>
        <v>0</v>
      </c>
      <c r="AB157" s="1620">
        <f t="shared" si="153"/>
        <v>0</v>
      </c>
      <c r="AC157" s="1648">
        <f t="shared" si="153"/>
        <v>0</v>
      </c>
      <c r="AD157" s="1619">
        <f t="shared" si="153"/>
        <v>0</v>
      </c>
      <c r="AE157" s="1620">
        <f t="shared" si="153"/>
        <v>0</v>
      </c>
      <c r="AF157" s="1648">
        <f t="shared" si="153"/>
        <v>0</v>
      </c>
      <c r="AG157" s="1619">
        <f t="shared" si="153"/>
        <v>0</v>
      </c>
      <c r="AH157" s="1620">
        <f t="shared" si="153"/>
        <v>0</v>
      </c>
      <c r="AI157" s="1618">
        <f t="shared" si="153"/>
        <v>0</v>
      </c>
      <c r="AJ157" s="1621">
        <f t="shared" si="153"/>
        <v>0</v>
      </c>
      <c r="AK157" s="1566"/>
      <c r="AL157" s="1649">
        <f>SUM(AL158:AL167)</f>
        <v>0</v>
      </c>
      <c r="AM157" s="1650">
        <f>SUM(AM158:AM167)</f>
        <v>0</v>
      </c>
      <c r="AN157" s="1448"/>
    </row>
    <row r="158" spans="1:40" s="1572" customFormat="1" ht="24.95" customHeight="1">
      <c r="A158" s="1806"/>
      <c r="B158" s="1807"/>
      <c r="N158" s="1448"/>
      <c r="P158" s="1448"/>
      <c r="Q158" s="1448"/>
      <c r="R158" s="1448"/>
      <c r="S158" s="1662" t="str">
        <f>+IF(AGOSTO!S158=0,"",AGOSTO!S158)</f>
        <v>2020202-1</v>
      </c>
      <c r="T158" s="1663" t="str">
        <f>+IF(AGOSTO!T158=0,"",AGOSTO!T158)</f>
        <v>Seguros</v>
      </c>
      <c r="U158" s="1617">
        <f>+ENERO!U158</f>
        <v>0</v>
      </c>
      <c r="V158" s="1618">
        <f>AGOSTO!V158+SEPTIEMBRE!AL158</f>
        <v>0</v>
      </c>
      <c r="W158" s="1618">
        <f>AGOSTO!W158+SEPTIEMBRE!AM158</f>
        <v>0</v>
      </c>
      <c r="X158" s="1619">
        <f t="shared" ref="X158:X168" si="154">SUM(U158:W158)</f>
        <v>0</v>
      </c>
      <c r="Y158" s="1620">
        <f>AGOSTO!AA158</f>
        <v>0</v>
      </c>
      <c r="Z158" s="1557">
        <v>0</v>
      </c>
      <c r="AA158" s="1619">
        <f t="shared" ref="AA158:AA168" si="155">SUM(Y158:Z158)</f>
        <v>0</v>
      </c>
      <c r="AB158" s="1620">
        <f>AGOSTO!AD158</f>
        <v>0</v>
      </c>
      <c r="AC158" s="1557">
        <v>0</v>
      </c>
      <c r="AD158" s="1619">
        <f t="shared" ref="AD158:AD168" si="156">SUM(AB158:AC158)</f>
        <v>0</v>
      </c>
      <c r="AE158" s="1620">
        <f>AGOSTO!AG158</f>
        <v>0</v>
      </c>
      <c r="AF158" s="1557">
        <v>0</v>
      </c>
      <c r="AG158" s="1619">
        <f t="shared" ref="AG158:AG168" si="157">SUM(AE158:AF158)</f>
        <v>0</v>
      </c>
      <c r="AH158" s="1620">
        <f t="shared" ref="AH158:AH168" si="158">X158-AA158</f>
        <v>0</v>
      </c>
      <c r="AI158" s="1618">
        <f t="shared" ref="AI158:AI168" si="159">X158-AD158</f>
        <v>0</v>
      </c>
      <c r="AJ158" s="1621">
        <f t="shared" ref="AJ158:AJ168" si="160">X158-AG158</f>
        <v>0</v>
      </c>
      <c r="AK158" s="1448"/>
      <c r="AL158" s="1559">
        <v>0</v>
      </c>
      <c r="AM158" s="1560">
        <v>0</v>
      </c>
      <c r="AN158" s="1448"/>
    </row>
    <row r="159" spans="1:40" s="1572" customFormat="1" ht="24.95" customHeight="1">
      <c r="A159" s="1806"/>
      <c r="B159" s="1807"/>
      <c r="N159" s="1448"/>
      <c r="P159" s="1448"/>
      <c r="Q159" s="1448"/>
      <c r="R159" s="1448"/>
      <c r="S159" s="1662" t="str">
        <f>+IF(AGOSTO!S159=0,"",AGOSTO!S159)</f>
        <v>2020202-2</v>
      </c>
      <c r="T159" s="1663" t="str">
        <f>+IF(AGOSTO!T159=0,"",AGOSTO!T159)</f>
        <v>Impresos y Publicaciones</v>
      </c>
      <c r="U159" s="1617">
        <f>+ENERO!U159</f>
        <v>0</v>
      </c>
      <c r="V159" s="1618">
        <f>AGOSTO!V159+SEPTIEMBRE!AL159</f>
        <v>0</v>
      </c>
      <c r="W159" s="1618">
        <f>AGOSTO!W159+SEPTIEMBRE!AM159</f>
        <v>0</v>
      </c>
      <c r="X159" s="1619">
        <f t="shared" si="154"/>
        <v>0</v>
      </c>
      <c r="Y159" s="1620">
        <f>AGOSTO!AA159</f>
        <v>0</v>
      </c>
      <c r="Z159" s="1557">
        <v>0</v>
      </c>
      <c r="AA159" s="1619">
        <f t="shared" si="155"/>
        <v>0</v>
      </c>
      <c r="AB159" s="1620">
        <f>AGOSTO!AD159</f>
        <v>0</v>
      </c>
      <c r="AC159" s="1557">
        <v>0</v>
      </c>
      <c r="AD159" s="1619">
        <f t="shared" si="156"/>
        <v>0</v>
      </c>
      <c r="AE159" s="1620">
        <f>AGOSTO!AG159</f>
        <v>0</v>
      </c>
      <c r="AF159" s="1557">
        <v>0</v>
      </c>
      <c r="AG159" s="1619">
        <f t="shared" si="157"/>
        <v>0</v>
      </c>
      <c r="AH159" s="1620">
        <f t="shared" si="158"/>
        <v>0</v>
      </c>
      <c r="AI159" s="1618">
        <f t="shared" si="159"/>
        <v>0</v>
      </c>
      <c r="AJ159" s="1621">
        <f t="shared" si="160"/>
        <v>0</v>
      </c>
      <c r="AK159" s="1448"/>
      <c r="AL159" s="1559">
        <v>0</v>
      </c>
      <c r="AM159" s="1560">
        <v>0</v>
      </c>
      <c r="AN159" s="1448"/>
    </row>
    <row r="160" spans="1:40" s="1572" customFormat="1" ht="24.95" customHeight="1">
      <c r="A160" s="1806"/>
      <c r="B160" s="1807"/>
      <c r="N160" s="1448"/>
      <c r="P160" s="1448"/>
      <c r="Q160" s="1448"/>
      <c r="R160" s="1448"/>
      <c r="S160" s="1662" t="str">
        <f>+IF(AGOSTO!S160=0,"",AGOSTO!S160)</f>
        <v>2020202-3</v>
      </c>
      <c r="T160" s="1663" t="str">
        <f>+IF(AGOSTO!T160=0,"",AGOSTO!T160)</f>
        <v>Pago a otras IPS</v>
      </c>
      <c r="U160" s="1617">
        <f>+ENERO!U160</f>
        <v>0</v>
      </c>
      <c r="V160" s="1618">
        <f>AGOSTO!V160+SEPTIEMBRE!AL160</f>
        <v>0</v>
      </c>
      <c r="W160" s="1618">
        <f>AGOSTO!W160+SEPTIEMBRE!AM160</f>
        <v>0</v>
      </c>
      <c r="X160" s="1619">
        <f t="shared" si="154"/>
        <v>0</v>
      </c>
      <c r="Y160" s="1620">
        <f>AGOSTO!AA160</f>
        <v>0</v>
      </c>
      <c r="Z160" s="1557">
        <v>0</v>
      </c>
      <c r="AA160" s="1619">
        <f t="shared" si="155"/>
        <v>0</v>
      </c>
      <c r="AB160" s="1620">
        <f>AGOSTO!AD160</f>
        <v>0</v>
      </c>
      <c r="AC160" s="1557">
        <v>0</v>
      </c>
      <c r="AD160" s="1619">
        <f t="shared" si="156"/>
        <v>0</v>
      </c>
      <c r="AE160" s="1620">
        <f>AGOSTO!AG160</f>
        <v>0</v>
      </c>
      <c r="AF160" s="1557">
        <v>0</v>
      </c>
      <c r="AG160" s="1619">
        <f t="shared" si="157"/>
        <v>0</v>
      </c>
      <c r="AH160" s="1620">
        <f t="shared" si="158"/>
        <v>0</v>
      </c>
      <c r="AI160" s="1618">
        <f t="shared" si="159"/>
        <v>0</v>
      </c>
      <c r="AJ160" s="1621">
        <f t="shared" si="160"/>
        <v>0</v>
      </c>
      <c r="AK160" s="1448"/>
      <c r="AL160" s="1559">
        <v>0</v>
      </c>
      <c r="AM160" s="1560">
        <v>0</v>
      </c>
      <c r="AN160" s="1448"/>
    </row>
    <row r="161" spans="1:40" s="1572" customFormat="1" ht="24.95" customHeight="1">
      <c r="A161" s="1806"/>
      <c r="B161" s="1807"/>
      <c r="N161" s="1448"/>
      <c r="P161" s="1448"/>
      <c r="Q161" s="1448"/>
      <c r="R161" s="1448"/>
      <c r="S161" s="1662" t="str">
        <f>+IF(AGOSTO!S161=0,"",AGOSTO!S161)</f>
        <v>2020202-4</v>
      </c>
      <c r="T161" s="1663" t="str">
        <f>+IF(AGOSTO!T161=0,"",AGOSTO!T161)</f>
        <v>Comunicaciones y Transportes</v>
      </c>
      <c r="U161" s="1617">
        <f>+ENERO!U161</f>
        <v>0</v>
      </c>
      <c r="V161" s="1618">
        <f>AGOSTO!V161+SEPTIEMBRE!AL161</f>
        <v>0</v>
      </c>
      <c r="W161" s="1618">
        <f>AGOSTO!W161+SEPTIEMBRE!AM161</f>
        <v>0</v>
      </c>
      <c r="X161" s="1619">
        <f t="shared" si="154"/>
        <v>0</v>
      </c>
      <c r="Y161" s="1620">
        <f>AGOSTO!AA161</f>
        <v>0</v>
      </c>
      <c r="Z161" s="1557">
        <v>0</v>
      </c>
      <c r="AA161" s="1619">
        <f t="shared" si="155"/>
        <v>0</v>
      </c>
      <c r="AB161" s="1620">
        <f>AGOSTO!AD161</f>
        <v>0</v>
      </c>
      <c r="AC161" s="1557">
        <v>0</v>
      </c>
      <c r="AD161" s="1619">
        <f t="shared" si="156"/>
        <v>0</v>
      </c>
      <c r="AE161" s="1620">
        <f>AGOSTO!AG161</f>
        <v>0</v>
      </c>
      <c r="AF161" s="1557">
        <v>0</v>
      </c>
      <c r="AG161" s="1619">
        <f t="shared" si="157"/>
        <v>0</v>
      </c>
      <c r="AH161" s="1620">
        <f t="shared" si="158"/>
        <v>0</v>
      </c>
      <c r="AI161" s="1618">
        <f t="shared" si="159"/>
        <v>0</v>
      </c>
      <c r="AJ161" s="1621">
        <f t="shared" si="160"/>
        <v>0</v>
      </c>
      <c r="AK161" s="1448"/>
      <c r="AL161" s="1559">
        <v>0</v>
      </c>
      <c r="AM161" s="1560">
        <v>0</v>
      </c>
      <c r="AN161" s="1448"/>
    </row>
    <row r="162" spans="1:40" s="1572" customFormat="1" ht="24.95" customHeight="1">
      <c r="A162" s="1806"/>
      <c r="B162" s="1807"/>
      <c r="N162" s="1448"/>
      <c r="P162" s="1448"/>
      <c r="Q162" s="1448"/>
      <c r="R162" s="1448"/>
      <c r="S162" s="1662" t="str">
        <f>+IF(AGOSTO!S162=0,"",AGOSTO!S162)</f>
        <v>2020202-5</v>
      </c>
      <c r="T162" s="1663" t="str">
        <f>+IF(AGOSTO!T162=0,"",AGOSTO!T162)</f>
        <v>Viáticos y Gastos de Viaje</v>
      </c>
      <c r="U162" s="1617">
        <f>+ENERO!U162</f>
        <v>0</v>
      </c>
      <c r="V162" s="1618">
        <f>AGOSTO!V162+SEPTIEMBRE!AL162</f>
        <v>0</v>
      </c>
      <c r="W162" s="1618">
        <f>AGOSTO!W162+SEPTIEMBRE!AM162</f>
        <v>0</v>
      </c>
      <c r="X162" s="1619">
        <f t="shared" si="154"/>
        <v>0</v>
      </c>
      <c r="Y162" s="1620">
        <f>AGOSTO!AA162</f>
        <v>0</v>
      </c>
      <c r="Z162" s="1557">
        <v>0</v>
      </c>
      <c r="AA162" s="1619">
        <f t="shared" si="155"/>
        <v>0</v>
      </c>
      <c r="AB162" s="1620">
        <f>AGOSTO!AD162</f>
        <v>0</v>
      </c>
      <c r="AC162" s="1557">
        <v>0</v>
      </c>
      <c r="AD162" s="1619">
        <f t="shared" si="156"/>
        <v>0</v>
      </c>
      <c r="AE162" s="1620">
        <f>AGOSTO!AG162</f>
        <v>0</v>
      </c>
      <c r="AF162" s="1557">
        <v>0</v>
      </c>
      <c r="AG162" s="1619">
        <f t="shared" si="157"/>
        <v>0</v>
      </c>
      <c r="AH162" s="1620">
        <f t="shared" si="158"/>
        <v>0</v>
      </c>
      <c r="AI162" s="1618">
        <f t="shared" si="159"/>
        <v>0</v>
      </c>
      <c r="AJ162" s="1621">
        <f t="shared" si="160"/>
        <v>0</v>
      </c>
      <c r="AK162" s="1448"/>
      <c r="AL162" s="1559">
        <v>0</v>
      </c>
      <c r="AM162" s="1560">
        <v>0</v>
      </c>
      <c r="AN162" s="1448"/>
    </row>
    <row r="163" spans="1:40" s="1572" customFormat="1" ht="24.95" customHeight="1">
      <c r="A163" s="1806"/>
      <c r="B163" s="1807"/>
      <c r="N163" s="1448"/>
      <c r="P163" s="1448"/>
      <c r="Q163" s="1448"/>
      <c r="R163" s="1448"/>
      <c r="S163" s="1662" t="str">
        <f>+IF(AGOSTO!S163=0,"",AGOSTO!S163)</f>
        <v>2020202-6</v>
      </c>
      <c r="T163" s="1663" t="str">
        <f>+IF(AGOSTO!T163=0,"",AGOSTO!T163)</f>
        <v>Plan Integral de Manejo de Residuos Sólidos Hospitalarios</v>
      </c>
      <c r="U163" s="1617">
        <f>+ENERO!U163</f>
        <v>0</v>
      </c>
      <c r="V163" s="1618">
        <f>AGOSTO!V163+SEPTIEMBRE!AL163</f>
        <v>0</v>
      </c>
      <c r="W163" s="1618">
        <f>AGOSTO!W163+SEPTIEMBRE!AM163</f>
        <v>0</v>
      </c>
      <c r="X163" s="1619">
        <f t="shared" si="154"/>
        <v>0</v>
      </c>
      <c r="Y163" s="1620">
        <f>AGOSTO!AA163</f>
        <v>0</v>
      </c>
      <c r="Z163" s="1557">
        <v>0</v>
      </c>
      <c r="AA163" s="1619">
        <f t="shared" si="155"/>
        <v>0</v>
      </c>
      <c r="AB163" s="1620">
        <f>AGOSTO!AD163</f>
        <v>0</v>
      </c>
      <c r="AC163" s="1557">
        <v>0</v>
      </c>
      <c r="AD163" s="1619">
        <f t="shared" si="156"/>
        <v>0</v>
      </c>
      <c r="AE163" s="1620">
        <f>AGOSTO!AG163</f>
        <v>0</v>
      </c>
      <c r="AF163" s="1557">
        <v>0</v>
      </c>
      <c r="AG163" s="1619">
        <f t="shared" si="157"/>
        <v>0</v>
      </c>
      <c r="AH163" s="1620">
        <f t="shared" si="158"/>
        <v>0</v>
      </c>
      <c r="AI163" s="1618">
        <f t="shared" si="159"/>
        <v>0</v>
      </c>
      <c r="AJ163" s="1621">
        <f t="shared" si="160"/>
        <v>0</v>
      </c>
      <c r="AK163" s="1448"/>
      <c r="AL163" s="1559">
        <v>0</v>
      </c>
      <c r="AM163" s="1560">
        <v>0</v>
      </c>
      <c r="AN163" s="1448"/>
    </row>
    <row r="164" spans="1:40" s="1572" customFormat="1" ht="24.95" customHeight="1">
      <c r="A164" s="1806"/>
      <c r="B164" s="1807"/>
      <c r="N164" s="1448"/>
      <c r="P164" s="1448"/>
      <c r="Q164" s="1448"/>
      <c r="R164" s="1448"/>
      <c r="S164" s="1662" t="str">
        <f>+IF(AGOSTO!S164=0,"",AGOSTO!S164)</f>
        <v>2020202-7</v>
      </c>
      <c r="T164" s="1663" t="str">
        <f>+IF(AGOSTO!T164=0,"",AGOSTO!T164)</f>
        <v>Servicios de Laboratorio contratados con terceros</v>
      </c>
      <c r="U164" s="1617">
        <f>+ENERO!U164</f>
        <v>0</v>
      </c>
      <c r="V164" s="1618">
        <f>AGOSTO!V164+SEPTIEMBRE!AL164</f>
        <v>0</v>
      </c>
      <c r="W164" s="1618">
        <f>AGOSTO!W164+SEPTIEMBRE!AM164</f>
        <v>0</v>
      </c>
      <c r="X164" s="1619">
        <f t="shared" si="154"/>
        <v>0</v>
      </c>
      <c r="Y164" s="1620">
        <f>AGOSTO!AA164</f>
        <v>0</v>
      </c>
      <c r="Z164" s="1557">
        <v>0</v>
      </c>
      <c r="AA164" s="1619">
        <f t="shared" si="155"/>
        <v>0</v>
      </c>
      <c r="AB164" s="1620">
        <f>AGOSTO!AD164</f>
        <v>0</v>
      </c>
      <c r="AC164" s="1557">
        <v>0</v>
      </c>
      <c r="AD164" s="1619">
        <f t="shared" si="156"/>
        <v>0</v>
      </c>
      <c r="AE164" s="1620">
        <f>AGOSTO!AG164</f>
        <v>0</v>
      </c>
      <c r="AF164" s="1557">
        <v>0</v>
      </c>
      <c r="AG164" s="1619">
        <f t="shared" si="157"/>
        <v>0</v>
      </c>
      <c r="AH164" s="1620">
        <f t="shared" si="158"/>
        <v>0</v>
      </c>
      <c r="AI164" s="1618">
        <f t="shared" si="159"/>
        <v>0</v>
      </c>
      <c r="AJ164" s="1621">
        <f t="shared" si="160"/>
        <v>0</v>
      </c>
      <c r="AK164" s="1448"/>
      <c r="AL164" s="1559">
        <v>0</v>
      </c>
      <c r="AM164" s="1560">
        <v>0</v>
      </c>
      <c r="AN164" s="1448"/>
    </row>
    <row r="165" spans="1:40" s="1572" customFormat="1" ht="24.95" customHeight="1">
      <c r="A165" s="1806"/>
      <c r="B165" s="1807"/>
      <c r="N165" s="1448"/>
      <c r="P165" s="1448"/>
      <c r="Q165" s="1448"/>
      <c r="R165" s="1448"/>
      <c r="S165" s="1662" t="str">
        <f>+IF(AGOSTO!S165=0,"",AGOSTO!S165)</f>
        <v>2020202-8</v>
      </c>
      <c r="T165" s="1663" t="str">
        <f>+IF(AGOSTO!T165=0,"",AGOSTO!T165)</f>
        <v>Servicios de Rayos X e Imaginología contratado con terceros</v>
      </c>
      <c r="U165" s="1617">
        <f>+ENERO!U165</f>
        <v>0</v>
      </c>
      <c r="V165" s="1618">
        <f>AGOSTO!V165+SEPTIEMBRE!AL165</f>
        <v>0</v>
      </c>
      <c r="W165" s="1618">
        <f>AGOSTO!W165+SEPTIEMBRE!AM165</f>
        <v>0</v>
      </c>
      <c r="X165" s="1619">
        <f t="shared" si="154"/>
        <v>0</v>
      </c>
      <c r="Y165" s="1620">
        <f>AGOSTO!AA165</f>
        <v>0</v>
      </c>
      <c r="Z165" s="1557">
        <v>0</v>
      </c>
      <c r="AA165" s="1619">
        <f t="shared" si="155"/>
        <v>0</v>
      </c>
      <c r="AB165" s="1620">
        <f>AGOSTO!AD165</f>
        <v>0</v>
      </c>
      <c r="AC165" s="1557">
        <v>0</v>
      </c>
      <c r="AD165" s="1619">
        <f t="shared" si="156"/>
        <v>0</v>
      </c>
      <c r="AE165" s="1620">
        <f>AGOSTO!AG165</f>
        <v>0</v>
      </c>
      <c r="AF165" s="1557">
        <v>0</v>
      </c>
      <c r="AG165" s="1619">
        <f t="shared" si="157"/>
        <v>0</v>
      </c>
      <c r="AH165" s="1620">
        <f t="shared" si="158"/>
        <v>0</v>
      </c>
      <c r="AI165" s="1618">
        <f t="shared" si="159"/>
        <v>0</v>
      </c>
      <c r="AJ165" s="1621">
        <f t="shared" si="160"/>
        <v>0</v>
      </c>
      <c r="AK165" s="1448"/>
      <c r="AL165" s="1559">
        <v>0</v>
      </c>
      <c r="AM165" s="1560">
        <v>0</v>
      </c>
      <c r="AN165" s="1448"/>
    </row>
    <row r="166" spans="1:40" s="1572" customFormat="1" ht="24.95" customHeight="1">
      <c r="A166" s="1806"/>
      <c r="B166" s="1807"/>
      <c r="N166" s="1448"/>
      <c r="P166" s="1448"/>
      <c r="Q166" s="1448"/>
      <c r="R166" s="1448"/>
      <c r="S166" s="1662" t="str">
        <f>+IF(AGOSTO!S166=0,"",AGOSTO!S166)</f>
        <v>2020202-9</v>
      </c>
      <c r="T166" s="1663" t="str">
        <f>+IF(AGOSTO!T166=0,"",AGOSTO!T166)</f>
        <v>Arrendamientos</v>
      </c>
      <c r="U166" s="1617">
        <f>+ENERO!U166</f>
        <v>0</v>
      </c>
      <c r="V166" s="1618">
        <f>AGOSTO!V166+SEPTIEMBRE!AL166</f>
        <v>0</v>
      </c>
      <c r="W166" s="1618">
        <f>AGOSTO!W166+SEPTIEMBRE!AM166</f>
        <v>0</v>
      </c>
      <c r="X166" s="1619">
        <f t="shared" si="154"/>
        <v>0</v>
      </c>
      <c r="Y166" s="1620">
        <f>AGOSTO!AA166</f>
        <v>0</v>
      </c>
      <c r="Z166" s="1557">
        <v>0</v>
      </c>
      <c r="AA166" s="1619">
        <f t="shared" si="155"/>
        <v>0</v>
      </c>
      <c r="AB166" s="1620">
        <f>AGOSTO!AD166</f>
        <v>0</v>
      </c>
      <c r="AC166" s="1557">
        <v>0</v>
      </c>
      <c r="AD166" s="1619">
        <f t="shared" si="156"/>
        <v>0</v>
      </c>
      <c r="AE166" s="1620">
        <f>AGOSTO!AG166</f>
        <v>0</v>
      </c>
      <c r="AF166" s="1557">
        <v>0</v>
      </c>
      <c r="AG166" s="1619">
        <f t="shared" si="157"/>
        <v>0</v>
      </c>
      <c r="AH166" s="1620">
        <f t="shared" si="158"/>
        <v>0</v>
      </c>
      <c r="AI166" s="1618">
        <f t="shared" si="159"/>
        <v>0</v>
      </c>
      <c r="AJ166" s="1621">
        <f t="shared" si="160"/>
        <v>0</v>
      </c>
      <c r="AK166" s="1448"/>
      <c r="AL166" s="1559">
        <v>0</v>
      </c>
      <c r="AM166" s="1560">
        <v>0</v>
      </c>
      <c r="AN166" s="1448"/>
    </row>
    <row r="167" spans="1:40" s="1572" customFormat="1" ht="24.95" customHeight="1">
      <c r="A167" s="1806"/>
      <c r="B167" s="1807"/>
      <c r="N167" s="1448"/>
      <c r="P167" s="1448"/>
      <c r="Q167" s="1448"/>
      <c r="R167" s="1448"/>
      <c r="S167" s="1662" t="str">
        <f>+IF(AGOSTO!S167=0,"",AGOSTO!S167)</f>
        <v>2020202-10</v>
      </c>
      <c r="T167" s="1663" t="str">
        <f>+IF(AGOSTO!T167=0,"",AGOSTO!T167)</f>
        <v>Servicios Públicos</v>
      </c>
      <c r="U167" s="1617">
        <f>+ENERO!U167</f>
        <v>0</v>
      </c>
      <c r="V167" s="1618">
        <f>AGOSTO!V167+SEPTIEMBRE!AL167</f>
        <v>0</v>
      </c>
      <c r="W167" s="1618">
        <f>AGOSTO!W167+SEPTIEMBRE!AM167</f>
        <v>0</v>
      </c>
      <c r="X167" s="1619">
        <f>SUM(U167:W167)</f>
        <v>0</v>
      </c>
      <c r="Y167" s="1620">
        <f>AGOSTO!AA167</f>
        <v>0</v>
      </c>
      <c r="Z167" s="1557">
        <v>0</v>
      </c>
      <c r="AA167" s="1619">
        <f>SUM(Y167:Z167)</f>
        <v>0</v>
      </c>
      <c r="AB167" s="1620">
        <f>AGOSTO!AD167</f>
        <v>0</v>
      </c>
      <c r="AC167" s="1557">
        <v>0</v>
      </c>
      <c r="AD167" s="1619">
        <f>SUM(AB167:AC167)</f>
        <v>0</v>
      </c>
      <c r="AE167" s="1620">
        <f>AGOSTO!AG167</f>
        <v>0</v>
      </c>
      <c r="AF167" s="1557">
        <v>0</v>
      </c>
      <c r="AG167" s="1619">
        <f>SUM(AE167:AF167)</f>
        <v>0</v>
      </c>
      <c r="AH167" s="1620">
        <f>X167-AA167</f>
        <v>0</v>
      </c>
      <c r="AI167" s="1618">
        <f>X167-AD167</f>
        <v>0</v>
      </c>
      <c r="AJ167" s="1621">
        <f>X167-AG167</f>
        <v>0</v>
      </c>
      <c r="AK167" s="1448"/>
      <c r="AL167" s="1559">
        <v>0</v>
      </c>
      <c r="AM167" s="1560">
        <v>0</v>
      </c>
      <c r="AN167" s="1448"/>
    </row>
    <row r="168" spans="1:40" s="1572" customFormat="1" ht="24.95" customHeight="1">
      <c r="A168" s="1806"/>
      <c r="B168" s="1807"/>
      <c r="N168" s="1448"/>
      <c r="P168" s="1448"/>
      <c r="Q168" s="1448"/>
      <c r="R168" s="1448"/>
      <c r="S168" s="1615">
        <f>+IF(AGOSTO!S168=0,"",AGOSTO!S168)</f>
        <v>2020299</v>
      </c>
      <c r="T168" s="1616" t="str">
        <f>+IF(AGOSTO!T168=0,"",AGOSTO!T168)</f>
        <v>Vigencias Anteriores</v>
      </c>
      <c r="U168" s="1617">
        <f>+ENERO!U168</f>
        <v>0</v>
      </c>
      <c r="V168" s="1618">
        <f>AGOSTO!V168+SEPTIEMBRE!AL168</f>
        <v>-963545983</v>
      </c>
      <c r="W168" s="1618">
        <f>AGOSTO!W168+SEPTIEMBRE!AM168</f>
        <v>1100000000</v>
      </c>
      <c r="X168" s="1619">
        <f t="shared" si="154"/>
        <v>136454017</v>
      </c>
      <c r="Y168" s="1620">
        <f>AGOSTO!AA168</f>
        <v>136454017</v>
      </c>
      <c r="Z168" s="1557">
        <v>0</v>
      </c>
      <c r="AA168" s="1619">
        <f t="shared" si="155"/>
        <v>136454017</v>
      </c>
      <c r="AB168" s="1620">
        <f>AGOSTO!AD168</f>
        <v>136454017</v>
      </c>
      <c r="AC168" s="1557">
        <v>0</v>
      </c>
      <c r="AD168" s="1619">
        <f t="shared" si="156"/>
        <v>136454017</v>
      </c>
      <c r="AE168" s="1620">
        <f>AGOSTO!AG168</f>
        <v>136454017</v>
      </c>
      <c r="AF168" s="1557">
        <v>0</v>
      </c>
      <c r="AG168" s="1619">
        <f t="shared" si="157"/>
        <v>136454017</v>
      </c>
      <c r="AH168" s="1620">
        <f t="shared" si="158"/>
        <v>0</v>
      </c>
      <c r="AI168" s="1618">
        <f t="shared" si="159"/>
        <v>0</v>
      </c>
      <c r="AJ168" s="1621">
        <f t="shared" si="160"/>
        <v>0</v>
      </c>
      <c r="AK168" s="1448"/>
      <c r="AL168" s="1559">
        <v>0</v>
      </c>
      <c r="AM168" s="1560">
        <v>0</v>
      </c>
      <c r="AN168" s="1448"/>
    </row>
    <row r="169" spans="1:40" s="1572" customFormat="1" ht="24.95" customHeight="1">
      <c r="A169" s="1806"/>
      <c r="B169" s="1807"/>
      <c r="N169" s="1448"/>
      <c r="P169" s="1448"/>
      <c r="Q169" s="1448"/>
      <c r="R169" s="1448"/>
      <c r="S169" s="1538" t="str">
        <f>+IF(AGOSTO!S169=0,"",AGOSTO!S169)</f>
        <v/>
      </c>
      <c r="T169" s="1539" t="str">
        <f>+IF(AGOSTO!T169=0,"",AGOSTO!T169)</f>
        <v/>
      </c>
      <c r="U169" s="1540"/>
      <c r="V169" s="1540"/>
      <c r="W169" s="1540"/>
      <c r="X169" s="1540"/>
      <c r="Y169" s="1540"/>
      <c r="Z169" s="1540"/>
      <c r="AA169" s="1540"/>
      <c r="AB169" s="1540"/>
      <c r="AC169" s="1540"/>
      <c r="AD169" s="1540"/>
      <c r="AE169" s="1540"/>
      <c r="AF169" s="1540">
        <v>0</v>
      </c>
      <c r="AG169" s="1540"/>
      <c r="AH169" s="1540"/>
      <c r="AI169" s="1540"/>
      <c r="AJ169" s="1541"/>
      <c r="AK169" s="1448"/>
      <c r="AL169" s="1726"/>
      <c r="AM169" s="1727"/>
      <c r="AN169" s="1448"/>
    </row>
    <row r="170" spans="1:40" s="1572" customFormat="1" ht="24.95" customHeight="1">
      <c r="A170" s="1806"/>
      <c r="B170" s="1807"/>
      <c r="N170" s="1448"/>
      <c r="P170" s="1448"/>
      <c r="Q170" s="1448"/>
      <c r="R170" s="1448"/>
      <c r="S170" s="1579">
        <f>+IF(AGOSTO!S170=0,"",AGOSTO!S170)</f>
        <v>3000000</v>
      </c>
      <c r="T170" s="1764" t="str">
        <f>+IF(AGOSTO!T170=0,"",AGOSTO!T170)</f>
        <v>TRANSFERENCIAS CORRIENTES</v>
      </c>
      <c r="U170" s="1765">
        <f t="shared" ref="U170:AJ170" si="161">U172+U176+U185</f>
        <v>139736565</v>
      </c>
      <c r="V170" s="1766">
        <f t="shared" si="161"/>
        <v>-657430</v>
      </c>
      <c r="W170" s="1766">
        <f t="shared" si="161"/>
        <v>24450868</v>
      </c>
      <c r="X170" s="1767">
        <f t="shared" si="161"/>
        <v>163530003</v>
      </c>
      <c r="Y170" s="1567">
        <f t="shared" si="161"/>
        <v>95405548</v>
      </c>
      <c r="Z170" s="1766">
        <f t="shared" si="161"/>
        <v>1538302</v>
      </c>
      <c r="AA170" s="1767">
        <f t="shared" si="161"/>
        <v>96943850</v>
      </c>
      <c r="AB170" s="1567">
        <f t="shared" si="161"/>
        <v>84151831</v>
      </c>
      <c r="AC170" s="1766">
        <f t="shared" si="161"/>
        <v>1916890</v>
      </c>
      <c r="AD170" s="1767">
        <f t="shared" si="161"/>
        <v>86068721</v>
      </c>
      <c r="AE170" s="1567">
        <f t="shared" si="161"/>
        <v>62627749</v>
      </c>
      <c r="AF170" s="1766">
        <f t="shared" si="161"/>
        <v>19258179</v>
      </c>
      <c r="AG170" s="1767">
        <f t="shared" si="161"/>
        <v>81885928</v>
      </c>
      <c r="AH170" s="1567">
        <f t="shared" si="161"/>
        <v>66586153</v>
      </c>
      <c r="AI170" s="1766">
        <f t="shared" si="161"/>
        <v>77461282</v>
      </c>
      <c r="AJ170" s="1568">
        <f t="shared" si="161"/>
        <v>81644075</v>
      </c>
      <c r="AK170" s="1448"/>
      <c r="AL170" s="1584">
        <f>AL172+AL176+AL185</f>
        <v>0</v>
      </c>
      <c r="AM170" s="1585">
        <f>AM172+AM176+AM185</f>
        <v>0</v>
      </c>
      <c r="AN170" s="1448"/>
    </row>
    <row r="171" spans="1:40" s="1572" customFormat="1" ht="24.95" customHeight="1">
      <c r="A171" s="1806"/>
      <c r="B171" s="1807"/>
      <c r="N171" s="1448"/>
      <c r="P171" s="1448"/>
      <c r="Q171" s="1448"/>
      <c r="R171" s="1448"/>
      <c r="S171" s="1538" t="str">
        <f>+IF(AGOSTO!S171=0,"",AGOSTO!S171)</f>
        <v/>
      </c>
      <c r="T171" s="1539" t="str">
        <f>+IF(AGOSTO!T171=0,"",AGOSTO!T171)</f>
        <v/>
      </c>
      <c r="U171" s="1540"/>
      <c r="V171" s="1540"/>
      <c r="W171" s="1540"/>
      <c r="X171" s="1540"/>
      <c r="Y171" s="1540"/>
      <c r="Z171" s="1540"/>
      <c r="AA171" s="1540"/>
      <c r="AB171" s="1540"/>
      <c r="AC171" s="1540"/>
      <c r="AD171" s="1540"/>
      <c r="AE171" s="1540"/>
      <c r="AF171" s="1540"/>
      <c r="AG171" s="1540"/>
      <c r="AH171" s="1540"/>
      <c r="AI171" s="1540"/>
      <c r="AJ171" s="1541"/>
      <c r="AK171" s="1448"/>
      <c r="AL171" s="1726"/>
      <c r="AM171" s="1727"/>
      <c r="AN171" s="1448"/>
    </row>
    <row r="172" spans="1:40" s="1572" customFormat="1" ht="24.95" customHeight="1">
      <c r="A172" s="1806"/>
      <c r="B172" s="1807"/>
      <c r="N172" s="1448"/>
      <c r="P172" s="1448"/>
      <c r="Q172" s="1448"/>
      <c r="R172" s="1448"/>
      <c r="S172" s="1607">
        <f>+IF(AGOSTO!S172=0,"",AGOSTO!S172)</f>
        <v>3100000</v>
      </c>
      <c r="T172" s="1608" t="str">
        <f>+IF(AGOSTO!T172=0,"",AGOSTO!T172)</f>
        <v>Transferencias al Sector Público</v>
      </c>
      <c r="U172" s="1581">
        <f t="shared" ref="U172:AJ172" si="162">SUM(U173:U174)</f>
        <v>39651901</v>
      </c>
      <c r="V172" s="1582">
        <f t="shared" si="162"/>
        <v>-357430</v>
      </c>
      <c r="W172" s="1582">
        <f t="shared" si="162"/>
        <v>21500000</v>
      </c>
      <c r="X172" s="1583">
        <f t="shared" si="162"/>
        <v>60794471</v>
      </c>
      <c r="Y172" s="1584">
        <f t="shared" si="162"/>
        <v>60010788</v>
      </c>
      <c r="Z172" s="1582">
        <f t="shared" si="162"/>
        <v>0</v>
      </c>
      <c r="AA172" s="1583">
        <f t="shared" si="162"/>
        <v>60010788</v>
      </c>
      <c r="AB172" s="1584">
        <f t="shared" si="162"/>
        <v>49232746</v>
      </c>
      <c r="AC172" s="1582">
        <f t="shared" si="162"/>
        <v>198000</v>
      </c>
      <c r="AD172" s="1583">
        <f t="shared" si="162"/>
        <v>49430746</v>
      </c>
      <c r="AE172" s="1584">
        <f t="shared" si="162"/>
        <v>31512869</v>
      </c>
      <c r="AF172" s="1582">
        <f t="shared" si="162"/>
        <v>17719877</v>
      </c>
      <c r="AG172" s="1583">
        <f t="shared" si="162"/>
        <v>49232746</v>
      </c>
      <c r="AH172" s="1584">
        <f t="shared" si="162"/>
        <v>783683</v>
      </c>
      <c r="AI172" s="1582">
        <f t="shared" si="162"/>
        <v>11363725</v>
      </c>
      <c r="AJ172" s="1585">
        <f t="shared" si="162"/>
        <v>11561725</v>
      </c>
      <c r="AK172" s="1448"/>
      <c r="AL172" s="1584">
        <f>SUM(AL173:AL174)</f>
        <v>0</v>
      </c>
      <c r="AM172" s="1585">
        <f>SUM(AM173:AM174)</f>
        <v>0</v>
      </c>
      <c r="AN172" s="1448"/>
    </row>
    <row r="173" spans="1:40" s="1572" customFormat="1" ht="24.95" customHeight="1">
      <c r="A173" s="1806"/>
      <c r="B173" s="1807"/>
      <c r="N173" s="1448"/>
      <c r="P173" s="1448"/>
      <c r="Q173" s="1448"/>
      <c r="R173" s="1448"/>
      <c r="S173" s="1615">
        <f>+IF(AGOSTO!S173=0,"",AGOSTO!S173)</f>
        <v>3100003</v>
      </c>
      <c r="T173" s="1616" t="str">
        <f>+IF(AGOSTO!T173=0,"",AGOSTO!T173)</f>
        <v>Entidades Públicas (Contraloria, Supersalud,…)</v>
      </c>
      <c r="U173" s="1617">
        <f>+ENERO!U173</f>
        <v>39651901</v>
      </c>
      <c r="V173" s="1618">
        <f>AGOSTO!V173+SEPTIEMBRE!AL173</f>
        <v>-357430</v>
      </c>
      <c r="W173" s="1618">
        <f>AGOSTO!W173+SEPTIEMBRE!AM173</f>
        <v>21500000</v>
      </c>
      <c r="X173" s="1619">
        <f>SUM(U173:W173)</f>
        <v>60794471</v>
      </c>
      <c r="Y173" s="1620">
        <f>AGOSTO!AA173</f>
        <v>60010788</v>
      </c>
      <c r="Z173" s="1557">
        <v>0</v>
      </c>
      <c r="AA173" s="1619">
        <f>SUM(Y173:Z173)</f>
        <v>60010788</v>
      </c>
      <c r="AB173" s="1620">
        <f>AGOSTO!AD173</f>
        <v>49232746</v>
      </c>
      <c r="AC173" s="1557">
        <v>198000</v>
      </c>
      <c r="AD173" s="1619">
        <f>SUM(AB173:AC173)</f>
        <v>49430746</v>
      </c>
      <c r="AE173" s="1620">
        <f>AGOSTO!AG173</f>
        <v>31512869</v>
      </c>
      <c r="AF173" s="1557">
        <v>17719877</v>
      </c>
      <c r="AG173" s="1619">
        <f>SUM(AE173:AF173)</f>
        <v>49232746</v>
      </c>
      <c r="AH173" s="1620">
        <f>X173-AA173</f>
        <v>783683</v>
      </c>
      <c r="AI173" s="1618">
        <f>X173-AD173</f>
        <v>11363725</v>
      </c>
      <c r="AJ173" s="1621">
        <f>X173-AG173</f>
        <v>11561725</v>
      </c>
      <c r="AK173" s="1448"/>
      <c r="AL173" s="1559">
        <v>0</v>
      </c>
      <c r="AM173" s="1560">
        <v>0</v>
      </c>
      <c r="AN173" s="1448"/>
    </row>
    <row r="174" spans="1:40" s="1572" customFormat="1" ht="24.95" customHeight="1">
      <c r="A174" s="1806"/>
      <c r="B174" s="1807"/>
      <c r="N174" s="1448"/>
      <c r="P174" s="1448"/>
      <c r="Q174" s="1448"/>
      <c r="R174" s="1448"/>
      <c r="S174" s="1615">
        <f>+IF(AGOSTO!S174=0,"",AGOSTO!S174)</f>
        <v>3199999</v>
      </c>
      <c r="T174" s="1616" t="str">
        <f>+IF(AGOSTO!T174=0,"",AGOSTO!T174)</f>
        <v>Vigencias Anteriores</v>
      </c>
      <c r="U174" s="1617">
        <f>+ENERO!U174</f>
        <v>0</v>
      </c>
      <c r="V174" s="1618">
        <f>AGOSTO!V174+SEPTIEMBRE!AL174</f>
        <v>0</v>
      </c>
      <c r="W174" s="1618">
        <f>AGOSTO!W174+SEPTIEMBRE!AM174</f>
        <v>0</v>
      </c>
      <c r="X174" s="1619">
        <f>SUM(U174:W174)</f>
        <v>0</v>
      </c>
      <c r="Y174" s="1620">
        <f>AGOSTO!AA174</f>
        <v>0</v>
      </c>
      <c r="Z174" s="1557">
        <v>0</v>
      </c>
      <c r="AA174" s="1619">
        <f>SUM(Y174:Z174)</f>
        <v>0</v>
      </c>
      <c r="AB174" s="1620">
        <f>AGOSTO!AD174</f>
        <v>0</v>
      </c>
      <c r="AC174" s="1557">
        <v>0</v>
      </c>
      <c r="AD174" s="1619">
        <f>SUM(AB174:AC174)</f>
        <v>0</v>
      </c>
      <c r="AE174" s="1620">
        <f>AGOSTO!AG174</f>
        <v>0</v>
      </c>
      <c r="AF174" s="1557">
        <v>0</v>
      </c>
      <c r="AG174" s="1619">
        <f>SUM(AE174:AF174)</f>
        <v>0</v>
      </c>
      <c r="AH174" s="1620">
        <f>X174-AA174</f>
        <v>0</v>
      </c>
      <c r="AI174" s="1618">
        <f>X174-AD174</f>
        <v>0</v>
      </c>
      <c r="AJ174" s="1621">
        <f>X174-AG174</f>
        <v>0</v>
      </c>
      <c r="AK174" s="1448"/>
      <c r="AL174" s="1559">
        <v>0</v>
      </c>
      <c r="AM174" s="1560">
        <v>0</v>
      </c>
      <c r="AN174" s="1448"/>
    </row>
    <row r="175" spans="1:40" s="1572" customFormat="1" ht="24.95" customHeight="1">
      <c r="A175" s="1806"/>
      <c r="B175" s="1807"/>
      <c r="N175" s="1448"/>
      <c r="P175" s="1448"/>
      <c r="Q175" s="1448"/>
      <c r="R175" s="1448"/>
      <c r="S175" s="1538" t="str">
        <f>+IF(AGOSTO!S175=0,"",AGOSTO!S175)</f>
        <v/>
      </c>
      <c r="T175" s="1539" t="str">
        <f>+IF(AGOSTO!T175=0,"",AGOSTO!T175)</f>
        <v/>
      </c>
      <c r="U175" s="1540"/>
      <c r="V175" s="1540"/>
      <c r="W175" s="1540"/>
      <c r="X175" s="1540"/>
      <c r="Y175" s="1540"/>
      <c r="Z175" s="1540"/>
      <c r="AA175" s="1540"/>
      <c r="AB175" s="1540"/>
      <c r="AC175" s="1540"/>
      <c r="AD175" s="1540"/>
      <c r="AE175" s="1540"/>
      <c r="AF175" s="1540"/>
      <c r="AG175" s="1540"/>
      <c r="AH175" s="1540"/>
      <c r="AI175" s="1540"/>
      <c r="AJ175" s="1541"/>
      <c r="AK175" s="1566"/>
      <c r="AL175" s="1726"/>
      <c r="AM175" s="1727"/>
      <c r="AN175" s="1448"/>
    </row>
    <row r="176" spans="1:40" s="1572" customFormat="1" ht="24.95" customHeight="1">
      <c r="A176" s="1806"/>
      <c r="B176" s="1807"/>
      <c r="N176" s="1448"/>
      <c r="P176" s="1448"/>
      <c r="Q176" s="1448"/>
      <c r="R176" s="1448"/>
      <c r="S176" s="1607">
        <f>+IF(AGOSTO!S176=0,"",AGOSTO!S176)</f>
        <v>320000</v>
      </c>
      <c r="T176" s="1608" t="str">
        <f>+IF(AGOSTO!T176=0,"",AGOSTO!T176)</f>
        <v>Transf. Previsión y Seguridad Social</v>
      </c>
      <c r="U176" s="1581">
        <f t="shared" ref="U176:AJ176" si="163">SUM(U177:U183)</f>
        <v>50084664</v>
      </c>
      <c r="V176" s="1582">
        <f t="shared" si="163"/>
        <v>0</v>
      </c>
      <c r="W176" s="1582">
        <f t="shared" si="163"/>
        <v>0</v>
      </c>
      <c r="X176" s="1583">
        <f t="shared" si="163"/>
        <v>50084664</v>
      </c>
      <c r="Y176" s="1584">
        <f t="shared" si="163"/>
        <v>23145138</v>
      </c>
      <c r="Z176" s="1582">
        <f t="shared" si="163"/>
        <v>1538302</v>
      </c>
      <c r="AA176" s="1583">
        <f t="shared" si="163"/>
        <v>24683440</v>
      </c>
      <c r="AB176" s="1584">
        <f t="shared" si="163"/>
        <v>22964550</v>
      </c>
      <c r="AC176" s="1582">
        <f t="shared" si="163"/>
        <v>1718890</v>
      </c>
      <c r="AD176" s="1583">
        <f t="shared" si="163"/>
        <v>24683440</v>
      </c>
      <c r="AE176" s="1584">
        <f t="shared" si="163"/>
        <v>22254013</v>
      </c>
      <c r="AF176" s="1582">
        <f t="shared" si="163"/>
        <v>1538302</v>
      </c>
      <c r="AG176" s="1583">
        <f t="shared" si="163"/>
        <v>23792315</v>
      </c>
      <c r="AH176" s="1584">
        <f t="shared" si="163"/>
        <v>25401224</v>
      </c>
      <c r="AI176" s="1582">
        <f t="shared" si="163"/>
        <v>25401224</v>
      </c>
      <c r="AJ176" s="1585">
        <f t="shared" si="163"/>
        <v>26292349</v>
      </c>
      <c r="AK176" s="1448"/>
      <c r="AL176" s="1584">
        <f>SUM(AL177:AL183)</f>
        <v>0</v>
      </c>
      <c r="AM176" s="1585">
        <f>SUM(AM177:AM183)</f>
        <v>0</v>
      </c>
      <c r="AN176" s="1448"/>
    </row>
    <row r="177" spans="1:40" s="1572" customFormat="1" ht="24.95" customHeight="1">
      <c r="A177" s="1806"/>
      <c r="B177" s="1807"/>
      <c r="N177" s="1448"/>
      <c r="P177" s="1448"/>
      <c r="Q177" s="1448"/>
      <c r="R177" s="1448"/>
      <c r="S177" s="1615">
        <f>+IF(AGOSTO!S177=0,"",AGOSTO!S177)</f>
        <v>3200100</v>
      </c>
      <c r="T177" s="1616" t="str">
        <f>+IF(AGOSTO!T177=0,"",AGOSTO!T177)</f>
        <v>Pensiones y Jubilaciones (Pago Directo)</v>
      </c>
      <c r="U177" s="1617">
        <f>+ENERO!U177</f>
        <v>18619412</v>
      </c>
      <c r="V177" s="1618">
        <f>AGOSTO!V177+SEPTIEMBRE!AL177</f>
        <v>0</v>
      </c>
      <c r="W177" s="1618">
        <f>AGOSTO!W177+SEPTIEMBRE!AM177</f>
        <v>0</v>
      </c>
      <c r="X177" s="1619">
        <f t="shared" ref="X177:X183" si="164">SUM(U177:W177)</f>
        <v>18619412</v>
      </c>
      <c r="Y177" s="1620">
        <f>AGOSTO!AA177</f>
        <v>9287747</v>
      </c>
      <c r="Z177" s="1557">
        <v>1326821</v>
      </c>
      <c r="AA177" s="1619">
        <f t="shared" ref="AA177:AA183" si="165">SUM(Y177:Z177)</f>
        <v>10614568</v>
      </c>
      <c r="AB177" s="1620">
        <f>AGOSTO!AD177</f>
        <v>9287747</v>
      </c>
      <c r="AC177" s="1557">
        <v>1326821</v>
      </c>
      <c r="AD177" s="1619">
        <f t="shared" ref="AD177:AD183" si="166">SUM(AB177:AC177)</f>
        <v>10614568</v>
      </c>
      <c r="AE177" s="1620">
        <f>AGOSTO!AG177</f>
        <v>9287747</v>
      </c>
      <c r="AF177" s="1557">
        <v>1326821</v>
      </c>
      <c r="AG177" s="1619">
        <f t="shared" ref="AG177:AG183" si="167">SUM(AE177:AF177)</f>
        <v>10614568</v>
      </c>
      <c r="AH177" s="1620">
        <f t="shared" ref="AH177:AH183" si="168">X177-AA177</f>
        <v>8004844</v>
      </c>
      <c r="AI177" s="1618">
        <f t="shared" ref="AI177:AI183" si="169">X177-AD177</f>
        <v>8004844</v>
      </c>
      <c r="AJ177" s="1621">
        <f t="shared" ref="AJ177:AJ183" si="170">X177-AG177</f>
        <v>8004844</v>
      </c>
      <c r="AK177" s="1448"/>
      <c r="AL177" s="1559">
        <v>0</v>
      </c>
      <c r="AM177" s="1560">
        <v>0</v>
      </c>
      <c r="AN177" s="1448"/>
    </row>
    <row r="178" spans="1:40" s="1572" customFormat="1" ht="24.95" customHeight="1">
      <c r="A178" s="1806"/>
      <c r="B178" s="1807"/>
      <c r="N178" s="1448"/>
      <c r="P178" s="1448"/>
      <c r="Q178" s="1448"/>
      <c r="R178" s="1448"/>
      <c r="S178" s="1615">
        <f>+IF(AGOSTO!S178=0,"",AGOSTO!S178)</f>
        <v>3200200</v>
      </c>
      <c r="T178" s="1616" t="str">
        <f>+IF(AGOSTO!T178=0,"",AGOSTO!T178)</f>
        <v>Cesantías Pago Directo (Pago Directo)</v>
      </c>
      <c r="U178" s="1617">
        <f>+ENERO!U178</f>
        <v>14936566</v>
      </c>
      <c r="V178" s="1618">
        <f>AGOSTO!V178+SEPTIEMBRE!AL178</f>
        <v>0</v>
      </c>
      <c r="W178" s="1618">
        <f>AGOSTO!W178+SEPTIEMBRE!AM178</f>
        <v>0</v>
      </c>
      <c r="X178" s="1619">
        <f t="shared" si="164"/>
        <v>14936566</v>
      </c>
      <c r="Y178" s="1620">
        <f>AGOSTO!AA178</f>
        <v>331170</v>
      </c>
      <c r="Z178" s="1557">
        <v>0</v>
      </c>
      <c r="AA178" s="1619">
        <f t="shared" si="165"/>
        <v>331170</v>
      </c>
      <c r="AB178" s="1620">
        <f>AGOSTO!AD178</f>
        <v>331170</v>
      </c>
      <c r="AC178" s="1557">
        <v>0</v>
      </c>
      <c r="AD178" s="1619">
        <f t="shared" si="166"/>
        <v>331170</v>
      </c>
      <c r="AE178" s="1620">
        <f>AGOSTO!AG178</f>
        <v>331170</v>
      </c>
      <c r="AF178" s="1557">
        <v>0</v>
      </c>
      <c r="AG178" s="1619">
        <f t="shared" si="167"/>
        <v>331170</v>
      </c>
      <c r="AH178" s="1620">
        <f t="shared" si="168"/>
        <v>14605396</v>
      </c>
      <c r="AI178" s="1618">
        <f t="shared" si="169"/>
        <v>14605396</v>
      </c>
      <c r="AJ178" s="1621">
        <f t="shared" si="170"/>
        <v>14605396</v>
      </c>
      <c r="AK178" s="1448"/>
      <c r="AL178" s="1559">
        <v>0</v>
      </c>
      <c r="AM178" s="1560">
        <v>0</v>
      </c>
      <c r="AN178" s="1448"/>
    </row>
    <row r="179" spans="1:40" s="1572" customFormat="1" ht="24.95" customHeight="1">
      <c r="A179" s="1806"/>
      <c r="B179" s="1807"/>
      <c r="N179" s="1448"/>
      <c r="P179" s="1448"/>
      <c r="Q179" s="1448"/>
      <c r="R179" s="1448"/>
      <c r="S179" s="1615">
        <f>+IF(AGOSTO!S179=0,"",AGOSTO!S179)</f>
        <v>3200300</v>
      </c>
      <c r="T179" s="1616" t="str">
        <f>+IF(AGOSTO!T179=0,"",AGOSTO!T179)</f>
        <v>Bonos, Cuotas de Bonos y cuotas partes jubilatorias</v>
      </c>
      <c r="U179" s="1617">
        <f>+ENERO!U179</f>
        <v>0</v>
      </c>
      <c r="V179" s="1618">
        <f>AGOSTO!V179+SEPTIEMBRE!AL179</f>
        <v>4000000</v>
      </c>
      <c r="W179" s="1618">
        <f>AGOSTO!W179+SEPTIEMBRE!AM179</f>
        <v>0</v>
      </c>
      <c r="X179" s="1619">
        <f t="shared" si="164"/>
        <v>4000000</v>
      </c>
      <c r="Y179" s="1620">
        <f>AGOSTO!AA179</f>
        <v>1960260</v>
      </c>
      <c r="Z179" s="1557">
        <v>0</v>
      </c>
      <c r="AA179" s="1619">
        <f t="shared" si="165"/>
        <v>1960260</v>
      </c>
      <c r="AB179" s="1620">
        <f>AGOSTO!AD179</f>
        <v>1779672</v>
      </c>
      <c r="AC179" s="1557">
        <v>180588</v>
      </c>
      <c r="AD179" s="1619">
        <f t="shared" si="166"/>
        <v>1960260</v>
      </c>
      <c r="AE179" s="1620">
        <f>AGOSTO!AG179</f>
        <v>1069135</v>
      </c>
      <c r="AF179" s="1557">
        <v>0</v>
      </c>
      <c r="AG179" s="1619">
        <f t="shared" si="167"/>
        <v>1069135</v>
      </c>
      <c r="AH179" s="1620">
        <f t="shared" si="168"/>
        <v>2039740</v>
      </c>
      <c r="AI179" s="1618">
        <f t="shared" si="169"/>
        <v>2039740</v>
      </c>
      <c r="AJ179" s="1621">
        <f t="shared" si="170"/>
        <v>2930865</v>
      </c>
      <c r="AK179" s="1448"/>
      <c r="AL179" s="1559">
        <v>0</v>
      </c>
      <c r="AM179" s="1560">
        <v>0</v>
      </c>
      <c r="AN179" s="1448"/>
    </row>
    <row r="180" spans="1:40" s="1572" customFormat="1" ht="24.95" customHeight="1">
      <c r="A180" s="1806"/>
      <c r="B180" s="1807"/>
      <c r="N180" s="1448"/>
      <c r="P180" s="1448"/>
      <c r="Q180" s="1448"/>
      <c r="R180" s="1448"/>
      <c r="S180" s="1615">
        <f>+IF(AGOSTO!S180=0,"",AGOSTO!S180)</f>
        <v>3200400</v>
      </c>
      <c r="T180" s="1616" t="str">
        <f>+IF(AGOSTO!T180=0,"",AGOSTO!T180)</f>
        <v>Intereses a las cesantias</v>
      </c>
      <c r="U180" s="1617">
        <f>+ENERO!U180</f>
        <v>16528686</v>
      </c>
      <c r="V180" s="1618">
        <f>AGOSTO!V180+SEPTIEMBRE!AL180</f>
        <v>-4000000</v>
      </c>
      <c r="W180" s="1618">
        <f>AGOSTO!W180+SEPTIEMBRE!AM180</f>
        <v>0</v>
      </c>
      <c r="X180" s="1619">
        <f t="shared" si="164"/>
        <v>12528686</v>
      </c>
      <c r="Y180" s="1620">
        <f>AGOSTO!AA180</f>
        <v>11565961</v>
      </c>
      <c r="Z180" s="1557">
        <v>211481</v>
      </c>
      <c r="AA180" s="1619">
        <f t="shared" si="165"/>
        <v>11777442</v>
      </c>
      <c r="AB180" s="1620">
        <f>AGOSTO!AD180</f>
        <v>11565961</v>
      </c>
      <c r="AC180" s="1557">
        <v>211481</v>
      </c>
      <c r="AD180" s="1619">
        <f t="shared" si="166"/>
        <v>11777442</v>
      </c>
      <c r="AE180" s="1620">
        <f>AGOSTO!AG180</f>
        <v>11565961</v>
      </c>
      <c r="AF180" s="1557">
        <v>211481</v>
      </c>
      <c r="AG180" s="1619">
        <f t="shared" si="167"/>
        <v>11777442</v>
      </c>
      <c r="AH180" s="1620">
        <f t="shared" si="168"/>
        <v>751244</v>
      </c>
      <c r="AI180" s="1618">
        <f t="shared" si="169"/>
        <v>751244</v>
      </c>
      <c r="AJ180" s="1621">
        <f t="shared" si="170"/>
        <v>751244</v>
      </c>
      <c r="AK180" s="1448"/>
      <c r="AL180" s="1559">
        <v>0</v>
      </c>
      <c r="AM180" s="1560">
        <v>0</v>
      </c>
      <c r="AN180" s="1448"/>
    </row>
    <row r="181" spans="1:40" s="1572" customFormat="1" ht="24.95" customHeight="1">
      <c r="A181" s="1806"/>
      <c r="B181" s="1807"/>
      <c r="N181" s="1448"/>
      <c r="P181" s="1448"/>
      <c r="Q181" s="1448"/>
      <c r="R181" s="1448"/>
      <c r="S181" s="1615" t="str">
        <f>+IF(AGOSTO!S181=0,"",AGOSTO!S181)</f>
        <v/>
      </c>
      <c r="T181" s="1616" t="str">
        <f>+IF(AGOSTO!T181=0,"",AGOSTO!T181)</f>
        <v/>
      </c>
      <c r="U181" s="1617">
        <f>+ENERO!U181</f>
        <v>0</v>
      </c>
      <c r="V181" s="1618">
        <f>AGOSTO!V181+SEPTIEMBRE!AL181</f>
        <v>0</v>
      </c>
      <c r="W181" s="1618">
        <f>AGOSTO!W181+SEPTIEMBRE!AM181</f>
        <v>0</v>
      </c>
      <c r="X181" s="1619">
        <f t="shared" si="164"/>
        <v>0</v>
      </c>
      <c r="Y181" s="1620">
        <f>AGOSTO!AA181</f>
        <v>0</v>
      </c>
      <c r="Z181" s="1557">
        <v>0</v>
      </c>
      <c r="AA181" s="1619">
        <f t="shared" si="165"/>
        <v>0</v>
      </c>
      <c r="AB181" s="1620">
        <f>AGOSTO!AD181</f>
        <v>0</v>
      </c>
      <c r="AC181" s="1557">
        <v>0</v>
      </c>
      <c r="AD181" s="1619">
        <f t="shared" si="166"/>
        <v>0</v>
      </c>
      <c r="AE181" s="1620">
        <f>AGOSTO!AG181</f>
        <v>0</v>
      </c>
      <c r="AF181" s="1557">
        <v>0</v>
      </c>
      <c r="AG181" s="1619">
        <f t="shared" si="167"/>
        <v>0</v>
      </c>
      <c r="AH181" s="1620">
        <f t="shared" si="168"/>
        <v>0</v>
      </c>
      <c r="AI181" s="1618">
        <f t="shared" si="169"/>
        <v>0</v>
      </c>
      <c r="AJ181" s="1621">
        <f t="shared" si="170"/>
        <v>0</v>
      </c>
      <c r="AK181" s="1448"/>
      <c r="AL181" s="1559">
        <v>0</v>
      </c>
      <c r="AM181" s="1560">
        <v>0</v>
      </c>
      <c r="AN181" s="1448"/>
    </row>
    <row r="182" spans="1:40" s="1572" customFormat="1" ht="24.95" customHeight="1">
      <c r="A182" s="1806"/>
      <c r="B182" s="1807"/>
      <c r="N182" s="1448"/>
      <c r="P182" s="1448"/>
      <c r="Q182" s="1448"/>
      <c r="R182" s="1448"/>
      <c r="S182" s="1615" t="str">
        <f>+IF(AGOSTO!S182=0,"",AGOSTO!S182)</f>
        <v/>
      </c>
      <c r="T182" s="1616" t="str">
        <f>+IF(AGOSTO!T182=0,"",AGOSTO!T182)</f>
        <v/>
      </c>
      <c r="U182" s="1617">
        <f>+ENERO!U182</f>
        <v>0</v>
      </c>
      <c r="V182" s="1618">
        <f>AGOSTO!V182+SEPTIEMBRE!AL182</f>
        <v>0</v>
      </c>
      <c r="W182" s="1618">
        <f>AGOSTO!W182+SEPTIEMBRE!AM182</f>
        <v>0</v>
      </c>
      <c r="X182" s="1619">
        <f t="shared" si="164"/>
        <v>0</v>
      </c>
      <c r="Y182" s="1620">
        <f>AGOSTO!AA182</f>
        <v>0</v>
      </c>
      <c r="Z182" s="1557">
        <v>0</v>
      </c>
      <c r="AA182" s="1619">
        <f t="shared" si="165"/>
        <v>0</v>
      </c>
      <c r="AB182" s="1620">
        <f>AGOSTO!AD182</f>
        <v>0</v>
      </c>
      <c r="AC182" s="1557">
        <v>0</v>
      </c>
      <c r="AD182" s="1619">
        <f t="shared" si="166"/>
        <v>0</v>
      </c>
      <c r="AE182" s="1620">
        <f>AGOSTO!AG182</f>
        <v>0</v>
      </c>
      <c r="AF182" s="1557">
        <v>0</v>
      </c>
      <c r="AG182" s="1619">
        <f t="shared" si="167"/>
        <v>0</v>
      </c>
      <c r="AH182" s="1620">
        <f t="shared" si="168"/>
        <v>0</v>
      </c>
      <c r="AI182" s="1618">
        <f t="shared" si="169"/>
        <v>0</v>
      </c>
      <c r="AJ182" s="1621">
        <f t="shared" si="170"/>
        <v>0</v>
      </c>
      <c r="AK182" s="1448"/>
      <c r="AL182" s="1559">
        <v>0</v>
      </c>
      <c r="AM182" s="1560">
        <v>0</v>
      </c>
      <c r="AN182" s="1448"/>
    </row>
    <row r="183" spans="1:40" s="1572" customFormat="1" ht="24.95" customHeight="1">
      <c r="A183" s="1806"/>
      <c r="B183" s="1807"/>
      <c r="N183" s="1448"/>
      <c r="P183" s="1448"/>
      <c r="Q183" s="1448"/>
      <c r="R183" s="1448"/>
      <c r="S183" s="1615">
        <f>+IF(AGOSTO!S183=0,"",AGOSTO!S183)</f>
        <v>3299999</v>
      </c>
      <c r="T183" s="1616" t="str">
        <f>+IF(AGOSTO!T183=0,"",AGOSTO!T183)</f>
        <v>Vigencias Anteriores</v>
      </c>
      <c r="U183" s="1617">
        <f>+ENERO!U183</f>
        <v>0</v>
      </c>
      <c r="V183" s="1618">
        <f>AGOSTO!V183+SEPTIEMBRE!AL183</f>
        <v>0</v>
      </c>
      <c r="W183" s="1618">
        <f>AGOSTO!W183+SEPTIEMBRE!AM183</f>
        <v>0</v>
      </c>
      <c r="X183" s="1619">
        <f t="shared" si="164"/>
        <v>0</v>
      </c>
      <c r="Y183" s="1620">
        <f>AGOSTO!AA183</f>
        <v>0</v>
      </c>
      <c r="Z183" s="1557">
        <v>0</v>
      </c>
      <c r="AA183" s="1619">
        <f t="shared" si="165"/>
        <v>0</v>
      </c>
      <c r="AB183" s="1620">
        <f>AGOSTO!AD183</f>
        <v>0</v>
      </c>
      <c r="AC183" s="1557">
        <v>0</v>
      </c>
      <c r="AD183" s="1619">
        <f t="shared" si="166"/>
        <v>0</v>
      </c>
      <c r="AE183" s="1620">
        <f>AGOSTO!AG183</f>
        <v>0</v>
      </c>
      <c r="AF183" s="1557">
        <v>0</v>
      </c>
      <c r="AG183" s="1619">
        <f t="shared" si="167"/>
        <v>0</v>
      </c>
      <c r="AH183" s="1620">
        <f t="shared" si="168"/>
        <v>0</v>
      </c>
      <c r="AI183" s="1618">
        <f t="shared" si="169"/>
        <v>0</v>
      </c>
      <c r="AJ183" s="1621">
        <f t="shared" si="170"/>
        <v>0</v>
      </c>
      <c r="AK183" s="1448"/>
      <c r="AL183" s="1559">
        <v>0</v>
      </c>
      <c r="AM183" s="1560">
        <v>0</v>
      </c>
      <c r="AN183" s="1448"/>
    </row>
    <row r="184" spans="1:40" s="1572" customFormat="1" ht="24.95" customHeight="1">
      <c r="A184" s="1806"/>
      <c r="B184" s="1807"/>
      <c r="N184" s="1448"/>
      <c r="P184" s="1448"/>
      <c r="Q184" s="1448"/>
      <c r="R184" s="1448"/>
      <c r="S184" s="1538" t="str">
        <f>+IF(AGOSTO!S184=0,"",AGOSTO!S184)</f>
        <v/>
      </c>
      <c r="T184" s="1539" t="str">
        <f>+IF(AGOSTO!T184=0,"",AGOSTO!T184)</f>
        <v/>
      </c>
      <c r="U184" s="1540"/>
      <c r="V184" s="1540"/>
      <c r="W184" s="1540"/>
      <c r="X184" s="1540"/>
      <c r="Y184" s="1540"/>
      <c r="Z184" s="1540"/>
      <c r="AA184" s="1540"/>
      <c r="AB184" s="1540"/>
      <c r="AC184" s="1540"/>
      <c r="AD184" s="1540"/>
      <c r="AE184" s="1540"/>
      <c r="AF184" s="1540"/>
      <c r="AG184" s="1540"/>
      <c r="AH184" s="1540"/>
      <c r="AI184" s="1540"/>
      <c r="AJ184" s="1541"/>
      <c r="AK184" s="1448"/>
      <c r="AL184" s="1726"/>
      <c r="AM184" s="1727"/>
      <c r="AN184" s="1448"/>
    </row>
    <row r="185" spans="1:40" s="1572" customFormat="1" ht="24.95" customHeight="1">
      <c r="A185" s="1806"/>
      <c r="B185" s="1807"/>
      <c r="N185" s="1448"/>
      <c r="P185" s="1448"/>
      <c r="Q185" s="1448"/>
      <c r="R185" s="1448"/>
      <c r="S185" s="1607">
        <f>+IF(AGOSTO!S185=0,"",AGOSTO!S185)</f>
        <v>3300000</v>
      </c>
      <c r="T185" s="1608" t="str">
        <f>+IF(AGOSTO!T185=0,"",AGOSTO!T185)</f>
        <v>Otras Transferencias</v>
      </c>
      <c r="U185" s="1581">
        <f t="shared" ref="U185:AJ185" si="171">U186+U187+U191</f>
        <v>50000000</v>
      </c>
      <c r="V185" s="1582">
        <f t="shared" si="171"/>
        <v>-300000</v>
      </c>
      <c r="W185" s="1582">
        <f t="shared" si="171"/>
        <v>2950868</v>
      </c>
      <c r="X185" s="1583">
        <f t="shared" si="171"/>
        <v>52650868</v>
      </c>
      <c r="Y185" s="1584">
        <f t="shared" si="171"/>
        <v>12249622</v>
      </c>
      <c r="Z185" s="1582">
        <f t="shared" si="171"/>
        <v>0</v>
      </c>
      <c r="AA185" s="1583">
        <f t="shared" si="171"/>
        <v>12249622</v>
      </c>
      <c r="AB185" s="1584">
        <f t="shared" si="171"/>
        <v>11954535</v>
      </c>
      <c r="AC185" s="1582">
        <f t="shared" si="171"/>
        <v>0</v>
      </c>
      <c r="AD185" s="1583">
        <f t="shared" si="171"/>
        <v>11954535</v>
      </c>
      <c r="AE185" s="1584">
        <f t="shared" si="171"/>
        <v>8860867</v>
      </c>
      <c r="AF185" s="1582">
        <f t="shared" si="171"/>
        <v>0</v>
      </c>
      <c r="AG185" s="1583">
        <f t="shared" si="171"/>
        <v>8860867</v>
      </c>
      <c r="AH185" s="1584">
        <f t="shared" si="171"/>
        <v>40401246</v>
      </c>
      <c r="AI185" s="1582">
        <f t="shared" si="171"/>
        <v>40696333</v>
      </c>
      <c r="AJ185" s="1585">
        <f t="shared" si="171"/>
        <v>43790001</v>
      </c>
      <c r="AK185" s="1448"/>
      <c r="AL185" s="1584">
        <f>AL186+AL187+AL191</f>
        <v>0</v>
      </c>
      <c r="AM185" s="1585">
        <f>AM186+AM187+AM191</f>
        <v>0</v>
      </c>
      <c r="AN185" s="1448"/>
    </row>
    <row r="186" spans="1:40" s="1572" customFormat="1" ht="24.95" customHeight="1">
      <c r="A186" s="1806"/>
      <c r="B186" s="1807"/>
      <c r="N186" s="1448"/>
      <c r="P186" s="1448"/>
      <c r="Q186" s="1448"/>
      <c r="R186" s="1448"/>
      <c r="S186" s="1615">
        <f>+IF(AGOSTO!S186=0,"",AGOSTO!S186)</f>
        <v>3300100</v>
      </c>
      <c r="T186" s="1616" t="str">
        <f>+IF(AGOSTO!T186=0,"",AGOSTO!T186)</f>
        <v>Sentencias y Conciliaciones</v>
      </c>
      <c r="U186" s="1617">
        <f>+ENERO!U186</f>
        <v>50000000</v>
      </c>
      <c r="V186" s="1618">
        <f>AGOSTO!V186+SEPTIEMBRE!AL186</f>
        <v>-3393668</v>
      </c>
      <c r="W186" s="1618">
        <f>AGOSTO!W186+SEPTIEMBRE!AM186</f>
        <v>0</v>
      </c>
      <c r="X186" s="1619">
        <f>SUM(U186:W186)</f>
        <v>46606332</v>
      </c>
      <c r="Y186" s="1620">
        <f>AGOSTO!AA186</f>
        <v>6205086</v>
      </c>
      <c r="Z186" s="1557">
        <v>0</v>
      </c>
      <c r="AA186" s="1619">
        <f>SUM(Y186:Z186)</f>
        <v>6205086</v>
      </c>
      <c r="AB186" s="1620">
        <f>AGOSTO!AD186</f>
        <v>6205086</v>
      </c>
      <c r="AC186" s="1557">
        <v>0</v>
      </c>
      <c r="AD186" s="1619">
        <f>SUM(AB186:AC186)</f>
        <v>6205086</v>
      </c>
      <c r="AE186" s="1620">
        <f>AGOSTO!AG186</f>
        <v>6205086</v>
      </c>
      <c r="AF186" s="1557">
        <v>0</v>
      </c>
      <c r="AG186" s="1619">
        <f>SUM(AE186:AF186)</f>
        <v>6205086</v>
      </c>
      <c r="AH186" s="1620">
        <f>X186-AA186</f>
        <v>40401246</v>
      </c>
      <c r="AI186" s="1618">
        <f>X186-AD186</f>
        <v>40401246</v>
      </c>
      <c r="AJ186" s="1621">
        <f>X186-AG186</f>
        <v>40401246</v>
      </c>
      <c r="AK186" s="1448"/>
      <c r="AL186" s="1559">
        <v>0</v>
      </c>
      <c r="AM186" s="1560">
        <v>0</v>
      </c>
      <c r="AN186" s="1448"/>
    </row>
    <row r="187" spans="1:40" s="1572" customFormat="1" ht="24.95" customHeight="1">
      <c r="A187" s="1806"/>
      <c r="B187" s="1807"/>
      <c r="N187" s="1448"/>
      <c r="P187" s="1448"/>
      <c r="Q187" s="1448"/>
      <c r="R187" s="1448"/>
      <c r="S187" s="1615">
        <f>+IF(AGOSTO!S187=0,"",AGOSTO!S187)</f>
        <v>3300200</v>
      </c>
      <c r="T187" s="1616" t="str">
        <f>+IF(AGOSTO!T187=0,"",AGOSTO!T187)</f>
        <v>Destinatarios de otras transferencias</v>
      </c>
      <c r="U187" s="1617">
        <f t="shared" ref="U187:AM187" si="172">SUM(U188:U190)</f>
        <v>0</v>
      </c>
      <c r="V187" s="1618">
        <f t="shared" si="172"/>
        <v>3093668</v>
      </c>
      <c r="W187" s="1618">
        <f t="shared" si="172"/>
        <v>2950868</v>
      </c>
      <c r="X187" s="1619">
        <f t="shared" si="172"/>
        <v>6044536</v>
      </c>
      <c r="Y187" s="1620">
        <f t="shared" si="172"/>
        <v>6044536</v>
      </c>
      <c r="Z187" s="1648">
        <f t="shared" si="172"/>
        <v>0</v>
      </c>
      <c r="AA187" s="1619">
        <f t="shared" si="172"/>
        <v>6044536</v>
      </c>
      <c r="AB187" s="1620">
        <f t="shared" si="172"/>
        <v>5749449</v>
      </c>
      <c r="AC187" s="1648">
        <f t="shared" si="172"/>
        <v>0</v>
      </c>
      <c r="AD187" s="1619">
        <f t="shared" si="172"/>
        <v>5749449</v>
      </c>
      <c r="AE187" s="1620">
        <f t="shared" si="172"/>
        <v>2655781</v>
      </c>
      <c r="AF187" s="1648">
        <f t="shared" si="172"/>
        <v>0</v>
      </c>
      <c r="AG187" s="1619">
        <f t="shared" si="172"/>
        <v>2655781</v>
      </c>
      <c r="AH187" s="1620">
        <f t="shared" si="172"/>
        <v>0</v>
      </c>
      <c r="AI187" s="1618">
        <f t="shared" si="172"/>
        <v>295087</v>
      </c>
      <c r="AJ187" s="1621">
        <f t="shared" si="172"/>
        <v>3388755</v>
      </c>
      <c r="AK187" s="1448"/>
      <c r="AL187" s="1649">
        <f t="shared" si="172"/>
        <v>0</v>
      </c>
      <c r="AM187" s="1650">
        <f t="shared" si="172"/>
        <v>0</v>
      </c>
      <c r="AN187" s="1448"/>
    </row>
    <row r="188" spans="1:40" s="1572" customFormat="1" ht="24.95" customHeight="1">
      <c r="A188" s="1806"/>
      <c r="B188" s="1809"/>
      <c r="N188" s="1448"/>
      <c r="P188" s="1448"/>
      <c r="Q188" s="1448"/>
      <c r="R188" s="1448"/>
      <c r="S188" s="1662" t="str">
        <f>+IF(AGOSTO!S188=0,"",AGOSTO!S188)</f>
        <v>3300200-1</v>
      </c>
      <c r="T188" s="1616" t="str">
        <f>+IF(AGOSTO!T188=0,"",AGOSTO!T188)</f>
        <v>COHAN</v>
      </c>
      <c r="U188" s="1617">
        <f>+ENERO!U188</f>
        <v>0</v>
      </c>
      <c r="V188" s="1618">
        <f>AGOSTO!V188+SEPTIEMBRE!AL188</f>
        <v>3093668</v>
      </c>
      <c r="W188" s="1618">
        <f>AGOSTO!W188+SEPTIEMBRE!AM188</f>
        <v>0</v>
      </c>
      <c r="X188" s="1619">
        <f>SUM(U188:W188)</f>
        <v>3093668</v>
      </c>
      <c r="Y188" s="1620">
        <f>AGOSTO!AA188</f>
        <v>3093668</v>
      </c>
      <c r="Z188" s="1557">
        <v>0</v>
      </c>
      <c r="AA188" s="1619">
        <f>SUM(Y188:Z188)</f>
        <v>3093668</v>
      </c>
      <c r="AB188" s="1620">
        <f>AGOSTO!AD188</f>
        <v>3093668</v>
      </c>
      <c r="AC188" s="1557">
        <v>0</v>
      </c>
      <c r="AD188" s="1619">
        <f>SUM(AB188:AC188)</f>
        <v>3093668</v>
      </c>
      <c r="AE188" s="1620">
        <f>AGOSTO!AG188</f>
        <v>0</v>
      </c>
      <c r="AF188" s="1557">
        <v>0</v>
      </c>
      <c r="AG188" s="1619">
        <f>SUM(AE188:AF188)</f>
        <v>0</v>
      </c>
      <c r="AH188" s="1620">
        <f>X188-AA188</f>
        <v>0</v>
      </c>
      <c r="AI188" s="1618">
        <f>X188-AD188</f>
        <v>0</v>
      </c>
      <c r="AJ188" s="1621">
        <f>X188-AG188</f>
        <v>3093668</v>
      </c>
      <c r="AK188" s="1448"/>
      <c r="AL188" s="1559">
        <v>0</v>
      </c>
      <c r="AM188" s="1560">
        <v>0</v>
      </c>
      <c r="AN188" s="1448"/>
    </row>
    <row r="189" spans="1:40" s="1572" customFormat="1" ht="24.95" customHeight="1">
      <c r="A189" s="1806"/>
      <c r="B189" s="1809"/>
      <c r="N189" s="1448"/>
      <c r="P189" s="1448"/>
      <c r="Q189" s="1448"/>
      <c r="R189" s="1448"/>
      <c r="S189" s="1662" t="str">
        <f>+IF(AGOSTO!S189=0,"",AGOSTO!S189)</f>
        <v>3300200-2</v>
      </c>
      <c r="T189" s="1616" t="str">
        <f>+IF(AGOSTO!T189=0,"",AGOSTO!T189)</f>
        <v>AESA</v>
      </c>
      <c r="U189" s="1617">
        <f>+ENERO!U189</f>
        <v>0</v>
      </c>
      <c r="V189" s="1618">
        <f>AGOSTO!V189+SEPTIEMBRE!AL189</f>
        <v>0</v>
      </c>
      <c r="W189" s="1618">
        <f>AGOSTO!W189+SEPTIEMBRE!AM189</f>
        <v>2950868</v>
      </c>
      <c r="X189" s="1619">
        <f>SUM(U189:W189)</f>
        <v>2950868</v>
      </c>
      <c r="Y189" s="1620">
        <f>AGOSTO!AA189</f>
        <v>2950868</v>
      </c>
      <c r="Z189" s="1557">
        <v>0</v>
      </c>
      <c r="AA189" s="1619">
        <f>SUM(Y189:Z189)</f>
        <v>2950868</v>
      </c>
      <c r="AB189" s="1620">
        <f>AGOSTO!AD189</f>
        <v>2655781</v>
      </c>
      <c r="AC189" s="1557">
        <v>0</v>
      </c>
      <c r="AD189" s="1619">
        <f>SUM(AB189:AC189)</f>
        <v>2655781</v>
      </c>
      <c r="AE189" s="1620">
        <f>AGOSTO!AG189</f>
        <v>2655781</v>
      </c>
      <c r="AF189" s="1557">
        <v>0</v>
      </c>
      <c r="AG189" s="1619">
        <f>SUM(AE189:AF189)</f>
        <v>2655781</v>
      </c>
      <c r="AH189" s="1620">
        <f>X189-AA189</f>
        <v>0</v>
      </c>
      <c r="AI189" s="1618">
        <f>X189-AD189</f>
        <v>295087</v>
      </c>
      <c r="AJ189" s="1621">
        <f>X189-AG189</f>
        <v>295087</v>
      </c>
      <c r="AK189" s="1448"/>
      <c r="AL189" s="1559">
        <v>0</v>
      </c>
      <c r="AM189" s="1560">
        <v>0</v>
      </c>
      <c r="AN189" s="1448"/>
    </row>
    <row r="190" spans="1:40" s="1572" customFormat="1" ht="24.95" customHeight="1">
      <c r="A190" s="1806"/>
      <c r="B190" s="1809"/>
      <c r="N190" s="1448"/>
      <c r="P190" s="1448"/>
      <c r="Q190" s="1448"/>
      <c r="R190" s="1448"/>
      <c r="S190" s="1662" t="str">
        <f>+IF(AGOSTO!S190=0,"",AGOSTO!S190)</f>
        <v>3300200-3</v>
      </c>
      <c r="T190" s="1616" t="str">
        <f>+IF(AGOSTO!T190=0,"",AGOSTO!T190)</f>
        <v xml:space="preserve">OTRAS </v>
      </c>
      <c r="U190" s="1617">
        <f>+ENERO!U190</f>
        <v>0</v>
      </c>
      <c r="V190" s="1618">
        <f>AGOSTO!V190+SEPTIEMBRE!AL190</f>
        <v>0</v>
      </c>
      <c r="W190" s="1618">
        <f>AGOSTO!W190+SEPTIEMBRE!AM190</f>
        <v>0</v>
      </c>
      <c r="X190" s="1619">
        <f>SUM(U190:W190)</f>
        <v>0</v>
      </c>
      <c r="Y190" s="1620">
        <f>AGOSTO!AA190</f>
        <v>0</v>
      </c>
      <c r="Z190" s="1557">
        <v>0</v>
      </c>
      <c r="AA190" s="1619">
        <f>SUM(Y190:Z190)</f>
        <v>0</v>
      </c>
      <c r="AB190" s="1620">
        <f>AGOSTO!AD190</f>
        <v>0</v>
      </c>
      <c r="AC190" s="1557">
        <v>0</v>
      </c>
      <c r="AD190" s="1619">
        <f>SUM(AB190:AC190)</f>
        <v>0</v>
      </c>
      <c r="AE190" s="1620">
        <f>AGOSTO!AG190</f>
        <v>0</v>
      </c>
      <c r="AF190" s="1557">
        <v>0</v>
      </c>
      <c r="AG190" s="1619">
        <f>SUM(AE190:AF190)</f>
        <v>0</v>
      </c>
      <c r="AH190" s="1620">
        <f>X190-AA190</f>
        <v>0</v>
      </c>
      <c r="AI190" s="1618">
        <f>X190-AD190</f>
        <v>0</v>
      </c>
      <c r="AJ190" s="1621">
        <f>X190-AG190</f>
        <v>0</v>
      </c>
      <c r="AK190" s="1448"/>
      <c r="AL190" s="1559">
        <v>0</v>
      </c>
      <c r="AM190" s="1560">
        <v>0</v>
      </c>
      <c r="AN190" s="1448"/>
    </row>
    <row r="191" spans="1:40" s="1572" customFormat="1" ht="24.95" customHeight="1">
      <c r="A191" s="1806"/>
      <c r="B191" s="1809"/>
      <c r="N191" s="1448"/>
      <c r="P191" s="1448"/>
      <c r="Q191" s="1448"/>
      <c r="R191" s="1448"/>
      <c r="S191" s="1615">
        <f>+IF(AGOSTO!S191=0,"",AGOSTO!S191)</f>
        <v>3399999</v>
      </c>
      <c r="T191" s="1616" t="str">
        <f>+IF(AGOSTO!T191=0,"",AGOSTO!T191)</f>
        <v>Vigencias Anteriores</v>
      </c>
      <c r="U191" s="1617">
        <f>+ENERO!U191</f>
        <v>0</v>
      </c>
      <c r="V191" s="1618">
        <f>AGOSTO!V191+SEPTIEMBRE!AL191</f>
        <v>0</v>
      </c>
      <c r="W191" s="1618">
        <f>AGOSTO!W191+SEPTIEMBRE!AM191</f>
        <v>0</v>
      </c>
      <c r="X191" s="1619">
        <f>SUM(U191:W191)</f>
        <v>0</v>
      </c>
      <c r="Y191" s="1620">
        <f>AGOSTO!AA191</f>
        <v>0</v>
      </c>
      <c r="Z191" s="1557">
        <v>0</v>
      </c>
      <c r="AA191" s="1619">
        <f>SUM(Y191:Z191)</f>
        <v>0</v>
      </c>
      <c r="AB191" s="1620">
        <f>AGOSTO!AD191</f>
        <v>0</v>
      </c>
      <c r="AC191" s="1557">
        <v>0</v>
      </c>
      <c r="AD191" s="1619">
        <f>SUM(AB191:AC191)</f>
        <v>0</v>
      </c>
      <c r="AE191" s="1620">
        <f>AGOSTO!AG191</f>
        <v>0</v>
      </c>
      <c r="AF191" s="1557">
        <v>0</v>
      </c>
      <c r="AG191" s="1619">
        <f>SUM(AE191:AF191)</f>
        <v>0</v>
      </c>
      <c r="AH191" s="1620">
        <f>X191-AA191</f>
        <v>0</v>
      </c>
      <c r="AI191" s="1618">
        <f>X191-AD191</f>
        <v>0</v>
      </c>
      <c r="AJ191" s="1621">
        <f>X191-AG191</f>
        <v>0</v>
      </c>
      <c r="AK191" s="1448"/>
      <c r="AL191" s="1559">
        <v>0</v>
      </c>
      <c r="AM191" s="1560">
        <v>0</v>
      </c>
      <c r="AN191" s="1448"/>
    </row>
    <row r="192" spans="1:40" s="1572" customFormat="1" ht="24.95" customHeight="1">
      <c r="A192" s="1806"/>
      <c r="B192" s="1809"/>
      <c r="N192" s="1448"/>
      <c r="P192" s="1448"/>
      <c r="Q192" s="1448"/>
      <c r="R192" s="1448"/>
      <c r="S192" s="1810"/>
      <c r="T192" s="1811"/>
      <c r="U192" s="1812"/>
      <c r="V192" s="1813"/>
      <c r="W192" s="1813"/>
      <c r="X192" s="1813"/>
      <c r="Y192" s="1813"/>
      <c r="Z192" s="1814"/>
      <c r="AA192" s="1813"/>
      <c r="AB192" s="1813"/>
      <c r="AC192" s="1814"/>
      <c r="AD192" s="1813"/>
      <c r="AE192" s="1813"/>
      <c r="AF192" s="1814"/>
      <c r="AG192" s="1813"/>
      <c r="AH192" s="1813"/>
      <c r="AI192" s="1813"/>
      <c r="AJ192" s="1727"/>
      <c r="AK192" s="1448"/>
      <c r="AL192" s="1815"/>
      <c r="AM192" s="1816"/>
      <c r="AN192" s="1448"/>
    </row>
    <row r="193" spans="1:40" s="1572" customFormat="1" ht="49.5" customHeight="1">
      <c r="A193" s="1806"/>
      <c r="B193" s="1809"/>
      <c r="N193" s="1448"/>
      <c r="P193" s="1448"/>
      <c r="Q193" s="1448"/>
      <c r="R193" s="1448"/>
      <c r="S193" s="1817" t="s">
        <v>325</v>
      </c>
      <c r="T193" s="1818" t="s">
        <v>581</v>
      </c>
      <c r="U193" s="1765">
        <f>U195+U209</f>
        <v>14750406346</v>
      </c>
      <c r="V193" s="1766">
        <f t="shared" ref="V193:AJ193" si="173">V195+V209</f>
        <v>-1588184322</v>
      </c>
      <c r="W193" s="1766">
        <f t="shared" si="173"/>
        <v>3133980076</v>
      </c>
      <c r="X193" s="1568">
        <f t="shared" si="173"/>
        <v>16296202100</v>
      </c>
      <c r="Y193" s="1567">
        <f t="shared" si="173"/>
        <v>12298164267</v>
      </c>
      <c r="Z193" s="1819">
        <f t="shared" si="173"/>
        <v>1128183587</v>
      </c>
      <c r="AA193" s="1568">
        <f t="shared" si="173"/>
        <v>13426347854</v>
      </c>
      <c r="AB193" s="1765">
        <f t="shared" si="173"/>
        <v>10995042037</v>
      </c>
      <c r="AC193" s="1819">
        <f t="shared" si="173"/>
        <v>824624363</v>
      </c>
      <c r="AD193" s="1767">
        <f t="shared" si="173"/>
        <v>11819666400</v>
      </c>
      <c r="AE193" s="1567">
        <f t="shared" si="173"/>
        <v>5344750808</v>
      </c>
      <c r="AF193" s="1819">
        <f t="shared" si="173"/>
        <v>821969181</v>
      </c>
      <c r="AG193" s="1568">
        <f t="shared" si="173"/>
        <v>6166719989</v>
      </c>
      <c r="AH193" s="1567">
        <f t="shared" si="173"/>
        <v>2869854246</v>
      </c>
      <c r="AI193" s="1766">
        <f t="shared" si="173"/>
        <v>4476535700</v>
      </c>
      <c r="AJ193" s="1568">
        <f t="shared" si="173"/>
        <v>10129482111</v>
      </c>
      <c r="AK193" s="1448"/>
      <c r="AL193" s="1567">
        <f t="shared" ref="AL193:AM193" si="174">AL195+AL209</f>
        <v>-1908796548</v>
      </c>
      <c r="AM193" s="1568">
        <f t="shared" si="174"/>
        <v>0</v>
      </c>
      <c r="AN193" s="1448"/>
    </row>
    <row r="194" spans="1:40" s="1572" customFormat="1" ht="24.95" customHeight="1">
      <c r="A194" s="1806"/>
      <c r="B194" s="1809"/>
      <c r="N194" s="1448"/>
      <c r="P194" s="1448"/>
      <c r="Q194" s="1448"/>
      <c r="R194" s="1448"/>
      <c r="S194" s="1538" t="str">
        <f>+IF(AGOSTO!S194=0,"",AGOSTO!S194)</f>
        <v/>
      </c>
      <c r="T194" s="1539" t="str">
        <f>+IF(AGOSTO!T194=0,"",AGOSTO!T194)</f>
        <v/>
      </c>
      <c r="U194" s="1540"/>
      <c r="V194" s="1540"/>
      <c r="W194" s="1540"/>
      <c r="X194" s="1540"/>
      <c r="Y194" s="1540"/>
      <c r="Z194" s="1540"/>
      <c r="AA194" s="1540"/>
      <c r="AB194" s="1540"/>
      <c r="AC194" s="1540"/>
      <c r="AD194" s="1540"/>
      <c r="AE194" s="1540"/>
      <c r="AF194" s="1540"/>
      <c r="AG194" s="1540"/>
      <c r="AH194" s="1540"/>
      <c r="AI194" s="1540"/>
      <c r="AJ194" s="1541"/>
      <c r="AK194" s="1448"/>
      <c r="AL194" s="1726"/>
      <c r="AM194" s="1727"/>
      <c r="AN194" s="1448"/>
    </row>
    <row r="195" spans="1:40" s="1572" customFormat="1" ht="24.95" customHeight="1">
      <c r="A195" s="1806"/>
      <c r="B195" s="1809"/>
      <c r="N195" s="1448"/>
      <c r="P195" s="1448"/>
      <c r="Q195" s="1448"/>
      <c r="R195" s="1448"/>
      <c r="S195" s="1579">
        <f>+IF(AGOSTO!S195=0,"",AGOSTO!S195)</f>
        <v>4000000</v>
      </c>
      <c r="T195" s="1764" t="str">
        <f>+IF(AGOSTO!T195=0,"",AGOSTO!T195)</f>
        <v>GASTOS  DE PRESTACION DE SERVICIOS</v>
      </c>
      <c r="U195" s="1765">
        <f t="shared" ref="U195:AJ195" si="175">U196</f>
        <v>14750406346</v>
      </c>
      <c r="V195" s="1766">
        <f t="shared" si="175"/>
        <v>-1588184322</v>
      </c>
      <c r="W195" s="1766">
        <f t="shared" si="175"/>
        <v>3133980076</v>
      </c>
      <c r="X195" s="1767">
        <f t="shared" si="175"/>
        <v>16296202100</v>
      </c>
      <c r="Y195" s="1567">
        <f t="shared" si="175"/>
        <v>12298164267</v>
      </c>
      <c r="Z195" s="1766">
        <f t="shared" si="175"/>
        <v>1128183587</v>
      </c>
      <c r="AA195" s="1767">
        <f t="shared" si="175"/>
        <v>13426347854</v>
      </c>
      <c r="AB195" s="1567">
        <f t="shared" si="175"/>
        <v>10995042037</v>
      </c>
      <c r="AC195" s="1766">
        <f t="shared" si="175"/>
        <v>824624363</v>
      </c>
      <c r="AD195" s="1767">
        <f t="shared" si="175"/>
        <v>11819666400</v>
      </c>
      <c r="AE195" s="1567">
        <f t="shared" si="175"/>
        <v>5344750808</v>
      </c>
      <c r="AF195" s="1766">
        <f t="shared" si="175"/>
        <v>821969181</v>
      </c>
      <c r="AG195" s="1767">
        <f t="shared" si="175"/>
        <v>6166719989</v>
      </c>
      <c r="AH195" s="1567">
        <f t="shared" si="175"/>
        <v>2869854246</v>
      </c>
      <c r="AI195" s="1766">
        <f t="shared" si="175"/>
        <v>4476535700</v>
      </c>
      <c r="AJ195" s="1568">
        <f t="shared" si="175"/>
        <v>10129482111</v>
      </c>
      <c r="AK195" s="1448"/>
      <c r="AL195" s="1584">
        <f>AL196</f>
        <v>-1908796548</v>
      </c>
      <c r="AM195" s="1585">
        <f>AM196</f>
        <v>0</v>
      </c>
      <c r="AN195" s="1448"/>
    </row>
    <row r="196" spans="1:40" s="1572" customFormat="1" ht="24.95" customHeight="1">
      <c r="A196" s="1806"/>
      <c r="B196" s="1809"/>
      <c r="N196" s="1448"/>
      <c r="P196" s="1448"/>
      <c r="Q196" s="1448"/>
      <c r="R196" s="1448"/>
      <c r="S196" s="1607">
        <f>+IF(AGOSTO!S196=0,"",AGOSTO!S196)</f>
        <v>4100000</v>
      </c>
      <c r="T196" s="1608" t="str">
        <f>+IF(AGOSTO!T196=0,"",AGOSTO!T196)</f>
        <v>Insumos y Suministros Hospitalarios</v>
      </c>
      <c r="U196" s="1581">
        <f t="shared" ref="U196:AJ196" si="176">U197+U205+U207</f>
        <v>14750406346</v>
      </c>
      <c r="V196" s="1582">
        <f t="shared" si="176"/>
        <v>-1588184322</v>
      </c>
      <c r="W196" s="1582">
        <f t="shared" si="176"/>
        <v>3133980076</v>
      </c>
      <c r="X196" s="1583">
        <f t="shared" si="176"/>
        <v>16296202100</v>
      </c>
      <c r="Y196" s="1584">
        <f t="shared" si="176"/>
        <v>12298164267</v>
      </c>
      <c r="Z196" s="1582">
        <f t="shared" si="176"/>
        <v>1128183587</v>
      </c>
      <c r="AA196" s="1583">
        <f t="shared" si="176"/>
        <v>13426347854</v>
      </c>
      <c r="AB196" s="1584">
        <f t="shared" si="176"/>
        <v>10995042037</v>
      </c>
      <c r="AC196" s="1582">
        <f t="shared" si="176"/>
        <v>824624363</v>
      </c>
      <c r="AD196" s="1583">
        <f t="shared" si="176"/>
        <v>11819666400</v>
      </c>
      <c r="AE196" s="1584">
        <f t="shared" si="176"/>
        <v>5344750808</v>
      </c>
      <c r="AF196" s="1582">
        <f t="shared" si="176"/>
        <v>821969181</v>
      </c>
      <c r="AG196" s="1583">
        <f t="shared" si="176"/>
        <v>6166719989</v>
      </c>
      <c r="AH196" s="1584">
        <f t="shared" si="176"/>
        <v>2869854246</v>
      </c>
      <c r="AI196" s="1582">
        <f t="shared" si="176"/>
        <v>4476535700</v>
      </c>
      <c r="AJ196" s="1585">
        <f t="shared" si="176"/>
        <v>10129482111</v>
      </c>
      <c r="AK196" s="1566"/>
      <c r="AL196" s="1584">
        <f>AL197+AL205+AL207</f>
        <v>-1908796548</v>
      </c>
      <c r="AM196" s="1585">
        <f>AM197+AM205+AM207</f>
        <v>0</v>
      </c>
      <c r="AN196" s="1448"/>
    </row>
    <row r="197" spans="1:40" s="1572" customFormat="1" ht="24.95" customHeight="1">
      <c r="A197" s="1806"/>
      <c r="B197" s="1809"/>
      <c r="N197" s="1448"/>
      <c r="P197" s="1448"/>
      <c r="Q197" s="1448"/>
      <c r="R197" s="1448"/>
      <c r="S197" s="1615">
        <f>+IF(AGOSTO!S197=0,"",AGOSTO!S197)</f>
        <v>4100100</v>
      </c>
      <c r="T197" s="1616" t="str">
        <f>+IF(AGOSTO!T197=0,"",AGOSTO!T197)</f>
        <v>Compra de Bienes para la Prestacion de servicios</v>
      </c>
      <c r="U197" s="1617">
        <f t="shared" ref="U197:AJ197" si="177">SUM(U198:U204)</f>
        <v>13250406346</v>
      </c>
      <c r="V197" s="1618">
        <f t="shared" si="177"/>
        <v>-1813458000</v>
      </c>
      <c r="W197" s="1618">
        <f t="shared" si="177"/>
        <v>125236928</v>
      </c>
      <c r="X197" s="1619">
        <f t="shared" si="177"/>
        <v>11562185274</v>
      </c>
      <c r="Y197" s="1620">
        <f t="shared" si="177"/>
        <v>8366196980</v>
      </c>
      <c r="Z197" s="1648">
        <f t="shared" si="177"/>
        <v>673605876</v>
      </c>
      <c r="AA197" s="1619">
        <f t="shared" si="177"/>
        <v>9039802856</v>
      </c>
      <c r="AB197" s="1620">
        <f t="shared" si="177"/>
        <v>7188873351</v>
      </c>
      <c r="AC197" s="1648">
        <f t="shared" si="177"/>
        <v>650129448</v>
      </c>
      <c r="AD197" s="1619">
        <f t="shared" si="177"/>
        <v>7839002799</v>
      </c>
      <c r="AE197" s="1620">
        <f t="shared" si="177"/>
        <v>2526578918</v>
      </c>
      <c r="AF197" s="1648">
        <f t="shared" si="177"/>
        <v>724455404</v>
      </c>
      <c r="AG197" s="1619">
        <f t="shared" si="177"/>
        <v>3251034322</v>
      </c>
      <c r="AH197" s="1620">
        <f t="shared" si="177"/>
        <v>2522382418</v>
      </c>
      <c r="AI197" s="1618">
        <f t="shared" si="177"/>
        <v>3723182475</v>
      </c>
      <c r="AJ197" s="1621">
        <f t="shared" si="177"/>
        <v>8311150952</v>
      </c>
      <c r="AK197" s="1448"/>
      <c r="AL197" s="1649">
        <f>SUM(AL198:AL204)</f>
        <v>-1786458000</v>
      </c>
      <c r="AM197" s="1650">
        <f>SUM(AM198:AM204)</f>
        <v>0</v>
      </c>
      <c r="AN197" s="1448"/>
    </row>
    <row r="198" spans="1:40" s="1572" customFormat="1" ht="24.95" customHeight="1">
      <c r="A198" s="1806"/>
      <c r="B198" s="1809"/>
      <c r="N198" s="1448"/>
      <c r="P198" s="1448"/>
      <c r="Q198" s="1448"/>
      <c r="R198" s="1448"/>
      <c r="S198" s="1662" t="str">
        <f>+IF(AGOSTO!S198=0,"",AGOSTO!S198)</f>
        <v>4100100-1</v>
      </c>
      <c r="T198" s="1663" t="str">
        <f>+IF(AGOSTO!T198=0,"",AGOSTO!T198)</f>
        <v>Productos Farmaceuticos</v>
      </c>
      <c r="U198" s="1617">
        <f>+ENERO!U198</f>
        <v>6473158346</v>
      </c>
      <c r="V198" s="1618">
        <f>AGOSTO!V198+SEPTIEMBRE!AL198</f>
        <v>-1813458000</v>
      </c>
      <c r="W198" s="1618">
        <f>AGOSTO!W198+SEPTIEMBRE!AM198</f>
        <v>0</v>
      </c>
      <c r="X198" s="1619">
        <f t="shared" ref="X198:X204" si="178">SUM(U198:W198)</f>
        <v>4659700346</v>
      </c>
      <c r="Y198" s="1620">
        <f>AGOSTO!AA198</f>
        <v>2912063098</v>
      </c>
      <c r="Z198" s="1557">
        <v>224972553</v>
      </c>
      <c r="AA198" s="1619">
        <f t="shared" ref="AA198:AA204" si="179">SUM(Y198:Z198)</f>
        <v>3137035651</v>
      </c>
      <c r="AB198" s="1620">
        <f>AGOSTO!AD198</f>
        <v>2500429398</v>
      </c>
      <c r="AC198" s="1557">
        <v>261318052</v>
      </c>
      <c r="AD198" s="1619">
        <f t="shared" ref="AD198:AD204" si="180">SUM(AB198:AC198)</f>
        <v>2761747450</v>
      </c>
      <c r="AE198" s="1620">
        <f>AGOSTO!AG198</f>
        <v>1044995645</v>
      </c>
      <c r="AF198" s="1557">
        <v>271014466</v>
      </c>
      <c r="AG198" s="1619">
        <f t="shared" ref="AG198:AG204" si="181">SUM(AE198:AF198)</f>
        <v>1316010111</v>
      </c>
      <c r="AH198" s="1620">
        <f t="shared" ref="AH198:AH204" si="182">X198-AA198</f>
        <v>1522664695</v>
      </c>
      <c r="AI198" s="1618">
        <f t="shared" ref="AI198:AI204" si="183">X198-AD198</f>
        <v>1897952896</v>
      </c>
      <c r="AJ198" s="1621">
        <f t="shared" ref="AJ198:AJ204" si="184">X198-AG198</f>
        <v>3343690235</v>
      </c>
      <c r="AK198" s="1448"/>
      <c r="AL198" s="1559">
        <v>-1786458000</v>
      </c>
      <c r="AM198" s="1560">
        <v>0</v>
      </c>
      <c r="AN198" s="1448"/>
    </row>
    <row r="199" spans="1:40" s="1572" customFormat="1" ht="24.95" customHeight="1">
      <c r="A199" s="1806"/>
      <c r="B199" s="1809"/>
      <c r="N199" s="1448"/>
      <c r="P199" s="1448"/>
      <c r="Q199" s="1448"/>
      <c r="R199" s="1448"/>
      <c r="S199" s="1662" t="str">
        <f>+IF(AGOSTO!S199=0,"",AGOSTO!S199)</f>
        <v>4100100-2</v>
      </c>
      <c r="T199" s="1663" t="str">
        <f>+IF(AGOSTO!T199=0,"",AGOSTO!T199)</f>
        <v>Material Médico Quirúrgico</v>
      </c>
      <c r="U199" s="1617">
        <f>+ENERO!U199</f>
        <v>4177248000</v>
      </c>
      <c r="V199" s="1618">
        <f>AGOSTO!V199+SEPTIEMBRE!AL199</f>
        <v>0</v>
      </c>
      <c r="W199" s="1618">
        <f>AGOSTO!W199+SEPTIEMBRE!AM199</f>
        <v>125236928</v>
      </c>
      <c r="X199" s="1619">
        <f t="shared" si="178"/>
        <v>4302484928</v>
      </c>
      <c r="Y199" s="1620">
        <f>AGOSTO!AA199</f>
        <v>3416078423</v>
      </c>
      <c r="Z199" s="1557">
        <v>168883552</v>
      </c>
      <c r="AA199" s="1619">
        <f t="shared" si="179"/>
        <v>3584961975</v>
      </c>
      <c r="AB199" s="1620">
        <f>AGOSTO!AD199</f>
        <v>3207969111</v>
      </c>
      <c r="AC199" s="1557">
        <v>257756011</v>
      </c>
      <c r="AD199" s="1619">
        <f t="shared" si="180"/>
        <v>3465725122</v>
      </c>
      <c r="AE199" s="1620">
        <f>AGOSTO!AG199</f>
        <v>1011886148</v>
      </c>
      <c r="AF199" s="1557">
        <v>295613521</v>
      </c>
      <c r="AG199" s="1619">
        <f t="shared" si="181"/>
        <v>1307499669</v>
      </c>
      <c r="AH199" s="1620">
        <f t="shared" si="182"/>
        <v>717522953</v>
      </c>
      <c r="AI199" s="1618">
        <f t="shared" si="183"/>
        <v>836759806</v>
      </c>
      <c r="AJ199" s="1621">
        <f t="shared" si="184"/>
        <v>2994985259</v>
      </c>
      <c r="AK199" s="1448"/>
      <c r="AL199" s="1559">
        <v>0</v>
      </c>
      <c r="AM199" s="1560">
        <v>0</v>
      </c>
      <c r="AN199" s="1448"/>
    </row>
    <row r="200" spans="1:40" s="1572" customFormat="1" ht="24.95" customHeight="1">
      <c r="A200" s="1806"/>
      <c r="B200" s="1809"/>
      <c r="N200" s="1448"/>
      <c r="P200" s="1448"/>
      <c r="Q200" s="1448"/>
      <c r="R200" s="1448"/>
      <c r="S200" s="1662" t="str">
        <f>+IF(AGOSTO!S200=0,"",AGOSTO!S200)</f>
        <v>4100100-3</v>
      </c>
      <c r="T200" s="1663" t="str">
        <f>+IF(AGOSTO!T200=0,"",AGOSTO!T200)</f>
        <v>Material de Laboratorio</v>
      </c>
      <c r="U200" s="1617">
        <f>+ENERO!U200</f>
        <v>1300000000</v>
      </c>
      <c r="V200" s="1618">
        <f>AGOSTO!V200+SEPTIEMBRE!AL200</f>
        <v>600000000</v>
      </c>
      <c r="W200" s="1618">
        <f>AGOSTO!W200+SEPTIEMBRE!AM200</f>
        <v>0</v>
      </c>
      <c r="X200" s="1619">
        <f t="shared" si="178"/>
        <v>1900000000</v>
      </c>
      <c r="Y200" s="1620">
        <f>AGOSTO!AA200</f>
        <v>1454592543</v>
      </c>
      <c r="Z200" s="1557">
        <v>294194963</v>
      </c>
      <c r="AA200" s="1619">
        <f t="shared" si="179"/>
        <v>1748787506</v>
      </c>
      <c r="AB200" s="1620">
        <f>AGOSTO!AD200</f>
        <v>1074724858</v>
      </c>
      <c r="AC200" s="1557">
        <v>145551870</v>
      </c>
      <c r="AD200" s="1619">
        <f t="shared" si="180"/>
        <v>1220276728</v>
      </c>
      <c r="AE200" s="1620">
        <f>AGOSTO!AG200</f>
        <v>349087733</v>
      </c>
      <c r="AF200" s="1557">
        <v>93845370</v>
      </c>
      <c r="AG200" s="1619">
        <f t="shared" si="181"/>
        <v>442933103</v>
      </c>
      <c r="AH200" s="1620">
        <f t="shared" si="182"/>
        <v>151212494</v>
      </c>
      <c r="AI200" s="1618">
        <f t="shared" si="183"/>
        <v>679723272</v>
      </c>
      <c r="AJ200" s="1621">
        <f t="shared" si="184"/>
        <v>1457066897</v>
      </c>
      <c r="AK200" s="1448"/>
      <c r="AL200" s="1559">
        <v>300000000</v>
      </c>
      <c r="AM200" s="1560">
        <v>0</v>
      </c>
      <c r="AN200" s="1448"/>
    </row>
    <row r="201" spans="1:40" s="1572" customFormat="1" ht="24.95" customHeight="1">
      <c r="A201" s="1806"/>
      <c r="B201" s="1809"/>
      <c r="N201" s="1448"/>
      <c r="P201" s="1448"/>
      <c r="Q201" s="1448"/>
      <c r="R201" s="1448"/>
      <c r="S201" s="1662" t="str">
        <f>+IF(AGOSTO!S201=0,"",AGOSTO!S201)</f>
        <v>4100100-4</v>
      </c>
      <c r="T201" s="1663" t="str">
        <f>+IF(AGOSTO!T201=0,"",AGOSTO!T201)</f>
        <v>Material para Odontologia</v>
      </c>
      <c r="U201" s="1617">
        <f>+ENERO!U201</f>
        <v>0</v>
      </c>
      <c r="V201" s="1618">
        <f>AGOSTO!V201+SEPTIEMBRE!AL201</f>
        <v>0</v>
      </c>
      <c r="W201" s="1618">
        <f>AGOSTO!W201+SEPTIEMBRE!AM201</f>
        <v>0</v>
      </c>
      <c r="X201" s="1619">
        <f t="shared" si="178"/>
        <v>0</v>
      </c>
      <c r="Y201" s="1620">
        <f>AGOSTO!AA201</f>
        <v>0</v>
      </c>
      <c r="Z201" s="1557">
        <v>0</v>
      </c>
      <c r="AA201" s="1619">
        <f t="shared" si="179"/>
        <v>0</v>
      </c>
      <c r="AB201" s="1620">
        <f>AGOSTO!AD201</f>
        <v>0</v>
      </c>
      <c r="AC201" s="1557">
        <v>0</v>
      </c>
      <c r="AD201" s="1619">
        <f t="shared" si="180"/>
        <v>0</v>
      </c>
      <c r="AE201" s="1620">
        <f>AGOSTO!AG201</f>
        <v>0</v>
      </c>
      <c r="AF201" s="1557">
        <v>0</v>
      </c>
      <c r="AG201" s="1619">
        <f t="shared" si="181"/>
        <v>0</v>
      </c>
      <c r="AH201" s="1620">
        <f t="shared" si="182"/>
        <v>0</v>
      </c>
      <c r="AI201" s="1618">
        <f t="shared" si="183"/>
        <v>0</v>
      </c>
      <c r="AJ201" s="1621">
        <f t="shared" si="184"/>
        <v>0</v>
      </c>
      <c r="AK201" s="1448"/>
      <c r="AL201" s="1559">
        <v>0</v>
      </c>
      <c r="AM201" s="1560">
        <v>0</v>
      </c>
      <c r="AN201" s="1448"/>
    </row>
    <row r="202" spans="1:40" s="1572" customFormat="1" ht="24.95" customHeight="1">
      <c r="A202" s="1806"/>
      <c r="B202" s="1809"/>
      <c r="N202" s="1448"/>
      <c r="P202" s="1448"/>
      <c r="Q202" s="1448"/>
      <c r="R202" s="1448"/>
      <c r="S202" s="1662" t="str">
        <f>+IF(AGOSTO!S202=0,"",AGOSTO!S202)</f>
        <v>4100100-5</v>
      </c>
      <c r="T202" s="1663" t="str">
        <f>+IF(AGOSTO!T202=0,"",AGOSTO!T202)</f>
        <v>Material para Rayos X</v>
      </c>
      <c r="U202" s="1617">
        <f>+ENERO!U202</f>
        <v>1300000000</v>
      </c>
      <c r="V202" s="1618">
        <f>AGOSTO!V202+SEPTIEMBRE!AL202</f>
        <v>-600000000</v>
      </c>
      <c r="W202" s="1618">
        <f>AGOSTO!W202+SEPTIEMBRE!AM202</f>
        <v>0</v>
      </c>
      <c r="X202" s="1619">
        <f t="shared" si="178"/>
        <v>700000000</v>
      </c>
      <c r="Y202" s="1620">
        <f>AGOSTO!AA202</f>
        <v>583462916</v>
      </c>
      <c r="Z202" s="1557">
        <v>-14445192</v>
      </c>
      <c r="AA202" s="1619">
        <f t="shared" si="179"/>
        <v>569017724</v>
      </c>
      <c r="AB202" s="1620">
        <f>AGOSTO!AD202</f>
        <v>405749984</v>
      </c>
      <c r="AC202" s="1557">
        <v>-14496485</v>
      </c>
      <c r="AD202" s="1619">
        <f t="shared" si="180"/>
        <v>391253499</v>
      </c>
      <c r="AE202" s="1620">
        <f>AGOSTO!AG202</f>
        <v>120609392</v>
      </c>
      <c r="AF202" s="1557">
        <v>63982047</v>
      </c>
      <c r="AG202" s="1619">
        <f t="shared" si="181"/>
        <v>184591439</v>
      </c>
      <c r="AH202" s="1620">
        <f t="shared" si="182"/>
        <v>130982276</v>
      </c>
      <c r="AI202" s="1618">
        <f t="shared" si="183"/>
        <v>308746501</v>
      </c>
      <c r="AJ202" s="1621">
        <f t="shared" si="184"/>
        <v>515408561</v>
      </c>
      <c r="AK202" s="1448"/>
      <c r="AL202" s="1559">
        <v>-300000000</v>
      </c>
      <c r="AM202" s="1560">
        <v>0</v>
      </c>
      <c r="AN202" s="1448"/>
    </row>
    <row r="203" spans="1:40" s="1572" customFormat="1" ht="24.95" customHeight="1">
      <c r="A203" s="1806"/>
      <c r="B203" s="1809"/>
      <c r="N203" s="1448"/>
      <c r="P203" s="1448"/>
      <c r="Q203" s="1448"/>
      <c r="R203" s="1448"/>
      <c r="S203" s="1662" t="str">
        <f>+IF(AGOSTO!S203=0,"",AGOSTO!S203)</f>
        <v/>
      </c>
      <c r="T203" s="1663" t="str">
        <f>+IF(AGOSTO!T203=0,"",AGOSTO!T203)</f>
        <v/>
      </c>
      <c r="U203" s="1617">
        <f>+ENERO!U203</f>
        <v>0</v>
      </c>
      <c r="V203" s="1618">
        <f>AGOSTO!V203+SEPTIEMBRE!AL203</f>
        <v>0</v>
      </c>
      <c r="W203" s="1618">
        <f>AGOSTO!W203+SEPTIEMBRE!AM203</f>
        <v>0</v>
      </c>
      <c r="X203" s="1619">
        <f t="shared" si="178"/>
        <v>0</v>
      </c>
      <c r="Y203" s="1620">
        <f>AGOSTO!AA203</f>
        <v>0</v>
      </c>
      <c r="Z203" s="1557">
        <v>0</v>
      </c>
      <c r="AA203" s="1619">
        <f t="shared" si="179"/>
        <v>0</v>
      </c>
      <c r="AB203" s="1620">
        <f>AGOSTO!AD203</f>
        <v>0</v>
      </c>
      <c r="AC203" s="1557">
        <v>0</v>
      </c>
      <c r="AD203" s="1619">
        <f t="shared" si="180"/>
        <v>0</v>
      </c>
      <c r="AE203" s="1620">
        <f>AGOSTO!AG203</f>
        <v>0</v>
      </c>
      <c r="AF203" s="1557">
        <v>0</v>
      </c>
      <c r="AG203" s="1619">
        <f t="shared" si="181"/>
        <v>0</v>
      </c>
      <c r="AH203" s="1620">
        <f t="shared" si="182"/>
        <v>0</v>
      </c>
      <c r="AI203" s="1618">
        <f t="shared" si="183"/>
        <v>0</v>
      </c>
      <c r="AJ203" s="1621">
        <f t="shared" si="184"/>
        <v>0</v>
      </c>
      <c r="AK203" s="1448"/>
      <c r="AL203" s="1559">
        <v>0</v>
      </c>
      <c r="AM203" s="1560">
        <v>0</v>
      </c>
      <c r="AN203" s="1448"/>
    </row>
    <row r="204" spans="1:40" s="1572" customFormat="1" ht="24.95" customHeight="1">
      <c r="A204" s="1806"/>
      <c r="B204" s="1809"/>
      <c r="N204" s="1448"/>
      <c r="P204" s="1448"/>
      <c r="Q204" s="1448"/>
      <c r="R204" s="1448"/>
      <c r="S204" s="1662" t="str">
        <f>+IF(AGOSTO!S204=0,"",AGOSTO!S204)</f>
        <v/>
      </c>
      <c r="T204" s="1663" t="str">
        <f>+IF(AGOSTO!T204=0,"",AGOSTO!T204)</f>
        <v/>
      </c>
      <c r="U204" s="1617">
        <f>+ENERO!U204</f>
        <v>0</v>
      </c>
      <c r="V204" s="1618">
        <f>AGOSTO!V204+SEPTIEMBRE!AL204</f>
        <v>0</v>
      </c>
      <c r="W204" s="1618">
        <f>AGOSTO!W204+SEPTIEMBRE!AM204</f>
        <v>0</v>
      </c>
      <c r="X204" s="1619">
        <f t="shared" si="178"/>
        <v>0</v>
      </c>
      <c r="Y204" s="1620">
        <f>AGOSTO!AA204</f>
        <v>0</v>
      </c>
      <c r="Z204" s="1557">
        <v>0</v>
      </c>
      <c r="AA204" s="1619">
        <f t="shared" si="179"/>
        <v>0</v>
      </c>
      <c r="AB204" s="1620">
        <f>AGOSTO!AD204</f>
        <v>0</v>
      </c>
      <c r="AC204" s="1557">
        <v>0</v>
      </c>
      <c r="AD204" s="1619">
        <f t="shared" si="180"/>
        <v>0</v>
      </c>
      <c r="AE204" s="1620">
        <f>AGOSTO!AG204</f>
        <v>0</v>
      </c>
      <c r="AF204" s="1557">
        <v>0</v>
      </c>
      <c r="AG204" s="1619">
        <f t="shared" si="181"/>
        <v>0</v>
      </c>
      <c r="AH204" s="1620">
        <f t="shared" si="182"/>
        <v>0</v>
      </c>
      <c r="AI204" s="1618">
        <f t="shared" si="183"/>
        <v>0</v>
      </c>
      <c r="AJ204" s="1621">
        <f t="shared" si="184"/>
        <v>0</v>
      </c>
      <c r="AK204" s="1448"/>
      <c r="AL204" s="1559">
        <v>0</v>
      </c>
      <c r="AM204" s="1560">
        <v>0</v>
      </c>
      <c r="AN204" s="1448"/>
    </row>
    <row r="205" spans="1:40" s="1572" customFormat="1" ht="24.95" customHeight="1">
      <c r="A205" s="1806"/>
      <c r="B205" s="1809"/>
      <c r="N205" s="1448"/>
      <c r="P205" s="1448"/>
      <c r="Q205" s="1448"/>
      <c r="R205" s="1448"/>
      <c r="S205" s="1615">
        <f>+IF(AGOSTO!S205=0,"",AGOSTO!S205)</f>
        <v>4100200</v>
      </c>
      <c r="T205" s="1616" t="str">
        <f>+IF(AGOSTO!T205=0,"",AGOSTO!T205)</f>
        <v>Gastos Complementarios e Intermedios</v>
      </c>
      <c r="U205" s="1617">
        <f t="shared" ref="U205:AJ205" si="185">U206</f>
        <v>1500000000</v>
      </c>
      <c r="V205" s="1618">
        <f t="shared" si="185"/>
        <v>0</v>
      </c>
      <c r="W205" s="1618">
        <f t="shared" si="185"/>
        <v>343424341</v>
      </c>
      <c r="X205" s="1619">
        <f t="shared" si="185"/>
        <v>1843424341</v>
      </c>
      <c r="Y205" s="1620">
        <f t="shared" si="185"/>
        <v>1220551379</v>
      </c>
      <c r="Z205" s="1648">
        <f t="shared" si="185"/>
        <v>397605974</v>
      </c>
      <c r="AA205" s="1619">
        <f t="shared" si="185"/>
        <v>1618157353</v>
      </c>
      <c r="AB205" s="1620">
        <f t="shared" si="185"/>
        <v>1094752778</v>
      </c>
      <c r="AC205" s="1648">
        <f t="shared" si="185"/>
        <v>117523178</v>
      </c>
      <c r="AD205" s="1619">
        <f t="shared" si="185"/>
        <v>1212275956</v>
      </c>
      <c r="AE205" s="1620">
        <f t="shared" si="185"/>
        <v>124669982</v>
      </c>
      <c r="AF205" s="1648">
        <f t="shared" si="185"/>
        <v>22628040</v>
      </c>
      <c r="AG205" s="1619">
        <f t="shared" si="185"/>
        <v>147298022</v>
      </c>
      <c r="AH205" s="1620">
        <f t="shared" si="185"/>
        <v>225266988</v>
      </c>
      <c r="AI205" s="1618">
        <f t="shared" si="185"/>
        <v>631148385</v>
      </c>
      <c r="AJ205" s="1621">
        <f t="shared" si="185"/>
        <v>1696126319</v>
      </c>
      <c r="AK205" s="1448"/>
      <c r="AL205" s="1649">
        <f>AL206</f>
        <v>0</v>
      </c>
      <c r="AM205" s="1650">
        <f>AM206</f>
        <v>0</v>
      </c>
      <c r="AN205" s="1448"/>
    </row>
    <row r="206" spans="1:40" s="1572" customFormat="1" ht="24.95" customHeight="1">
      <c r="A206" s="1806"/>
      <c r="B206" s="1809"/>
      <c r="N206" s="1448"/>
      <c r="P206" s="1448"/>
      <c r="Q206" s="1448"/>
      <c r="R206" s="1448"/>
      <c r="S206" s="1662" t="str">
        <f>+IF(AGOSTO!S206=0,"",AGOSTO!S206)</f>
        <v>4100200-1</v>
      </c>
      <c r="T206" s="1663" t="str">
        <f>+IF(AGOSTO!T206=0,"",AGOSTO!T206)</f>
        <v>Alimentación</v>
      </c>
      <c r="U206" s="1617">
        <f>+ENERO!U206</f>
        <v>1500000000</v>
      </c>
      <c r="V206" s="1618">
        <f>AGOSTO!V206+SEPTIEMBRE!AL206</f>
        <v>0</v>
      </c>
      <c r="W206" s="1618">
        <f>AGOSTO!W206+SEPTIEMBRE!AM206</f>
        <v>343424341</v>
      </c>
      <c r="X206" s="1619">
        <f>SUM(U206:W206)</f>
        <v>1843424341</v>
      </c>
      <c r="Y206" s="1620">
        <f>AGOSTO!AA206</f>
        <v>1220551379</v>
      </c>
      <c r="Z206" s="1557">
        <v>397605974</v>
      </c>
      <c r="AA206" s="1619">
        <f>SUM(Y206:Z206)</f>
        <v>1618157353</v>
      </c>
      <c r="AB206" s="1620">
        <f>AGOSTO!AD206</f>
        <v>1094752778</v>
      </c>
      <c r="AC206" s="1557">
        <v>117523178</v>
      </c>
      <c r="AD206" s="1619">
        <f>SUM(AB206:AC206)</f>
        <v>1212275956</v>
      </c>
      <c r="AE206" s="1620">
        <f>AGOSTO!AG206</f>
        <v>124669982</v>
      </c>
      <c r="AF206" s="1557">
        <v>22628040</v>
      </c>
      <c r="AG206" s="1619">
        <f>SUM(AE206:AF206)</f>
        <v>147298022</v>
      </c>
      <c r="AH206" s="1620">
        <f>X206-AA206</f>
        <v>225266988</v>
      </c>
      <c r="AI206" s="1618">
        <f>X206-AD206</f>
        <v>631148385</v>
      </c>
      <c r="AJ206" s="1621">
        <f>X206-AG206</f>
        <v>1696126319</v>
      </c>
      <c r="AK206" s="1448"/>
      <c r="AL206" s="1559">
        <v>0</v>
      </c>
      <c r="AM206" s="1560">
        <v>0</v>
      </c>
      <c r="AN206" s="1448"/>
    </row>
    <row r="207" spans="1:40" s="1572" customFormat="1" ht="24.95" customHeight="1" thickBot="1">
      <c r="A207" s="1806"/>
      <c r="B207" s="1809"/>
      <c r="N207" s="1448"/>
      <c r="P207" s="1448"/>
      <c r="Q207" s="1448"/>
      <c r="R207" s="1448"/>
      <c r="S207" s="1820">
        <f>+IF(AGOSTO!S207=0,"",AGOSTO!S207)</f>
        <v>4199999</v>
      </c>
      <c r="T207" s="1821" t="str">
        <f>+IF(AGOSTO!T207=0,"",AGOSTO!T207)</f>
        <v>Vigencias Anteriores</v>
      </c>
      <c r="U207" s="1822">
        <f>+ENERO!U207</f>
        <v>0</v>
      </c>
      <c r="V207" s="1823">
        <f>AGOSTO!V207+SEPTIEMBRE!AL207</f>
        <v>225273678</v>
      </c>
      <c r="W207" s="1823">
        <f>AGOSTO!W207+SEPTIEMBRE!AM207</f>
        <v>2665318807</v>
      </c>
      <c r="X207" s="1824">
        <f>SUM(U207:W207)</f>
        <v>2890592485</v>
      </c>
      <c r="Y207" s="1825">
        <f>AGOSTO!AA207</f>
        <v>2711415908</v>
      </c>
      <c r="Z207" s="1595">
        <v>56971737</v>
      </c>
      <c r="AA207" s="1824">
        <f>SUM(Y207:Z207)</f>
        <v>2768387645</v>
      </c>
      <c r="AB207" s="1825">
        <f>AGOSTO!AD207</f>
        <v>2711415908</v>
      </c>
      <c r="AC207" s="1595">
        <v>56971737</v>
      </c>
      <c r="AD207" s="1824">
        <f>SUM(AB207:AC207)</f>
        <v>2768387645</v>
      </c>
      <c r="AE207" s="1825">
        <f>AGOSTO!AG207</f>
        <v>2693501908</v>
      </c>
      <c r="AF207" s="1595">
        <f>56971737+17914000</f>
        <v>74885737</v>
      </c>
      <c r="AG207" s="1824">
        <f>SUM(AE207:AF207)</f>
        <v>2768387645</v>
      </c>
      <c r="AH207" s="1825">
        <f>X207-AA207</f>
        <v>122204840</v>
      </c>
      <c r="AI207" s="1823">
        <f>X207-AD207</f>
        <v>122204840</v>
      </c>
      <c r="AJ207" s="1826">
        <f>X207-AG207</f>
        <v>122204840</v>
      </c>
      <c r="AK207" s="1448"/>
      <c r="AL207" s="1597">
        <v>-122338548</v>
      </c>
      <c r="AM207" s="1598">
        <v>0</v>
      </c>
      <c r="AN207" s="1448"/>
    </row>
    <row r="208" spans="1:40" s="1572" customFormat="1" ht="24.95" customHeight="1">
      <c r="A208" s="1806"/>
      <c r="B208" s="1809"/>
      <c r="N208" s="1448"/>
      <c r="P208" s="1448"/>
      <c r="Q208" s="1448"/>
      <c r="R208" s="1448"/>
      <c r="S208" s="1827" t="str">
        <f>+IF(AGOSTO!S208=0,"",AGOSTO!S208)</f>
        <v/>
      </c>
      <c r="T208" s="1828" t="str">
        <f>+IF(AGOSTO!T208=0,"",AGOSTO!T208)</f>
        <v/>
      </c>
      <c r="U208" s="1829"/>
      <c r="V208" s="1829"/>
      <c r="W208" s="1829"/>
      <c r="X208" s="1829"/>
      <c r="Y208" s="1829"/>
      <c r="Z208" s="1829"/>
      <c r="AA208" s="1829"/>
      <c r="AB208" s="1829"/>
      <c r="AC208" s="1829"/>
      <c r="AD208" s="1829"/>
      <c r="AE208" s="1829"/>
      <c r="AF208" s="1829"/>
      <c r="AG208" s="1829"/>
      <c r="AH208" s="1829"/>
      <c r="AI208" s="1829"/>
      <c r="AJ208" s="1830"/>
      <c r="AK208" s="1448"/>
      <c r="AL208" s="1831"/>
      <c r="AM208" s="1832"/>
      <c r="AN208" s="1448"/>
    </row>
    <row r="209" spans="1:40" s="1572" customFormat="1" ht="24.95" customHeight="1">
      <c r="A209" s="1806"/>
      <c r="B209" s="1809"/>
      <c r="N209" s="1448"/>
      <c r="P209" s="1448"/>
      <c r="Q209" s="1448"/>
      <c r="R209" s="1448"/>
      <c r="S209" s="1579">
        <f>+IF(AGOSTO!S209=0,"",AGOSTO!S209)</f>
        <v>5000000</v>
      </c>
      <c r="T209" s="1764" t="s">
        <v>450</v>
      </c>
      <c r="U209" s="1765">
        <f t="shared" ref="U209:AJ209" si="186">U210</f>
        <v>0</v>
      </c>
      <c r="V209" s="1766">
        <f t="shared" si="186"/>
        <v>0</v>
      </c>
      <c r="W209" s="1766">
        <f t="shared" si="186"/>
        <v>0</v>
      </c>
      <c r="X209" s="1767">
        <f t="shared" si="186"/>
        <v>0</v>
      </c>
      <c r="Y209" s="1567">
        <f t="shared" si="186"/>
        <v>0</v>
      </c>
      <c r="Z209" s="1766">
        <f t="shared" si="186"/>
        <v>0</v>
      </c>
      <c r="AA209" s="1767">
        <f t="shared" si="186"/>
        <v>0</v>
      </c>
      <c r="AB209" s="1567">
        <f t="shared" si="186"/>
        <v>0</v>
      </c>
      <c r="AC209" s="1766">
        <f t="shared" si="186"/>
        <v>0</v>
      </c>
      <c r="AD209" s="1767">
        <f t="shared" si="186"/>
        <v>0</v>
      </c>
      <c r="AE209" s="1567">
        <f t="shared" si="186"/>
        <v>0</v>
      </c>
      <c r="AF209" s="1766">
        <f t="shared" si="186"/>
        <v>0</v>
      </c>
      <c r="AG209" s="1767">
        <f t="shared" si="186"/>
        <v>0</v>
      </c>
      <c r="AH209" s="1567">
        <f t="shared" si="186"/>
        <v>0</v>
      </c>
      <c r="AI209" s="1766">
        <f t="shared" si="186"/>
        <v>0</v>
      </c>
      <c r="AJ209" s="1568">
        <f t="shared" si="186"/>
        <v>0</v>
      </c>
      <c r="AK209" s="1448"/>
      <c r="AL209" s="1584">
        <f>AL210</f>
        <v>0</v>
      </c>
      <c r="AM209" s="1585">
        <f>AM210</f>
        <v>0</v>
      </c>
      <c r="AN209" s="1448"/>
    </row>
    <row r="210" spans="1:40" s="1572" customFormat="1" ht="24.95" customHeight="1">
      <c r="A210" s="1806"/>
      <c r="B210" s="1809"/>
      <c r="N210" s="1448"/>
      <c r="P210" s="1448"/>
      <c r="Q210" s="1448"/>
      <c r="R210" s="1448"/>
      <c r="S210" s="1607">
        <f>+IF(AGOSTO!S210=0,"",AGOSTO!S210)</f>
        <v>5100000</v>
      </c>
      <c r="T210" s="1608" t="str">
        <f>+IF(AGOSTO!T210=0,"",AGOSTO!T210)</f>
        <v>Insumos y Suministros para Venta al Público</v>
      </c>
      <c r="U210" s="1581">
        <f t="shared" ref="U210:AJ210" si="187">U211+U218</f>
        <v>0</v>
      </c>
      <c r="V210" s="1582">
        <f t="shared" si="187"/>
        <v>0</v>
      </c>
      <c r="W210" s="1582">
        <f t="shared" si="187"/>
        <v>0</v>
      </c>
      <c r="X210" s="1583">
        <f t="shared" si="187"/>
        <v>0</v>
      </c>
      <c r="Y210" s="1584">
        <f t="shared" si="187"/>
        <v>0</v>
      </c>
      <c r="Z210" s="1582">
        <f t="shared" si="187"/>
        <v>0</v>
      </c>
      <c r="AA210" s="1583">
        <f t="shared" si="187"/>
        <v>0</v>
      </c>
      <c r="AB210" s="1584">
        <f t="shared" si="187"/>
        <v>0</v>
      </c>
      <c r="AC210" s="1582">
        <f t="shared" si="187"/>
        <v>0</v>
      </c>
      <c r="AD210" s="1583">
        <f t="shared" si="187"/>
        <v>0</v>
      </c>
      <c r="AE210" s="1584">
        <f t="shared" si="187"/>
        <v>0</v>
      </c>
      <c r="AF210" s="1582">
        <f t="shared" si="187"/>
        <v>0</v>
      </c>
      <c r="AG210" s="1583">
        <f t="shared" si="187"/>
        <v>0</v>
      </c>
      <c r="AH210" s="1584">
        <f t="shared" si="187"/>
        <v>0</v>
      </c>
      <c r="AI210" s="1582">
        <f t="shared" si="187"/>
        <v>0</v>
      </c>
      <c r="AJ210" s="1585">
        <f t="shared" si="187"/>
        <v>0</v>
      </c>
      <c r="AK210" s="1448"/>
      <c r="AL210" s="1584">
        <f>AL211+AL218</f>
        <v>0</v>
      </c>
      <c r="AM210" s="1585">
        <f>AM211+AM218</f>
        <v>0</v>
      </c>
      <c r="AN210" s="1448"/>
    </row>
    <row r="211" spans="1:40" s="1572" customFormat="1" ht="24.95" customHeight="1">
      <c r="A211" s="1806"/>
      <c r="B211" s="1809"/>
      <c r="N211" s="1448"/>
      <c r="P211" s="1448"/>
      <c r="Q211" s="1448"/>
      <c r="R211" s="1448"/>
      <c r="S211" s="1615">
        <f>+IF(AGOSTO!S211=0,"",AGOSTO!S211)</f>
        <v>5100100</v>
      </c>
      <c r="T211" s="1616" t="str">
        <f>+IF(AGOSTO!T211=0,"",AGOSTO!T211)</f>
        <v>Compra de Bienes para la venta</v>
      </c>
      <c r="U211" s="1617">
        <f t="shared" ref="U211:AJ211" si="188">SUM(U212:U217)</f>
        <v>0</v>
      </c>
      <c r="V211" s="1618">
        <f t="shared" si="188"/>
        <v>0</v>
      </c>
      <c r="W211" s="1618">
        <f t="shared" si="188"/>
        <v>0</v>
      </c>
      <c r="X211" s="1619">
        <f t="shared" si="188"/>
        <v>0</v>
      </c>
      <c r="Y211" s="1620">
        <f t="shared" si="188"/>
        <v>0</v>
      </c>
      <c r="Z211" s="1648">
        <f t="shared" si="188"/>
        <v>0</v>
      </c>
      <c r="AA211" s="1619">
        <f t="shared" si="188"/>
        <v>0</v>
      </c>
      <c r="AB211" s="1620">
        <f t="shared" si="188"/>
        <v>0</v>
      </c>
      <c r="AC211" s="1648">
        <f t="shared" si="188"/>
        <v>0</v>
      </c>
      <c r="AD211" s="1619">
        <f t="shared" si="188"/>
        <v>0</v>
      </c>
      <c r="AE211" s="1620">
        <f t="shared" si="188"/>
        <v>0</v>
      </c>
      <c r="AF211" s="1648">
        <f t="shared" si="188"/>
        <v>0</v>
      </c>
      <c r="AG211" s="1619">
        <f t="shared" si="188"/>
        <v>0</v>
      </c>
      <c r="AH211" s="1620">
        <f t="shared" si="188"/>
        <v>0</v>
      </c>
      <c r="AI211" s="1618">
        <f t="shared" si="188"/>
        <v>0</v>
      </c>
      <c r="AJ211" s="1621">
        <f t="shared" si="188"/>
        <v>0</v>
      </c>
      <c r="AK211" s="1566"/>
      <c r="AL211" s="1649">
        <f>SUM(AL212:AL217)</f>
        <v>0</v>
      </c>
      <c r="AM211" s="1650">
        <f>SUM(AM212:AM217)</f>
        <v>0</v>
      </c>
      <c r="AN211" s="1448"/>
    </row>
    <row r="212" spans="1:40" s="1572" customFormat="1" ht="24.95" customHeight="1">
      <c r="A212" s="1806"/>
      <c r="B212" s="1809"/>
      <c r="N212" s="1448"/>
      <c r="P212" s="1448"/>
      <c r="Q212" s="1448"/>
      <c r="R212" s="1448"/>
      <c r="S212" s="1662" t="str">
        <f>+IF(AGOSTO!S212=0,"",AGOSTO!S212)</f>
        <v>5100100-1</v>
      </c>
      <c r="T212" s="1663" t="str">
        <f>+IF(AGOSTO!T212=0,"",AGOSTO!T212)</f>
        <v>Productos Farmaceuticos</v>
      </c>
      <c r="U212" s="1617">
        <f>+ENERO!U212</f>
        <v>0</v>
      </c>
      <c r="V212" s="1618">
        <f>AGOSTO!V212+SEPTIEMBRE!AL212</f>
        <v>0</v>
      </c>
      <c r="W212" s="1618">
        <f>AGOSTO!W212+SEPTIEMBRE!AM212</f>
        <v>0</v>
      </c>
      <c r="X212" s="1619">
        <f t="shared" ref="X212:X218" si="189">SUM(U212:W212)</f>
        <v>0</v>
      </c>
      <c r="Y212" s="1620">
        <f>AGOSTO!AA212</f>
        <v>0</v>
      </c>
      <c r="Z212" s="1557">
        <v>0</v>
      </c>
      <c r="AA212" s="1619">
        <f t="shared" ref="AA212:AA218" si="190">SUM(Y212:Z212)</f>
        <v>0</v>
      </c>
      <c r="AB212" s="1620">
        <f>AGOSTO!AD212</f>
        <v>0</v>
      </c>
      <c r="AC212" s="1557">
        <v>0</v>
      </c>
      <c r="AD212" s="1619">
        <f t="shared" ref="AD212:AD218" si="191">SUM(AB212:AC212)</f>
        <v>0</v>
      </c>
      <c r="AE212" s="1620">
        <f>AGOSTO!AG212</f>
        <v>0</v>
      </c>
      <c r="AF212" s="1557">
        <v>0</v>
      </c>
      <c r="AG212" s="1619">
        <f t="shared" ref="AG212:AG218" si="192">SUM(AE212:AF212)</f>
        <v>0</v>
      </c>
      <c r="AH212" s="1620">
        <f t="shared" ref="AH212:AH218" si="193">X212-AA212</f>
        <v>0</v>
      </c>
      <c r="AI212" s="1618">
        <f t="shared" ref="AI212:AI218" si="194">X212-AD212</f>
        <v>0</v>
      </c>
      <c r="AJ212" s="1621">
        <f t="shared" ref="AJ212:AJ218" si="195">X212-AG212</f>
        <v>0</v>
      </c>
      <c r="AK212" s="1448"/>
      <c r="AL212" s="1559">
        <v>0</v>
      </c>
      <c r="AM212" s="1560">
        <v>0</v>
      </c>
      <c r="AN212" s="1448"/>
    </row>
    <row r="213" spans="1:40" s="1572" customFormat="1" ht="24.95" customHeight="1">
      <c r="A213" s="1806"/>
      <c r="B213" s="1809"/>
      <c r="N213" s="1448"/>
      <c r="P213" s="1448"/>
      <c r="Q213" s="1448"/>
      <c r="R213" s="1448"/>
      <c r="S213" s="1662" t="str">
        <f>+IF(AGOSTO!S213=0,"",AGOSTO!S213)</f>
        <v>5100100-2</v>
      </c>
      <c r="T213" s="1663" t="str">
        <f>+IF(AGOSTO!T213=0,"",AGOSTO!T213)</f>
        <v>Material Médico Quirúrgico</v>
      </c>
      <c r="U213" s="1617">
        <f>+ENERO!U213</f>
        <v>0</v>
      </c>
      <c r="V213" s="1618">
        <f>AGOSTO!V213+SEPTIEMBRE!AL213</f>
        <v>0</v>
      </c>
      <c r="W213" s="1618">
        <f>AGOSTO!W213+SEPTIEMBRE!AM213</f>
        <v>0</v>
      </c>
      <c r="X213" s="1619">
        <f t="shared" si="189"/>
        <v>0</v>
      </c>
      <c r="Y213" s="1620">
        <f>AGOSTO!AA213</f>
        <v>0</v>
      </c>
      <c r="Z213" s="1557">
        <v>0</v>
      </c>
      <c r="AA213" s="1619">
        <f t="shared" si="190"/>
        <v>0</v>
      </c>
      <c r="AB213" s="1620">
        <f>AGOSTO!AD213</f>
        <v>0</v>
      </c>
      <c r="AC213" s="1557">
        <v>0</v>
      </c>
      <c r="AD213" s="1619">
        <f t="shared" si="191"/>
        <v>0</v>
      </c>
      <c r="AE213" s="1620">
        <f>AGOSTO!AG213</f>
        <v>0</v>
      </c>
      <c r="AF213" s="1557">
        <v>0</v>
      </c>
      <c r="AG213" s="1619">
        <f t="shared" si="192"/>
        <v>0</v>
      </c>
      <c r="AH213" s="1620">
        <f t="shared" si="193"/>
        <v>0</v>
      </c>
      <c r="AI213" s="1618">
        <f t="shared" si="194"/>
        <v>0</v>
      </c>
      <c r="AJ213" s="1621">
        <f t="shared" si="195"/>
        <v>0</v>
      </c>
      <c r="AK213" s="1448"/>
      <c r="AL213" s="1559">
        <v>0</v>
      </c>
      <c r="AM213" s="1560">
        <v>0</v>
      </c>
      <c r="AN213" s="1448"/>
    </row>
    <row r="214" spans="1:40" s="1572" customFormat="1" ht="24.95" customHeight="1">
      <c r="A214" s="1806"/>
      <c r="B214" s="1809"/>
      <c r="N214" s="1448"/>
      <c r="P214" s="1448"/>
      <c r="Q214" s="1448"/>
      <c r="R214" s="1448"/>
      <c r="S214" s="1662" t="str">
        <f>+IF(AGOSTO!S214=0,"",AGOSTO!S214)</f>
        <v>5100100-3</v>
      </c>
      <c r="T214" s="1663" t="str">
        <f>+IF(AGOSTO!T214=0,"",AGOSTO!T214)</f>
        <v>Material de Laboratorio</v>
      </c>
      <c r="U214" s="1617">
        <f>+ENERO!U214</f>
        <v>0</v>
      </c>
      <c r="V214" s="1618">
        <f>AGOSTO!V214+SEPTIEMBRE!AL214</f>
        <v>0</v>
      </c>
      <c r="W214" s="1618">
        <f>AGOSTO!W214+SEPTIEMBRE!AM214</f>
        <v>0</v>
      </c>
      <c r="X214" s="1619">
        <f t="shared" si="189"/>
        <v>0</v>
      </c>
      <c r="Y214" s="1620">
        <f>AGOSTO!AA214</f>
        <v>0</v>
      </c>
      <c r="Z214" s="1557">
        <v>0</v>
      </c>
      <c r="AA214" s="1619">
        <f t="shared" si="190"/>
        <v>0</v>
      </c>
      <c r="AB214" s="1620">
        <f>AGOSTO!AD214</f>
        <v>0</v>
      </c>
      <c r="AC214" s="1557">
        <v>0</v>
      </c>
      <c r="AD214" s="1619">
        <f t="shared" si="191"/>
        <v>0</v>
      </c>
      <c r="AE214" s="1620">
        <f>AGOSTO!AG214</f>
        <v>0</v>
      </c>
      <c r="AF214" s="1557">
        <v>0</v>
      </c>
      <c r="AG214" s="1619">
        <f t="shared" si="192"/>
        <v>0</v>
      </c>
      <c r="AH214" s="1620">
        <f t="shared" si="193"/>
        <v>0</v>
      </c>
      <c r="AI214" s="1618">
        <f t="shared" si="194"/>
        <v>0</v>
      </c>
      <c r="AJ214" s="1621">
        <f t="shared" si="195"/>
        <v>0</v>
      </c>
      <c r="AK214" s="1448"/>
      <c r="AL214" s="1559">
        <v>0</v>
      </c>
      <c r="AM214" s="1560">
        <v>0</v>
      </c>
      <c r="AN214" s="1448"/>
    </row>
    <row r="215" spans="1:40" s="1572" customFormat="1" ht="24.95" customHeight="1">
      <c r="A215" s="1806"/>
      <c r="B215" s="1809"/>
      <c r="N215" s="1448"/>
      <c r="P215" s="1448"/>
      <c r="Q215" s="1448"/>
      <c r="R215" s="1448"/>
      <c r="S215" s="1662" t="str">
        <f>+IF(AGOSTO!S215=0,"",AGOSTO!S215)</f>
        <v>5100100-4</v>
      </c>
      <c r="T215" s="1663" t="str">
        <f>+IF(AGOSTO!T215=0,"",AGOSTO!T215)</f>
        <v>Material para Odontologia</v>
      </c>
      <c r="U215" s="1617">
        <f>+ENERO!U215</f>
        <v>0</v>
      </c>
      <c r="V215" s="1618">
        <f>AGOSTO!V215+SEPTIEMBRE!AL215</f>
        <v>0</v>
      </c>
      <c r="W215" s="1618">
        <f>AGOSTO!W215+SEPTIEMBRE!AM215</f>
        <v>0</v>
      </c>
      <c r="X215" s="1619">
        <f t="shared" si="189"/>
        <v>0</v>
      </c>
      <c r="Y215" s="1620">
        <f>AGOSTO!AA215</f>
        <v>0</v>
      </c>
      <c r="Z215" s="1557">
        <v>0</v>
      </c>
      <c r="AA215" s="1619">
        <f t="shared" si="190"/>
        <v>0</v>
      </c>
      <c r="AB215" s="1620">
        <f>AGOSTO!AD215</f>
        <v>0</v>
      </c>
      <c r="AC215" s="1557">
        <v>0</v>
      </c>
      <c r="AD215" s="1619">
        <f t="shared" si="191"/>
        <v>0</v>
      </c>
      <c r="AE215" s="1620">
        <f>AGOSTO!AG215</f>
        <v>0</v>
      </c>
      <c r="AF215" s="1557">
        <v>0</v>
      </c>
      <c r="AG215" s="1619">
        <f t="shared" si="192"/>
        <v>0</v>
      </c>
      <c r="AH215" s="1620">
        <f t="shared" si="193"/>
        <v>0</v>
      </c>
      <c r="AI215" s="1618">
        <f t="shared" si="194"/>
        <v>0</v>
      </c>
      <c r="AJ215" s="1621">
        <f t="shared" si="195"/>
        <v>0</v>
      </c>
      <c r="AK215" s="1448"/>
      <c r="AL215" s="1559">
        <v>0</v>
      </c>
      <c r="AM215" s="1560">
        <v>0</v>
      </c>
      <c r="AN215" s="1448"/>
    </row>
    <row r="216" spans="1:40" s="1572" customFormat="1" ht="24.95" customHeight="1">
      <c r="A216" s="1806"/>
      <c r="B216" s="1809"/>
      <c r="N216" s="1448"/>
      <c r="P216" s="1448"/>
      <c r="Q216" s="1448"/>
      <c r="R216" s="1448"/>
      <c r="S216" s="1662" t="str">
        <f>+IF(AGOSTO!S216=0,"",AGOSTO!S216)</f>
        <v>5100100-5</v>
      </c>
      <c r="T216" s="1663" t="str">
        <f>+IF(AGOSTO!T216=0,"",AGOSTO!T216)</f>
        <v>Material para Rayos X</v>
      </c>
      <c r="U216" s="1617">
        <f>+ENERO!U216</f>
        <v>0</v>
      </c>
      <c r="V216" s="1618">
        <f>AGOSTO!V216+SEPTIEMBRE!AL216</f>
        <v>0</v>
      </c>
      <c r="W216" s="1618">
        <f>AGOSTO!W216+SEPTIEMBRE!AM216</f>
        <v>0</v>
      </c>
      <c r="X216" s="1619">
        <f t="shared" si="189"/>
        <v>0</v>
      </c>
      <c r="Y216" s="1620">
        <f>AGOSTO!AA216</f>
        <v>0</v>
      </c>
      <c r="Z216" s="1557">
        <v>0</v>
      </c>
      <c r="AA216" s="1619">
        <f t="shared" si="190"/>
        <v>0</v>
      </c>
      <c r="AB216" s="1620">
        <f>AGOSTO!AD216</f>
        <v>0</v>
      </c>
      <c r="AC216" s="1557">
        <v>0</v>
      </c>
      <c r="AD216" s="1619">
        <f t="shared" si="191"/>
        <v>0</v>
      </c>
      <c r="AE216" s="1620">
        <f>AGOSTO!AG216</f>
        <v>0</v>
      </c>
      <c r="AF216" s="1557">
        <v>0</v>
      </c>
      <c r="AG216" s="1619">
        <f t="shared" si="192"/>
        <v>0</v>
      </c>
      <c r="AH216" s="1620">
        <f t="shared" si="193"/>
        <v>0</v>
      </c>
      <c r="AI216" s="1618">
        <f t="shared" si="194"/>
        <v>0</v>
      </c>
      <c r="AJ216" s="1621">
        <f t="shared" si="195"/>
        <v>0</v>
      </c>
      <c r="AK216" s="1448"/>
      <c r="AL216" s="1559">
        <v>0</v>
      </c>
      <c r="AM216" s="1560">
        <v>0</v>
      </c>
      <c r="AN216" s="1448"/>
    </row>
    <row r="217" spans="1:40" s="1572" customFormat="1" ht="24.95" customHeight="1">
      <c r="A217" s="1806"/>
      <c r="B217" s="1809"/>
      <c r="N217" s="1448"/>
      <c r="P217" s="1448"/>
      <c r="Q217" s="1448"/>
      <c r="R217" s="1448"/>
      <c r="S217" s="1662" t="str">
        <f>+IF(AGOSTO!S217=0,"",AGOSTO!S217)</f>
        <v>5100100-6</v>
      </c>
      <c r="T217" s="1663" t="str">
        <f>+IF(AGOSTO!T217=0,"",AGOSTO!T217)</f>
        <v>Material aseo personal, etc.</v>
      </c>
      <c r="U217" s="1617">
        <f>+ENERO!U217</f>
        <v>0</v>
      </c>
      <c r="V217" s="1618">
        <f>AGOSTO!V217+SEPTIEMBRE!AL217</f>
        <v>0</v>
      </c>
      <c r="W217" s="1618">
        <f>AGOSTO!W217+SEPTIEMBRE!AM217</f>
        <v>0</v>
      </c>
      <c r="X217" s="1619">
        <f t="shared" si="189"/>
        <v>0</v>
      </c>
      <c r="Y217" s="1620">
        <f>AGOSTO!AA217</f>
        <v>0</v>
      </c>
      <c r="Z217" s="1557">
        <v>0</v>
      </c>
      <c r="AA217" s="1619">
        <f t="shared" si="190"/>
        <v>0</v>
      </c>
      <c r="AB217" s="1620">
        <f>AGOSTO!AD217</f>
        <v>0</v>
      </c>
      <c r="AC217" s="1557">
        <v>0</v>
      </c>
      <c r="AD217" s="1619">
        <f t="shared" si="191"/>
        <v>0</v>
      </c>
      <c r="AE217" s="1620">
        <f>AGOSTO!AG217</f>
        <v>0</v>
      </c>
      <c r="AF217" s="1557">
        <v>0</v>
      </c>
      <c r="AG217" s="1619">
        <f t="shared" si="192"/>
        <v>0</v>
      </c>
      <c r="AH217" s="1620">
        <f t="shared" si="193"/>
        <v>0</v>
      </c>
      <c r="AI217" s="1618">
        <f t="shared" si="194"/>
        <v>0</v>
      </c>
      <c r="AJ217" s="1621">
        <f t="shared" si="195"/>
        <v>0</v>
      </c>
      <c r="AK217" s="1448"/>
      <c r="AL217" s="1559">
        <v>0</v>
      </c>
      <c r="AM217" s="1560">
        <v>0</v>
      </c>
      <c r="AN217" s="1448"/>
    </row>
    <row r="218" spans="1:40" s="1572" customFormat="1" ht="24.95" customHeight="1" thickBot="1">
      <c r="A218" s="1806"/>
      <c r="B218" s="1809"/>
      <c r="N218" s="1448"/>
      <c r="P218" s="1448"/>
      <c r="Q218" s="1448"/>
      <c r="R218" s="1448"/>
      <c r="S218" s="1833">
        <f>+IF(AGOSTO!S218=0,"",AGOSTO!S218)</f>
        <v>5199999</v>
      </c>
      <c r="T218" s="1834" t="str">
        <f>+IF(AGOSTO!T218=0,"",AGOSTO!T218)</f>
        <v>Vigencias Anteriores</v>
      </c>
      <c r="U218" s="1822">
        <f>+ENERO!U218</f>
        <v>0</v>
      </c>
      <c r="V218" s="1823">
        <f>AGOSTO!V218+SEPTIEMBRE!AL218</f>
        <v>0</v>
      </c>
      <c r="W218" s="1823">
        <f>AGOSTO!W218+SEPTIEMBRE!AM218</f>
        <v>0</v>
      </c>
      <c r="X218" s="1824">
        <f t="shared" si="189"/>
        <v>0</v>
      </c>
      <c r="Y218" s="1825">
        <f>AGOSTO!AA218</f>
        <v>0</v>
      </c>
      <c r="Z218" s="1595">
        <v>0</v>
      </c>
      <c r="AA218" s="1824">
        <f t="shared" si="190"/>
        <v>0</v>
      </c>
      <c r="AB218" s="1825">
        <f>AGOSTO!AD218</f>
        <v>0</v>
      </c>
      <c r="AC218" s="1595">
        <v>0</v>
      </c>
      <c r="AD218" s="1824">
        <f t="shared" si="191"/>
        <v>0</v>
      </c>
      <c r="AE218" s="1825">
        <f>AGOSTO!AG218</f>
        <v>0</v>
      </c>
      <c r="AF218" s="1595">
        <v>0</v>
      </c>
      <c r="AG218" s="1824">
        <f t="shared" si="192"/>
        <v>0</v>
      </c>
      <c r="AH218" s="1825">
        <f t="shared" si="193"/>
        <v>0</v>
      </c>
      <c r="AI218" s="1823">
        <f t="shared" si="194"/>
        <v>0</v>
      </c>
      <c r="AJ218" s="1826">
        <f t="shared" si="195"/>
        <v>0</v>
      </c>
      <c r="AK218" s="1448"/>
      <c r="AL218" s="1835">
        <v>0</v>
      </c>
      <c r="AM218" s="1836">
        <v>0</v>
      </c>
      <c r="AN218" s="1448"/>
    </row>
    <row r="219" spans="1:40" s="1572" customFormat="1" ht="24.95" customHeight="1" thickBot="1">
      <c r="A219" s="1806"/>
      <c r="B219" s="1809"/>
      <c r="N219" s="1448"/>
      <c r="P219" s="1448"/>
      <c r="Q219" s="1448"/>
      <c r="R219" s="1448"/>
      <c r="S219" s="1837" t="str">
        <f>+IF(AGOSTO!S219=0,"",AGOSTO!S219)</f>
        <v/>
      </c>
      <c r="T219" s="1838" t="str">
        <f>+IF(AGOSTO!T219=0,"",AGOSTO!T219)</f>
        <v/>
      </c>
      <c r="U219" s="1839"/>
      <c r="V219" s="1839"/>
      <c r="W219" s="1839"/>
      <c r="X219" s="1839"/>
      <c r="Y219" s="1839"/>
      <c r="Z219" s="1839"/>
      <c r="AA219" s="1839"/>
      <c r="AB219" s="1839"/>
      <c r="AC219" s="1839"/>
      <c r="AD219" s="1839"/>
      <c r="AE219" s="1839"/>
      <c r="AF219" s="1839"/>
      <c r="AG219" s="1839"/>
      <c r="AH219" s="1839"/>
      <c r="AI219" s="1839"/>
      <c r="AJ219" s="1840"/>
      <c r="AK219" s="1566"/>
      <c r="AL219" s="1841"/>
      <c r="AM219" s="1842"/>
      <c r="AN219" s="1448"/>
    </row>
    <row r="220" spans="1:40" s="1572" customFormat="1" ht="24.95" customHeight="1">
      <c r="A220" s="1806"/>
      <c r="B220" s="1809"/>
      <c r="N220" s="1448"/>
      <c r="P220" s="1448"/>
      <c r="Q220" s="1448"/>
      <c r="R220" s="1448"/>
      <c r="S220" s="1524" t="str">
        <f>+IF(AGOSTO!S220=0,"",AGOSTO!S220)</f>
        <v>C</v>
      </c>
      <c r="T220" s="1525" t="str">
        <f>+IF(AGOSTO!T220=0,"",AGOSTO!T220)</f>
        <v xml:space="preserve">SERVICIO DE LA DEUDA </v>
      </c>
      <c r="U220" s="1526">
        <f t="shared" ref="U220:AJ220" si="196">U222+U227</f>
        <v>0</v>
      </c>
      <c r="V220" s="1527">
        <f t="shared" si="196"/>
        <v>0</v>
      </c>
      <c r="W220" s="1527">
        <f t="shared" si="196"/>
        <v>0</v>
      </c>
      <c r="X220" s="1528">
        <f t="shared" si="196"/>
        <v>0</v>
      </c>
      <c r="Y220" s="1529">
        <f t="shared" si="196"/>
        <v>0</v>
      </c>
      <c r="Z220" s="1527">
        <f t="shared" si="196"/>
        <v>0</v>
      </c>
      <c r="AA220" s="1528">
        <f t="shared" si="196"/>
        <v>0</v>
      </c>
      <c r="AB220" s="1529">
        <f t="shared" si="196"/>
        <v>0</v>
      </c>
      <c r="AC220" s="1527">
        <f t="shared" si="196"/>
        <v>0</v>
      </c>
      <c r="AD220" s="1528">
        <f t="shared" si="196"/>
        <v>0</v>
      </c>
      <c r="AE220" s="1529">
        <f t="shared" si="196"/>
        <v>0</v>
      </c>
      <c r="AF220" s="1527">
        <f t="shared" si="196"/>
        <v>0</v>
      </c>
      <c r="AG220" s="1528">
        <f t="shared" si="196"/>
        <v>0</v>
      </c>
      <c r="AH220" s="1529">
        <f t="shared" si="196"/>
        <v>0</v>
      </c>
      <c r="AI220" s="1527">
        <f t="shared" si="196"/>
        <v>0</v>
      </c>
      <c r="AJ220" s="1530">
        <f t="shared" si="196"/>
        <v>0</v>
      </c>
      <c r="AK220" s="1843"/>
      <c r="AL220" s="1529">
        <f>AL222+AL227</f>
        <v>0</v>
      </c>
      <c r="AM220" s="1530">
        <f>AM222+AM227</f>
        <v>0</v>
      </c>
      <c r="AN220" s="1448"/>
    </row>
    <row r="221" spans="1:40" s="1572" customFormat="1" ht="24.95" customHeight="1">
      <c r="A221" s="1806"/>
      <c r="B221" s="1809"/>
      <c r="N221" s="1448"/>
      <c r="P221" s="1448"/>
      <c r="Q221" s="1448"/>
      <c r="R221" s="1448"/>
      <c r="S221" s="1538" t="str">
        <f>+IF(AGOSTO!S221=0,"",AGOSTO!S221)</f>
        <v/>
      </c>
      <c r="T221" s="1539" t="str">
        <f>+IF(AGOSTO!T221=0,"",AGOSTO!T221)</f>
        <v/>
      </c>
      <c r="U221" s="1540"/>
      <c r="V221" s="1540"/>
      <c r="W221" s="1540"/>
      <c r="X221" s="1540"/>
      <c r="Y221" s="1540"/>
      <c r="Z221" s="1540"/>
      <c r="AA221" s="1540"/>
      <c r="AB221" s="1540"/>
      <c r="AC221" s="1540"/>
      <c r="AD221" s="1540"/>
      <c r="AE221" s="1540"/>
      <c r="AF221" s="1540"/>
      <c r="AG221" s="1540"/>
      <c r="AH221" s="1540"/>
      <c r="AI221" s="1540"/>
      <c r="AJ221" s="1541"/>
      <c r="AK221" s="1448"/>
      <c r="AL221" s="1726"/>
      <c r="AM221" s="1727"/>
      <c r="AN221" s="1448"/>
    </row>
    <row r="222" spans="1:40" s="1572" customFormat="1" ht="24.95" customHeight="1">
      <c r="A222" s="1806"/>
      <c r="B222" s="1809"/>
      <c r="N222" s="1448"/>
      <c r="P222" s="1448"/>
      <c r="Q222" s="1448"/>
      <c r="R222" s="1448"/>
      <c r="S222" s="1607">
        <f>+IF(AGOSTO!S222=0,"",AGOSTO!S222)</f>
        <v>7001000</v>
      </c>
      <c r="T222" s="1608" t="str">
        <f>+IF(AGOSTO!T222=0,"",AGOSTO!T222)</f>
        <v>SERVICIO DE LA DEUDA INTERNA</v>
      </c>
      <c r="U222" s="1581">
        <f t="shared" ref="U222:AJ222" si="197">SUM(U223:U225)</f>
        <v>0</v>
      </c>
      <c r="V222" s="1582">
        <f t="shared" si="197"/>
        <v>0</v>
      </c>
      <c r="W222" s="1582">
        <f t="shared" si="197"/>
        <v>0</v>
      </c>
      <c r="X222" s="1583">
        <f t="shared" si="197"/>
        <v>0</v>
      </c>
      <c r="Y222" s="1584">
        <f t="shared" si="197"/>
        <v>0</v>
      </c>
      <c r="Z222" s="1582">
        <f t="shared" si="197"/>
        <v>0</v>
      </c>
      <c r="AA222" s="1583">
        <f t="shared" si="197"/>
        <v>0</v>
      </c>
      <c r="AB222" s="1584">
        <f t="shared" si="197"/>
        <v>0</v>
      </c>
      <c r="AC222" s="1582">
        <f t="shared" si="197"/>
        <v>0</v>
      </c>
      <c r="AD222" s="1583">
        <f t="shared" si="197"/>
        <v>0</v>
      </c>
      <c r="AE222" s="1584">
        <f t="shared" si="197"/>
        <v>0</v>
      </c>
      <c r="AF222" s="1582">
        <f t="shared" si="197"/>
        <v>0</v>
      </c>
      <c r="AG222" s="1583">
        <f t="shared" si="197"/>
        <v>0</v>
      </c>
      <c r="AH222" s="1584">
        <f t="shared" si="197"/>
        <v>0</v>
      </c>
      <c r="AI222" s="1582">
        <f t="shared" si="197"/>
        <v>0</v>
      </c>
      <c r="AJ222" s="1585">
        <f t="shared" si="197"/>
        <v>0</v>
      </c>
      <c r="AK222" s="1448"/>
      <c r="AL222" s="1584">
        <f>SUM(AL223:AL225)</f>
        <v>0</v>
      </c>
      <c r="AM222" s="1585">
        <f>SUM(AM223:AM225)</f>
        <v>0</v>
      </c>
      <c r="AN222" s="1448"/>
    </row>
    <row r="223" spans="1:40" s="1572" customFormat="1" ht="24.95" customHeight="1">
      <c r="A223" s="1806"/>
      <c r="B223" s="1809"/>
      <c r="N223" s="1448"/>
      <c r="P223" s="1448"/>
      <c r="Q223" s="1448"/>
      <c r="R223" s="1448"/>
      <c r="S223" s="1615">
        <f>+IF(AGOSTO!S223=0,"",AGOSTO!S223)</f>
        <v>7001100</v>
      </c>
      <c r="T223" s="1616" t="str">
        <f>+IF(AGOSTO!T223=0,"",AGOSTO!T223)</f>
        <v>Amortización deuda Pública Interna</v>
      </c>
      <c r="U223" s="1617">
        <f>+ENERO!U223</f>
        <v>0</v>
      </c>
      <c r="V223" s="1618">
        <f>AGOSTO!V223+SEPTIEMBRE!AL223</f>
        <v>0</v>
      </c>
      <c r="W223" s="1618">
        <f>AGOSTO!W223+SEPTIEMBRE!AM223</f>
        <v>0</v>
      </c>
      <c r="X223" s="1619">
        <f>SUM(U223:W223)</f>
        <v>0</v>
      </c>
      <c r="Y223" s="1620">
        <f>AGOSTO!AA223</f>
        <v>0</v>
      </c>
      <c r="Z223" s="1557">
        <v>0</v>
      </c>
      <c r="AA223" s="1619">
        <f>SUM(Y223:Z223)</f>
        <v>0</v>
      </c>
      <c r="AB223" s="1620">
        <f>AGOSTO!AD223</f>
        <v>0</v>
      </c>
      <c r="AC223" s="1557">
        <v>0</v>
      </c>
      <c r="AD223" s="1619">
        <f>SUM(AB223:AC223)</f>
        <v>0</v>
      </c>
      <c r="AE223" s="1620">
        <f>AGOSTO!AG223</f>
        <v>0</v>
      </c>
      <c r="AF223" s="1557">
        <v>0</v>
      </c>
      <c r="AG223" s="1619">
        <f>SUM(AE223:AF223)</f>
        <v>0</v>
      </c>
      <c r="AH223" s="1620">
        <f>X223-AA223</f>
        <v>0</v>
      </c>
      <c r="AI223" s="1618">
        <f>X223-AD223</f>
        <v>0</v>
      </c>
      <c r="AJ223" s="1621">
        <f>X223-AG223</f>
        <v>0</v>
      </c>
      <c r="AK223" s="1448"/>
      <c r="AL223" s="1559">
        <v>0</v>
      </c>
      <c r="AM223" s="1560">
        <v>0</v>
      </c>
      <c r="AN223" s="1448"/>
    </row>
    <row r="224" spans="1:40" s="1572" customFormat="1" ht="24.95" customHeight="1">
      <c r="A224" s="1806"/>
      <c r="B224" s="1809"/>
      <c r="N224" s="1448"/>
      <c r="P224" s="1448"/>
      <c r="Q224" s="1448"/>
      <c r="R224" s="1448"/>
      <c r="S224" s="1615">
        <f>+IF(AGOSTO!S224=0,"",AGOSTO!S224)</f>
        <v>7001200</v>
      </c>
      <c r="T224" s="1616" t="str">
        <f>+IF(AGOSTO!T224=0,"",AGOSTO!T224)</f>
        <v>Intereses Comisiones y gastos de la Deuda Pública</v>
      </c>
      <c r="U224" s="1617">
        <f>+ENERO!U224</f>
        <v>0</v>
      </c>
      <c r="V224" s="1618">
        <f>AGOSTO!V224+SEPTIEMBRE!AL224</f>
        <v>0</v>
      </c>
      <c r="W224" s="1618">
        <f>AGOSTO!W224+SEPTIEMBRE!AM224</f>
        <v>0</v>
      </c>
      <c r="X224" s="1619">
        <f>SUM(U224:W224)</f>
        <v>0</v>
      </c>
      <c r="Y224" s="1620">
        <f>AGOSTO!AA224</f>
        <v>0</v>
      </c>
      <c r="Z224" s="1557">
        <v>0</v>
      </c>
      <c r="AA224" s="1619">
        <f>SUM(Y224:Z224)</f>
        <v>0</v>
      </c>
      <c r="AB224" s="1620">
        <f>AGOSTO!AD224</f>
        <v>0</v>
      </c>
      <c r="AC224" s="1557">
        <v>0</v>
      </c>
      <c r="AD224" s="1619">
        <f>SUM(AB224:AC224)</f>
        <v>0</v>
      </c>
      <c r="AE224" s="1620">
        <f>AGOSTO!AG224</f>
        <v>0</v>
      </c>
      <c r="AF224" s="1557">
        <v>0</v>
      </c>
      <c r="AG224" s="1619">
        <f>SUM(AE224:AF224)</f>
        <v>0</v>
      </c>
      <c r="AH224" s="1620">
        <f>X224-AA224</f>
        <v>0</v>
      </c>
      <c r="AI224" s="1618">
        <f>X224-AD224</f>
        <v>0</v>
      </c>
      <c r="AJ224" s="1621">
        <f>X224-AG224</f>
        <v>0</v>
      </c>
      <c r="AK224" s="1448"/>
      <c r="AL224" s="1559">
        <v>0</v>
      </c>
      <c r="AM224" s="1560">
        <v>0</v>
      </c>
      <c r="AN224" s="1448"/>
    </row>
    <row r="225" spans="1:40" s="1572" customFormat="1" ht="24.95" customHeight="1">
      <c r="A225" s="1806"/>
      <c r="B225" s="1809"/>
      <c r="N225" s="1448"/>
      <c r="P225" s="1448"/>
      <c r="Q225" s="1448"/>
      <c r="R225" s="1448"/>
      <c r="S225" s="1615">
        <f>+IF(AGOSTO!S225=0,"",AGOSTO!S225)</f>
        <v>7001999</v>
      </c>
      <c r="T225" s="1616" t="str">
        <f>+IF(AGOSTO!T225=0,"",AGOSTO!T225)</f>
        <v>Vigencias Anteriores</v>
      </c>
      <c r="U225" s="1617">
        <f>+ENERO!U225</f>
        <v>0</v>
      </c>
      <c r="V225" s="1618">
        <f>AGOSTO!V225+SEPTIEMBRE!AL225</f>
        <v>0</v>
      </c>
      <c r="W225" s="1618">
        <f>AGOSTO!W225+SEPTIEMBRE!AM225</f>
        <v>0</v>
      </c>
      <c r="X225" s="1619">
        <f>SUM(U225:W225)</f>
        <v>0</v>
      </c>
      <c r="Y225" s="1620">
        <f>AGOSTO!AA225</f>
        <v>0</v>
      </c>
      <c r="Z225" s="1557">
        <v>0</v>
      </c>
      <c r="AA225" s="1619">
        <f>SUM(Y225:Z225)</f>
        <v>0</v>
      </c>
      <c r="AB225" s="1620">
        <f>AGOSTO!AD225</f>
        <v>0</v>
      </c>
      <c r="AC225" s="1557">
        <v>0</v>
      </c>
      <c r="AD225" s="1619">
        <f>SUM(AB225:AC225)</f>
        <v>0</v>
      </c>
      <c r="AE225" s="1620">
        <f>AGOSTO!AG225</f>
        <v>0</v>
      </c>
      <c r="AF225" s="1557">
        <v>0</v>
      </c>
      <c r="AG225" s="1619">
        <f>SUM(AE225:AF225)</f>
        <v>0</v>
      </c>
      <c r="AH225" s="1620">
        <f>X225-AA225</f>
        <v>0</v>
      </c>
      <c r="AI225" s="1618">
        <f>X225-AD225</f>
        <v>0</v>
      </c>
      <c r="AJ225" s="1621">
        <f>X225-AG225</f>
        <v>0</v>
      </c>
      <c r="AK225" s="1448"/>
      <c r="AL225" s="1559">
        <v>0</v>
      </c>
      <c r="AM225" s="1560">
        <v>0</v>
      </c>
      <c r="AN225" s="1448"/>
    </row>
    <row r="226" spans="1:40" s="1572" customFormat="1" ht="24.95" customHeight="1">
      <c r="A226" s="1806"/>
      <c r="B226" s="1809"/>
      <c r="N226" s="1448"/>
      <c r="P226" s="1448"/>
      <c r="Q226" s="1448"/>
      <c r="R226" s="1448"/>
      <c r="S226" s="1538" t="str">
        <f>+IF(AGOSTO!S226=0,"",AGOSTO!S226)</f>
        <v/>
      </c>
      <c r="T226" s="1539" t="str">
        <f>+IF(AGOSTO!T226=0,"",AGOSTO!T226)</f>
        <v/>
      </c>
      <c r="U226" s="1540"/>
      <c r="V226" s="1540"/>
      <c r="W226" s="1540"/>
      <c r="X226" s="1540"/>
      <c r="Y226" s="1540"/>
      <c r="Z226" s="1540"/>
      <c r="AA226" s="1540"/>
      <c r="AB226" s="1540"/>
      <c r="AC226" s="1540"/>
      <c r="AD226" s="1540"/>
      <c r="AE226" s="1540"/>
      <c r="AF226" s="1540"/>
      <c r="AG226" s="1540"/>
      <c r="AH226" s="1540"/>
      <c r="AI226" s="1540"/>
      <c r="AJ226" s="1541"/>
      <c r="AK226" s="1566"/>
      <c r="AL226" s="1726"/>
      <c r="AM226" s="1727"/>
      <c r="AN226" s="1448"/>
    </row>
    <row r="227" spans="1:40" s="1572" customFormat="1" ht="24.95" customHeight="1">
      <c r="A227" s="1806"/>
      <c r="B227" s="1809"/>
      <c r="N227" s="1448"/>
      <c r="P227" s="1448"/>
      <c r="Q227" s="1448"/>
      <c r="R227" s="1448"/>
      <c r="S227" s="1607">
        <f>+IF(AGOSTO!S227=0,"",AGOSTO!S227)</f>
        <v>7002001</v>
      </c>
      <c r="T227" s="1608" t="str">
        <f>+IF(AGOSTO!T227=0,"",AGOSTO!T227)</f>
        <v>SERVICIO DE LA DEUDA EXTERNA</v>
      </c>
      <c r="U227" s="1581">
        <f t="shared" ref="U227:AJ227" si="198">SUM(U228:U230)</f>
        <v>0</v>
      </c>
      <c r="V227" s="1582">
        <f t="shared" si="198"/>
        <v>0</v>
      </c>
      <c r="W227" s="1582">
        <f t="shared" si="198"/>
        <v>0</v>
      </c>
      <c r="X227" s="1583">
        <f t="shared" si="198"/>
        <v>0</v>
      </c>
      <c r="Y227" s="1584">
        <f t="shared" si="198"/>
        <v>0</v>
      </c>
      <c r="Z227" s="1582">
        <f t="shared" si="198"/>
        <v>0</v>
      </c>
      <c r="AA227" s="1583">
        <f t="shared" si="198"/>
        <v>0</v>
      </c>
      <c r="AB227" s="1584">
        <f t="shared" si="198"/>
        <v>0</v>
      </c>
      <c r="AC227" s="1582">
        <f t="shared" si="198"/>
        <v>0</v>
      </c>
      <c r="AD227" s="1583">
        <f t="shared" si="198"/>
        <v>0</v>
      </c>
      <c r="AE227" s="1584">
        <f t="shared" si="198"/>
        <v>0</v>
      </c>
      <c r="AF227" s="1582">
        <f t="shared" si="198"/>
        <v>0</v>
      </c>
      <c r="AG227" s="1583">
        <f t="shared" si="198"/>
        <v>0</v>
      </c>
      <c r="AH227" s="1584">
        <f t="shared" si="198"/>
        <v>0</v>
      </c>
      <c r="AI227" s="1582">
        <f t="shared" si="198"/>
        <v>0</v>
      </c>
      <c r="AJ227" s="1585">
        <f t="shared" si="198"/>
        <v>0</v>
      </c>
      <c r="AK227" s="1566"/>
      <c r="AL227" s="1584">
        <f>SUM(AL228:AL230)</f>
        <v>0</v>
      </c>
      <c r="AM227" s="1585">
        <f>SUM(AM228:AM230)</f>
        <v>0</v>
      </c>
      <c r="AN227" s="1448"/>
    </row>
    <row r="228" spans="1:40" s="1572" customFormat="1" ht="24.95" customHeight="1">
      <c r="A228" s="1806"/>
      <c r="B228" s="1809"/>
      <c r="N228" s="1448"/>
      <c r="P228" s="1448"/>
      <c r="Q228" s="1448"/>
      <c r="R228" s="1448"/>
      <c r="S228" s="1615">
        <f>+IF(AGOSTO!S228=0,"",AGOSTO!S228)</f>
        <v>7002100</v>
      </c>
      <c r="T228" s="1616" t="str">
        <f>+IF(AGOSTO!T228=0,"",AGOSTO!T228)</f>
        <v>Amortización deuda Pública Externa</v>
      </c>
      <c r="U228" s="1617">
        <f>+ENERO!U228</f>
        <v>0</v>
      </c>
      <c r="V228" s="1618">
        <f>AGOSTO!V228+SEPTIEMBRE!AL228</f>
        <v>0</v>
      </c>
      <c r="W228" s="1618">
        <f>AGOSTO!W228+SEPTIEMBRE!AM228</f>
        <v>0</v>
      </c>
      <c r="X228" s="1619">
        <f>SUM(U228:W228)</f>
        <v>0</v>
      </c>
      <c r="Y228" s="1620">
        <f>AGOSTO!AA228</f>
        <v>0</v>
      </c>
      <c r="Z228" s="1557">
        <v>0</v>
      </c>
      <c r="AA228" s="1619">
        <f>SUM(Y228:Z228)</f>
        <v>0</v>
      </c>
      <c r="AB228" s="1620">
        <f>AGOSTO!AD228</f>
        <v>0</v>
      </c>
      <c r="AC228" s="1557">
        <v>0</v>
      </c>
      <c r="AD228" s="1619">
        <f>SUM(AB228:AC228)</f>
        <v>0</v>
      </c>
      <c r="AE228" s="1620">
        <f>AGOSTO!AG228</f>
        <v>0</v>
      </c>
      <c r="AF228" s="1557">
        <v>0</v>
      </c>
      <c r="AG228" s="1619">
        <f>SUM(AE228:AF228)</f>
        <v>0</v>
      </c>
      <c r="AH228" s="1620">
        <f>X228-AA228</f>
        <v>0</v>
      </c>
      <c r="AI228" s="1618">
        <f>X228-AD228</f>
        <v>0</v>
      </c>
      <c r="AJ228" s="1621">
        <f>X228-AG228</f>
        <v>0</v>
      </c>
      <c r="AK228" s="1448"/>
      <c r="AL228" s="1559">
        <v>0</v>
      </c>
      <c r="AM228" s="1560">
        <v>0</v>
      </c>
      <c r="AN228" s="1448"/>
    </row>
    <row r="229" spans="1:40" s="1572" customFormat="1" ht="24.95" customHeight="1">
      <c r="A229" s="1806"/>
      <c r="B229" s="1809"/>
      <c r="N229" s="1448"/>
      <c r="P229" s="1448"/>
      <c r="Q229" s="1448"/>
      <c r="R229" s="1448"/>
      <c r="S229" s="1615">
        <f>+IF(AGOSTO!S229=0,"",AGOSTO!S229)</f>
        <v>7002200</v>
      </c>
      <c r="T229" s="1616" t="str">
        <f>+IF(AGOSTO!T229=0,"",AGOSTO!T229)</f>
        <v>Intereses Comisiones y gastos de la Deuda Pública</v>
      </c>
      <c r="U229" s="1617">
        <f>+ENERO!U229</f>
        <v>0</v>
      </c>
      <c r="V229" s="1618">
        <f>AGOSTO!V229+SEPTIEMBRE!AL229</f>
        <v>0</v>
      </c>
      <c r="W229" s="1618">
        <f>AGOSTO!W229+SEPTIEMBRE!AM229</f>
        <v>0</v>
      </c>
      <c r="X229" s="1619">
        <f>SUM(U229:W229)</f>
        <v>0</v>
      </c>
      <c r="Y229" s="1620">
        <f>AGOSTO!AA229</f>
        <v>0</v>
      </c>
      <c r="Z229" s="1557">
        <v>0</v>
      </c>
      <c r="AA229" s="1619">
        <f>SUM(Y229:Z229)</f>
        <v>0</v>
      </c>
      <c r="AB229" s="1620">
        <f>AGOSTO!AD229</f>
        <v>0</v>
      </c>
      <c r="AC229" s="1557">
        <v>0</v>
      </c>
      <c r="AD229" s="1619">
        <f>SUM(AB229:AC229)</f>
        <v>0</v>
      </c>
      <c r="AE229" s="1620">
        <f>AGOSTO!AG229</f>
        <v>0</v>
      </c>
      <c r="AF229" s="1557">
        <v>0</v>
      </c>
      <c r="AG229" s="1619">
        <f>SUM(AE229:AF229)</f>
        <v>0</v>
      </c>
      <c r="AH229" s="1620">
        <f>X229-AA229</f>
        <v>0</v>
      </c>
      <c r="AI229" s="1618">
        <f>X229-AD229</f>
        <v>0</v>
      </c>
      <c r="AJ229" s="1621">
        <f>X229-AG229</f>
        <v>0</v>
      </c>
      <c r="AK229" s="1448"/>
      <c r="AL229" s="1559">
        <v>0</v>
      </c>
      <c r="AM229" s="1560">
        <v>0</v>
      </c>
      <c r="AN229" s="1448"/>
    </row>
    <row r="230" spans="1:40" s="1572" customFormat="1" ht="24.95" customHeight="1" thickBot="1">
      <c r="A230" s="1806"/>
      <c r="B230" s="1809"/>
      <c r="N230" s="1448"/>
      <c r="P230" s="1448"/>
      <c r="Q230" s="1448"/>
      <c r="R230" s="1448"/>
      <c r="S230" s="1820">
        <f>+IF(AGOSTO!S230=0,"",AGOSTO!S230)</f>
        <v>7002999</v>
      </c>
      <c r="T230" s="1821" t="str">
        <f>+IF(AGOSTO!T230=0,"",AGOSTO!T230)</f>
        <v>Vigencias Anteriores</v>
      </c>
      <c r="U230" s="1822">
        <f>+ENERO!U230</f>
        <v>0</v>
      </c>
      <c r="V230" s="1823">
        <f>AGOSTO!V230+SEPTIEMBRE!AL230</f>
        <v>0</v>
      </c>
      <c r="W230" s="1823">
        <f>AGOSTO!W230+SEPTIEMBRE!AM230</f>
        <v>0</v>
      </c>
      <c r="X230" s="1824">
        <f>SUM(U230:W230)</f>
        <v>0</v>
      </c>
      <c r="Y230" s="1825">
        <f>AGOSTO!AA230</f>
        <v>0</v>
      </c>
      <c r="Z230" s="1595">
        <v>0</v>
      </c>
      <c r="AA230" s="1824">
        <f>SUM(Y230:Z230)</f>
        <v>0</v>
      </c>
      <c r="AB230" s="1825">
        <f>AGOSTO!AD230</f>
        <v>0</v>
      </c>
      <c r="AC230" s="1595">
        <v>0</v>
      </c>
      <c r="AD230" s="1824">
        <f>SUM(AB230:AC230)</f>
        <v>0</v>
      </c>
      <c r="AE230" s="1825">
        <f>AGOSTO!AG230</f>
        <v>0</v>
      </c>
      <c r="AF230" s="1595">
        <v>0</v>
      </c>
      <c r="AG230" s="1824">
        <f>SUM(AE230:AF230)</f>
        <v>0</v>
      </c>
      <c r="AH230" s="1825">
        <f>X230-AA230</f>
        <v>0</v>
      </c>
      <c r="AI230" s="1823">
        <f>X230-AD230</f>
        <v>0</v>
      </c>
      <c r="AJ230" s="1826">
        <f>X230-AG230</f>
        <v>0</v>
      </c>
      <c r="AK230" s="1448"/>
      <c r="AL230" s="1835">
        <v>0</v>
      </c>
      <c r="AM230" s="1836">
        <v>0</v>
      </c>
      <c r="AN230" s="1448"/>
    </row>
    <row r="231" spans="1:40" s="1572" customFormat="1" ht="24.95" customHeight="1">
      <c r="A231" s="1806"/>
      <c r="B231" s="1809"/>
      <c r="N231" s="1448"/>
      <c r="P231" s="1448"/>
      <c r="Q231" s="1448"/>
      <c r="R231" s="1448"/>
      <c r="S231" s="1827" t="str">
        <f>+IF(AGOSTO!S231=0,"",AGOSTO!S231)</f>
        <v/>
      </c>
      <c r="T231" s="1828" t="str">
        <f>+IF(AGOSTO!T231=0,"",AGOSTO!T231)</f>
        <v/>
      </c>
      <c r="U231" s="1829"/>
      <c r="V231" s="1829"/>
      <c r="W231" s="1829"/>
      <c r="X231" s="1829"/>
      <c r="Y231" s="1829"/>
      <c r="Z231" s="1829"/>
      <c r="AA231" s="1829"/>
      <c r="AB231" s="1829"/>
      <c r="AC231" s="1829"/>
      <c r="AD231" s="1829"/>
      <c r="AE231" s="1829"/>
      <c r="AF231" s="1829"/>
      <c r="AG231" s="1829"/>
      <c r="AH231" s="1829"/>
      <c r="AI231" s="1829"/>
      <c r="AJ231" s="1830"/>
      <c r="AK231" s="1448"/>
      <c r="AL231" s="1844"/>
      <c r="AM231" s="1845"/>
      <c r="AN231" s="1448"/>
    </row>
    <row r="232" spans="1:40" s="1572" customFormat="1" ht="24.95" customHeight="1">
      <c r="A232" s="1806"/>
      <c r="B232" s="1809"/>
      <c r="N232" s="1448"/>
      <c r="P232" s="1448"/>
      <c r="Q232" s="1448"/>
      <c r="R232" s="1448"/>
      <c r="S232" s="1846" t="str">
        <f>+IF(AGOSTO!S232=0,"",AGOSTO!S232)</f>
        <v>D</v>
      </c>
      <c r="T232" s="1847" t="str">
        <f>+IF(AGOSTO!T232=0,"",AGOSTO!T232)</f>
        <v>INVERSION</v>
      </c>
      <c r="U232" s="1765">
        <f>U234+U243</f>
        <v>0</v>
      </c>
      <c r="V232" s="1766">
        <f t="shared" ref="V232:AJ232" si="199">V234+V243</f>
        <v>0</v>
      </c>
      <c r="W232" s="1766">
        <f t="shared" si="199"/>
        <v>433878092</v>
      </c>
      <c r="X232" s="1767">
        <f t="shared" si="199"/>
        <v>433878092</v>
      </c>
      <c r="Y232" s="1567">
        <f t="shared" si="199"/>
        <v>352813794</v>
      </c>
      <c r="Z232" s="1766">
        <f t="shared" si="199"/>
        <v>0</v>
      </c>
      <c r="AA232" s="1767">
        <f t="shared" si="199"/>
        <v>352813794</v>
      </c>
      <c r="AB232" s="1567">
        <f t="shared" si="199"/>
        <v>336273002</v>
      </c>
      <c r="AC232" s="1766">
        <f t="shared" si="199"/>
        <v>0</v>
      </c>
      <c r="AD232" s="1767">
        <f t="shared" si="199"/>
        <v>336273002</v>
      </c>
      <c r="AE232" s="1567">
        <f t="shared" si="199"/>
        <v>172740563</v>
      </c>
      <c r="AF232" s="1766">
        <f t="shared" si="199"/>
        <v>0</v>
      </c>
      <c r="AG232" s="1767">
        <f t="shared" si="199"/>
        <v>172740563</v>
      </c>
      <c r="AH232" s="1567">
        <f t="shared" si="199"/>
        <v>81064298</v>
      </c>
      <c r="AI232" s="1766">
        <f t="shared" si="199"/>
        <v>97605090</v>
      </c>
      <c r="AJ232" s="1568">
        <f t="shared" si="199"/>
        <v>261137529</v>
      </c>
      <c r="AK232" s="1843"/>
      <c r="AL232" s="1567">
        <f t="shared" ref="AL232:AM232" si="200">AL234+AL243</f>
        <v>0</v>
      </c>
      <c r="AM232" s="1568">
        <f t="shared" si="200"/>
        <v>0</v>
      </c>
      <c r="AN232" s="1448"/>
    </row>
    <row r="233" spans="1:40" s="1572" customFormat="1" ht="24.95" customHeight="1">
      <c r="A233" s="1806"/>
      <c r="B233" s="1809"/>
      <c r="N233" s="1448"/>
      <c r="P233" s="1448"/>
      <c r="Q233" s="1448"/>
      <c r="R233" s="1448"/>
      <c r="S233" s="1538" t="str">
        <f>+IF(AGOSTO!S233=0,"",AGOSTO!S233)</f>
        <v/>
      </c>
      <c r="T233" s="1539" t="str">
        <f>+IF(AGOSTO!T233=0,"",AGOSTO!T233)</f>
        <v/>
      </c>
      <c r="U233" s="1540"/>
      <c r="V233" s="1540"/>
      <c r="W233" s="1540"/>
      <c r="X233" s="1540"/>
      <c r="Y233" s="1540"/>
      <c r="Z233" s="1540"/>
      <c r="AA233" s="1540"/>
      <c r="AB233" s="1540"/>
      <c r="AC233" s="1540"/>
      <c r="AD233" s="1540"/>
      <c r="AE233" s="1540"/>
      <c r="AF233" s="1540"/>
      <c r="AG233" s="1540"/>
      <c r="AH233" s="1540"/>
      <c r="AI233" s="1540"/>
      <c r="AJ233" s="1541"/>
      <c r="AK233" s="1448"/>
      <c r="AL233" s="1726"/>
      <c r="AM233" s="1727"/>
      <c r="AN233" s="1448"/>
    </row>
    <row r="234" spans="1:40" s="1572" customFormat="1" ht="24.95" customHeight="1">
      <c r="A234" s="1806"/>
      <c r="B234" s="1809"/>
      <c r="N234" s="1448"/>
      <c r="P234" s="1448"/>
      <c r="Q234" s="1448"/>
      <c r="R234" s="1448"/>
      <c r="S234" s="1607">
        <f>+IF(AGOSTO!S234=0,"",AGOSTO!S234)</f>
        <v>8000000</v>
      </c>
      <c r="T234" s="1608" t="str">
        <f>+IF(AGOSTO!T234=0,"",AGOSTO!T234)</f>
        <v>Programas de Inversión</v>
      </c>
      <c r="U234" s="1581">
        <f>U235</f>
        <v>0</v>
      </c>
      <c r="V234" s="1582">
        <f t="shared" ref="V234:AJ234" si="201">V235</f>
        <v>0</v>
      </c>
      <c r="W234" s="1582">
        <f t="shared" si="201"/>
        <v>380000000</v>
      </c>
      <c r="X234" s="1583">
        <f t="shared" si="201"/>
        <v>380000000</v>
      </c>
      <c r="Y234" s="1584">
        <f t="shared" si="201"/>
        <v>352813794</v>
      </c>
      <c r="Z234" s="1582">
        <f t="shared" si="201"/>
        <v>0</v>
      </c>
      <c r="AA234" s="1583">
        <f t="shared" si="201"/>
        <v>352813794</v>
      </c>
      <c r="AB234" s="1584">
        <f t="shared" si="201"/>
        <v>336273002</v>
      </c>
      <c r="AC234" s="1582">
        <f t="shared" si="201"/>
        <v>0</v>
      </c>
      <c r="AD234" s="1583">
        <f t="shared" si="201"/>
        <v>336273002</v>
      </c>
      <c r="AE234" s="1584">
        <f t="shared" si="201"/>
        <v>172740563</v>
      </c>
      <c r="AF234" s="1582">
        <f t="shared" si="201"/>
        <v>0</v>
      </c>
      <c r="AG234" s="1583">
        <f t="shared" si="201"/>
        <v>172740563</v>
      </c>
      <c r="AH234" s="1584">
        <f t="shared" si="201"/>
        <v>27186206</v>
      </c>
      <c r="AI234" s="1582">
        <f t="shared" si="201"/>
        <v>43726998</v>
      </c>
      <c r="AJ234" s="1585">
        <f t="shared" si="201"/>
        <v>207259437</v>
      </c>
      <c r="AK234" s="1448"/>
      <c r="AL234" s="1584">
        <f t="shared" ref="AL234:AM234" si="202">AL235</f>
        <v>0</v>
      </c>
      <c r="AM234" s="1585">
        <f t="shared" si="202"/>
        <v>0</v>
      </c>
      <c r="AN234" s="1448"/>
    </row>
    <row r="235" spans="1:40" s="1572" customFormat="1" ht="24.95" customHeight="1">
      <c r="A235" s="1806"/>
      <c r="B235" s="1809"/>
      <c r="N235" s="1448"/>
      <c r="P235" s="1448"/>
      <c r="Q235" s="1448"/>
      <c r="R235" s="1448"/>
      <c r="S235" s="1615">
        <f>+IF(AGOSTO!S235=0,"",AGOSTO!S235)</f>
        <v>8001000</v>
      </c>
      <c r="T235" s="1616" t="str">
        <f>+IF(AGOSTO!T235=0,"",AGOSTO!T235)</f>
        <v>Formación Bruta del Capital</v>
      </c>
      <c r="U235" s="1617">
        <f t="shared" ref="U235:AJ235" si="203">SUM(U236:U241)</f>
        <v>0</v>
      </c>
      <c r="V235" s="1618">
        <f t="shared" si="203"/>
        <v>0</v>
      </c>
      <c r="W235" s="1618">
        <f t="shared" si="203"/>
        <v>380000000</v>
      </c>
      <c r="X235" s="1619">
        <f t="shared" si="203"/>
        <v>380000000</v>
      </c>
      <c r="Y235" s="1620">
        <f t="shared" si="203"/>
        <v>352813794</v>
      </c>
      <c r="Z235" s="1648">
        <f t="shared" si="203"/>
        <v>0</v>
      </c>
      <c r="AA235" s="1619">
        <f t="shared" si="203"/>
        <v>352813794</v>
      </c>
      <c r="AB235" s="1620">
        <f t="shared" si="203"/>
        <v>336273002</v>
      </c>
      <c r="AC235" s="1648">
        <f t="shared" si="203"/>
        <v>0</v>
      </c>
      <c r="AD235" s="1619">
        <f t="shared" si="203"/>
        <v>336273002</v>
      </c>
      <c r="AE235" s="1620">
        <f t="shared" si="203"/>
        <v>172740563</v>
      </c>
      <c r="AF235" s="1648">
        <f t="shared" si="203"/>
        <v>0</v>
      </c>
      <c r="AG235" s="1619">
        <f t="shared" si="203"/>
        <v>172740563</v>
      </c>
      <c r="AH235" s="1620">
        <f t="shared" si="203"/>
        <v>27186206</v>
      </c>
      <c r="AI235" s="1618">
        <f t="shared" si="203"/>
        <v>43726998</v>
      </c>
      <c r="AJ235" s="1621">
        <f t="shared" si="203"/>
        <v>207259437</v>
      </c>
      <c r="AK235" s="1448"/>
      <c r="AL235" s="1649">
        <f>SUM(AL236:AL241)</f>
        <v>0</v>
      </c>
      <c r="AM235" s="1650">
        <f>SUM(AM236:AM241)</f>
        <v>0</v>
      </c>
      <c r="AN235" s="1448"/>
    </row>
    <row r="236" spans="1:40" s="1572" customFormat="1" ht="24.95" customHeight="1">
      <c r="A236" s="1806"/>
      <c r="B236" s="1809"/>
      <c r="N236" s="1448"/>
      <c r="P236" s="1448"/>
      <c r="Q236" s="1448"/>
      <c r="R236" s="1448"/>
      <c r="S236" s="1662" t="str">
        <f>+IF(AGOSTO!S236=0,"",AGOSTO!S236)</f>
        <v>8001000-1</v>
      </c>
      <c r="T236" s="1663" t="str">
        <f>+IF(AGOSTO!T236=0,"",AGOSTO!T236)</f>
        <v>Subprogr.Construc. Remodelac. Adecuación y Apliac.1</v>
      </c>
      <c r="U236" s="1617">
        <f>+ENERO!U236</f>
        <v>0</v>
      </c>
      <c r="V236" s="1618">
        <f>AGOSTO!V236+SEPTIEMBRE!AL236</f>
        <v>0</v>
      </c>
      <c r="W236" s="1618">
        <f>AGOSTO!W236+SEPTIEMBRE!AM236</f>
        <v>380000000</v>
      </c>
      <c r="X236" s="1619">
        <f t="shared" ref="X236:X241" si="204">SUM(U236:W236)</f>
        <v>380000000</v>
      </c>
      <c r="Y236" s="1620">
        <f>AGOSTO!AA236</f>
        <v>352813794</v>
      </c>
      <c r="Z236" s="1557">
        <v>0</v>
      </c>
      <c r="AA236" s="1619">
        <f t="shared" ref="AA236:AA241" si="205">SUM(Y236:Z236)</f>
        <v>352813794</v>
      </c>
      <c r="AB236" s="1620">
        <f>AGOSTO!AD236</f>
        <v>336273002</v>
      </c>
      <c r="AC236" s="1557">
        <v>0</v>
      </c>
      <c r="AD236" s="1619">
        <f t="shared" ref="AD236:AD241" si="206">SUM(AB236:AC236)</f>
        <v>336273002</v>
      </c>
      <c r="AE236" s="1620">
        <f>AGOSTO!AG236</f>
        <v>172740563</v>
      </c>
      <c r="AF236" s="1557">
        <v>0</v>
      </c>
      <c r="AG236" s="1619">
        <f t="shared" ref="AG236:AG241" si="207">SUM(AE236:AF236)</f>
        <v>172740563</v>
      </c>
      <c r="AH236" s="1620">
        <f t="shared" ref="AH236:AH241" si="208">X236-AA236</f>
        <v>27186206</v>
      </c>
      <c r="AI236" s="1618">
        <f t="shared" ref="AI236:AI241" si="209">X236-AD236</f>
        <v>43726998</v>
      </c>
      <c r="AJ236" s="1621">
        <f t="shared" ref="AJ236:AJ241" si="210">X236-AG236</f>
        <v>207259437</v>
      </c>
      <c r="AK236" s="1448"/>
      <c r="AL236" s="1559">
        <v>0</v>
      </c>
      <c r="AM236" s="1560">
        <v>0</v>
      </c>
      <c r="AN236" s="1448"/>
    </row>
    <row r="237" spans="1:40" s="1572" customFormat="1" ht="24.95" customHeight="1">
      <c r="A237" s="1806"/>
      <c r="B237" s="1809"/>
      <c r="N237" s="1448"/>
      <c r="P237" s="1448"/>
      <c r="Q237" s="1448"/>
      <c r="R237" s="1448"/>
      <c r="S237" s="1662" t="str">
        <f>+IF(AGOSTO!S237=0,"",AGOSTO!S237)</f>
        <v>8001000-2</v>
      </c>
      <c r="T237" s="1663" t="str">
        <f>+IF(AGOSTO!T237=0,"",AGOSTO!T237)</f>
        <v>Subprogr.Construc. Remodelac. Adecuación y Apliac.2</v>
      </c>
      <c r="U237" s="1617">
        <f>+ENERO!U237</f>
        <v>0</v>
      </c>
      <c r="V237" s="1618">
        <f>AGOSTO!V237+SEPTIEMBRE!AL237</f>
        <v>0</v>
      </c>
      <c r="W237" s="1618">
        <f>AGOSTO!W237+SEPTIEMBRE!AM237</f>
        <v>0</v>
      </c>
      <c r="X237" s="1619">
        <f t="shared" si="204"/>
        <v>0</v>
      </c>
      <c r="Y237" s="1620">
        <f>AGOSTO!AA237</f>
        <v>0</v>
      </c>
      <c r="Z237" s="1557">
        <v>0</v>
      </c>
      <c r="AA237" s="1619">
        <f t="shared" si="205"/>
        <v>0</v>
      </c>
      <c r="AB237" s="1620">
        <f>AGOSTO!AD237</f>
        <v>0</v>
      </c>
      <c r="AC237" s="1557">
        <v>0</v>
      </c>
      <c r="AD237" s="1619">
        <f t="shared" si="206"/>
        <v>0</v>
      </c>
      <c r="AE237" s="1620">
        <f>AGOSTO!AG237</f>
        <v>0</v>
      </c>
      <c r="AF237" s="1557">
        <v>0</v>
      </c>
      <c r="AG237" s="1619">
        <f t="shared" si="207"/>
        <v>0</v>
      </c>
      <c r="AH237" s="1620">
        <f t="shared" si="208"/>
        <v>0</v>
      </c>
      <c r="AI237" s="1618">
        <f t="shared" si="209"/>
        <v>0</v>
      </c>
      <c r="AJ237" s="1621">
        <f t="shared" si="210"/>
        <v>0</v>
      </c>
      <c r="AK237" s="1448"/>
      <c r="AL237" s="1559">
        <v>0</v>
      </c>
      <c r="AM237" s="1560">
        <v>0</v>
      </c>
      <c r="AN237" s="1448"/>
    </row>
    <row r="238" spans="1:40" s="1572" customFormat="1" ht="24.95" customHeight="1">
      <c r="A238" s="1806"/>
      <c r="B238" s="1809"/>
      <c r="N238" s="1448"/>
      <c r="P238" s="1448"/>
      <c r="Q238" s="1448"/>
      <c r="R238" s="1448"/>
      <c r="S238" s="1662" t="str">
        <f>+IF(AGOSTO!S238=0,"",AGOSTO!S238)</f>
        <v>8001000-3</v>
      </c>
      <c r="T238" s="1663" t="str">
        <f>+IF(AGOSTO!T238=0,"",AGOSTO!T238)</f>
        <v>Subprogr.Construc. Remodelac. Adecuación y Apliac.3</v>
      </c>
      <c r="U238" s="1617">
        <f>+ENERO!U238</f>
        <v>0</v>
      </c>
      <c r="V238" s="1618">
        <f>AGOSTO!V238+SEPTIEMBRE!AL238</f>
        <v>0</v>
      </c>
      <c r="W238" s="1618">
        <f>AGOSTO!W238+SEPTIEMBRE!AM238</f>
        <v>0</v>
      </c>
      <c r="X238" s="1619">
        <f t="shared" si="204"/>
        <v>0</v>
      </c>
      <c r="Y238" s="1620">
        <f>AGOSTO!AA238</f>
        <v>0</v>
      </c>
      <c r="Z238" s="1557">
        <v>0</v>
      </c>
      <c r="AA238" s="1619">
        <f t="shared" si="205"/>
        <v>0</v>
      </c>
      <c r="AB238" s="1620">
        <f>AGOSTO!AD238</f>
        <v>0</v>
      </c>
      <c r="AC238" s="1557">
        <v>0</v>
      </c>
      <c r="AD238" s="1619">
        <f t="shared" si="206"/>
        <v>0</v>
      </c>
      <c r="AE238" s="1620">
        <f>AGOSTO!AG238</f>
        <v>0</v>
      </c>
      <c r="AF238" s="1557">
        <v>0</v>
      </c>
      <c r="AG238" s="1619">
        <f t="shared" si="207"/>
        <v>0</v>
      </c>
      <c r="AH238" s="1620">
        <f t="shared" si="208"/>
        <v>0</v>
      </c>
      <c r="AI238" s="1618">
        <f t="shared" si="209"/>
        <v>0</v>
      </c>
      <c r="AJ238" s="1621">
        <f t="shared" si="210"/>
        <v>0</v>
      </c>
      <c r="AK238" s="1448"/>
      <c r="AL238" s="1559">
        <v>0</v>
      </c>
      <c r="AM238" s="1560">
        <v>0</v>
      </c>
      <c r="AN238" s="1448"/>
    </row>
    <row r="239" spans="1:40" s="1572" customFormat="1" ht="24.95" customHeight="1">
      <c r="A239" s="1806"/>
      <c r="B239" s="1809"/>
      <c r="N239" s="1448"/>
      <c r="P239" s="1448"/>
      <c r="Q239" s="1448"/>
      <c r="S239" s="1662" t="str">
        <f>+IF(AGOSTO!S239=0,"",AGOSTO!S239)</f>
        <v>8001000-4</v>
      </c>
      <c r="T239" s="1663" t="str">
        <f>+IF(AGOSTO!T239=0,"",AGOSTO!T239)</f>
        <v>Subprogr.Construc. Remodelac. Adecuación y Apliac.4</v>
      </c>
      <c r="U239" s="1617">
        <f>+ENERO!U239</f>
        <v>0</v>
      </c>
      <c r="V239" s="1618">
        <f>AGOSTO!V239+SEPTIEMBRE!AL239</f>
        <v>0</v>
      </c>
      <c r="W239" s="1618">
        <f>AGOSTO!W239+SEPTIEMBRE!AM239</f>
        <v>0</v>
      </c>
      <c r="X239" s="1619">
        <f t="shared" si="204"/>
        <v>0</v>
      </c>
      <c r="Y239" s="1620">
        <f>AGOSTO!AA239</f>
        <v>0</v>
      </c>
      <c r="Z239" s="1557">
        <v>0</v>
      </c>
      <c r="AA239" s="1619">
        <f t="shared" si="205"/>
        <v>0</v>
      </c>
      <c r="AB239" s="1620">
        <f>AGOSTO!AD239</f>
        <v>0</v>
      </c>
      <c r="AC239" s="1557">
        <v>0</v>
      </c>
      <c r="AD239" s="1619">
        <f t="shared" si="206"/>
        <v>0</v>
      </c>
      <c r="AE239" s="1620">
        <f>AGOSTO!AG239</f>
        <v>0</v>
      </c>
      <c r="AF239" s="1557">
        <v>0</v>
      </c>
      <c r="AG239" s="1619">
        <f t="shared" si="207"/>
        <v>0</v>
      </c>
      <c r="AH239" s="1620">
        <f t="shared" si="208"/>
        <v>0</v>
      </c>
      <c r="AI239" s="1618">
        <f t="shared" si="209"/>
        <v>0</v>
      </c>
      <c r="AJ239" s="1621">
        <f t="shared" si="210"/>
        <v>0</v>
      </c>
      <c r="AK239" s="1448"/>
      <c r="AL239" s="1559">
        <v>0</v>
      </c>
      <c r="AM239" s="1560">
        <v>0</v>
      </c>
      <c r="AN239" s="1448"/>
    </row>
    <row r="240" spans="1:40" s="1572" customFormat="1" ht="24.95" customHeight="1">
      <c r="A240" s="1806"/>
      <c r="B240" s="1809"/>
      <c r="N240" s="1448"/>
      <c r="P240" s="1448"/>
      <c r="Q240" s="1448"/>
      <c r="S240" s="1662" t="str">
        <f>+IF(AGOSTO!S240=0,"",AGOSTO!S240)</f>
        <v>8001000-7</v>
      </c>
      <c r="T240" s="1663" t="str">
        <f>+IF(AGOSTO!T240=0,"",AGOSTO!T240)</f>
        <v>Subprogr.Construc. Remodelac. Adecuación y Apliac.5</v>
      </c>
      <c r="U240" s="1617">
        <f>+ENERO!U240</f>
        <v>0</v>
      </c>
      <c r="V240" s="1618">
        <f>AGOSTO!V240+SEPTIEMBRE!AL240</f>
        <v>0</v>
      </c>
      <c r="W240" s="1618">
        <f>AGOSTO!W240+SEPTIEMBRE!AM240</f>
        <v>0</v>
      </c>
      <c r="X240" s="1619">
        <f t="shared" si="204"/>
        <v>0</v>
      </c>
      <c r="Y240" s="1620">
        <f>AGOSTO!AA240</f>
        <v>0</v>
      </c>
      <c r="Z240" s="1557">
        <v>0</v>
      </c>
      <c r="AA240" s="1619">
        <f t="shared" si="205"/>
        <v>0</v>
      </c>
      <c r="AB240" s="1620">
        <f>AGOSTO!AD240</f>
        <v>0</v>
      </c>
      <c r="AC240" s="1557">
        <v>0</v>
      </c>
      <c r="AD240" s="1619">
        <f t="shared" si="206"/>
        <v>0</v>
      </c>
      <c r="AE240" s="1620">
        <f>AGOSTO!AG240</f>
        <v>0</v>
      </c>
      <c r="AF240" s="1557">
        <v>0</v>
      </c>
      <c r="AG240" s="1619">
        <f t="shared" si="207"/>
        <v>0</v>
      </c>
      <c r="AH240" s="1620">
        <f t="shared" si="208"/>
        <v>0</v>
      </c>
      <c r="AI240" s="1618">
        <f t="shared" si="209"/>
        <v>0</v>
      </c>
      <c r="AJ240" s="1621">
        <f t="shared" si="210"/>
        <v>0</v>
      </c>
      <c r="AK240" s="1448"/>
      <c r="AL240" s="1559">
        <v>0</v>
      </c>
      <c r="AM240" s="1560">
        <v>0</v>
      </c>
      <c r="AN240" s="1448"/>
    </row>
    <row r="241" spans="1:70" ht="24.95" customHeight="1">
      <c r="A241" s="1806"/>
      <c r="B241" s="1809"/>
      <c r="C241" s="1572"/>
      <c r="D241" s="1572"/>
      <c r="E241" s="1572"/>
      <c r="F241" s="1572"/>
      <c r="G241" s="1572"/>
      <c r="H241" s="1572"/>
      <c r="I241" s="1572"/>
      <c r="J241" s="1572"/>
      <c r="K241" s="1572"/>
      <c r="L241" s="1572"/>
      <c r="M241" s="1572"/>
      <c r="N241" s="1448"/>
      <c r="O241" s="1572"/>
      <c r="P241" s="1448"/>
      <c r="Q241" s="1448"/>
      <c r="S241" s="1848">
        <f>+IF(AGOSTO!S241=0,"",AGOSTO!S241)</f>
        <v>8001999</v>
      </c>
      <c r="T241" s="1663" t="str">
        <f>+IF(AGOSTO!T241=0,"",AGOSTO!T241)</f>
        <v>Vigencias Anteriores</v>
      </c>
      <c r="U241" s="1617">
        <f>+ENERO!U241</f>
        <v>0</v>
      </c>
      <c r="V241" s="1618">
        <f>AGOSTO!V241+SEPTIEMBRE!AL241</f>
        <v>0</v>
      </c>
      <c r="W241" s="1618">
        <f>AGOSTO!W241+SEPTIEMBRE!AM241</f>
        <v>0</v>
      </c>
      <c r="X241" s="1619">
        <f t="shared" si="204"/>
        <v>0</v>
      </c>
      <c r="Y241" s="1620">
        <f>AGOSTO!AA241</f>
        <v>0</v>
      </c>
      <c r="Z241" s="1557">
        <v>0</v>
      </c>
      <c r="AA241" s="1619">
        <f t="shared" si="205"/>
        <v>0</v>
      </c>
      <c r="AB241" s="1620">
        <f>AGOSTO!AD241</f>
        <v>0</v>
      </c>
      <c r="AC241" s="1557">
        <v>0</v>
      </c>
      <c r="AD241" s="1619">
        <f t="shared" si="206"/>
        <v>0</v>
      </c>
      <c r="AE241" s="1620">
        <f>AGOSTO!AG241</f>
        <v>0</v>
      </c>
      <c r="AF241" s="1557">
        <v>0</v>
      </c>
      <c r="AG241" s="1619">
        <f t="shared" si="207"/>
        <v>0</v>
      </c>
      <c r="AH241" s="1620">
        <f t="shared" si="208"/>
        <v>0</v>
      </c>
      <c r="AI241" s="1618">
        <f t="shared" si="209"/>
        <v>0</v>
      </c>
      <c r="AJ241" s="1621">
        <f t="shared" si="210"/>
        <v>0</v>
      </c>
      <c r="AK241" s="1448"/>
      <c r="AL241" s="1559">
        <v>0</v>
      </c>
      <c r="AM241" s="1560">
        <v>0</v>
      </c>
      <c r="BM241" s="1572"/>
      <c r="BN241" s="1572"/>
      <c r="BO241" s="1572"/>
      <c r="BP241" s="1572"/>
      <c r="BQ241" s="1572"/>
      <c r="BR241" s="1572"/>
    </row>
    <row r="242" spans="1:70" ht="24.95" customHeight="1">
      <c r="A242" s="1806"/>
      <c r="B242" s="1809"/>
      <c r="C242" s="1572"/>
      <c r="D242" s="1572"/>
      <c r="E242" s="1572"/>
      <c r="F242" s="1572"/>
      <c r="G242" s="1572"/>
      <c r="H242" s="1572"/>
      <c r="I242" s="1572"/>
      <c r="J242" s="1572"/>
      <c r="K242" s="1572"/>
      <c r="L242" s="1572"/>
      <c r="M242" s="1572"/>
      <c r="N242" s="1448"/>
      <c r="O242" s="1572"/>
      <c r="P242" s="1448"/>
      <c r="Q242" s="1448"/>
      <c r="S242" s="1538" t="str">
        <f>+IF(AGOSTO!S242=0,"",AGOSTO!S242)</f>
        <v/>
      </c>
      <c r="T242" s="1539" t="str">
        <f>+IF(AGOSTO!T242=0,"",AGOSTO!T242)</f>
        <v/>
      </c>
      <c r="U242" s="1540"/>
      <c r="V242" s="1540"/>
      <c r="W242" s="1540"/>
      <c r="X242" s="1540"/>
      <c r="Y242" s="1540"/>
      <c r="Z242" s="1540"/>
      <c r="AA242" s="1540"/>
      <c r="AB242" s="1540"/>
      <c r="AC242" s="1540"/>
      <c r="AD242" s="1540"/>
      <c r="AE242" s="1540"/>
      <c r="AF242" s="1540"/>
      <c r="AG242" s="1540"/>
      <c r="AH242" s="1540"/>
      <c r="AI242" s="1540"/>
      <c r="AJ242" s="1541"/>
      <c r="AK242" s="1448"/>
      <c r="AL242" s="1726"/>
      <c r="AM242" s="1727"/>
      <c r="BM242" s="1572"/>
      <c r="BN242" s="1572"/>
      <c r="BO242" s="1572"/>
      <c r="BP242" s="1572"/>
      <c r="BQ242" s="1572"/>
      <c r="BR242" s="1572"/>
    </row>
    <row r="243" spans="1:70" ht="24.95" customHeight="1">
      <c r="A243" s="1806"/>
      <c r="B243" s="1809"/>
      <c r="C243" s="1572"/>
      <c r="D243" s="1572"/>
      <c r="E243" s="1572"/>
      <c r="F243" s="1572"/>
      <c r="G243" s="1572"/>
      <c r="H243" s="1572"/>
      <c r="I243" s="1572"/>
      <c r="J243" s="1572"/>
      <c r="K243" s="1572"/>
      <c r="L243" s="1572"/>
      <c r="M243" s="1572"/>
      <c r="N243" s="1448"/>
      <c r="O243" s="1572"/>
      <c r="P243" s="1448"/>
      <c r="Q243" s="1448"/>
      <c r="S243" s="1607">
        <f>+IF(AGOSTO!S243=0,"",AGOSTO!S243)</f>
        <v>8002001</v>
      </c>
      <c r="T243" s="1608" t="str">
        <f>+IF(AGOSTO!T243=0,"",AGOSTO!T243)</f>
        <v>Gastos Operativos de Inversion   (Programas Especiales)</v>
      </c>
      <c r="U243" s="1581">
        <f t="shared" ref="U243:AJ243" si="211">SUM(U244:U256)</f>
        <v>0</v>
      </c>
      <c r="V243" s="1582">
        <f t="shared" si="211"/>
        <v>0</v>
      </c>
      <c r="W243" s="1582">
        <f t="shared" si="211"/>
        <v>53878092</v>
      </c>
      <c r="X243" s="1583">
        <f t="shared" si="211"/>
        <v>53878092</v>
      </c>
      <c r="Y243" s="1584">
        <f t="shared" si="211"/>
        <v>0</v>
      </c>
      <c r="Z243" s="1582">
        <f t="shared" si="211"/>
        <v>0</v>
      </c>
      <c r="AA243" s="1583">
        <f t="shared" si="211"/>
        <v>0</v>
      </c>
      <c r="AB243" s="1584">
        <f t="shared" si="211"/>
        <v>0</v>
      </c>
      <c r="AC243" s="1582">
        <f t="shared" si="211"/>
        <v>0</v>
      </c>
      <c r="AD243" s="1583">
        <f t="shared" si="211"/>
        <v>0</v>
      </c>
      <c r="AE243" s="1584">
        <f t="shared" si="211"/>
        <v>0</v>
      </c>
      <c r="AF243" s="1582">
        <f t="shared" si="211"/>
        <v>0</v>
      </c>
      <c r="AG243" s="1583">
        <f t="shared" si="211"/>
        <v>0</v>
      </c>
      <c r="AH243" s="1584">
        <f t="shared" si="211"/>
        <v>53878092</v>
      </c>
      <c r="AI243" s="1582">
        <f t="shared" si="211"/>
        <v>53878092</v>
      </c>
      <c r="AJ243" s="1585">
        <f t="shared" si="211"/>
        <v>53878092</v>
      </c>
      <c r="AK243" s="1448"/>
      <c r="AL243" s="1584">
        <f>SUM(AL244:AL256)</f>
        <v>0</v>
      </c>
      <c r="AM243" s="1585">
        <f>SUM(AM244:AM256)</f>
        <v>0</v>
      </c>
    </row>
    <row r="244" spans="1:70" ht="24.95" customHeight="1">
      <c r="A244" s="1806"/>
      <c r="B244" s="1809"/>
      <c r="C244" s="1572"/>
      <c r="D244" s="1572"/>
      <c r="E244" s="1572"/>
      <c r="F244" s="1572"/>
      <c r="G244" s="1572"/>
      <c r="H244" s="1572"/>
      <c r="I244" s="1572"/>
      <c r="J244" s="1572"/>
      <c r="K244" s="1572"/>
      <c r="L244" s="1572"/>
      <c r="M244" s="1572"/>
      <c r="N244" s="1448"/>
      <c r="O244" s="1572"/>
      <c r="P244" s="1448"/>
      <c r="Q244" s="1448"/>
      <c r="S244" s="1662" t="str">
        <f>+IF(AGOSTO!S244=0,"",AGOSTO!S244)</f>
        <v>8002100-1</v>
      </c>
      <c r="T244" s="1663" t="str">
        <f>+IF(AGOSTO!T244=0,"",AGOSTO!T244)</f>
        <v>Fondo de la Vivienda</v>
      </c>
      <c r="U244" s="1617">
        <f>+ENERO!U244</f>
        <v>0</v>
      </c>
      <c r="V244" s="1618">
        <f>AGOSTO!V244+SEPTIEMBRE!AL244</f>
        <v>0</v>
      </c>
      <c r="W244" s="1618">
        <f>AGOSTO!W244+SEPTIEMBRE!AM244</f>
        <v>53878092</v>
      </c>
      <c r="X244" s="1619">
        <f t="shared" ref="X244:X256" si="212">SUM(U244:W244)</f>
        <v>53878092</v>
      </c>
      <c r="Y244" s="1620">
        <f>AGOSTO!AA244</f>
        <v>0</v>
      </c>
      <c r="Z244" s="1557">
        <v>0</v>
      </c>
      <c r="AA244" s="1619">
        <f t="shared" ref="AA244:AA256" si="213">SUM(Y244:Z244)</f>
        <v>0</v>
      </c>
      <c r="AB244" s="1620">
        <f>AGOSTO!AD244</f>
        <v>0</v>
      </c>
      <c r="AC244" s="1557">
        <v>0</v>
      </c>
      <c r="AD244" s="1619">
        <f t="shared" ref="AD244:AD256" si="214">SUM(AB244:AC244)</f>
        <v>0</v>
      </c>
      <c r="AE244" s="1620">
        <f>AGOSTO!AG244</f>
        <v>0</v>
      </c>
      <c r="AF244" s="1557">
        <v>0</v>
      </c>
      <c r="AG244" s="1619">
        <f t="shared" ref="AG244:AG256" si="215">SUM(AE244:AF244)</f>
        <v>0</v>
      </c>
      <c r="AH244" s="1620">
        <f t="shared" ref="AH244:AH256" si="216">X244-AA244</f>
        <v>53878092</v>
      </c>
      <c r="AI244" s="1618">
        <f t="shared" ref="AI244:AI256" si="217">X244-AD244</f>
        <v>53878092</v>
      </c>
      <c r="AJ244" s="1621">
        <f t="shared" ref="AJ244:AJ256" si="218">X244-AG244</f>
        <v>53878092</v>
      </c>
      <c r="AK244" s="1448"/>
      <c r="AL244" s="1559">
        <v>0</v>
      </c>
      <c r="AM244" s="1560">
        <v>0</v>
      </c>
    </row>
    <row r="245" spans="1:70" ht="24.95" customHeight="1">
      <c r="A245" s="1806"/>
      <c r="B245" s="1809"/>
      <c r="C245" s="1572"/>
      <c r="D245" s="1572"/>
      <c r="E245" s="1572"/>
      <c r="F245" s="1572"/>
      <c r="G245" s="1572"/>
      <c r="H245" s="1572"/>
      <c r="I245" s="1572"/>
      <c r="J245" s="1572"/>
      <c r="K245" s="1572"/>
      <c r="L245" s="1572"/>
      <c r="M245" s="1572"/>
      <c r="N245" s="1448"/>
      <c r="O245" s="1572"/>
      <c r="P245" s="1448"/>
      <c r="Q245" s="1448"/>
      <c r="S245" s="1662" t="str">
        <f>+IF(AGOSTO!S245=0,"",AGOSTO!S245)</f>
        <v>8002100-2</v>
      </c>
      <c r="T245" s="1663" t="str">
        <f>+IF(AGOSTO!T245=0,"",AGOSTO!T245)</f>
        <v>Programas Especial 01</v>
      </c>
      <c r="U245" s="1617">
        <f>+ENERO!U245</f>
        <v>0</v>
      </c>
      <c r="V245" s="1618">
        <f>AGOSTO!V245+SEPTIEMBRE!AL245</f>
        <v>0</v>
      </c>
      <c r="W245" s="1618">
        <f>AGOSTO!W245+SEPTIEMBRE!AM245</f>
        <v>0</v>
      </c>
      <c r="X245" s="1619">
        <f t="shared" si="212"/>
        <v>0</v>
      </c>
      <c r="Y245" s="1620">
        <f>AGOSTO!AA245</f>
        <v>0</v>
      </c>
      <c r="Z245" s="1557">
        <v>0</v>
      </c>
      <c r="AA245" s="1619">
        <f t="shared" si="213"/>
        <v>0</v>
      </c>
      <c r="AB245" s="1620">
        <f>AGOSTO!AD245</f>
        <v>0</v>
      </c>
      <c r="AC245" s="1557">
        <v>0</v>
      </c>
      <c r="AD245" s="1619">
        <f t="shared" si="214"/>
        <v>0</v>
      </c>
      <c r="AE245" s="1620">
        <f>AGOSTO!AG245</f>
        <v>0</v>
      </c>
      <c r="AF245" s="1557">
        <v>0</v>
      </c>
      <c r="AG245" s="1619">
        <f t="shared" si="215"/>
        <v>0</v>
      </c>
      <c r="AH245" s="1620">
        <f t="shared" si="216"/>
        <v>0</v>
      </c>
      <c r="AI245" s="1618">
        <f t="shared" si="217"/>
        <v>0</v>
      </c>
      <c r="AJ245" s="1621">
        <f t="shared" si="218"/>
        <v>0</v>
      </c>
      <c r="AK245" s="1448"/>
      <c r="AL245" s="1559">
        <v>0</v>
      </c>
      <c r="AM245" s="1560">
        <v>0</v>
      </c>
    </row>
    <row r="246" spans="1:70" ht="24.95" customHeight="1">
      <c r="A246" s="1806"/>
      <c r="B246" s="1809"/>
      <c r="C246" s="1572"/>
      <c r="D246" s="1572"/>
      <c r="E246" s="1572"/>
      <c r="F246" s="1572"/>
      <c r="G246" s="1572"/>
      <c r="H246" s="1572"/>
      <c r="I246" s="1572"/>
      <c r="J246" s="1572"/>
      <c r="K246" s="1572"/>
      <c r="L246" s="1572"/>
      <c r="M246" s="1572"/>
      <c r="N246" s="1448"/>
      <c r="O246" s="1572"/>
      <c r="P246" s="1448"/>
      <c r="Q246" s="1448"/>
      <c r="S246" s="1662" t="str">
        <f>+IF(AGOSTO!S246=0,"",AGOSTO!S246)</f>
        <v>8002100-3</v>
      </c>
      <c r="T246" s="1663" t="str">
        <f>+IF(AGOSTO!T246=0,"",AGOSTO!T246)</f>
        <v>Programas Especial 02</v>
      </c>
      <c r="U246" s="1617">
        <f>+ENERO!U246</f>
        <v>0</v>
      </c>
      <c r="V246" s="1618">
        <f>AGOSTO!V246+SEPTIEMBRE!AL246</f>
        <v>0</v>
      </c>
      <c r="W246" s="1618">
        <f>AGOSTO!W246+SEPTIEMBRE!AM246</f>
        <v>0</v>
      </c>
      <c r="X246" s="1619">
        <f t="shared" si="212"/>
        <v>0</v>
      </c>
      <c r="Y246" s="1620">
        <f>AGOSTO!AA246</f>
        <v>0</v>
      </c>
      <c r="Z246" s="1557">
        <v>0</v>
      </c>
      <c r="AA246" s="1619">
        <f t="shared" si="213"/>
        <v>0</v>
      </c>
      <c r="AB246" s="1620">
        <f>AGOSTO!AD246</f>
        <v>0</v>
      </c>
      <c r="AC246" s="1557">
        <v>0</v>
      </c>
      <c r="AD246" s="1619">
        <f t="shared" si="214"/>
        <v>0</v>
      </c>
      <c r="AE246" s="1620">
        <f>AGOSTO!AG246</f>
        <v>0</v>
      </c>
      <c r="AF246" s="1557">
        <v>0</v>
      </c>
      <c r="AG246" s="1619">
        <f t="shared" si="215"/>
        <v>0</v>
      </c>
      <c r="AH246" s="1620">
        <f t="shared" si="216"/>
        <v>0</v>
      </c>
      <c r="AI246" s="1618">
        <f t="shared" si="217"/>
        <v>0</v>
      </c>
      <c r="AJ246" s="1621">
        <f t="shared" si="218"/>
        <v>0</v>
      </c>
      <c r="AK246" s="1448"/>
      <c r="AL246" s="1559">
        <v>0</v>
      </c>
      <c r="AM246" s="1560">
        <v>0</v>
      </c>
    </row>
    <row r="247" spans="1:70" ht="24.95" customHeight="1">
      <c r="A247" s="1806"/>
      <c r="B247" s="1809"/>
      <c r="C247" s="1572"/>
      <c r="D247" s="1572"/>
      <c r="E247" s="1572"/>
      <c r="F247" s="1572"/>
      <c r="G247" s="1572"/>
      <c r="H247" s="1572"/>
      <c r="I247" s="1572"/>
      <c r="J247" s="1572"/>
      <c r="K247" s="1572"/>
      <c r="L247" s="1572"/>
      <c r="M247" s="1572"/>
      <c r="N247" s="1448"/>
      <c r="O247" s="1572"/>
      <c r="P247" s="1448"/>
      <c r="Q247" s="1448"/>
      <c r="S247" s="1662" t="str">
        <f>+IF(AGOSTO!S247=0,"",AGOSTO!S247)</f>
        <v>8002100-4</v>
      </c>
      <c r="T247" s="1663" t="str">
        <f>+IF(AGOSTO!T247=0,"",AGOSTO!T247)</f>
        <v>Programas Especial 03</v>
      </c>
      <c r="U247" s="1617">
        <f>+ENERO!U247</f>
        <v>0</v>
      </c>
      <c r="V247" s="1618">
        <f>AGOSTO!V247+SEPTIEMBRE!AL247</f>
        <v>0</v>
      </c>
      <c r="W247" s="1618">
        <f>AGOSTO!W247+SEPTIEMBRE!AM247</f>
        <v>0</v>
      </c>
      <c r="X247" s="1619">
        <f t="shared" si="212"/>
        <v>0</v>
      </c>
      <c r="Y247" s="1620">
        <f>AGOSTO!AA247</f>
        <v>0</v>
      </c>
      <c r="Z247" s="1557">
        <v>0</v>
      </c>
      <c r="AA247" s="1619">
        <f t="shared" si="213"/>
        <v>0</v>
      </c>
      <c r="AB247" s="1620">
        <f>AGOSTO!AD247</f>
        <v>0</v>
      </c>
      <c r="AC247" s="1557">
        <v>0</v>
      </c>
      <c r="AD247" s="1619">
        <f t="shared" si="214"/>
        <v>0</v>
      </c>
      <c r="AE247" s="1620">
        <f>AGOSTO!AG247</f>
        <v>0</v>
      </c>
      <c r="AF247" s="1557">
        <v>0</v>
      </c>
      <c r="AG247" s="1619">
        <f t="shared" si="215"/>
        <v>0</v>
      </c>
      <c r="AH247" s="1620">
        <f t="shared" si="216"/>
        <v>0</v>
      </c>
      <c r="AI247" s="1618">
        <f t="shared" si="217"/>
        <v>0</v>
      </c>
      <c r="AJ247" s="1621">
        <f t="shared" si="218"/>
        <v>0</v>
      </c>
      <c r="AK247" s="1448"/>
      <c r="AL247" s="1559">
        <v>0</v>
      </c>
      <c r="AM247" s="1560">
        <v>0</v>
      </c>
    </row>
    <row r="248" spans="1:70" ht="24.95" customHeight="1">
      <c r="A248" s="1806"/>
      <c r="B248" s="1809"/>
      <c r="C248" s="1572"/>
      <c r="D248" s="1572"/>
      <c r="E248" s="1572"/>
      <c r="F248" s="1572"/>
      <c r="G248" s="1572"/>
      <c r="H248" s="1572"/>
      <c r="I248" s="1572"/>
      <c r="J248" s="1572"/>
      <c r="K248" s="1572"/>
      <c r="L248" s="1572"/>
      <c r="M248" s="1572"/>
      <c r="N248" s="1448"/>
      <c r="O248" s="1572"/>
      <c r="P248" s="1448"/>
      <c r="Q248" s="1448"/>
      <c r="S248" s="1662" t="str">
        <f>+IF(AGOSTO!S248=0,"",AGOSTO!S248)</f>
        <v>8002100-5</v>
      </c>
      <c r="T248" s="1663" t="str">
        <f>+IF(AGOSTO!T248=0,"",AGOSTO!T248)</f>
        <v>Programas Especial 04</v>
      </c>
      <c r="U248" s="1617">
        <f>+ENERO!U248</f>
        <v>0</v>
      </c>
      <c r="V248" s="1618">
        <f>AGOSTO!V248+SEPTIEMBRE!AL248</f>
        <v>0</v>
      </c>
      <c r="W248" s="1618">
        <f>AGOSTO!W248+SEPTIEMBRE!AM248</f>
        <v>0</v>
      </c>
      <c r="X248" s="1619">
        <f t="shared" si="212"/>
        <v>0</v>
      </c>
      <c r="Y248" s="1620">
        <f>AGOSTO!AA248</f>
        <v>0</v>
      </c>
      <c r="Z248" s="1557">
        <v>0</v>
      </c>
      <c r="AA248" s="1619">
        <f t="shared" si="213"/>
        <v>0</v>
      </c>
      <c r="AB248" s="1620">
        <f>AGOSTO!AD248</f>
        <v>0</v>
      </c>
      <c r="AC248" s="1557">
        <v>0</v>
      </c>
      <c r="AD248" s="1619">
        <f t="shared" si="214"/>
        <v>0</v>
      </c>
      <c r="AE248" s="1620">
        <f>AGOSTO!AG248</f>
        <v>0</v>
      </c>
      <c r="AF248" s="1557">
        <v>0</v>
      </c>
      <c r="AG248" s="1619">
        <f t="shared" si="215"/>
        <v>0</v>
      </c>
      <c r="AH248" s="1620">
        <f t="shared" si="216"/>
        <v>0</v>
      </c>
      <c r="AI248" s="1618">
        <f t="shared" si="217"/>
        <v>0</v>
      </c>
      <c r="AJ248" s="1621">
        <f t="shared" si="218"/>
        <v>0</v>
      </c>
      <c r="AK248" s="1448"/>
      <c r="AL248" s="1559">
        <v>0</v>
      </c>
      <c r="AM248" s="1560">
        <v>0</v>
      </c>
    </row>
    <row r="249" spans="1:70" ht="24.95" customHeight="1">
      <c r="A249" s="1806"/>
      <c r="B249" s="1809"/>
      <c r="C249" s="1572"/>
      <c r="D249" s="1572"/>
      <c r="E249" s="1572"/>
      <c r="F249" s="1572"/>
      <c r="G249" s="1572"/>
      <c r="H249" s="1572"/>
      <c r="I249" s="1572"/>
      <c r="J249" s="1572"/>
      <c r="K249" s="1572"/>
      <c r="L249" s="1572"/>
      <c r="M249" s="1572"/>
      <c r="N249" s="1448"/>
      <c r="O249" s="1572"/>
      <c r="P249" s="1448"/>
      <c r="Q249" s="1448"/>
      <c r="S249" s="1662" t="str">
        <f>+IF(AGOSTO!S249=0,"",AGOSTO!S249)</f>
        <v>8002100-6</v>
      </c>
      <c r="T249" s="1663" t="str">
        <f>+IF(AGOSTO!T249=0,"",AGOSTO!T249)</f>
        <v>Programas Especial 05</v>
      </c>
      <c r="U249" s="1617">
        <f>+ENERO!U249</f>
        <v>0</v>
      </c>
      <c r="V249" s="1618">
        <f>AGOSTO!V249+SEPTIEMBRE!AL249</f>
        <v>0</v>
      </c>
      <c r="W249" s="1618">
        <f>AGOSTO!W249+SEPTIEMBRE!AM249</f>
        <v>0</v>
      </c>
      <c r="X249" s="1619">
        <f t="shared" si="212"/>
        <v>0</v>
      </c>
      <c r="Y249" s="1620">
        <f>AGOSTO!AA249</f>
        <v>0</v>
      </c>
      <c r="Z249" s="1557">
        <v>0</v>
      </c>
      <c r="AA249" s="1619">
        <f t="shared" si="213"/>
        <v>0</v>
      </c>
      <c r="AB249" s="1620">
        <f>AGOSTO!AD249</f>
        <v>0</v>
      </c>
      <c r="AC249" s="1557">
        <v>0</v>
      </c>
      <c r="AD249" s="1619">
        <f t="shared" si="214"/>
        <v>0</v>
      </c>
      <c r="AE249" s="1620">
        <f>AGOSTO!AG249</f>
        <v>0</v>
      </c>
      <c r="AF249" s="1557">
        <v>0</v>
      </c>
      <c r="AG249" s="1619">
        <f t="shared" si="215"/>
        <v>0</v>
      </c>
      <c r="AH249" s="1620">
        <f t="shared" si="216"/>
        <v>0</v>
      </c>
      <c r="AI249" s="1618">
        <f t="shared" si="217"/>
        <v>0</v>
      </c>
      <c r="AJ249" s="1621">
        <f t="shared" si="218"/>
        <v>0</v>
      </c>
      <c r="AK249" s="1448"/>
      <c r="AL249" s="1559">
        <v>0</v>
      </c>
      <c r="AM249" s="1560">
        <v>0</v>
      </c>
    </row>
    <row r="250" spans="1:70" ht="24.95" customHeight="1">
      <c r="A250" s="1806"/>
      <c r="B250" s="1809"/>
      <c r="C250" s="1572"/>
      <c r="D250" s="1572"/>
      <c r="E250" s="1572"/>
      <c r="F250" s="1572"/>
      <c r="G250" s="1572"/>
      <c r="H250" s="1572"/>
      <c r="I250" s="1572"/>
      <c r="J250" s="1572"/>
      <c r="K250" s="1572"/>
      <c r="L250" s="1572"/>
      <c r="M250" s="1572"/>
      <c r="N250" s="1448"/>
      <c r="O250" s="1572"/>
      <c r="P250" s="1448"/>
      <c r="Q250" s="1448"/>
      <c r="S250" s="1662" t="str">
        <f>+IF(AGOSTO!S250=0,"",AGOSTO!S250)</f>
        <v>8002100-7</v>
      </c>
      <c r="T250" s="1663" t="str">
        <f>+IF(AGOSTO!T250=0,"",AGOSTO!T250)</f>
        <v>Programas Especial 06</v>
      </c>
      <c r="U250" s="1617">
        <f>+ENERO!U250</f>
        <v>0</v>
      </c>
      <c r="V250" s="1618">
        <f>AGOSTO!V250+SEPTIEMBRE!AL250</f>
        <v>0</v>
      </c>
      <c r="W250" s="1618">
        <f>AGOSTO!W250+SEPTIEMBRE!AM250</f>
        <v>0</v>
      </c>
      <c r="X250" s="1619">
        <f>SUM(U250:W250)</f>
        <v>0</v>
      </c>
      <c r="Y250" s="1620">
        <f>AGOSTO!AA250</f>
        <v>0</v>
      </c>
      <c r="Z250" s="1557">
        <v>0</v>
      </c>
      <c r="AA250" s="1619">
        <f>SUM(Y250:Z250)</f>
        <v>0</v>
      </c>
      <c r="AB250" s="1620">
        <f>AGOSTO!AD250</f>
        <v>0</v>
      </c>
      <c r="AC250" s="1557">
        <v>0</v>
      </c>
      <c r="AD250" s="1619">
        <f>SUM(AB250:AC250)</f>
        <v>0</v>
      </c>
      <c r="AE250" s="1620">
        <f>AGOSTO!AG250</f>
        <v>0</v>
      </c>
      <c r="AF250" s="1557">
        <v>0</v>
      </c>
      <c r="AG250" s="1619">
        <f>SUM(AE250:AF250)</f>
        <v>0</v>
      </c>
      <c r="AH250" s="1620">
        <f>X250-AA250</f>
        <v>0</v>
      </c>
      <c r="AI250" s="1618">
        <f>X250-AD250</f>
        <v>0</v>
      </c>
      <c r="AJ250" s="1621">
        <f>X250-AG250</f>
        <v>0</v>
      </c>
      <c r="AK250" s="1448"/>
      <c r="AL250" s="1559">
        <v>0</v>
      </c>
      <c r="AM250" s="1560">
        <v>0</v>
      </c>
    </row>
    <row r="251" spans="1:70" ht="24.95" customHeight="1">
      <c r="A251" s="1806"/>
      <c r="B251" s="1809"/>
      <c r="C251" s="1572"/>
      <c r="D251" s="1572"/>
      <c r="E251" s="1572"/>
      <c r="F251" s="1572"/>
      <c r="G251" s="1572"/>
      <c r="H251" s="1572"/>
      <c r="I251" s="1572"/>
      <c r="J251" s="1572"/>
      <c r="K251" s="1572"/>
      <c r="L251" s="1572"/>
      <c r="M251" s="1572"/>
      <c r="N251" s="1448"/>
      <c r="O251" s="1572"/>
      <c r="P251" s="1448"/>
      <c r="Q251" s="1448"/>
      <c r="S251" s="1662" t="str">
        <f>+IF(AGOSTO!S251=0,"",AGOSTO!S251)</f>
        <v>8002100-8</v>
      </c>
      <c r="T251" s="1663" t="str">
        <f>+IF(AGOSTO!T251=0,"",AGOSTO!T251)</f>
        <v>Programas Especial 07</v>
      </c>
      <c r="U251" s="1617">
        <f>+ENERO!U251</f>
        <v>0</v>
      </c>
      <c r="V251" s="1618">
        <f>AGOSTO!V251+SEPTIEMBRE!AL251</f>
        <v>0</v>
      </c>
      <c r="W251" s="1618">
        <f>AGOSTO!W251+SEPTIEMBRE!AM251</f>
        <v>0</v>
      </c>
      <c r="X251" s="1619">
        <f>SUM(U251:W251)</f>
        <v>0</v>
      </c>
      <c r="Y251" s="1620">
        <f>AGOSTO!AA251</f>
        <v>0</v>
      </c>
      <c r="Z251" s="1557">
        <v>0</v>
      </c>
      <c r="AA251" s="1619">
        <f>SUM(Y251:Z251)</f>
        <v>0</v>
      </c>
      <c r="AB251" s="1620">
        <f>AGOSTO!AD251</f>
        <v>0</v>
      </c>
      <c r="AC251" s="1557">
        <v>0</v>
      </c>
      <c r="AD251" s="1619">
        <f>SUM(AB251:AC251)</f>
        <v>0</v>
      </c>
      <c r="AE251" s="1620">
        <f>AGOSTO!AG251</f>
        <v>0</v>
      </c>
      <c r="AF251" s="1557">
        <v>0</v>
      </c>
      <c r="AG251" s="1619">
        <f>SUM(AE251:AF251)</f>
        <v>0</v>
      </c>
      <c r="AH251" s="1620">
        <f>X251-AA251</f>
        <v>0</v>
      </c>
      <c r="AI251" s="1618">
        <f>X251-AD251</f>
        <v>0</v>
      </c>
      <c r="AJ251" s="1621">
        <f>X251-AG251</f>
        <v>0</v>
      </c>
      <c r="AK251" s="1448"/>
      <c r="AL251" s="1559">
        <v>0</v>
      </c>
      <c r="AM251" s="1560">
        <v>0</v>
      </c>
    </row>
    <row r="252" spans="1:70" ht="24.95" customHeight="1">
      <c r="A252" s="1806"/>
      <c r="B252" s="1809"/>
      <c r="C252" s="1572"/>
      <c r="D252" s="1572"/>
      <c r="E252" s="1572"/>
      <c r="F252" s="1572"/>
      <c r="G252" s="1572"/>
      <c r="H252" s="1572"/>
      <c r="I252" s="1572"/>
      <c r="J252" s="1572"/>
      <c r="K252" s="1572"/>
      <c r="L252" s="1572"/>
      <c r="M252" s="1572"/>
      <c r="N252" s="1448"/>
      <c r="O252" s="1572"/>
      <c r="P252" s="1448"/>
      <c r="Q252" s="1448"/>
      <c r="S252" s="1662" t="str">
        <f>+IF(AGOSTO!S252=0,"",AGOSTO!S252)</f>
        <v>8002100-9</v>
      </c>
      <c r="T252" s="1663" t="str">
        <f>+IF(AGOSTO!T252=0,"",AGOSTO!T252)</f>
        <v>Programas Especial 08</v>
      </c>
      <c r="U252" s="1617">
        <f>+ENERO!U252</f>
        <v>0</v>
      </c>
      <c r="V252" s="1618">
        <f>AGOSTO!V252+SEPTIEMBRE!AL252</f>
        <v>0</v>
      </c>
      <c r="W252" s="1618">
        <f>AGOSTO!W252+SEPTIEMBRE!AM252</f>
        <v>0</v>
      </c>
      <c r="X252" s="1619">
        <f>SUM(U252:W252)</f>
        <v>0</v>
      </c>
      <c r="Y252" s="1620">
        <f>AGOSTO!AA252</f>
        <v>0</v>
      </c>
      <c r="Z252" s="1557">
        <v>0</v>
      </c>
      <c r="AA252" s="1619">
        <f>SUM(Y252:Z252)</f>
        <v>0</v>
      </c>
      <c r="AB252" s="1620">
        <f>AGOSTO!AD252</f>
        <v>0</v>
      </c>
      <c r="AC252" s="1557">
        <v>0</v>
      </c>
      <c r="AD252" s="1619">
        <f>SUM(AB252:AC252)</f>
        <v>0</v>
      </c>
      <c r="AE252" s="1620">
        <f>AGOSTO!AG252</f>
        <v>0</v>
      </c>
      <c r="AF252" s="1557">
        <v>0</v>
      </c>
      <c r="AG252" s="1619">
        <f>SUM(AE252:AF252)</f>
        <v>0</v>
      </c>
      <c r="AH252" s="1620">
        <f>X252-AA252</f>
        <v>0</v>
      </c>
      <c r="AI252" s="1618">
        <f>X252-AD252</f>
        <v>0</v>
      </c>
      <c r="AJ252" s="1621">
        <f>X252-AG252</f>
        <v>0</v>
      </c>
      <c r="AK252" s="1448"/>
      <c r="AL252" s="1559">
        <v>0</v>
      </c>
      <c r="AM252" s="1560">
        <v>0</v>
      </c>
    </row>
    <row r="253" spans="1:70" ht="24.95" customHeight="1">
      <c r="A253" s="1806"/>
      <c r="B253" s="1809"/>
      <c r="C253" s="1572"/>
      <c r="D253" s="1572"/>
      <c r="E253" s="1572"/>
      <c r="F253" s="1572"/>
      <c r="G253" s="1572"/>
      <c r="H253" s="1572"/>
      <c r="I253" s="1572"/>
      <c r="J253" s="1572"/>
      <c r="K253" s="1572"/>
      <c r="L253" s="1572"/>
      <c r="M253" s="1572"/>
      <c r="N253" s="1448"/>
      <c r="O253" s="1572"/>
      <c r="P253" s="1448"/>
      <c r="Q253" s="1448"/>
      <c r="S253" s="1662" t="str">
        <f>+IF(AGOSTO!S253=0,"",AGOSTO!S253)</f>
        <v>8002100-10</v>
      </c>
      <c r="T253" s="1663" t="str">
        <f>+IF(AGOSTO!T253=0,"",AGOSTO!T253)</f>
        <v>Programas Especial 09</v>
      </c>
      <c r="U253" s="1617">
        <f>+ENERO!U253</f>
        <v>0</v>
      </c>
      <c r="V253" s="1618">
        <f>AGOSTO!V253+SEPTIEMBRE!AL253</f>
        <v>0</v>
      </c>
      <c r="W253" s="1618">
        <f>AGOSTO!W253+SEPTIEMBRE!AM253</f>
        <v>0</v>
      </c>
      <c r="X253" s="1619">
        <f>SUM(U253:W253)</f>
        <v>0</v>
      </c>
      <c r="Y253" s="1620">
        <f>AGOSTO!AA253</f>
        <v>0</v>
      </c>
      <c r="Z253" s="1557">
        <v>0</v>
      </c>
      <c r="AA253" s="1619">
        <f>SUM(Y253:Z253)</f>
        <v>0</v>
      </c>
      <c r="AB253" s="1620">
        <f>AGOSTO!AD253</f>
        <v>0</v>
      </c>
      <c r="AC253" s="1557">
        <v>0</v>
      </c>
      <c r="AD253" s="1619">
        <f>SUM(AB253:AC253)</f>
        <v>0</v>
      </c>
      <c r="AE253" s="1620">
        <f>AGOSTO!AG253</f>
        <v>0</v>
      </c>
      <c r="AF253" s="1557">
        <v>0</v>
      </c>
      <c r="AG253" s="1619">
        <f>SUM(AE253:AF253)</f>
        <v>0</v>
      </c>
      <c r="AH253" s="1620">
        <f>X253-AA253</f>
        <v>0</v>
      </c>
      <c r="AI253" s="1618">
        <f>X253-AD253</f>
        <v>0</v>
      </c>
      <c r="AJ253" s="1621">
        <f>X253-AG253</f>
        <v>0</v>
      </c>
      <c r="AK253" s="1448"/>
      <c r="AL253" s="1559">
        <v>0</v>
      </c>
      <c r="AM253" s="1560">
        <v>0</v>
      </c>
    </row>
    <row r="254" spans="1:70" ht="24.95" customHeight="1">
      <c r="A254" s="1806"/>
      <c r="B254" s="1809"/>
      <c r="C254" s="1572"/>
      <c r="D254" s="1572"/>
      <c r="E254" s="1572"/>
      <c r="F254" s="1572"/>
      <c r="G254" s="1572"/>
      <c r="H254" s="1572"/>
      <c r="I254" s="1572"/>
      <c r="J254" s="1572"/>
      <c r="K254" s="1572"/>
      <c r="L254" s="1572"/>
      <c r="M254" s="1572"/>
      <c r="N254" s="1448"/>
      <c r="O254" s="1572"/>
      <c r="P254" s="1448"/>
      <c r="Q254" s="1448"/>
      <c r="S254" s="1662" t="str">
        <f>+IF(AGOSTO!S254=0,"",AGOSTO!S254)</f>
        <v>8002100-11</v>
      </c>
      <c r="T254" s="1663" t="str">
        <f>+IF(AGOSTO!T254=0,"",AGOSTO!T254)</f>
        <v>Programas Especial 10</v>
      </c>
      <c r="U254" s="1617">
        <f>+ENERO!U254</f>
        <v>0</v>
      </c>
      <c r="V254" s="1618">
        <f>AGOSTO!V254+SEPTIEMBRE!AL254</f>
        <v>0</v>
      </c>
      <c r="W254" s="1618">
        <f>AGOSTO!W254+SEPTIEMBRE!AM254</f>
        <v>0</v>
      </c>
      <c r="X254" s="1619">
        <f>SUM(U254:W254)</f>
        <v>0</v>
      </c>
      <c r="Y254" s="1620">
        <f>AGOSTO!AA254</f>
        <v>0</v>
      </c>
      <c r="Z254" s="1557">
        <v>0</v>
      </c>
      <c r="AA254" s="1619">
        <f>SUM(Y254:Z254)</f>
        <v>0</v>
      </c>
      <c r="AB254" s="1620">
        <f>AGOSTO!AD254</f>
        <v>0</v>
      </c>
      <c r="AC254" s="1557">
        <v>0</v>
      </c>
      <c r="AD254" s="1619">
        <f>SUM(AB254:AC254)</f>
        <v>0</v>
      </c>
      <c r="AE254" s="1620">
        <f>AGOSTO!AG254</f>
        <v>0</v>
      </c>
      <c r="AF254" s="1557">
        <v>0</v>
      </c>
      <c r="AG254" s="1619">
        <f>SUM(AE254:AF254)</f>
        <v>0</v>
      </c>
      <c r="AH254" s="1620">
        <f>X254-AA254</f>
        <v>0</v>
      </c>
      <c r="AI254" s="1618">
        <f>X254-AD254</f>
        <v>0</v>
      </c>
      <c r="AJ254" s="1621">
        <f>X254-AG254</f>
        <v>0</v>
      </c>
      <c r="AK254" s="1448"/>
      <c r="AL254" s="1559">
        <v>0</v>
      </c>
      <c r="AM254" s="1560">
        <v>0</v>
      </c>
    </row>
    <row r="255" spans="1:70" ht="24.95" customHeight="1">
      <c r="A255" s="1806"/>
      <c r="B255" s="1809"/>
      <c r="C255" s="1572"/>
      <c r="D255" s="1572"/>
      <c r="E255" s="1572"/>
      <c r="F255" s="1572"/>
      <c r="G255" s="1572"/>
      <c r="H255" s="1572"/>
      <c r="I255" s="1572"/>
      <c r="J255" s="1572"/>
      <c r="K255" s="1572"/>
      <c r="L255" s="1572"/>
      <c r="M255" s="1572"/>
      <c r="N255" s="1448"/>
      <c r="O255" s="1572"/>
      <c r="P255" s="1448"/>
      <c r="Q255" s="1448"/>
      <c r="S255" s="1662" t="str">
        <f>+IF(AGOSTO!S255=0,"",AGOSTO!S255)</f>
        <v>8002100-12</v>
      </c>
      <c r="T255" s="1663" t="str">
        <f>+IF(AGOSTO!T255=0,"",AGOSTO!T255)</f>
        <v>Programas Especial 11</v>
      </c>
      <c r="U255" s="1617">
        <f>+ENERO!U255</f>
        <v>0</v>
      </c>
      <c r="V255" s="1618">
        <f>AGOSTO!V255+SEPTIEMBRE!AL255</f>
        <v>0</v>
      </c>
      <c r="W255" s="1618">
        <f>AGOSTO!W255+SEPTIEMBRE!AM255</f>
        <v>0</v>
      </c>
      <c r="X255" s="1619">
        <f t="shared" si="212"/>
        <v>0</v>
      </c>
      <c r="Y255" s="1620">
        <f>AGOSTO!AA255</f>
        <v>0</v>
      </c>
      <c r="Z255" s="1557">
        <v>0</v>
      </c>
      <c r="AA255" s="1619">
        <f t="shared" si="213"/>
        <v>0</v>
      </c>
      <c r="AB255" s="1620">
        <f>AGOSTO!AD255</f>
        <v>0</v>
      </c>
      <c r="AC255" s="1557">
        <v>0</v>
      </c>
      <c r="AD255" s="1619">
        <f t="shared" si="214"/>
        <v>0</v>
      </c>
      <c r="AE255" s="1620">
        <f>AGOSTO!AG255</f>
        <v>0</v>
      </c>
      <c r="AF255" s="1557">
        <v>0</v>
      </c>
      <c r="AG255" s="1619">
        <f t="shared" si="215"/>
        <v>0</v>
      </c>
      <c r="AH255" s="1620">
        <f t="shared" si="216"/>
        <v>0</v>
      </c>
      <c r="AI255" s="1618">
        <f t="shared" si="217"/>
        <v>0</v>
      </c>
      <c r="AJ255" s="1621">
        <f t="shared" si="218"/>
        <v>0</v>
      </c>
      <c r="AK255" s="1448"/>
      <c r="AL255" s="1559">
        <v>0</v>
      </c>
      <c r="AM255" s="1560">
        <v>0</v>
      </c>
    </row>
    <row r="256" spans="1:70" ht="24.95" customHeight="1" thickBot="1">
      <c r="A256" s="1806"/>
      <c r="B256" s="1809"/>
      <c r="C256" s="1572"/>
      <c r="D256" s="1572"/>
      <c r="E256" s="1572"/>
      <c r="F256" s="1572"/>
      <c r="G256" s="1572"/>
      <c r="H256" s="1572"/>
      <c r="I256" s="1572"/>
      <c r="J256" s="1572"/>
      <c r="K256" s="1572"/>
      <c r="L256" s="1572"/>
      <c r="M256" s="1572"/>
      <c r="N256" s="1448"/>
      <c r="O256" s="1572"/>
      <c r="P256" s="1448"/>
      <c r="Q256" s="1448"/>
      <c r="S256" s="1833">
        <f>+IF(AGOSTO!S256=0,"",AGOSTO!S256)</f>
        <v>8002999</v>
      </c>
      <c r="T256" s="1834" t="str">
        <f>+IF(AGOSTO!T256=0,"",AGOSTO!T256)</f>
        <v>Vigencias Anteriores</v>
      </c>
      <c r="U256" s="1822">
        <f>+ENERO!U256</f>
        <v>0</v>
      </c>
      <c r="V256" s="1823">
        <f>AGOSTO!V256+SEPTIEMBRE!AL256</f>
        <v>0</v>
      </c>
      <c r="W256" s="1823">
        <f>AGOSTO!W256+SEPTIEMBRE!AM256</f>
        <v>0</v>
      </c>
      <c r="X256" s="1824">
        <f t="shared" si="212"/>
        <v>0</v>
      </c>
      <c r="Y256" s="1825">
        <f>AGOSTO!AA256</f>
        <v>0</v>
      </c>
      <c r="Z256" s="1595">
        <v>0</v>
      </c>
      <c r="AA256" s="1824">
        <f t="shared" si="213"/>
        <v>0</v>
      </c>
      <c r="AB256" s="1825">
        <f>AGOSTO!AD256</f>
        <v>0</v>
      </c>
      <c r="AC256" s="1595">
        <v>0</v>
      </c>
      <c r="AD256" s="1824">
        <f t="shared" si="214"/>
        <v>0</v>
      </c>
      <c r="AE256" s="1825">
        <f>AGOSTO!AG256</f>
        <v>0</v>
      </c>
      <c r="AF256" s="1595">
        <v>0</v>
      </c>
      <c r="AG256" s="1824">
        <f t="shared" si="215"/>
        <v>0</v>
      </c>
      <c r="AH256" s="1825">
        <f t="shared" si="216"/>
        <v>0</v>
      </c>
      <c r="AI256" s="1823">
        <f t="shared" si="217"/>
        <v>0</v>
      </c>
      <c r="AJ256" s="1826">
        <f t="shared" si="218"/>
        <v>0</v>
      </c>
      <c r="AK256" s="1448"/>
      <c r="AL256" s="1597">
        <v>0</v>
      </c>
      <c r="AM256" s="1598">
        <v>0</v>
      </c>
    </row>
    <row r="257" spans="1:39" ht="24.95" customHeight="1" thickBot="1">
      <c r="A257" s="1806"/>
      <c r="B257" s="1809"/>
      <c r="C257" s="1572"/>
      <c r="D257" s="1572"/>
      <c r="E257" s="1572"/>
      <c r="F257" s="1572"/>
      <c r="G257" s="1572"/>
      <c r="H257" s="1572"/>
      <c r="I257" s="1572"/>
      <c r="J257" s="1572"/>
      <c r="K257" s="1572"/>
      <c r="L257" s="1572"/>
      <c r="M257" s="1572"/>
      <c r="N257" s="1448"/>
      <c r="O257" s="1572"/>
      <c r="P257" s="1448"/>
      <c r="Q257" s="1448"/>
      <c r="S257" s="1837" t="str">
        <f>+IF(AGOSTO!S257=0,"",AGOSTO!S257)</f>
        <v/>
      </c>
      <c r="T257" s="1838" t="str">
        <f>+IF(AGOSTO!T257=0,"",AGOSTO!T257)</f>
        <v/>
      </c>
      <c r="U257" s="1839"/>
      <c r="V257" s="1839"/>
      <c r="W257" s="1839"/>
      <c r="X257" s="1839"/>
      <c r="Y257" s="1839"/>
      <c r="Z257" s="1839"/>
      <c r="AA257" s="1839"/>
      <c r="AB257" s="1839"/>
      <c r="AC257" s="1839"/>
      <c r="AD257" s="1839"/>
      <c r="AE257" s="1839"/>
      <c r="AF257" s="1839"/>
      <c r="AG257" s="1839"/>
      <c r="AH257" s="1839"/>
      <c r="AI257" s="1839"/>
      <c r="AJ257" s="1840"/>
      <c r="AK257" s="1566"/>
      <c r="AL257" s="1849"/>
      <c r="AM257" s="1850"/>
    </row>
    <row r="258" spans="1:39" ht="24.95" customHeight="1" thickBot="1">
      <c r="S258" s="1853" t="s">
        <v>363</v>
      </c>
      <c r="T258" s="1854" t="s">
        <v>133</v>
      </c>
      <c r="U258" s="1483">
        <f>+(C10+C17+C113)-(U10+U193+U220+U232)</f>
        <v>0</v>
      </c>
      <c r="V258" s="1483">
        <f t="shared" ref="V258:AJ258" si="219">+(D10+D17+D113)-(V10+V193+V220+V232)</f>
        <v>0</v>
      </c>
      <c r="W258" s="1483">
        <f t="shared" si="219"/>
        <v>0</v>
      </c>
      <c r="X258" s="1483">
        <f t="shared" si="219"/>
        <v>0</v>
      </c>
      <c r="Y258" s="1483">
        <f t="shared" si="219"/>
        <v>-5170902048</v>
      </c>
      <c r="Z258" s="1483">
        <f t="shared" si="219"/>
        <v>-845838081</v>
      </c>
      <c r="AA258" s="1483">
        <f t="shared" si="219"/>
        <v>-6016740129</v>
      </c>
      <c r="AB258" s="1483">
        <f t="shared" si="219"/>
        <v>-17426628888</v>
      </c>
      <c r="AC258" s="1483">
        <f t="shared" si="219"/>
        <v>-244682545</v>
      </c>
      <c r="AD258" s="1483">
        <f t="shared" si="219"/>
        <v>-17671311433</v>
      </c>
      <c r="AE258" s="1483">
        <f t="shared" si="219"/>
        <v>-12671564389</v>
      </c>
      <c r="AF258" s="1483">
        <f t="shared" si="219"/>
        <v>33073391082</v>
      </c>
      <c r="AG258" s="1483">
        <f t="shared" si="219"/>
        <v>-29899717136</v>
      </c>
      <c r="AH258" s="1483">
        <f t="shared" si="219"/>
        <v>-7691693229</v>
      </c>
      <c r="AI258" s="1483">
        <f t="shared" si="219"/>
        <v>-18921799038</v>
      </c>
      <c r="AJ258" s="1855">
        <f t="shared" si="219"/>
        <v>-36978616978</v>
      </c>
      <c r="AK258" s="1448"/>
      <c r="AL258" s="1481">
        <v>0</v>
      </c>
      <c r="AM258" s="1482">
        <v>0</v>
      </c>
    </row>
    <row r="259" spans="1:39" ht="24.95" customHeight="1" thickBot="1">
      <c r="S259" s="3198"/>
      <c r="T259" s="3199"/>
      <c r="U259" s="1856"/>
      <c r="V259" s="1856"/>
      <c r="W259" s="1856"/>
      <c r="X259" s="1856"/>
      <c r="Y259" s="1856"/>
      <c r="Z259" s="1856"/>
      <c r="AA259" s="1856"/>
      <c r="AB259" s="1856"/>
      <c r="AC259" s="1856"/>
      <c r="AD259" s="1856"/>
      <c r="AE259" s="1856"/>
      <c r="AF259" s="1856"/>
      <c r="AG259" s="1856"/>
      <c r="AH259" s="1856"/>
      <c r="AI259" s="1856"/>
      <c r="AJ259" s="1857"/>
      <c r="AK259" s="1566"/>
      <c r="AL259" s="1858">
        <f>+SUMIF(AK8:AK256,AK33,AL8:AL256)</f>
        <v>0</v>
      </c>
      <c r="AM259" s="1859">
        <f>+SUMIF(AL8:AL256,AL33,AM8:AM256)</f>
        <v>0</v>
      </c>
    </row>
    <row r="260" spans="1:39" ht="24.95" customHeight="1" thickBot="1">
      <c r="S260" s="1860" t="s">
        <v>582</v>
      </c>
      <c r="T260" s="1861"/>
      <c r="U260" s="1862">
        <f>+U8-U262</f>
        <v>47989706380</v>
      </c>
      <c r="V260" s="1862">
        <f t="shared" ref="V260:AJ260" si="220">+V8-V262</f>
        <v>-109662433</v>
      </c>
      <c r="W260" s="1862">
        <f t="shared" si="220"/>
        <v>7833890063</v>
      </c>
      <c r="X260" s="1862">
        <f t="shared" si="220"/>
        <v>55713934010</v>
      </c>
      <c r="Y260" s="1862">
        <f t="shared" si="220"/>
        <v>44107209077</v>
      </c>
      <c r="Z260" s="1862">
        <f t="shared" si="220"/>
        <v>4124973437</v>
      </c>
      <c r="AA260" s="1862">
        <f t="shared" si="220"/>
        <v>48232182514</v>
      </c>
      <c r="AB260" s="1862">
        <f t="shared" si="220"/>
        <v>33478942355</v>
      </c>
      <c r="AC260" s="1862">
        <f t="shared" si="220"/>
        <v>3523134350</v>
      </c>
      <c r="AD260" s="1862">
        <f t="shared" si="220"/>
        <v>37002076705</v>
      </c>
      <c r="AE260" s="1862">
        <f t="shared" si="220"/>
        <v>15708315339</v>
      </c>
      <c r="AF260" s="1862">
        <f t="shared" si="220"/>
        <v>3236943426</v>
      </c>
      <c r="AG260" s="1862">
        <f t="shared" si="220"/>
        <v>18945258765</v>
      </c>
      <c r="AH260" s="1862">
        <f t="shared" si="220"/>
        <v>7481751496</v>
      </c>
      <c r="AI260" s="1862">
        <f t="shared" si="220"/>
        <v>18711857305</v>
      </c>
      <c r="AJ260" s="1863">
        <f t="shared" si="220"/>
        <v>36768675245</v>
      </c>
      <c r="AK260" s="1566"/>
      <c r="AL260" s="1572"/>
      <c r="AM260" s="1572"/>
    </row>
    <row r="261" spans="1:39" ht="24.95" customHeight="1" thickBot="1">
      <c r="S261" s="1864"/>
      <c r="T261" s="1865"/>
      <c r="U261" s="1866"/>
      <c r="V261" s="1866"/>
      <c r="W261" s="1866"/>
      <c r="X261" s="1866"/>
      <c r="Y261" s="1866"/>
      <c r="Z261" s="1866"/>
      <c r="AA261" s="1866"/>
      <c r="AB261" s="1866"/>
      <c r="AC261" s="1866"/>
      <c r="AD261" s="1866"/>
      <c r="AE261" s="1866"/>
      <c r="AF261" s="1866"/>
      <c r="AG261" s="1866"/>
      <c r="AH261" s="1866"/>
      <c r="AI261" s="1866"/>
      <c r="AJ261" s="1867"/>
    </row>
    <row r="262" spans="1:39" ht="24.95" customHeight="1" thickBot="1">
      <c r="S262" s="1868" t="s">
        <v>583</v>
      </c>
      <c r="T262" s="1869"/>
      <c r="U262" s="1870">
        <f>+SUMIF($T$8:$T$256,$T$33,U8:U256)</f>
        <v>2232471701</v>
      </c>
      <c r="V262" s="1870">
        <f t="shared" ref="V262:AJ262" si="221">+SUMIF($T$8:$T$256,$T$33,V8:V256)</f>
        <v>109662433</v>
      </c>
      <c r="W262" s="1870">
        <f t="shared" si="221"/>
        <v>8822265970</v>
      </c>
      <c r="X262" s="1870">
        <f t="shared" si="221"/>
        <v>11164400104</v>
      </c>
      <c r="Y262" s="1870">
        <f t="shared" si="221"/>
        <v>10689596408</v>
      </c>
      <c r="Z262" s="1870">
        <f t="shared" si="221"/>
        <v>264861963</v>
      </c>
      <c r="AA262" s="1870">
        <f t="shared" si="221"/>
        <v>10954458371</v>
      </c>
      <c r="AB262" s="1870">
        <f t="shared" si="221"/>
        <v>10689596408</v>
      </c>
      <c r="AC262" s="1870">
        <f t="shared" si="221"/>
        <v>264861963</v>
      </c>
      <c r="AD262" s="1870">
        <f t="shared" si="221"/>
        <v>10954458371</v>
      </c>
      <c r="AE262" s="1870">
        <f t="shared" si="221"/>
        <v>10671682408</v>
      </c>
      <c r="AF262" s="1870">
        <f t="shared" si="221"/>
        <v>282775963</v>
      </c>
      <c r="AG262" s="1870">
        <f t="shared" si="221"/>
        <v>10954458371</v>
      </c>
      <c r="AH262" s="1870">
        <f t="shared" si="221"/>
        <v>209941733</v>
      </c>
      <c r="AI262" s="1870">
        <f t="shared" si="221"/>
        <v>209941733</v>
      </c>
      <c r="AJ262" s="1871">
        <f t="shared" si="221"/>
        <v>209941733</v>
      </c>
    </row>
    <row r="263" spans="1:39" ht="24.95" customHeight="1" thickBot="1">
      <c r="S263" s="1864"/>
      <c r="T263" s="1865"/>
      <c r="U263" s="1865"/>
      <c r="V263" s="1866"/>
      <c r="W263" s="1866"/>
      <c r="X263" s="1866"/>
      <c r="Y263" s="1866"/>
      <c r="Z263" s="1866"/>
      <c r="AA263" s="1866"/>
      <c r="AB263" s="1866"/>
      <c r="AC263" s="1866"/>
      <c r="AD263" s="1866"/>
      <c r="AE263" s="1866"/>
      <c r="AF263" s="1866"/>
      <c r="AG263" s="1866"/>
      <c r="AH263" s="1866"/>
      <c r="AI263" s="1866"/>
      <c r="AJ263" s="1866"/>
    </row>
    <row r="264" spans="1:39" ht="24.95" customHeight="1" thickBot="1">
      <c r="S264" s="1872" t="s">
        <v>584</v>
      </c>
      <c r="T264" s="1873"/>
      <c r="U264" s="1874">
        <f>+U260+U262</f>
        <v>50222178081</v>
      </c>
      <c r="V264" s="1874">
        <f t="shared" ref="V264:AJ264" si="222">+V260+V262</f>
        <v>0</v>
      </c>
      <c r="W264" s="1874">
        <f t="shared" si="222"/>
        <v>16656156033</v>
      </c>
      <c r="X264" s="1874">
        <f t="shared" si="222"/>
        <v>66878334114</v>
      </c>
      <c r="Y264" s="1874">
        <f t="shared" si="222"/>
        <v>54796805485</v>
      </c>
      <c r="Z264" s="1874">
        <f t="shared" si="222"/>
        <v>4389835400</v>
      </c>
      <c r="AA264" s="1874">
        <f t="shared" si="222"/>
        <v>59186640885</v>
      </c>
      <c r="AB264" s="1874">
        <f t="shared" si="222"/>
        <v>44168538763</v>
      </c>
      <c r="AC264" s="1874">
        <f t="shared" si="222"/>
        <v>3787996313</v>
      </c>
      <c r="AD264" s="1874">
        <f t="shared" si="222"/>
        <v>47956535076</v>
      </c>
      <c r="AE264" s="1874">
        <f t="shared" si="222"/>
        <v>26379997747</v>
      </c>
      <c r="AF264" s="1874">
        <f t="shared" si="222"/>
        <v>3519719389</v>
      </c>
      <c r="AG264" s="1874">
        <f t="shared" si="222"/>
        <v>29899717136</v>
      </c>
      <c r="AH264" s="1874">
        <f t="shared" si="222"/>
        <v>7691693229</v>
      </c>
      <c r="AI264" s="1874">
        <f t="shared" si="222"/>
        <v>18921799038</v>
      </c>
      <c r="AJ264" s="1875">
        <f t="shared" si="222"/>
        <v>36978616978</v>
      </c>
    </row>
  </sheetData>
  <sheetProtection password="EF76" sheet="1" objects="1" scenarios="1" formatCells="0" formatColumn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900-000000000000}"/>
    <dataValidation allowBlank="1" showInputMessage="1" showErrorMessage="1" promptTitle="ATENCION..." prompt="Las actividades de Promoción y Prevención se manejaran en cada régimen." sqref="A23:C24 P23:Q24 K23:K24 H23:H24" xr:uid="{00000000-0002-0000-09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9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S264"/>
  <sheetViews>
    <sheetView showGridLines="0" topLeftCell="U250" zoomScale="80" zoomScaleNormal="80" workbookViewId="0">
      <selection activeCell="AE271" sqref="AE271"/>
    </sheetView>
  </sheetViews>
  <sheetFormatPr baseColWidth="10" defaultColWidth="0" defaultRowHeight="24.95" customHeight="1"/>
  <cols>
    <col min="1" max="1" width="11.7109375" style="2375" customWidth="1"/>
    <col min="2" max="2" width="51" style="2376" customWidth="1"/>
    <col min="3" max="3" width="17.42578125" style="1876" customWidth="1"/>
    <col min="4" max="4" width="16.140625" style="1876" customWidth="1"/>
    <col min="5" max="7" width="14.42578125" style="1876" customWidth="1"/>
    <col min="8" max="8" width="15.85546875" style="1876" customWidth="1"/>
    <col min="9" max="10" width="14.42578125" style="1876" customWidth="1"/>
    <col min="11" max="11" width="16.28515625" style="1876" customWidth="1"/>
    <col min="12" max="12" width="14.42578125" style="1876" customWidth="1"/>
    <col min="13" max="13" width="16.7109375" style="1876" customWidth="1"/>
    <col min="14" max="14" width="16.7109375" style="1877" customWidth="1"/>
    <col min="15" max="15" width="2.85546875" style="1876" customWidth="1"/>
    <col min="16" max="17" width="23.7109375" style="1877" customWidth="1"/>
    <col min="18" max="18" width="5.42578125" style="1876" customWidth="1"/>
    <col min="19" max="19" width="16.5703125" style="1878" customWidth="1"/>
    <col min="20" max="20" width="51.7109375" style="1879" customWidth="1"/>
    <col min="21" max="21" width="18.85546875" style="1876" customWidth="1"/>
    <col min="22" max="22" width="17.5703125" style="1876" customWidth="1"/>
    <col min="23" max="23" width="16.85546875" style="1876" customWidth="1"/>
    <col min="24" max="24" width="17.7109375" style="1876" customWidth="1"/>
    <col min="25" max="25" width="17.42578125" style="1876" customWidth="1"/>
    <col min="26" max="26" width="17" style="1876" customWidth="1"/>
    <col min="27" max="27" width="18.42578125" style="1876" customWidth="1"/>
    <col min="28" max="28" width="18" style="1876" customWidth="1"/>
    <col min="29" max="29" width="16.7109375" style="1876" customWidth="1"/>
    <col min="30" max="30" width="17.7109375" style="1876" customWidth="1"/>
    <col min="31" max="31" width="19.140625" style="1876" customWidth="1"/>
    <col min="32" max="32" width="18" style="1876" customWidth="1"/>
    <col min="33" max="33" width="18.42578125" style="1876" customWidth="1"/>
    <col min="34" max="35" width="16.7109375" style="1876" customWidth="1"/>
    <col min="36" max="36" width="18.85546875" style="1876" customWidth="1"/>
    <col min="37" max="37" width="8.85546875" style="1881" customWidth="1"/>
    <col min="38" max="39" width="23.7109375" style="1876" customWidth="1"/>
    <col min="40" max="40" width="4.85546875" style="1876" customWidth="1"/>
    <col min="41" max="41" width="12.28515625" style="1876" customWidth="1"/>
    <col min="42" max="42" width="51" style="1876" customWidth="1"/>
    <col min="43" max="45" width="16.85546875" style="1876" customWidth="1"/>
    <col min="46" max="46" width="12.7109375" style="1876" customWidth="1"/>
    <col min="47" max="47" width="27.42578125" style="1876" customWidth="1"/>
    <col min="48" max="48" width="25" style="1876" customWidth="1"/>
    <col min="49" max="52" width="16.85546875" style="1876" customWidth="1"/>
    <col min="53" max="53" width="11" style="1876" customWidth="1"/>
    <col min="54" max="54" width="65.140625" style="1876" customWidth="1"/>
    <col min="55" max="57" width="18.85546875" style="1876" customWidth="1"/>
    <col min="58" max="58" width="6.140625" style="1876" customWidth="1"/>
    <col min="59" max="59" width="72.7109375" style="1876" customWidth="1"/>
    <col min="60" max="63" width="17.5703125" style="1876" customWidth="1"/>
    <col min="64" max="64" width="11" style="1876" customWidth="1"/>
    <col min="65" max="65" width="76" style="1876" customWidth="1"/>
    <col min="66" max="66" width="19.7109375" style="1876" customWidth="1"/>
    <col min="67" max="67" width="14.85546875" style="1876" customWidth="1"/>
    <col min="68" max="68" width="15.140625" style="1876" customWidth="1"/>
    <col min="69" max="69" width="16" style="1876" customWidth="1"/>
    <col min="70" max="70" width="11" style="1876" customWidth="1"/>
    <col min="71" max="71" width="2.28515625" style="1876" customWidth="1"/>
    <col min="72" max="16384" width="11" style="1876" hidden="1"/>
  </cols>
  <sheetData>
    <row r="1" spans="1:69" ht="24.95" customHeight="1" thickBot="1">
      <c r="A1" s="3234" t="str">
        <f>IF($F$8-$X$8=0," ","OJO: PRESUPUESTO DESEQUILIBRADO")</f>
        <v xml:space="preserve"> </v>
      </c>
      <c r="B1" s="3234"/>
      <c r="C1" s="3244"/>
      <c r="D1" s="3244"/>
      <c r="E1" s="3244"/>
      <c r="F1" s="3244"/>
      <c r="G1" s="3244"/>
      <c r="H1" s="3244"/>
      <c r="I1" s="3244"/>
      <c r="J1" s="3244"/>
      <c r="K1" s="3235" t="str">
        <f>+IF(L8&gt;I8,"OJO - SUS RECAUDOS SON SUPERIORES A SUS RECONOCIMIENTOS, VERIFIQUE","")</f>
        <v/>
      </c>
      <c r="L1" s="3235"/>
      <c r="M1" s="3235"/>
      <c r="N1" s="3235"/>
      <c r="U1" s="1880" t="str">
        <f>+IF(AA8&gt;X8,"OJO - HA COMPROMETIDO MUCHO MAS DE LO QUE TIENE PRESUPUESTADO","")</f>
        <v/>
      </c>
      <c r="X1" s="1880"/>
      <c r="Y1" s="1880" t="str">
        <f>+IF(AD8&gt;AA8,"OJO - SUS OBLIGACIONES SUPERAN SUS COMPROMISOS, VERIFIQUE","")</f>
        <v/>
      </c>
      <c r="AC1" s="1880" t="str">
        <f>+IF(AG8&gt;AD8,"OJO - SUS PAGOS NO PUEDEN SUPERAR SUS OBLIGACIONES, VERIFIQUE","")</f>
        <v/>
      </c>
    </row>
    <row r="2" spans="1:69" ht="53.25" customHeight="1" thickBot="1">
      <c r="A2" s="1882"/>
      <c r="B2" s="1883" t="str">
        <f>+ENERO!B2</f>
        <v>SECRETARIA SECCIONAL DE SALUD Y PROTECCION SOCIAL DE ANTIOQUIA DE ANTIOQUIA</v>
      </c>
      <c r="C2" s="1884"/>
      <c r="D2" s="3236" t="str">
        <f>+IF(F2="","","MUNICIPIO:")</f>
        <v>MUNICIPIO:</v>
      </c>
      <c r="E2" s="3236"/>
      <c r="F2" s="1885" t="str">
        <f>IF(INSTRUCCIONES!B3=0,"",INSTRUCCIONES!B3)</f>
        <v>ITAGUI</v>
      </c>
      <c r="G2" s="1886"/>
      <c r="H2" s="1886"/>
      <c r="I2" s="1886"/>
      <c r="J2" s="1886"/>
      <c r="K2" s="1887"/>
      <c r="L2" s="3245" t="s">
        <v>388</v>
      </c>
      <c r="M2" s="3242"/>
      <c r="N2" s="1888" t="s">
        <v>389</v>
      </c>
      <c r="P2" s="3237" t="s">
        <v>466</v>
      </c>
      <c r="Q2" s="3239"/>
      <c r="R2" s="1889"/>
      <c r="S2" s="1890"/>
      <c r="T2" s="1883" t="str">
        <f>+ENERO!T2</f>
        <v>SECRETARIA SECCIONAL DE SALUD Y PROTECCION SOCIAL DE ANTIOQUIA DE ANTIOQUIA</v>
      </c>
      <c r="U2" s="1884"/>
      <c r="V2" s="3257" t="str">
        <f>+IF(Y2="","","M U N I C I P I O:")</f>
        <v>M U N I C I P I O:</v>
      </c>
      <c r="W2" s="3257"/>
      <c r="X2" s="3257"/>
      <c r="Y2" s="3240" t="str">
        <f>IF(INSTRUCCIONES!B3=0,"",INSTRUCCIONES!B3)</f>
        <v>ITAGUI</v>
      </c>
      <c r="Z2" s="3240"/>
      <c r="AA2" s="3240"/>
      <c r="AB2" s="3240"/>
      <c r="AC2" s="3240"/>
      <c r="AD2" s="3240"/>
      <c r="AE2" s="3240"/>
      <c r="AF2" s="3240"/>
      <c r="AG2" s="3241"/>
      <c r="AH2" s="3242" t="s">
        <v>388</v>
      </c>
      <c r="AI2" s="3243"/>
      <c r="AJ2" s="1888" t="s">
        <v>389</v>
      </c>
      <c r="AL2" s="3237" t="s">
        <v>466</v>
      </c>
      <c r="AM2" s="3239"/>
      <c r="AO2" s="1891">
        <v>10</v>
      </c>
      <c r="AP2" s="1892" t="s">
        <v>7</v>
      </c>
      <c r="AQ2" s="1893"/>
      <c r="AR2" s="1894"/>
      <c r="AS2" s="1894"/>
      <c r="AT2" s="1894"/>
      <c r="AU2" s="1894"/>
      <c r="AV2" s="1894"/>
      <c r="AW2" s="1894"/>
      <c r="AX2" s="1894"/>
      <c r="AY2" s="1894"/>
      <c r="AZ2" s="1895"/>
      <c r="BB2" s="3237" t="s">
        <v>616</v>
      </c>
      <c r="BC2" s="3238"/>
      <c r="BD2" s="1896" t="s">
        <v>388</v>
      </c>
      <c r="BE2" s="1888" t="str">
        <f>+L3</f>
        <v>OCTUBRE</v>
      </c>
      <c r="BF2" s="1880"/>
      <c r="BG2" s="3237" t="s">
        <v>617</v>
      </c>
      <c r="BH2" s="3238"/>
      <c r="BI2" s="3238"/>
      <c r="BJ2" s="1896" t="s">
        <v>388</v>
      </c>
      <c r="BK2" s="1888" t="str">
        <f>+BE2</f>
        <v>OCTUBRE</v>
      </c>
      <c r="BM2" s="3237" t="s">
        <v>617</v>
      </c>
      <c r="BN2" s="3238"/>
      <c r="BO2" s="3238"/>
      <c r="BP2" s="1896" t="s">
        <v>388</v>
      </c>
      <c r="BQ2" s="1888" t="str">
        <f>+BK2</f>
        <v>OCTUBRE</v>
      </c>
    </row>
    <row r="3" spans="1:69" ht="24.95" customHeight="1" thickBot="1">
      <c r="A3" s="1897"/>
      <c r="B3" s="3278" t="s">
        <v>8</v>
      </c>
      <c r="C3" s="1898"/>
      <c r="D3" s="3280" t="str">
        <f>+IF(F3="","","INSTITUCION:")</f>
        <v>INSTITUCION:</v>
      </c>
      <c r="E3" s="3280"/>
      <c r="F3" s="3282" t="str">
        <f>IF(INSTRUCCIONES!B5=0,"",INSTRUCCIONES!B5)</f>
        <v>ESE HOSPITALSAN RAFAEL</v>
      </c>
      <c r="G3" s="3282"/>
      <c r="H3" s="3282"/>
      <c r="I3" s="3282"/>
      <c r="J3" s="3282"/>
      <c r="K3" s="3283"/>
      <c r="L3" s="3288" t="s">
        <v>374</v>
      </c>
      <c r="M3" s="3289"/>
      <c r="N3" s="3286">
        <f>+INSTRUCCIONES!F3</f>
        <v>2017</v>
      </c>
      <c r="P3" s="3272" t="s">
        <v>621</v>
      </c>
      <c r="Q3" s="3275" t="s">
        <v>622</v>
      </c>
      <c r="R3" s="1889"/>
      <c r="S3" s="1899"/>
      <c r="T3" s="3278" t="s">
        <v>10</v>
      </c>
      <c r="U3" s="1900"/>
      <c r="V3" s="3255" t="str">
        <f>+IF(Y3="","","E.S.E. H O S P I T A L:")</f>
        <v>E.S.E. H O S P I T A L:</v>
      </c>
      <c r="W3" s="3255"/>
      <c r="X3" s="3255"/>
      <c r="Y3" s="3258" t="str">
        <f>IF(INSTRUCCIONES!B5=0,"",INSTRUCCIONES!B5)</f>
        <v>ESE HOSPITALSAN RAFAEL</v>
      </c>
      <c r="Z3" s="3258"/>
      <c r="AA3" s="3258"/>
      <c r="AB3" s="3258"/>
      <c r="AC3" s="3258"/>
      <c r="AD3" s="3258"/>
      <c r="AE3" s="3258"/>
      <c r="AF3" s="3258"/>
      <c r="AG3" s="3259"/>
      <c r="AH3" s="3265" t="str">
        <f>+L3</f>
        <v>OCTUBRE</v>
      </c>
      <c r="AI3" s="3266"/>
      <c r="AJ3" s="3251">
        <f>+N3</f>
        <v>2017</v>
      </c>
      <c r="AL3" s="3272" t="s">
        <v>623</v>
      </c>
      <c r="AM3" s="3275" t="s">
        <v>622</v>
      </c>
      <c r="AO3" s="1901"/>
      <c r="AP3" s="1902" t="s">
        <v>11</v>
      </c>
      <c r="AQ3" s="1903"/>
      <c r="AR3" s="1903"/>
      <c r="AS3" s="1903"/>
      <c r="AT3" s="1903"/>
      <c r="AU3" s="1903"/>
      <c r="AV3" s="1903"/>
      <c r="AW3" s="1903"/>
      <c r="AX3" s="1903"/>
      <c r="AY3" s="1903"/>
      <c r="AZ3" s="1904"/>
      <c r="BB3" s="3253" t="str">
        <f>+CONCATENATE(INSTRUCCIONES!B5, " - ", INSTRUCCIONES!B3)</f>
        <v>ESE HOSPITALSAN RAFAEL - ITAGUI</v>
      </c>
      <c r="BC3" s="3254"/>
      <c r="BD3" s="1905" t="s">
        <v>389</v>
      </c>
      <c r="BE3" s="1906">
        <f>+N3</f>
        <v>2017</v>
      </c>
      <c r="BF3" s="1907" t="s">
        <v>12</v>
      </c>
      <c r="BG3" s="3253" t="str">
        <f>+CONCATENATE(INSTRUCCIONES!B5, " - ", INSTRUCCIONES!B3)</f>
        <v>ESE HOSPITALSAN RAFAEL - ITAGUI</v>
      </c>
      <c r="BH3" s="3254"/>
      <c r="BI3" s="3254"/>
      <c r="BJ3" s="1905" t="s">
        <v>389</v>
      </c>
      <c r="BK3" s="1906">
        <f>+BE3</f>
        <v>2017</v>
      </c>
      <c r="BM3" s="3253" t="str">
        <f>+CONCATENATE(INSTRUCCIONES!B5, " - ", INSTRUCCIONES!B3)</f>
        <v>ESE HOSPITALSAN RAFAEL - ITAGUI</v>
      </c>
      <c r="BN3" s="3254"/>
      <c r="BO3" s="3254"/>
      <c r="BP3" s="1905" t="s">
        <v>389</v>
      </c>
      <c r="BQ3" s="1906">
        <f>+BK3</f>
        <v>2017</v>
      </c>
    </row>
    <row r="4" spans="1:69" ht="24.95" customHeight="1" thickBot="1">
      <c r="A4" s="1897"/>
      <c r="B4" s="3279"/>
      <c r="C4" s="1908"/>
      <c r="D4" s="3281"/>
      <c r="E4" s="3281"/>
      <c r="F4" s="3284"/>
      <c r="G4" s="3284"/>
      <c r="H4" s="3284"/>
      <c r="I4" s="3284"/>
      <c r="J4" s="3284"/>
      <c r="K4" s="3285"/>
      <c r="L4" s="3290"/>
      <c r="M4" s="3291"/>
      <c r="N4" s="3287"/>
      <c r="P4" s="3273"/>
      <c r="Q4" s="3276"/>
      <c r="R4" s="1889"/>
      <c r="S4" s="1899"/>
      <c r="T4" s="3278"/>
      <c r="U4" s="1908"/>
      <c r="V4" s="3256"/>
      <c r="W4" s="3256"/>
      <c r="X4" s="3256"/>
      <c r="Y4" s="3260"/>
      <c r="Z4" s="3260"/>
      <c r="AA4" s="3260"/>
      <c r="AB4" s="3260"/>
      <c r="AC4" s="3260"/>
      <c r="AD4" s="3260"/>
      <c r="AE4" s="3260"/>
      <c r="AF4" s="3260"/>
      <c r="AG4" s="3261"/>
      <c r="AH4" s="3267"/>
      <c r="AI4" s="3268"/>
      <c r="AJ4" s="3252"/>
      <c r="AL4" s="3273"/>
      <c r="AM4" s="3276"/>
      <c r="AO4" s="1901"/>
      <c r="AP4" s="1909"/>
      <c r="AQ4" s="1910" t="s">
        <v>13</v>
      </c>
      <c r="AR4" s="1910" t="s">
        <v>14</v>
      </c>
      <c r="AS4" s="1910" t="s">
        <v>15</v>
      </c>
      <c r="AT4" s="1910" t="s">
        <v>16</v>
      </c>
      <c r="AU4" s="1910" t="s">
        <v>16</v>
      </c>
      <c r="AV4" s="1911" t="s">
        <v>16</v>
      </c>
      <c r="AW4" s="3262" t="str">
        <f>+CONCATENATE("PROYECCION A DICIEMBRE 31 DEL ",N3)</f>
        <v>PROYECCION A DICIEMBRE 31 DEL 2017</v>
      </c>
      <c r="AX4" s="3263"/>
      <c r="AY4" s="3263"/>
      <c r="AZ4" s="3264"/>
      <c r="BB4" s="1912"/>
      <c r="BC4" s="1913"/>
      <c r="BD4" s="1913"/>
      <c r="BE4" s="1914"/>
      <c r="BF4" s="1915"/>
      <c r="BG4" s="1912"/>
      <c r="BH4" s="1913"/>
      <c r="BI4" s="1913"/>
      <c r="BJ4" s="1916"/>
      <c r="BK4" s="1917"/>
      <c r="BL4" s="1918"/>
      <c r="BM4" s="1912"/>
      <c r="BN4" s="1919"/>
      <c r="BO4" s="1919"/>
      <c r="BP4" s="1920"/>
      <c r="BQ4" s="1921"/>
    </row>
    <row r="5" spans="1:69" ht="42" customHeight="1" thickBot="1">
      <c r="A5" s="3300" t="s">
        <v>17</v>
      </c>
      <c r="B5" s="3302" t="s">
        <v>18</v>
      </c>
      <c r="C5" s="3310" t="s">
        <v>19</v>
      </c>
      <c r="D5" s="3311"/>
      <c r="E5" s="3311"/>
      <c r="F5" s="3312"/>
      <c r="G5" s="3304" t="s">
        <v>624</v>
      </c>
      <c r="H5" s="3305"/>
      <c r="I5" s="3306"/>
      <c r="J5" s="3307" t="str">
        <f>+IF(L8&gt;I8,"OJO - RECAUDOS MAYORES QUE RECONOCIMIENTOS","RECAUDO")</f>
        <v>RECAUDO</v>
      </c>
      <c r="K5" s="3308"/>
      <c r="L5" s="3309"/>
      <c r="M5" s="3294" t="s">
        <v>21</v>
      </c>
      <c r="N5" s="3295"/>
      <c r="P5" s="3274"/>
      <c r="Q5" s="3277"/>
      <c r="R5" s="1889"/>
      <c r="S5" s="3298" t="s">
        <v>481</v>
      </c>
      <c r="T5" s="3296" t="s">
        <v>18</v>
      </c>
      <c r="U5" s="1922" t="s">
        <v>19</v>
      </c>
      <c r="V5" s="1923"/>
      <c r="W5" s="1923"/>
      <c r="X5" s="1924"/>
      <c r="Y5" s="1925" t="s">
        <v>625</v>
      </c>
      <c r="Z5" s="1923"/>
      <c r="AA5" s="1923"/>
      <c r="AB5" s="3248" t="s">
        <v>626</v>
      </c>
      <c r="AC5" s="3249"/>
      <c r="AD5" s="3250"/>
      <c r="AE5" s="3248" t="s">
        <v>22</v>
      </c>
      <c r="AF5" s="3249"/>
      <c r="AG5" s="3250"/>
      <c r="AH5" s="3248" t="s">
        <v>23</v>
      </c>
      <c r="AI5" s="3249"/>
      <c r="AJ5" s="3250"/>
      <c r="AL5" s="3274"/>
      <c r="AM5" s="3277"/>
      <c r="AO5" s="1926"/>
      <c r="AP5" s="1927" t="s">
        <v>24</v>
      </c>
      <c r="AQ5" s="1910"/>
      <c r="AR5" s="1910" t="s">
        <v>25</v>
      </c>
      <c r="AS5" s="1910" t="s">
        <v>25</v>
      </c>
      <c r="AT5" s="1910" t="s">
        <v>26</v>
      </c>
      <c r="AU5" s="1910" t="s">
        <v>27</v>
      </c>
      <c r="AV5" s="1910" t="s">
        <v>27</v>
      </c>
      <c r="AW5" s="1910" t="s">
        <v>28</v>
      </c>
      <c r="AX5" s="1910" t="s">
        <v>29</v>
      </c>
      <c r="AY5" s="1910" t="s">
        <v>30</v>
      </c>
      <c r="AZ5" s="1928" t="s">
        <v>30</v>
      </c>
      <c r="BB5" s="1929" t="s">
        <v>31</v>
      </c>
      <c r="BC5" s="1930" t="str">
        <f>+CONCATENATE("ACUMULADO ",N3)</f>
        <v>ACUMULADO 2017</v>
      </c>
      <c r="BD5" s="1931"/>
      <c r="BE5" s="1932"/>
      <c r="BF5" s="1933" t="s">
        <v>12</v>
      </c>
      <c r="BG5" s="1934" t="s">
        <v>32</v>
      </c>
      <c r="BH5" s="3269" t="str">
        <f>+CONCATENATE("ACUMULADO ",N3)</f>
        <v>ACUMULADO 2017</v>
      </c>
      <c r="BI5" s="3270"/>
      <c r="BJ5" s="3270"/>
      <c r="BK5" s="3271"/>
      <c r="BM5" s="3246" t="s">
        <v>32</v>
      </c>
      <c r="BN5" s="1935" t="str">
        <f>+CONCATENATE("ACUMULADO ",BQ3)</f>
        <v>ACUMULADO 2017</v>
      </c>
      <c r="BO5" s="1936"/>
      <c r="BP5" s="1937"/>
      <c r="BQ5" s="1938"/>
    </row>
    <row r="6" spans="1:69" ht="24.95" customHeight="1" thickBot="1">
      <c r="A6" s="3301"/>
      <c r="B6" s="3303"/>
      <c r="C6" s="1939" t="s">
        <v>33</v>
      </c>
      <c r="D6" s="1940" t="s">
        <v>34</v>
      </c>
      <c r="E6" s="1940" t="s">
        <v>35</v>
      </c>
      <c r="F6" s="1941" t="s">
        <v>36</v>
      </c>
      <c r="G6" s="1939" t="s">
        <v>37</v>
      </c>
      <c r="H6" s="1940" t="s">
        <v>38</v>
      </c>
      <c r="I6" s="1941" t="s">
        <v>39</v>
      </c>
      <c r="J6" s="1939" t="s">
        <v>37</v>
      </c>
      <c r="K6" s="1940" t="s">
        <v>38</v>
      </c>
      <c r="L6" s="1941" t="s">
        <v>39</v>
      </c>
      <c r="M6" s="1939" t="s">
        <v>40</v>
      </c>
      <c r="N6" s="1941" t="s">
        <v>20</v>
      </c>
      <c r="P6" s="1942" t="s">
        <v>41</v>
      </c>
      <c r="Q6" s="1943" t="s">
        <v>467</v>
      </c>
      <c r="R6" s="1889"/>
      <c r="S6" s="3299" t="s">
        <v>42</v>
      </c>
      <c r="T6" s="3297"/>
      <c r="U6" s="1944" t="s">
        <v>33</v>
      </c>
      <c r="V6" s="1945" t="s">
        <v>34</v>
      </c>
      <c r="W6" s="1945" t="s">
        <v>35</v>
      </c>
      <c r="X6" s="1946" t="s">
        <v>36</v>
      </c>
      <c r="Y6" s="1947" t="s">
        <v>37</v>
      </c>
      <c r="Z6" s="1945" t="s">
        <v>38</v>
      </c>
      <c r="AA6" s="1945" t="s">
        <v>39</v>
      </c>
      <c r="AB6" s="1947" t="s">
        <v>37</v>
      </c>
      <c r="AC6" s="1945" t="s">
        <v>38</v>
      </c>
      <c r="AD6" s="1945" t="s">
        <v>39</v>
      </c>
      <c r="AE6" s="1947" t="s">
        <v>37</v>
      </c>
      <c r="AF6" s="1945" t="s">
        <v>38</v>
      </c>
      <c r="AG6" s="1945" t="s">
        <v>39</v>
      </c>
      <c r="AH6" s="1947" t="s">
        <v>43</v>
      </c>
      <c r="AI6" s="1945" t="s">
        <v>44</v>
      </c>
      <c r="AJ6" s="1946" t="s">
        <v>22</v>
      </c>
      <c r="AL6" s="1939" t="s">
        <v>41</v>
      </c>
      <c r="AM6" s="1941" t="s">
        <v>467</v>
      </c>
      <c r="AO6" s="1948"/>
      <c r="AP6" s="1949"/>
      <c r="AQ6" s="1950" t="s">
        <v>36</v>
      </c>
      <c r="AR6" s="1950" t="str">
        <f>+L3</f>
        <v>OCTUBRE</v>
      </c>
      <c r="AS6" s="1950" t="str">
        <f>AR6</f>
        <v>OCTUBRE</v>
      </c>
      <c r="AT6" s="1950" t="str">
        <f>AR6</f>
        <v>OCTUBRE</v>
      </c>
      <c r="AU6" s="1950" t="s">
        <v>14</v>
      </c>
      <c r="AV6" s="1950" t="s">
        <v>29</v>
      </c>
      <c r="AW6" s="1950"/>
      <c r="AX6" s="1950"/>
      <c r="AY6" s="1950" t="s">
        <v>14</v>
      </c>
      <c r="AZ6" s="1951" t="s">
        <v>29</v>
      </c>
      <c r="BB6" s="1952"/>
      <c r="BC6" s="1953" t="s">
        <v>45</v>
      </c>
      <c r="BD6" s="1954" t="s">
        <v>46</v>
      </c>
      <c r="BE6" s="1955" t="s">
        <v>47</v>
      </c>
      <c r="BF6" s="1956"/>
      <c r="BG6" s="1957"/>
      <c r="BH6" s="1958" t="s">
        <v>45</v>
      </c>
      <c r="BI6" s="1958" t="s">
        <v>48</v>
      </c>
      <c r="BJ6" s="1958" t="s">
        <v>49</v>
      </c>
      <c r="BK6" s="1959" t="s">
        <v>50</v>
      </c>
      <c r="BM6" s="3247"/>
      <c r="BN6" s="1960" t="s">
        <v>45</v>
      </c>
      <c r="BO6" s="1961" t="s">
        <v>48</v>
      </c>
      <c r="BP6" s="1961" t="s">
        <v>49</v>
      </c>
      <c r="BQ6" s="1962" t="s">
        <v>50</v>
      </c>
    </row>
    <row r="7" spans="1:69" s="1968" customFormat="1" ht="24.95" customHeight="1" thickBot="1">
      <c r="A7" s="1963"/>
      <c r="B7" s="1964"/>
      <c r="C7" s="1965"/>
      <c r="D7" s="1965"/>
      <c r="E7" s="1965"/>
      <c r="F7" s="1965"/>
      <c r="G7" s="1965"/>
      <c r="H7" s="1965"/>
      <c r="I7" s="1965"/>
      <c r="J7" s="1965"/>
      <c r="K7" s="1965"/>
      <c r="L7" s="1965"/>
      <c r="M7" s="1965"/>
      <c r="N7" s="1966"/>
      <c r="O7" s="1889"/>
      <c r="P7" s="1967"/>
      <c r="Q7" s="1966"/>
      <c r="S7" s="1969"/>
      <c r="T7" s="1964"/>
      <c r="U7" s="1965"/>
      <c r="V7" s="1965"/>
      <c r="W7" s="1965"/>
      <c r="X7" s="1965"/>
      <c r="Y7" s="1965"/>
      <c r="Z7" s="1965"/>
      <c r="AA7" s="1965"/>
      <c r="AB7" s="1965"/>
      <c r="AC7" s="1965"/>
      <c r="AD7" s="1965"/>
      <c r="AE7" s="1965"/>
      <c r="AF7" s="1965"/>
      <c r="AG7" s="1965"/>
      <c r="AH7" s="1965"/>
      <c r="AI7" s="1965"/>
      <c r="AJ7" s="1966"/>
      <c r="AK7" s="1881"/>
      <c r="AL7" s="1970"/>
      <c r="AM7" s="1971"/>
      <c r="AO7" s="1972"/>
      <c r="AP7" s="1973" t="s">
        <v>52</v>
      </c>
      <c r="AQ7" s="1974">
        <f>F22</f>
        <v>26175033475</v>
      </c>
      <c r="AR7" s="1974">
        <f>I22</f>
        <v>21736557098</v>
      </c>
      <c r="AS7" s="1974">
        <f>L22</f>
        <v>12475740319</v>
      </c>
      <c r="AT7" s="1975"/>
      <c r="AU7" s="1976">
        <f t="shared" ref="AU7:AU17" si="0">IF(AQ7=0," ",AR7/AQ7)</f>
        <v>0.83043091878987563</v>
      </c>
      <c r="AV7" s="1976">
        <f t="shared" ref="AV7:AV17" si="1">IF(AQ7=0," ",AS7/AQ7)</f>
        <v>0.47662748286131851</v>
      </c>
      <c r="AW7" s="1974">
        <f>I23/AO$2*12+I24</f>
        <v>24428413916</v>
      </c>
      <c r="AX7" s="1974">
        <f>L23/AO$2*12+L24</f>
        <v>13315433781.200001</v>
      </c>
      <c r="AY7" s="1974">
        <f t="shared" ref="AY7:AY16" si="2">AW7-AQ7</f>
        <v>-1746619559</v>
      </c>
      <c r="AZ7" s="1977">
        <f t="shared" ref="AZ7:AZ16" si="3">AX7-AQ7</f>
        <v>-12859599693.799999</v>
      </c>
      <c r="BB7" s="1978" t="s">
        <v>53</v>
      </c>
      <c r="BC7" s="1979">
        <f>F10</f>
        <v>617329922</v>
      </c>
      <c r="BD7" s="1980">
        <f>I10</f>
        <v>617329922</v>
      </c>
      <c r="BE7" s="1981">
        <f>K10</f>
        <v>0</v>
      </c>
      <c r="BF7" s="1982"/>
      <c r="BG7" s="1983" t="s">
        <v>54</v>
      </c>
      <c r="BH7" s="1984">
        <f>+SUM(BH8:BH11)</f>
        <v>41995800079</v>
      </c>
      <c r="BI7" s="1984">
        <f>+SUM(BI8:BI11)</f>
        <v>38621447139</v>
      </c>
      <c r="BJ7" s="1984">
        <f>+SUM(BJ8:BJ11)</f>
        <v>29537907013</v>
      </c>
      <c r="BK7" s="1984">
        <f>+SUM(BK8:BK11)</f>
        <v>2435018190</v>
      </c>
      <c r="BM7" s="1985" t="s">
        <v>54</v>
      </c>
      <c r="BN7" s="1986">
        <f>BN8+BN15+BN22</f>
        <v>41995800079</v>
      </c>
      <c r="BO7" s="1987">
        <f>BO8+BO15+BO22</f>
        <v>38621447139</v>
      </c>
      <c r="BP7" s="1987">
        <f>BP8+BP15+BP22</f>
        <v>29537907013</v>
      </c>
      <c r="BQ7" s="1988">
        <f>BQ8+BQ15+BQ22</f>
        <v>2435018190</v>
      </c>
    </row>
    <row r="8" spans="1:69" s="1968" customFormat="1" ht="24.95" customHeight="1" thickBot="1">
      <c r="A8" s="1989">
        <f>+IF(SEPTIEMBRE!A8=0,"",SEPTIEMBRE!A8)</f>
        <v>1</v>
      </c>
      <c r="B8" s="1990" t="str">
        <f>+IF(SEPTIEMBRE!B8=0,"",SEPTIEMBRE!B8)</f>
        <v>INGRESOS</v>
      </c>
      <c r="C8" s="1991">
        <f>C10+C17+C113</f>
        <v>50222178081</v>
      </c>
      <c r="D8" s="1991">
        <f t="shared" ref="D8:Q8" si="4">D10+D17+D113</f>
        <v>0</v>
      </c>
      <c r="E8" s="1991">
        <f t="shared" si="4"/>
        <v>16777509809</v>
      </c>
      <c r="F8" s="1991">
        <f t="shared" si="4"/>
        <v>66999687890</v>
      </c>
      <c r="G8" s="1991">
        <f t="shared" si="4"/>
        <v>53169900756</v>
      </c>
      <c r="H8" s="1991">
        <f t="shared" si="4"/>
        <v>5432605890</v>
      </c>
      <c r="I8" s="1991">
        <f t="shared" si="4"/>
        <v>58602506646</v>
      </c>
      <c r="J8" s="1991">
        <f t="shared" si="4"/>
        <v>30285223643</v>
      </c>
      <c r="K8" s="1991">
        <f t="shared" si="4"/>
        <v>3391934854</v>
      </c>
      <c r="L8" s="1991">
        <f t="shared" si="4"/>
        <v>33677158497</v>
      </c>
      <c r="M8" s="1991">
        <f t="shared" si="4"/>
        <v>8397181244</v>
      </c>
      <c r="N8" s="1991">
        <f t="shared" si="4"/>
        <v>33322529393</v>
      </c>
      <c r="O8" s="1992"/>
      <c r="P8" s="1993">
        <f t="shared" si="4"/>
        <v>0</v>
      </c>
      <c r="Q8" s="1994">
        <f t="shared" si="4"/>
        <v>121353776</v>
      </c>
      <c r="S8" s="1995" t="str">
        <f>+IF(SEPTIEMBRE!S8=0,"",SEPTIEMBRE!S8)</f>
        <v/>
      </c>
      <c r="T8" s="1996" t="str">
        <f>+IF(SEPTIEMBRE!T8=0,"",SEPTIEMBRE!T8)</f>
        <v>GASTOS</v>
      </c>
      <c r="U8" s="1997">
        <f>U10+U193+U220+U232</f>
        <v>50222178081</v>
      </c>
      <c r="V8" s="1998">
        <f t="shared" ref="V8:AJ8" si="5">V10+V193+V220+V232</f>
        <v>0</v>
      </c>
      <c r="W8" s="1998">
        <f t="shared" si="5"/>
        <v>16777509809</v>
      </c>
      <c r="X8" s="1999">
        <f t="shared" si="5"/>
        <v>66999687890</v>
      </c>
      <c r="Y8" s="2000">
        <f t="shared" si="5"/>
        <v>59186640885</v>
      </c>
      <c r="Z8" s="1998">
        <f t="shared" si="5"/>
        <v>2460693258</v>
      </c>
      <c r="AA8" s="1999">
        <f t="shared" si="5"/>
        <v>61647334143</v>
      </c>
      <c r="AB8" s="2000">
        <f t="shared" si="5"/>
        <v>47956535076</v>
      </c>
      <c r="AC8" s="1998">
        <f t="shared" si="5"/>
        <v>2943763670</v>
      </c>
      <c r="AD8" s="1999">
        <f t="shared" si="5"/>
        <v>50900298746</v>
      </c>
      <c r="AE8" s="2000">
        <f t="shared" si="5"/>
        <v>29899717136</v>
      </c>
      <c r="AF8" s="1998">
        <f t="shared" si="5"/>
        <v>3303635239</v>
      </c>
      <c r="AG8" s="1999">
        <f t="shared" si="5"/>
        <v>33203352375</v>
      </c>
      <c r="AH8" s="2000">
        <f t="shared" si="5"/>
        <v>5352353747</v>
      </c>
      <c r="AI8" s="1998">
        <f t="shared" si="5"/>
        <v>16099389144</v>
      </c>
      <c r="AJ8" s="2001">
        <f t="shared" si="5"/>
        <v>33796335515</v>
      </c>
      <c r="AL8" s="2002">
        <f t="shared" ref="AL8:AM8" si="6">AL10+AL193+AL220+AL232</f>
        <v>0</v>
      </c>
      <c r="AM8" s="2003">
        <f t="shared" si="6"/>
        <v>121353776</v>
      </c>
      <c r="AO8" s="1972"/>
      <c r="AP8" s="1973" t="s">
        <v>56</v>
      </c>
      <c r="AQ8" s="2004">
        <f>F25</f>
        <v>18546893803</v>
      </c>
      <c r="AR8" s="2004">
        <f>I25</f>
        <v>23410135320</v>
      </c>
      <c r="AS8" s="2004">
        <f>L25</f>
        <v>13841707106</v>
      </c>
      <c r="AT8" s="1975"/>
      <c r="AU8" s="2005">
        <f t="shared" si="0"/>
        <v>1.262213261619763</v>
      </c>
      <c r="AV8" s="2005">
        <f t="shared" si="1"/>
        <v>0.74630864084427306</v>
      </c>
      <c r="AW8" s="2004">
        <f>I26/AO$2*12+I27</f>
        <v>26885685022</v>
      </c>
      <c r="AX8" s="2004">
        <f>L26/AO$2*12+L27</f>
        <v>15403571165.200001</v>
      </c>
      <c r="AY8" s="2004">
        <f t="shared" si="2"/>
        <v>8338791219</v>
      </c>
      <c r="AZ8" s="2006">
        <f t="shared" si="3"/>
        <v>-3143322637.7999992</v>
      </c>
      <c r="BB8" s="2007" t="s">
        <v>57</v>
      </c>
      <c r="BC8" s="2008">
        <f>BC9+BC19</f>
        <v>41635385030</v>
      </c>
      <c r="BD8" s="2009">
        <f>BD9+BD19</f>
        <v>39966960069</v>
      </c>
      <c r="BE8" s="2010">
        <f>BE9+BE19</f>
        <v>3105914648</v>
      </c>
      <c r="BF8" s="1982"/>
      <c r="BG8" s="2011" t="s">
        <v>58</v>
      </c>
      <c r="BH8" s="2012">
        <f>BN9+BN13</f>
        <v>2985598915</v>
      </c>
      <c r="BI8" s="2012">
        <f>BO9+BO13</f>
        <v>1860676496</v>
      </c>
      <c r="BJ8" s="2012">
        <f>BP9+BP13</f>
        <v>1860676496</v>
      </c>
      <c r="BK8" s="2012">
        <f>BQ9+BQ13</f>
        <v>201806482</v>
      </c>
      <c r="BM8" s="2013" t="s">
        <v>59</v>
      </c>
      <c r="BN8" s="2014">
        <f>BN9+BN14+BN13</f>
        <v>32095910420</v>
      </c>
      <c r="BO8" s="2012">
        <f>BO9+BO14+BO13</f>
        <v>30806529957</v>
      </c>
      <c r="BP8" s="2012">
        <f>BP9+BP14+BP13</f>
        <v>22894921531</v>
      </c>
      <c r="BQ8" s="2015">
        <f>BQ9+BQ14+BQ13</f>
        <v>2097823563</v>
      </c>
    </row>
    <row r="9" spans="1:69" s="1968" customFormat="1" ht="24.95" customHeight="1" thickBot="1">
      <c r="A9" s="2016"/>
      <c r="B9" s="2017"/>
      <c r="C9" s="2018"/>
      <c r="D9" s="2018"/>
      <c r="E9" s="2018"/>
      <c r="F9" s="2018"/>
      <c r="G9" s="2018"/>
      <c r="H9" s="2018"/>
      <c r="I9" s="2018"/>
      <c r="J9" s="2018"/>
      <c r="K9" s="2018"/>
      <c r="L9" s="2018"/>
      <c r="M9" s="2018"/>
      <c r="N9" s="2019"/>
      <c r="O9" s="1992"/>
      <c r="P9" s="2020"/>
      <c r="Q9" s="2019"/>
      <c r="S9" s="1969"/>
      <c r="T9" s="1964"/>
      <c r="U9" s="1965"/>
      <c r="V9" s="1965"/>
      <c r="W9" s="1965"/>
      <c r="X9" s="1965"/>
      <c r="Y9" s="1965"/>
      <c r="Z9" s="1965"/>
      <c r="AA9" s="1965"/>
      <c r="AB9" s="1965"/>
      <c r="AC9" s="1965"/>
      <c r="AD9" s="1965"/>
      <c r="AE9" s="1965"/>
      <c r="AF9" s="1965"/>
      <c r="AG9" s="1965"/>
      <c r="AH9" s="1965"/>
      <c r="AI9" s="1965"/>
      <c r="AJ9" s="1966"/>
      <c r="AL9" s="2021"/>
      <c r="AM9" s="2022"/>
      <c r="AO9" s="2023"/>
      <c r="AP9" s="1973" t="s">
        <v>61</v>
      </c>
      <c r="AQ9" s="2004">
        <f>F28+F75</f>
        <v>468414189</v>
      </c>
      <c r="AR9" s="2004">
        <f>I28+I75</f>
        <v>1530342847</v>
      </c>
      <c r="AS9" s="2004">
        <f>L28+L75</f>
        <v>304399800</v>
      </c>
      <c r="AT9" s="1975"/>
      <c r="AU9" s="2024">
        <f t="shared" si="0"/>
        <v>3.2670719268070676</v>
      </c>
      <c r="AV9" s="2024">
        <f t="shared" si="1"/>
        <v>0.6498517917440797</v>
      </c>
      <c r="AW9" s="2025">
        <f>(I30+I33+I36+I76)/AO$2*12+I31+I34+I37+I38+I39+I40+I77</f>
        <v>1797536726.1999998</v>
      </c>
      <c r="AX9" s="2025">
        <f>(L30+L33+L36+L76)/AO$2*12+L31+L34+L37+L38+L39+L40+L77</f>
        <v>326405069.80000001</v>
      </c>
      <c r="AY9" s="2025">
        <f t="shared" si="2"/>
        <v>1329122537.1999998</v>
      </c>
      <c r="AZ9" s="2026">
        <f t="shared" si="3"/>
        <v>-142009119.19999999</v>
      </c>
      <c r="BB9" s="2027" t="s">
        <v>427</v>
      </c>
      <c r="BC9" s="2028">
        <f>BC10+BC18</f>
        <v>40887180589</v>
      </c>
      <c r="BD9" s="2029">
        <f>BD10+BD18</f>
        <v>39032071714</v>
      </c>
      <c r="BE9" s="2030">
        <f>BE10+BE18</f>
        <v>3046430647</v>
      </c>
      <c r="BF9" s="2031"/>
      <c r="BG9" s="2032" t="s">
        <v>62</v>
      </c>
      <c r="BH9" s="2033">
        <f t="shared" ref="BH9:BK10" si="7">BN14</f>
        <v>29110311505</v>
      </c>
      <c r="BI9" s="2033">
        <f t="shared" si="7"/>
        <v>28945853461</v>
      </c>
      <c r="BJ9" s="2033">
        <f t="shared" si="7"/>
        <v>21034245035</v>
      </c>
      <c r="BK9" s="2033">
        <f t="shared" si="7"/>
        <v>1896017081</v>
      </c>
      <c r="BM9" s="2034" t="s">
        <v>63</v>
      </c>
      <c r="BN9" s="2035">
        <f>SUM(BN10:BN12)</f>
        <v>2182764538</v>
      </c>
      <c r="BO9" s="2033">
        <f>SUM(BO10:BO12)</f>
        <v>1496594831</v>
      </c>
      <c r="BP9" s="2033">
        <f>SUM(BP10:BP12)</f>
        <v>1496594831</v>
      </c>
      <c r="BQ9" s="2036">
        <f>SUM(BQ10:BQ12)</f>
        <v>148557093</v>
      </c>
    </row>
    <row r="10" spans="1:69" s="1968" customFormat="1" ht="24.95" customHeight="1">
      <c r="A10" s="2037">
        <f>+IF(SEPTIEMBRE!A10=0,"",SEPTIEMBRE!A10)</f>
        <v>10</v>
      </c>
      <c r="B10" s="2038" t="str">
        <f>+IF(SEPTIEMBRE!B10=0,"",SEPTIEMBRE!B10)</f>
        <v>DISPONIBILIDAD INICIAL</v>
      </c>
      <c r="C10" s="2039">
        <f t="shared" ref="C10:N10" si="8">SUM(C12:C15)</f>
        <v>0</v>
      </c>
      <c r="D10" s="2040">
        <f t="shared" si="8"/>
        <v>0</v>
      </c>
      <c r="E10" s="2040">
        <f t="shared" si="8"/>
        <v>617329922</v>
      </c>
      <c r="F10" s="2041">
        <f t="shared" si="8"/>
        <v>617329922</v>
      </c>
      <c r="G10" s="2042">
        <f t="shared" si="8"/>
        <v>617329922</v>
      </c>
      <c r="H10" s="2040">
        <f t="shared" si="8"/>
        <v>0</v>
      </c>
      <c r="I10" s="2043">
        <f t="shared" si="8"/>
        <v>617329922</v>
      </c>
      <c r="J10" s="2039">
        <f t="shared" si="8"/>
        <v>617329922</v>
      </c>
      <c r="K10" s="2040">
        <f t="shared" si="8"/>
        <v>0</v>
      </c>
      <c r="L10" s="2041">
        <f t="shared" si="8"/>
        <v>617329922</v>
      </c>
      <c r="M10" s="2039">
        <f t="shared" si="8"/>
        <v>0</v>
      </c>
      <c r="N10" s="2041">
        <f t="shared" si="8"/>
        <v>0</v>
      </c>
      <c r="O10" s="1975"/>
      <c r="P10" s="2039">
        <f>SUM(P12:P15)</f>
        <v>0</v>
      </c>
      <c r="Q10" s="2041">
        <f>SUM(Q12:Q15)</f>
        <v>0</v>
      </c>
      <c r="S10" s="2044" t="str">
        <f>+IF(SEPTIEMBRE!S10=0,"",SEPTIEMBRE!S10)</f>
        <v>A</v>
      </c>
      <c r="T10" s="2045" t="str">
        <f>+IF(SEPTIEMBRE!T10=0,"",SEPTIEMBRE!T10)</f>
        <v>GASTOS DE FUNCIONAMIENTO</v>
      </c>
      <c r="U10" s="2046">
        <f>U12+U110+U170</f>
        <v>35471771735</v>
      </c>
      <c r="V10" s="2047">
        <f t="shared" ref="V10:AJ10" si="9">V12+V110+V170</f>
        <v>1624478382</v>
      </c>
      <c r="W10" s="2047">
        <f t="shared" si="9"/>
        <v>13209651641</v>
      </c>
      <c r="X10" s="2048">
        <f t="shared" si="9"/>
        <v>50305901758</v>
      </c>
      <c r="Y10" s="2049">
        <f t="shared" si="9"/>
        <v>45407479237</v>
      </c>
      <c r="Z10" s="2047">
        <f t="shared" si="9"/>
        <v>1493763112</v>
      </c>
      <c r="AA10" s="2048">
        <f t="shared" si="9"/>
        <v>46901242349</v>
      </c>
      <c r="AB10" s="2049">
        <f t="shared" si="9"/>
        <v>35800595674</v>
      </c>
      <c r="AC10" s="2047">
        <f t="shared" si="9"/>
        <v>2017106549</v>
      </c>
      <c r="AD10" s="2048">
        <f t="shared" si="9"/>
        <v>37817702223</v>
      </c>
      <c r="AE10" s="2049">
        <f t="shared" si="9"/>
        <v>23560256584</v>
      </c>
      <c r="AF10" s="2047">
        <f t="shared" si="9"/>
        <v>2528742674</v>
      </c>
      <c r="AG10" s="2048">
        <f t="shared" si="9"/>
        <v>26088999258</v>
      </c>
      <c r="AH10" s="2049">
        <f t="shared" si="9"/>
        <v>3404659409</v>
      </c>
      <c r="AI10" s="2047">
        <f t="shared" si="9"/>
        <v>12488199535</v>
      </c>
      <c r="AJ10" s="2050">
        <f t="shared" si="9"/>
        <v>24216902500</v>
      </c>
      <c r="AL10" s="2051">
        <f t="shared" ref="AL10:AM10" si="10">AL12+AL110+AL170</f>
        <v>36294060</v>
      </c>
      <c r="AM10" s="2052">
        <f t="shared" si="10"/>
        <v>121353776</v>
      </c>
      <c r="AO10" s="2023"/>
      <c r="AP10" s="1973" t="s">
        <v>65</v>
      </c>
      <c r="AQ10" s="2004">
        <f>F42</f>
        <v>0</v>
      </c>
      <c r="AR10" s="2004">
        <f>I42</f>
        <v>0</v>
      </c>
      <c r="AS10" s="2004">
        <f>L42</f>
        <v>0</v>
      </c>
      <c r="AT10" s="1975"/>
      <c r="AU10" s="2024" t="str">
        <f t="shared" si="0"/>
        <v xml:space="preserve"> </v>
      </c>
      <c r="AV10" s="2024" t="str">
        <f t="shared" si="1"/>
        <v xml:space="preserve"> </v>
      </c>
      <c r="AW10" s="2025">
        <f>I43/AO$2*12+I44</f>
        <v>0</v>
      </c>
      <c r="AX10" s="2025">
        <f>L43/AO$2*12+L44</f>
        <v>0</v>
      </c>
      <c r="AY10" s="2025">
        <f t="shared" si="2"/>
        <v>0</v>
      </c>
      <c r="AZ10" s="2026">
        <f t="shared" si="3"/>
        <v>0</v>
      </c>
      <c r="BB10" s="2053" t="s">
        <v>428</v>
      </c>
      <c r="BC10" s="2028">
        <f>BC11+BC12+BC13+BC14+BC16+BC17+BC15</f>
        <v>40761943661</v>
      </c>
      <c r="BD10" s="2029">
        <f>BD11+BD12+BD13+BD14+BD16+BD17+BD15</f>
        <v>38906834786</v>
      </c>
      <c r="BE10" s="2030">
        <f>BE11+BE12+BE13+BE14+BE16+BE17+BE15</f>
        <v>3046430647</v>
      </c>
      <c r="BF10" s="2031"/>
      <c r="BG10" s="2011" t="s">
        <v>66</v>
      </c>
      <c r="BH10" s="2054">
        <f t="shared" si="7"/>
        <v>9736359656</v>
      </c>
      <c r="BI10" s="2054">
        <f t="shared" si="7"/>
        <v>7717277958</v>
      </c>
      <c r="BJ10" s="2054">
        <f t="shared" si="7"/>
        <v>6556221387</v>
      </c>
      <c r="BK10" s="2054">
        <f t="shared" si="7"/>
        <v>336701251</v>
      </c>
      <c r="BM10" s="2055" t="s">
        <v>440</v>
      </c>
      <c r="BN10" s="2056">
        <f>X17+X66</f>
        <v>1484005363</v>
      </c>
      <c r="BO10" s="2054">
        <f>AA17+AA66</f>
        <v>1099691230</v>
      </c>
      <c r="BP10" s="2054">
        <f>AD17+AD66</f>
        <v>1099691230</v>
      </c>
      <c r="BQ10" s="2057">
        <f>AF17+AF66</f>
        <v>113120779</v>
      </c>
    </row>
    <row r="11" spans="1:69" s="1968" customFormat="1" ht="24.95" customHeight="1">
      <c r="A11" s="2016"/>
      <c r="B11" s="2017"/>
      <c r="C11" s="2018"/>
      <c r="D11" s="2018"/>
      <c r="E11" s="2018"/>
      <c r="F11" s="2018"/>
      <c r="G11" s="2018"/>
      <c r="H11" s="2018"/>
      <c r="I11" s="2018"/>
      <c r="J11" s="2018"/>
      <c r="K11" s="2018"/>
      <c r="L11" s="2018"/>
      <c r="M11" s="2018"/>
      <c r="N11" s="2019"/>
      <c r="O11" s="1992"/>
      <c r="P11" s="2020"/>
      <c r="Q11" s="2019"/>
      <c r="S11" s="2058"/>
      <c r="T11" s="2059"/>
      <c r="U11" s="2060"/>
      <c r="V11" s="2060"/>
      <c r="W11" s="2060"/>
      <c r="X11" s="2060"/>
      <c r="Y11" s="2060"/>
      <c r="Z11" s="2060"/>
      <c r="AA11" s="2060"/>
      <c r="AB11" s="2060"/>
      <c r="AC11" s="2060"/>
      <c r="AD11" s="2060"/>
      <c r="AE11" s="2060"/>
      <c r="AF11" s="2060"/>
      <c r="AG11" s="2060"/>
      <c r="AH11" s="2060"/>
      <c r="AI11" s="2060"/>
      <c r="AJ11" s="2061"/>
      <c r="AL11" s="2062"/>
      <c r="AM11" s="2063"/>
      <c r="AO11" s="2064" t="s">
        <v>11</v>
      </c>
      <c r="AP11" s="2065" t="s">
        <v>538</v>
      </c>
      <c r="AQ11" s="2004">
        <f>F88</f>
        <v>0</v>
      </c>
      <c r="AR11" s="2004">
        <f>I88</f>
        <v>0</v>
      </c>
      <c r="AS11" s="2004">
        <f>L88</f>
        <v>0</v>
      </c>
      <c r="AT11" s="2066">
        <f>AO2/12</f>
        <v>0.83333333333333337</v>
      </c>
      <c r="AU11" s="2024" t="str">
        <f t="shared" si="0"/>
        <v xml:space="preserve"> </v>
      </c>
      <c r="AV11" s="2024" t="str">
        <f t="shared" si="1"/>
        <v xml:space="preserve"> </v>
      </c>
      <c r="AW11" s="2025">
        <f>I88</f>
        <v>0</v>
      </c>
      <c r="AX11" s="2025">
        <f>L88</f>
        <v>0</v>
      </c>
      <c r="AY11" s="2025">
        <f t="shared" si="2"/>
        <v>0</v>
      </c>
      <c r="AZ11" s="2026">
        <f t="shared" si="3"/>
        <v>0</v>
      </c>
      <c r="BB11" s="2053" t="s">
        <v>429</v>
      </c>
      <c r="BC11" s="2028">
        <f>F26</f>
        <v>13439321219</v>
      </c>
      <c r="BD11" s="2029">
        <f>I26</f>
        <v>17377748510</v>
      </c>
      <c r="BE11" s="2030">
        <f>K26</f>
        <v>1408692588</v>
      </c>
      <c r="BF11" s="2031"/>
      <c r="BG11" s="2011" t="s">
        <v>67</v>
      </c>
      <c r="BH11" s="2067">
        <f>BN22</f>
        <v>163530003</v>
      </c>
      <c r="BI11" s="2067">
        <f>BO22</f>
        <v>97639224</v>
      </c>
      <c r="BJ11" s="2067">
        <f>BP22</f>
        <v>86764095</v>
      </c>
      <c r="BK11" s="2067">
        <f>BQ22</f>
        <v>493376</v>
      </c>
      <c r="BM11" s="2068" t="s">
        <v>441</v>
      </c>
      <c r="BN11" s="2069">
        <f>X18+X67</f>
        <v>104121781</v>
      </c>
      <c r="BO11" s="2067">
        <f>AA18+AA67</f>
        <v>84131498</v>
      </c>
      <c r="BP11" s="2067">
        <f>AD18+AD67</f>
        <v>84131498</v>
      </c>
      <c r="BQ11" s="2070">
        <f>AF18+AF67</f>
        <v>7620426</v>
      </c>
    </row>
    <row r="12" spans="1:69" s="1968" customFormat="1" ht="24.95" customHeight="1">
      <c r="A12" s="2071">
        <f>+IF(SEPTIEMBRE!A12=0,"",SEPTIEMBRE!A12)</f>
        <v>1001</v>
      </c>
      <c r="B12" s="2072" t="str">
        <f>+IF(SEPTIEMBRE!B12=0,"",SEPTIEMBRE!B12)</f>
        <v>Bienestar Social (Caja, Bancos, Inversiones Tempor.) a Dic-31-2016</v>
      </c>
      <c r="C12" s="2073">
        <f>+ENERO!C12</f>
        <v>0</v>
      </c>
      <c r="D12" s="2074">
        <f>SEPTIEMBRE!D12+OCTUBRE!P12</f>
        <v>0</v>
      </c>
      <c r="E12" s="2074">
        <f>SEPTIEMBRE!E12+OCTUBRE!Q12</f>
        <v>26156707</v>
      </c>
      <c r="F12" s="2075">
        <f>SUM(C12:E12)</f>
        <v>26156707</v>
      </c>
      <c r="G12" s="2076">
        <f>SEPTIEMBRE!I12</f>
        <v>26156707</v>
      </c>
      <c r="H12" s="2077">
        <v>0</v>
      </c>
      <c r="I12" s="2075">
        <f>SUM(G12:H12)</f>
        <v>26156707</v>
      </c>
      <c r="J12" s="2076">
        <f>SEPTIEMBRE!L12</f>
        <v>26156707</v>
      </c>
      <c r="K12" s="2078">
        <v>0</v>
      </c>
      <c r="L12" s="2075">
        <f>SUM(J12:K12)</f>
        <v>26156707</v>
      </c>
      <c r="M12" s="2076">
        <f>F12-I12</f>
        <v>0</v>
      </c>
      <c r="N12" s="2075">
        <f>F12-L12</f>
        <v>0</v>
      </c>
      <c r="O12" s="1919"/>
      <c r="P12" s="2079">
        <v>0</v>
      </c>
      <c r="Q12" s="2080">
        <v>0</v>
      </c>
      <c r="S12" s="2081">
        <f>+IF(SEPTIEMBRE!S12=0,"",SEPTIEMBRE!S12)</f>
        <v>1000000</v>
      </c>
      <c r="T12" s="2082" t="str">
        <f>+IF(SEPTIEMBRE!T12=0,"",SEPTIEMBRE!T12)</f>
        <v>GASTOS DE PERSONAL</v>
      </c>
      <c r="U12" s="2083">
        <f t="shared" ref="U12:AJ12" si="11">U14+U63</f>
        <v>27757873896</v>
      </c>
      <c r="V12" s="2084">
        <f t="shared" si="11"/>
        <v>1902848004</v>
      </c>
      <c r="W12" s="2084">
        <f t="shared" si="11"/>
        <v>9707044066</v>
      </c>
      <c r="X12" s="2085">
        <f t="shared" si="11"/>
        <v>39367765966</v>
      </c>
      <c r="Y12" s="2051">
        <f t="shared" si="11"/>
        <v>36934094213</v>
      </c>
      <c r="Z12" s="2084">
        <f t="shared" si="11"/>
        <v>1115897793</v>
      </c>
      <c r="AA12" s="2085">
        <f t="shared" si="11"/>
        <v>38049992006</v>
      </c>
      <c r="AB12" s="2051">
        <f t="shared" si="11"/>
        <v>28740363280</v>
      </c>
      <c r="AC12" s="2084">
        <f t="shared" si="11"/>
        <v>1398020300</v>
      </c>
      <c r="AD12" s="2085">
        <f t="shared" si="11"/>
        <v>30138383580</v>
      </c>
      <c r="AE12" s="2051">
        <f t="shared" si="11"/>
        <v>19109547749</v>
      </c>
      <c r="AF12" s="2084">
        <f t="shared" si="11"/>
        <v>2136238971</v>
      </c>
      <c r="AG12" s="2085">
        <f t="shared" si="11"/>
        <v>21245786720</v>
      </c>
      <c r="AH12" s="2051">
        <f t="shared" si="11"/>
        <v>1317773960</v>
      </c>
      <c r="AI12" s="2084">
        <f t="shared" si="11"/>
        <v>9229382386</v>
      </c>
      <c r="AJ12" s="2052">
        <f t="shared" si="11"/>
        <v>18121979246</v>
      </c>
      <c r="AK12" s="2086"/>
      <c r="AL12" s="2087">
        <f>AL14+AL63</f>
        <v>-20000000</v>
      </c>
      <c r="AM12" s="2088">
        <f>AM14+AM63</f>
        <v>121353776</v>
      </c>
      <c r="AO12" s="2064"/>
      <c r="AP12" s="2089" t="s">
        <v>539</v>
      </c>
      <c r="AQ12" s="2004">
        <f>F89</f>
        <v>0</v>
      </c>
      <c r="AR12" s="2004">
        <f>I89</f>
        <v>0</v>
      </c>
      <c r="AS12" s="2004">
        <f>L89</f>
        <v>0</v>
      </c>
      <c r="AT12" s="1975"/>
      <c r="AU12" s="2024" t="str">
        <f t="shared" si="0"/>
        <v xml:space="preserve"> </v>
      </c>
      <c r="AV12" s="2024" t="str">
        <f t="shared" si="1"/>
        <v xml:space="preserve"> </v>
      </c>
      <c r="AW12" s="2025">
        <f>I89</f>
        <v>0</v>
      </c>
      <c r="AX12" s="2025">
        <f>L89</f>
        <v>0</v>
      </c>
      <c r="AY12" s="2025">
        <f t="shared" si="2"/>
        <v>0</v>
      </c>
      <c r="AZ12" s="2026">
        <f t="shared" si="3"/>
        <v>0</v>
      </c>
      <c r="BB12" s="2053" t="s">
        <v>430</v>
      </c>
      <c r="BC12" s="2028">
        <f>F23</f>
        <v>18905646713</v>
      </c>
      <c r="BD12" s="2029">
        <f>I23</f>
        <v>13459284090</v>
      </c>
      <c r="BE12" s="2030">
        <f>K23</f>
        <v>1037045750</v>
      </c>
      <c r="BF12" s="2031"/>
      <c r="BG12" s="2090" t="s">
        <v>391</v>
      </c>
      <c r="BH12" s="2067">
        <f>BN25</f>
        <v>13405609615</v>
      </c>
      <c r="BI12" s="2091">
        <f>BO25</f>
        <v>11566827130</v>
      </c>
      <c r="BJ12" s="2067">
        <f>BP25</f>
        <v>9919872651</v>
      </c>
      <c r="BK12" s="2067">
        <f>BQ25</f>
        <v>716829340</v>
      </c>
      <c r="BM12" s="2092" t="s">
        <v>442</v>
      </c>
      <c r="BN12" s="2069">
        <f>X16+X65-X81-X33-BN10-BN11</f>
        <v>594637394</v>
      </c>
      <c r="BO12" s="2067">
        <f>AA16+AA65-AA81-AA33-BO10-BO11</f>
        <v>312772103</v>
      </c>
      <c r="BP12" s="2067">
        <f>AD16+AD65-AD81-AD33-BP10-BP11</f>
        <v>312772103</v>
      </c>
      <c r="BQ12" s="2070">
        <f>AF16+AF65-AF81-AF33-BQ10-BQ11</f>
        <v>27815888</v>
      </c>
    </row>
    <row r="13" spans="1:69" s="1968" customFormat="1" ht="24.95" customHeight="1">
      <c r="A13" s="2071">
        <f>+IF(SEPTIEMBRE!A13=0,"",SEPTIEMBRE!A13)</f>
        <v>1002</v>
      </c>
      <c r="B13" s="2072" t="str">
        <f>+IF(SEPTIEMBRE!B13=0,"",SEPTIEMBRE!B13)</f>
        <v>Fondo Vivienda (Caja, Bancos, Inversiones Tempor.) a Dic-31-2016</v>
      </c>
      <c r="C13" s="2073">
        <f>+ENERO!C13</f>
        <v>0</v>
      </c>
      <c r="D13" s="2074">
        <f>SEPTIEMBRE!D13+OCTUBRE!P13</f>
        <v>0</v>
      </c>
      <c r="E13" s="2074">
        <f>SEPTIEMBRE!E13+OCTUBRE!Q13</f>
        <v>53878092</v>
      </c>
      <c r="F13" s="2075">
        <f>SUM(C13:E13)</f>
        <v>53878092</v>
      </c>
      <c r="G13" s="2076">
        <f>SEPTIEMBRE!I13</f>
        <v>53878092</v>
      </c>
      <c r="H13" s="2077">
        <v>0</v>
      </c>
      <c r="I13" s="2075">
        <f>SUM(G13:H13)</f>
        <v>53878092</v>
      </c>
      <c r="J13" s="2076">
        <f>SEPTIEMBRE!L13</f>
        <v>53878092</v>
      </c>
      <c r="K13" s="2078">
        <v>0</v>
      </c>
      <c r="L13" s="2075">
        <f>SUM(J13:K13)</f>
        <v>53878092</v>
      </c>
      <c r="M13" s="2076">
        <f>F13-I13</f>
        <v>0</v>
      </c>
      <c r="N13" s="2075">
        <f>F13-L13</f>
        <v>0</v>
      </c>
      <c r="O13" s="2093"/>
      <c r="P13" s="2079">
        <v>0</v>
      </c>
      <c r="Q13" s="2080">
        <v>0</v>
      </c>
      <c r="S13" s="2058"/>
      <c r="T13" s="2059"/>
      <c r="U13" s="2060"/>
      <c r="V13" s="2060"/>
      <c r="W13" s="2060"/>
      <c r="X13" s="2060"/>
      <c r="Y13" s="2060"/>
      <c r="Z13" s="2060"/>
      <c r="AA13" s="2060"/>
      <c r="AB13" s="2060"/>
      <c r="AC13" s="2060"/>
      <c r="AD13" s="2060"/>
      <c r="AE13" s="2060"/>
      <c r="AF13" s="2060"/>
      <c r="AG13" s="2060"/>
      <c r="AH13" s="2060"/>
      <c r="AI13" s="2060"/>
      <c r="AJ13" s="2061"/>
      <c r="AK13" s="2086"/>
      <c r="AL13" s="2062"/>
      <c r="AM13" s="2063"/>
      <c r="AO13" s="2094"/>
      <c r="AP13" s="2089" t="s">
        <v>540</v>
      </c>
      <c r="AQ13" s="2004">
        <f>F90</f>
        <v>0</v>
      </c>
      <c r="AR13" s="2004">
        <f>I90</f>
        <v>0</v>
      </c>
      <c r="AS13" s="2004">
        <f>L90</f>
        <v>0</v>
      </c>
      <c r="AT13" s="1975"/>
      <c r="AU13" s="2024" t="str">
        <f t="shared" si="0"/>
        <v xml:space="preserve"> </v>
      </c>
      <c r="AV13" s="2024" t="str">
        <f t="shared" si="1"/>
        <v xml:space="preserve"> </v>
      </c>
      <c r="AW13" s="2025">
        <f>I90</f>
        <v>0</v>
      </c>
      <c r="AX13" s="2025">
        <f>L90</f>
        <v>0</v>
      </c>
      <c r="AY13" s="2025">
        <f t="shared" si="2"/>
        <v>0</v>
      </c>
      <c r="AZ13" s="2026">
        <f t="shared" si="3"/>
        <v>0</v>
      </c>
      <c r="BA13" s="2093"/>
      <c r="BB13" s="2095" t="s">
        <v>431</v>
      </c>
      <c r="BC13" s="2096">
        <f>+F30+F33+F36+F38+F39+F40</f>
        <v>415598482</v>
      </c>
      <c r="BD13" s="2097">
        <f>+I30+I33+I36+I38+I39+I40</f>
        <v>1498762626</v>
      </c>
      <c r="BE13" s="2098">
        <f>+K30+K33+K36+K38+K39+K40</f>
        <v>43012832</v>
      </c>
      <c r="BF13" s="2099"/>
      <c r="BG13" s="1983" t="s">
        <v>70</v>
      </c>
      <c r="BH13" s="2067">
        <f t="shared" ref="BH13:BK15" si="12">BN29</f>
        <v>433878092</v>
      </c>
      <c r="BI13" s="2067">
        <f t="shared" si="12"/>
        <v>352813794</v>
      </c>
      <c r="BJ13" s="2067">
        <f t="shared" si="12"/>
        <v>336273002</v>
      </c>
      <c r="BK13" s="2067">
        <f t="shared" si="12"/>
        <v>0</v>
      </c>
      <c r="BM13" s="2100" t="s">
        <v>443</v>
      </c>
      <c r="BN13" s="2056">
        <f>X43-X55+X57-X61+X90-X102+X104-X108</f>
        <v>802834377</v>
      </c>
      <c r="BO13" s="2054">
        <f>AA43-AA55+AA57-AA61+AA90-AA102+AA104-AA108</f>
        <v>364081665</v>
      </c>
      <c r="BP13" s="2054">
        <f>AD43-AD55+AD57-AD61+AD90-AD102+AD104-AD108</f>
        <v>364081665</v>
      </c>
      <c r="BQ13" s="2057">
        <f>AF43-AF55+AF57-AF61+AF90-AF102+AF104-AF108</f>
        <v>53249389</v>
      </c>
    </row>
    <row r="14" spans="1:69" s="1968" customFormat="1" ht="24.95" customHeight="1">
      <c r="A14" s="2071">
        <f>+IF(SEPTIEMBRE!A14=0,"",SEPTIEMBRE!A14)</f>
        <v>1003</v>
      </c>
      <c r="B14" s="2072" t="str">
        <f>+IF(SEPTIEMBRE!B14=0,"",SEPTIEMBRE!B14)</f>
        <v>Fondos Comunes y Especiales (Caja, Bancos, Invers. Tempor.) a Dic-31-2016</v>
      </c>
      <c r="C14" s="2073">
        <f>+ENERO!C14</f>
        <v>0</v>
      </c>
      <c r="D14" s="2074">
        <f>SEPTIEMBRE!D14+OCTUBRE!P14</f>
        <v>0</v>
      </c>
      <c r="E14" s="2074">
        <f>SEPTIEMBRE!E14+OCTUBRE!Q14</f>
        <v>433953123</v>
      </c>
      <c r="F14" s="2075">
        <f>SUM(C14:E14)</f>
        <v>433953123</v>
      </c>
      <c r="G14" s="2076">
        <f>SEPTIEMBRE!I14</f>
        <v>433953123</v>
      </c>
      <c r="H14" s="2077">
        <v>0</v>
      </c>
      <c r="I14" s="2075">
        <f>SUM(G14:H14)</f>
        <v>433953123</v>
      </c>
      <c r="J14" s="2076">
        <f>SEPTIEMBRE!L14</f>
        <v>433953123</v>
      </c>
      <c r="K14" s="2078">
        <v>0</v>
      </c>
      <c r="L14" s="2075">
        <f>SUM(J14:K14)</f>
        <v>433953123</v>
      </c>
      <c r="M14" s="2076">
        <f>F14-I14</f>
        <v>0</v>
      </c>
      <c r="N14" s="2075">
        <f>F14-L14</f>
        <v>0</v>
      </c>
      <c r="O14" s="2093"/>
      <c r="P14" s="2079">
        <v>0</v>
      </c>
      <c r="Q14" s="2080">
        <v>0</v>
      </c>
      <c r="S14" s="2101">
        <f>+IF(SEPTIEMBRE!S14=0,"",SEPTIEMBRE!S14)</f>
        <v>1010000</v>
      </c>
      <c r="T14" s="2102" t="str">
        <f>+IF(SEPTIEMBRE!T14=0,"",SEPTIEMBRE!T14)</f>
        <v>Gastos de Administración</v>
      </c>
      <c r="U14" s="2103">
        <f t="shared" ref="U14:AJ14" si="13">U16+U35+U43+U57</f>
        <v>4011945263</v>
      </c>
      <c r="V14" s="2104">
        <f t="shared" si="13"/>
        <v>602436288</v>
      </c>
      <c r="W14" s="2104">
        <f t="shared" si="13"/>
        <v>2733978215</v>
      </c>
      <c r="X14" s="2105">
        <f t="shared" si="13"/>
        <v>7348359766</v>
      </c>
      <c r="Y14" s="2106">
        <f t="shared" si="13"/>
        <v>5957689945</v>
      </c>
      <c r="Z14" s="2104">
        <f t="shared" si="13"/>
        <v>877573781</v>
      </c>
      <c r="AA14" s="2105">
        <f t="shared" si="13"/>
        <v>6835263726</v>
      </c>
      <c r="AB14" s="2106">
        <f t="shared" si="13"/>
        <v>5288171101</v>
      </c>
      <c r="AC14" s="2104">
        <f t="shared" si="13"/>
        <v>200097921</v>
      </c>
      <c r="AD14" s="2105">
        <f t="shared" si="13"/>
        <v>5488269022</v>
      </c>
      <c r="AE14" s="2106">
        <f t="shared" si="13"/>
        <v>3538862482</v>
      </c>
      <c r="AF14" s="2104">
        <f t="shared" si="13"/>
        <v>769584683</v>
      </c>
      <c r="AG14" s="2105">
        <f t="shared" si="13"/>
        <v>4308447165</v>
      </c>
      <c r="AH14" s="2106">
        <f t="shared" si="13"/>
        <v>513096040</v>
      </c>
      <c r="AI14" s="2104">
        <f t="shared" si="13"/>
        <v>1860090744</v>
      </c>
      <c r="AJ14" s="2107">
        <f t="shared" si="13"/>
        <v>3039912601</v>
      </c>
      <c r="AK14" s="2086"/>
      <c r="AL14" s="2106">
        <f>AL16+AL35+AL43+AL57</f>
        <v>-11211812</v>
      </c>
      <c r="AM14" s="2107">
        <f>AM16+AM35+AM43+AM57</f>
        <v>42446532</v>
      </c>
      <c r="AO14" s="1972"/>
      <c r="AP14" s="1973" t="s">
        <v>73</v>
      </c>
      <c r="AQ14" s="2004">
        <f>F19-AQ7-AQ8-AQ9-AQ10-AQ11-AQ12-AQ13</f>
        <v>11089111654</v>
      </c>
      <c r="AR14" s="2004">
        <f>I19-AR7-AR8-AR9-AR10-AR11-AR12-AR13</f>
        <v>9888386388</v>
      </c>
      <c r="AS14" s="2004">
        <f>L19-AS7-AS8-AS9-AS10-AS11-AS12-AS13</f>
        <v>5320411139</v>
      </c>
      <c r="AT14" s="2093"/>
      <c r="AU14" s="2024">
        <f t="shared" si="0"/>
        <v>0.89172033761903002</v>
      </c>
      <c r="AV14" s="2024">
        <f t="shared" si="1"/>
        <v>0.47978695724295028</v>
      </c>
      <c r="AW14" s="2025">
        <f>(I41+I46+I49+I52+I55+I58+I61+I64+I67+I70+I73+I78+I81+I82+I83+I85+I94+I104)/AO$2*12+I47+I50+I53+I56+I59+I62+I65+I68+I71+I74</f>
        <v>12677492683.799999</v>
      </c>
      <c r="AX14" s="2025">
        <f>(L41+L46+L49+L52+L55+L58+L61+L64+L67+L70+L73+L78+L81+L82+L83+L85+L94+L104)/AO$2*12+L47+L50+L53+L56+L59+L62+L65+L68+L71+L74</f>
        <v>6833300553</v>
      </c>
      <c r="AY14" s="2025">
        <f t="shared" si="2"/>
        <v>1588381029.7999992</v>
      </c>
      <c r="AZ14" s="2026">
        <f t="shared" si="3"/>
        <v>-4255811101</v>
      </c>
      <c r="BB14" s="2095" t="s">
        <v>432</v>
      </c>
      <c r="BC14" s="2108">
        <f>+F64</f>
        <v>5110724757</v>
      </c>
      <c r="BD14" s="2109">
        <f>+I64</f>
        <v>1936628073</v>
      </c>
      <c r="BE14" s="2110">
        <f>K64</f>
        <v>138456137</v>
      </c>
      <c r="BF14" s="2111"/>
      <c r="BG14" s="1983" t="s">
        <v>74</v>
      </c>
      <c r="BH14" s="2054">
        <f t="shared" si="12"/>
        <v>0</v>
      </c>
      <c r="BI14" s="2054">
        <f t="shared" si="12"/>
        <v>0</v>
      </c>
      <c r="BJ14" s="2054">
        <f t="shared" si="12"/>
        <v>0</v>
      </c>
      <c r="BK14" s="2054">
        <f t="shared" si="12"/>
        <v>0</v>
      </c>
      <c r="BM14" s="2112" t="s">
        <v>439</v>
      </c>
      <c r="BN14" s="2069">
        <f>X35-X41+X83-X88</f>
        <v>29110311505</v>
      </c>
      <c r="BO14" s="2067">
        <f>AA35-AA41+AA83-AA88</f>
        <v>28945853461</v>
      </c>
      <c r="BP14" s="2067">
        <f>AD35-AD41+AD83-AD88</f>
        <v>21034245035</v>
      </c>
      <c r="BQ14" s="2070">
        <f>AF35-AF41+AF83-AF88</f>
        <v>1896017081</v>
      </c>
    </row>
    <row r="15" spans="1:69" s="1968" customFormat="1" ht="24.95" customHeight="1" thickBot="1">
      <c r="A15" s="2113">
        <f>+IF(SEPTIEMBRE!A15=0,"",SEPTIEMBRE!A15)</f>
        <v>1004</v>
      </c>
      <c r="B15" s="2072" t="str">
        <f>+IF(SEPTIEMBRE!B15=0,"",SEPTIEMBRE!B15)</f>
        <v>Cesantias Ley 50/1990 a Dic-31-2016</v>
      </c>
      <c r="C15" s="2114">
        <f>+ENERO!C15</f>
        <v>0</v>
      </c>
      <c r="D15" s="2115">
        <f>SEPTIEMBRE!D15+OCTUBRE!P15</f>
        <v>0</v>
      </c>
      <c r="E15" s="2115">
        <f>SEPTIEMBRE!E15+OCTUBRE!Q15</f>
        <v>103342000</v>
      </c>
      <c r="F15" s="2116">
        <f>SUM(C15:E15)</f>
        <v>103342000</v>
      </c>
      <c r="G15" s="2117">
        <f>SEPTIEMBRE!I15</f>
        <v>103342000</v>
      </c>
      <c r="H15" s="2118">
        <v>0</v>
      </c>
      <c r="I15" s="2116">
        <f>SUM(G15:H15)</f>
        <v>103342000</v>
      </c>
      <c r="J15" s="2117">
        <f>SEPTIEMBRE!L15</f>
        <v>103342000</v>
      </c>
      <c r="K15" s="2119">
        <v>0</v>
      </c>
      <c r="L15" s="2116">
        <f>SUM(J15:K15)</f>
        <v>103342000</v>
      </c>
      <c r="M15" s="2117">
        <f>F15-I15</f>
        <v>0</v>
      </c>
      <c r="N15" s="2116">
        <f>F15-L15</f>
        <v>0</v>
      </c>
      <c r="O15" s="2093"/>
      <c r="P15" s="2120">
        <v>0</v>
      </c>
      <c r="Q15" s="2121">
        <v>0</v>
      </c>
      <c r="S15" s="2058" t="str">
        <f>+IF(SEPTIEMBRE!S15=0,"",SEPTIEMBRE!S15)</f>
        <v/>
      </c>
      <c r="T15" s="2059" t="str">
        <f>+IF(SEPTIEMBRE!T15=0,"",SEPTIEMBRE!T15)</f>
        <v xml:space="preserve"> </v>
      </c>
      <c r="U15" s="2060"/>
      <c r="V15" s="2060"/>
      <c r="W15" s="2060"/>
      <c r="X15" s="2060"/>
      <c r="Y15" s="2060"/>
      <c r="Z15" s="2060"/>
      <c r="AA15" s="2060"/>
      <c r="AB15" s="2060"/>
      <c r="AC15" s="2060"/>
      <c r="AD15" s="2060"/>
      <c r="AE15" s="2060"/>
      <c r="AF15" s="2060"/>
      <c r="AG15" s="2060"/>
      <c r="AH15" s="2060"/>
      <c r="AI15" s="2060"/>
      <c r="AJ15" s="2061"/>
      <c r="AK15" s="2086"/>
      <c r="AL15" s="2122"/>
      <c r="AM15" s="2123"/>
      <c r="AO15" s="2094"/>
      <c r="AP15" s="1973" t="s">
        <v>76</v>
      </c>
      <c r="AQ15" s="2004">
        <f>F113</f>
        <v>9056443575</v>
      </c>
      <c r="AR15" s="2004">
        <f>I113</f>
        <v>186609885</v>
      </c>
      <c r="AS15" s="2004">
        <f>L113</f>
        <v>186609885</v>
      </c>
      <c r="AT15" s="1975"/>
      <c r="AU15" s="2024">
        <f t="shared" si="0"/>
        <v>2.0605205945867112E-2</v>
      </c>
      <c r="AV15" s="2024">
        <f t="shared" si="1"/>
        <v>2.0605205945867112E-2</v>
      </c>
      <c r="AW15" s="2004">
        <f>+AR15</f>
        <v>186609885</v>
      </c>
      <c r="AX15" s="2004">
        <f>+AS15</f>
        <v>186609885</v>
      </c>
      <c r="AY15" s="2004">
        <f t="shared" si="2"/>
        <v>-8869833690</v>
      </c>
      <c r="AZ15" s="2006">
        <f t="shared" si="3"/>
        <v>-8869833690</v>
      </c>
      <c r="BA15" s="2093"/>
      <c r="BB15" s="2095" t="s">
        <v>77</v>
      </c>
      <c r="BC15" s="2108">
        <f>F46+F49</f>
        <v>375197511</v>
      </c>
      <c r="BD15" s="2109">
        <f>I46+I49</f>
        <v>321392572</v>
      </c>
      <c r="BE15" s="2110">
        <f>K46+K49</f>
        <v>0</v>
      </c>
      <c r="BF15" s="2111"/>
      <c r="BG15" s="1983" t="s">
        <v>78</v>
      </c>
      <c r="BH15" s="2054">
        <f t="shared" si="12"/>
        <v>11164400104</v>
      </c>
      <c r="BI15" s="2054">
        <f t="shared" si="12"/>
        <v>11106246080</v>
      </c>
      <c r="BJ15" s="2054">
        <f t="shared" si="12"/>
        <v>11106246080</v>
      </c>
      <c r="BK15" s="2054">
        <f t="shared" si="12"/>
        <v>151787709</v>
      </c>
      <c r="BM15" s="2013" t="s">
        <v>66</v>
      </c>
      <c r="BN15" s="2056">
        <f>SUM(BN16:BN21)</f>
        <v>9736359656</v>
      </c>
      <c r="BO15" s="2054">
        <f>SUM(BO16:BO21)</f>
        <v>7717277958</v>
      </c>
      <c r="BP15" s="2054">
        <f>SUM(BP16:BP21)</f>
        <v>6556221387</v>
      </c>
      <c r="BQ15" s="2057">
        <f>SUM(BQ16:BQ21)</f>
        <v>336701251</v>
      </c>
    </row>
    <row r="16" spans="1:69" s="1968" customFormat="1" ht="24.95" customHeight="1" thickBot="1">
      <c r="A16" s="2124" t="str">
        <f>+IF(SEPTIEMBRE!A16=0,"",SEPTIEMBRE!A16)</f>
        <v/>
      </c>
      <c r="B16" s="2125" t="str">
        <f>+IF(SEPTIEMBRE!B16=0,"",SEPTIEMBRE!B16)</f>
        <v/>
      </c>
      <c r="C16" s="2126"/>
      <c r="D16" s="2126"/>
      <c r="E16" s="2126"/>
      <c r="F16" s="2126"/>
      <c r="G16" s="2126"/>
      <c r="H16" s="2126"/>
      <c r="I16" s="2126"/>
      <c r="J16" s="2126"/>
      <c r="K16" s="2126"/>
      <c r="L16" s="2126"/>
      <c r="M16" s="2126"/>
      <c r="N16" s="2127"/>
      <c r="O16" s="2093"/>
      <c r="P16" s="2128"/>
      <c r="Q16" s="2129"/>
      <c r="S16" s="2130">
        <f>+IF(SEPTIEMBRE!S16=0,"",SEPTIEMBRE!S16)</f>
        <v>1010100</v>
      </c>
      <c r="T16" s="2131" t="str">
        <f>+IF(SEPTIEMBRE!T16=0,"",SEPTIEMBRE!T16)</f>
        <v>Servicios Personales Asociados a Nómina</v>
      </c>
      <c r="U16" s="2103">
        <f t="shared" ref="U16:AJ16" si="14">SUM(U17:U20)+U33</f>
        <v>762990941</v>
      </c>
      <c r="V16" s="2104">
        <f t="shared" si="14"/>
        <v>-75342000</v>
      </c>
      <c r="W16" s="2104">
        <f t="shared" si="14"/>
        <v>61656885</v>
      </c>
      <c r="X16" s="2105">
        <f t="shared" si="14"/>
        <v>749305826</v>
      </c>
      <c r="Y16" s="2106">
        <f t="shared" si="14"/>
        <v>448208191</v>
      </c>
      <c r="Z16" s="2104">
        <f t="shared" si="14"/>
        <v>42191590</v>
      </c>
      <c r="AA16" s="2105">
        <f t="shared" si="14"/>
        <v>490399781</v>
      </c>
      <c r="AB16" s="2106">
        <f t="shared" si="14"/>
        <v>448208191</v>
      </c>
      <c r="AC16" s="2104">
        <f t="shared" si="14"/>
        <v>42191590</v>
      </c>
      <c r="AD16" s="2105">
        <f t="shared" si="14"/>
        <v>490399781</v>
      </c>
      <c r="AE16" s="2106">
        <f t="shared" si="14"/>
        <v>448208191</v>
      </c>
      <c r="AF16" s="2104">
        <f t="shared" si="14"/>
        <v>42191590</v>
      </c>
      <c r="AG16" s="2105">
        <f t="shared" si="14"/>
        <v>490399781</v>
      </c>
      <c r="AH16" s="2106">
        <f t="shared" si="14"/>
        <v>258906045</v>
      </c>
      <c r="AI16" s="2104">
        <f t="shared" si="14"/>
        <v>258906045</v>
      </c>
      <c r="AJ16" s="2107">
        <f t="shared" si="14"/>
        <v>258906045</v>
      </c>
      <c r="AK16" s="2086"/>
      <c r="AL16" s="2106">
        <f>SUM(AL17:AL20)+AL33</f>
        <v>-41596000</v>
      </c>
      <c r="AM16" s="2107">
        <f>SUM(AM17:AM20)+AM33</f>
        <v>42446532</v>
      </c>
      <c r="AO16" s="1972"/>
      <c r="AP16" s="2132" t="s">
        <v>81</v>
      </c>
      <c r="AQ16" s="2133">
        <f>F10</f>
        <v>617329922</v>
      </c>
      <c r="AR16" s="2133">
        <f>I10</f>
        <v>617329922</v>
      </c>
      <c r="AS16" s="2133">
        <f>L10</f>
        <v>617329922</v>
      </c>
      <c r="AT16" s="2093"/>
      <c r="AU16" s="2134">
        <f t="shared" si="0"/>
        <v>1</v>
      </c>
      <c r="AV16" s="2134">
        <f t="shared" si="1"/>
        <v>1</v>
      </c>
      <c r="AW16" s="2133">
        <f t="shared" ref="AW16:AX16" si="15">+AR16</f>
        <v>617329922</v>
      </c>
      <c r="AX16" s="2133">
        <f t="shared" si="15"/>
        <v>617329922</v>
      </c>
      <c r="AY16" s="2004">
        <f t="shared" si="2"/>
        <v>0</v>
      </c>
      <c r="AZ16" s="2135">
        <f t="shared" si="3"/>
        <v>0</v>
      </c>
      <c r="BA16" s="2093"/>
      <c r="BB16" s="2053" t="s">
        <v>433</v>
      </c>
      <c r="BC16" s="2028">
        <f>F43</f>
        <v>0</v>
      </c>
      <c r="BD16" s="2029">
        <f>I43</f>
        <v>0</v>
      </c>
      <c r="BE16" s="2030">
        <f>K43</f>
        <v>0</v>
      </c>
      <c r="BF16" s="2031"/>
      <c r="BG16" s="1983" t="s">
        <v>82</v>
      </c>
      <c r="BH16" s="2136">
        <f>BH7+BH12+BH13+BH14+BH15</f>
        <v>66999687890</v>
      </c>
      <c r="BI16" s="2136">
        <f>BI7+BI12+BI13+BI14+BI15</f>
        <v>61647334143</v>
      </c>
      <c r="BJ16" s="2136">
        <f>BJ7+BJ12+BJ13+BJ14+BJ15</f>
        <v>50900298746</v>
      </c>
      <c r="BK16" s="2136">
        <f>BK7+BK12+BK13+BK14+BK15</f>
        <v>3303635239</v>
      </c>
      <c r="BM16" s="2034" t="s">
        <v>83</v>
      </c>
      <c r="BN16" s="2056">
        <f>X114-X121+X147-X148-X153</f>
        <v>1841358788</v>
      </c>
      <c r="BO16" s="2054">
        <f>AA114-AA121+AA147-AA148-AA153</f>
        <v>832663126</v>
      </c>
      <c r="BP16" s="2054">
        <f>AD114-AD121+AD147-AD148-AD153</f>
        <v>776572481</v>
      </c>
      <c r="BQ16" s="2057">
        <f>AF114-AF121+AF147-AF148-AF153</f>
        <v>43037349</v>
      </c>
    </row>
    <row r="17" spans="1:70" s="2093" customFormat="1" ht="24.95" customHeight="1" thickBot="1">
      <c r="A17" s="2037">
        <f>+IF(SEPTIEMBRE!A17=0,"",SEPTIEMBRE!A17)</f>
        <v>11</v>
      </c>
      <c r="B17" s="2137" t="str">
        <f>+IF(SEPTIEMBRE!B17=0,"",SEPTIEMBRE!B17)</f>
        <v>INGRESOS  CORRIENTES</v>
      </c>
      <c r="C17" s="1993">
        <f>C19+C94+C104</f>
        <v>41169250887</v>
      </c>
      <c r="D17" s="1991">
        <f t="shared" ref="D17:Q17" si="16">D19+D94+D104</f>
        <v>0</v>
      </c>
      <c r="E17" s="1991">
        <f t="shared" si="16"/>
        <v>16156663506</v>
      </c>
      <c r="F17" s="1991">
        <f t="shared" si="16"/>
        <v>57325914393</v>
      </c>
      <c r="G17" s="1991">
        <f t="shared" si="16"/>
        <v>52444798866</v>
      </c>
      <c r="H17" s="1991">
        <f t="shared" si="16"/>
        <v>5353767973</v>
      </c>
      <c r="I17" s="1991">
        <f t="shared" si="16"/>
        <v>57798566839</v>
      </c>
      <c r="J17" s="1991">
        <f t="shared" si="16"/>
        <v>29560121753</v>
      </c>
      <c r="K17" s="1991">
        <f t="shared" si="16"/>
        <v>3313096937</v>
      </c>
      <c r="L17" s="1991">
        <f t="shared" si="16"/>
        <v>32873218690</v>
      </c>
      <c r="M17" s="1991">
        <f t="shared" si="16"/>
        <v>-472652446</v>
      </c>
      <c r="N17" s="1994">
        <f t="shared" si="16"/>
        <v>24452695703</v>
      </c>
      <c r="P17" s="2039">
        <f t="shared" si="16"/>
        <v>0</v>
      </c>
      <c r="Q17" s="2041">
        <f t="shared" si="16"/>
        <v>121353776</v>
      </c>
      <c r="R17" s="1968"/>
      <c r="S17" s="2138">
        <f>+IF(SEPTIEMBRE!S17=0,"",SEPTIEMBRE!S17)</f>
        <v>1010101</v>
      </c>
      <c r="T17" s="2139" t="str">
        <f>+IF(SEPTIEMBRE!T17=0,"",SEPTIEMBRE!T17)</f>
        <v>Sueldos del Personal de nómina</v>
      </c>
      <c r="U17" s="2140">
        <f>+ENERO!U17</f>
        <v>619731764</v>
      </c>
      <c r="V17" s="2091">
        <f>SEPTIEMBRE!V17+OCTUBRE!AL17</f>
        <v>-77695000</v>
      </c>
      <c r="W17" s="2091">
        <f>SEPTIEMBRE!W17+OCTUBRE!AM17</f>
        <v>18207786</v>
      </c>
      <c r="X17" s="2141">
        <f>SUM(U17:W17)</f>
        <v>560244550</v>
      </c>
      <c r="Y17" s="2142">
        <f>SEPTIEMBRE!AA17</f>
        <v>365373244</v>
      </c>
      <c r="Z17" s="2077">
        <v>34180200</v>
      </c>
      <c r="AA17" s="2141">
        <f>SUM(Y17:Z17)</f>
        <v>399553444</v>
      </c>
      <c r="AB17" s="2142">
        <f>SEPTIEMBRE!AD17</f>
        <v>365373244</v>
      </c>
      <c r="AC17" s="2077">
        <v>34180200</v>
      </c>
      <c r="AD17" s="2141">
        <f>SUM(AB17:AC17)</f>
        <v>399553444</v>
      </c>
      <c r="AE17" s="2142">
        <f>SEPTIEMBRE!AG17</f>
        <v>365373244</v>
      </c>
      <c r="AF17" s="2077">
        <v>34180200</v>
      </c>
      <c r="AG17" s="2141">
        <f>SUM(AE17:AF17)</f>
        <v>399553444</v>
      </c>
      <c r="AH17" s="2142">
        <f>X17-AA17</f>
        <v>160691106</v>
      </c>
      <c r="AI17" s="2091">
        <f>X17-AD17</f>
        <v>160691106</v>
      </c>
      <c r="AJ17" s="2143">
        <f>X17-AG17</f>
        <v>160691106</v>
      </c>
      <c r="AK17" s="1968"/>
      <c r="AL17" s="2079">
        <v>-43854000</v>
      </c>
      <c r="AM17" s="2080">
        <v>18207786</v>
      </c>
      <c r="AN17" s="1968"/>
      <c r="AO17" s="2023"/>
      <c r="AP17" s="2144" t="s">
        <v>85</v>
      </c>
      <c r="AQ17" s="2145">
        <f>SUM(AQ7:AQ16)</f>
        <v>65953226618</v>
      </c>
      <c r="AR17" s="2146">
        <f>SUM(AR7:AR16)</f>
        <v>57369361460</v>
      </c>
      <c r="AS17" s="2147">
        <f>SUM(AS7:AS16)</f>
        <v>32746198171</v>
      </c>
      <c r="AT17" s="2148"/>
      <c r="AU17" s="2146">
        <f t="shared" si="0"/>
        <v>0.86984920074164673</v>
      </c>
      <c r="AV17" s="2146">
        <f t="shared" si="1"/>
        <v>0.49650638566427446</v>
      </c>
      <c r="AW17" s="2149">
        <f>SUM(AX7:AX16)</f>
        <v>36682650376.199997</v>
      </c>
      <c r="AX17" s="2149">
        <f>SUM(AX7:AX16)</f>
        <v>36682650376.199997</v>
      </c>
      <c r="AY17" s="2149">
        <f>SUM(AY7:AY16)</f>
        <v>639841537</v>
      </c>
      <c r="AZ17" s="2150">
        <f>SUM(AZ7:AZ16)</f>
        <v>-29270576241.799999</v>
      </c>
      <c r="BA17" s="1968"/>
      <c r="BB17" s="2053" t="s">
        <v>434</v>
      </c>
      <c r="BC17" s="2028">
        <f>F41+F52+F55+F58+F61+F67+F70+F73+F76+F79+F82+F86+F87+F88+F89+F90+F91</f>
        <v>2515454979</v>
      </c>
      <c r="BD17" s="2029">
        <f>I41+I52+I55+I58+I61+I67+I70+I73+I76+I79+I82+I86+I87+I88+I89+I90+I91</f>
        <v>4313018915</v>
      </c>
      <c r="BE17" s="2030">
        <f>K41+K52+K55+K58+K61+K67+K70+K73+K76+K79+K82+K86+K87+K88+K89+K90+K91</f>
        <v>419223340</v>
      </c>
      <c r="BF17" s="2031"/>
      <c r="BG17" s="2151" t="s">
        <v>86</v>
      </c>
      <c r="BH17" s="2152">
        <f>BC23-BH16</f>
        <v>-66999687890</v>
      </c>
      <c r="BI17" s="2152"/>
      <c r="BJ17" s="2152"/>
      <c r="BK17" s="2152"/>
      <c r="BM17" s="2034" t="s">
        <v>449</v>
      </c>
      <c r="BN17" s="2056">
        <f>X123-X126-X139+X155-X156-X167-X168</f>
        <v>4929146146</v>
      </c>
      <c r="BO17" s="2054">
        <f>AA123-AA126-AA139+AA155-AA156-AA167-AA168</f>
        <v>4743883384</v>
      </c>
      <c r="BP17" s="2054">
        <f>AD123-AD126-AD139+AD155-AD156-AD167-AD168</f>
        <v>4024530864</v>
      </c>
      <c r="BQ17" s="2057">
        <f>AF123-AF126-AF139+AF155-AF156-AF167-AF168</f>
        <v>157413670</v>
      </c>
      <c r="BR17" s="1968"/>
    </row>
    <row r="18" spans="1:70" s="1968" customFormat="1" ht="24.95" customHeight="1" thickBot="1">
      <c r="A18" s="2071" t="str">
        <f>+IF(SEPTIEMBRE!A18=0,"",SEPTIEMBRE!A18)</f>
        <v/>
      </c>
      <c r="B18" s="2153" t="str">
        <f>+IF(SEPTIEMBRE!B18=0,"",SEPTIEMBRE!B18)</f>
        <v/>
      </c>
      <c r="C18" s="1919"/>
      <c r="D18" s="1919"/>
      <c r="E18" s="1919"/>
      <c r="F18" s="1919"/>
      <c r="G18" s="1919"/>
      <c r="H18" s="1919"/>
      <c r="I18" s="1919"/>
      <c r="J18" s="1919"/>
      <c r="K18" s="1919"/>
      <c r="L18" s="1919"/>
      <c r="M18" s="1919"/>
      <c r="N18" s="2154"/>
      <c r="P18" s="2155"/>
      <c r="Q18" s="2156"/>
      <c r="S18" s="2138">
        <f>+IF(SEPTIEMBRE!S18=0,"",SEPTIEMBRE!S18)</f>
        <v>1010102</v>
      </c>
      <c r="T18" s="2139" t="str">
        <f>+IF(SEPTIEMBRE!T18=0,"",SEPTIEMBRE!T18)</f>
        <v>Horas Extras,Dominic.,Festivos y Rec. Nocturnos</v>
      </c>
      <c r="U18" s="2140">
        <f>+ENERO!U18</f>
        <v>0</v>
      </c>
      <c r="V18" s="2091">
        <f>SEPTIEMBRE!V18+OCTUBRE!AL18</f>
        <v>0</v>
      </c>
      <c r="W18" s="2091">
        <f>SEPTIEMBRE!W18+OCTUBRE!AM18</f>
        <v>0</v>
      </c>
      <c r="X18" s="2141">
        <f>SUM(U18:W18)</f>
        <v>0</v>
      </c>
      <c r="Y18" s="2142">
        <f>SEPTIEMBRE!AA18</f>
        <v>0</v>
      </c>
      <c r="Z18" s="2077">
        <v>0</v>
      </c>
      <c r="AA18" s="2141">
        <f>SUM(Y18:Z18)</f>
        <v>0</v>
      </c>
      <c r="AB18" s="2142">
        <f>SEPTIEMBRE!AD18</f>
        <v>0</v>
      </c>
      <c r="AC18" s="2077">
        <v>0</v>
      </c>
      <c r="AD18" s="2141">
        <f>SUM(AB18:AC18)</f>
        <v>0</v>
      </c>
      <c r="AE18" s="2142">
        <f>SEPTIEMBRE!AG18</f>
        <v>0</v>
      </c>
      <c r="AF18" s="2077">
        <v>0</v>
      </c>
      <c r="AG18" s="2141">
        <f>SUM(AE18:AF18)</f>
        <v>0</v>
      </c>
      <c r="AH18" s="2142">
        <f>X18-AA18</f>
        <v>0</v>
      </c>
      <c r="AI18" s="2091">
        <f>X18-AD18</f>
        <v>0</v>
      </c>
      <c r="AJ18" s="2143">
        <f>X18-AG18</f>
        <v>0</v>
      </c>
      <c r="AL18" s="2079">
        <v>0</v>
      </c>
      <c r="AM18" s="2080">
        <v>0</v>
      </c>
      <c r="AO18" s="1972"/>
      <c r="AP18" s="1919" t="s">
        <v>51</v>
      </c>
      <c r="AQ18" s="1919"/>
      <c r="AR18" s="1919"/>
      <c r="AS18" s="1919"/>
      <c r="AT18" s="1919"/>
      <c r="AU18" s="1919"/>
      <c r="AV18" s="1919"/>
      <c r="AW18" s="1919"/>
      <c r="AX18" s="1919"/>
      <c r="AY18" s="1919"/>
      <c r="AZ18" s="1919"/>
      <c r="BA18" s="2093"/>
      <c r="BB18" s="2095" t="s">
        <v>435</v>
      </c>
      <c r="BC18" s="2028">
        <f>+F95+F96+F97+F99+F100+F101</f>
        <v>125236928</v>
      </c>
      <c r="BD18" s="2029">
        <f>+I95+I96+I97+I99+I100+I101</f>
        <v>125236928</v>
      </c>
      <c r="BE18" s="2030">
        <f>+K95+K96+K97+K99+K100+K101</f>
        <v>0</v>
      </c>
      <c r="BF18" s="2111"/>
      <c r="BM18" s="2034" t="s">
        <v>87</v>
      </c>
      <c r="BN18" s="2056">
        <f>X148+X156</f>
        <v>2058462544</v>
      </c>
      <c r="BO18" s="2054">
        <f>AA148+AA156</f>
        <v>1244428144</v>
      </c>
      <c r="BP18" s="2054">
        <f>AD148+AD156</f>
        <v>858883023</v>
      </c>
      <c r="BQ18" s="2057">
        <f>AF148+AF156</f>
        <v>19078356</v>
      </c>
      <c r="BR18" s="2093"/>
    </row>
    <row r="19" spans="1:70" s="1968" customFormat="1" ht="24.95" customHeight="1" thickBot="1">
      <c r="A19" s="2157">
        <f>+IF(SEPTIEMBRE!A19=0,"",SEPTIEMBRE!A19)</f>
        <v>113</v>
      </c>
      <c r="B19" s="2158" t="str">
        <f>+IF(SEPTIEMBRE!B19=0,"",SEPTIEMBRE!B19)</f>
        <v>VENTA DE SERVICIOS</v>
      </c>
      <c r="C19" s="1993">
        <f t="shared" ref="C19:N19" si="17">C21+C85</f>
        <v>40501810887</v>
      </c>
      <c r="D19" s="1991">
        <f t="shared" si="17"/>
        <v>0</v>
      </c>
      <c r="E19" s="1991">
        <f t="shared" si="17"/>
        <v>15777642234</v>
      </c>
      <c r="F19" s="1994">
        <f t="shared" si="17"/>
        <v>56279453121</v>
      </c>
      <c r="G19" s="1993">
        <f t="shared" si="17"/>
        <v>51320863403</v>
      </c>
      <c r="H19" s="1991">
        <f t="shared" si="17"/>
        <v>5244558250</v>
      </c>
      <c r="I19" s="1994">
        <f t="shared" si="17"/>
        <v>56565421653</v>
      </c>
      <c r="J19" s="1993">
        <f t="shared" si="17"/>
        <v>28688645428</v>
      </c>
      <c r="K19" s="1991">
        <f t="shared" si="17"/>
        <v>3253612936</v>
      </c>
      <c r="L19" s="1994">
        <f t="shared" si="17"/>
        <v>31942258364</v>
      </c>
      <c r="M19" s="1993">
        <f t="shared" si="17"/>
        <v>-285968532</v>
      </c>
      <c r="N19" s="1994">
        <f t="shared" si="17"/>
        <v>24337194757</v>
      </c>
      <c r="O19" s="2093"/>
      <c r="P19" s="2159">
        <f>P21+P85</f>
        <v>0</v>
      </c>
      <c r="Q19" s="2160">
        <f>Q21+Q85</f>
        <v>0</v>
      </c>
      <c r="S19" s="2138">
        <f>+IF(SEPTIEMBRE!S19=0,"",SEPTIEMBRE!S19)</f>
        <v>1010103</v>
      </c>
      <c r="T19" s="2139" t="str">
        <f>+IF(SEPTIEMBRE!T19=0,"",SEPTIEMBRE!T19)</f>
        <v>Prima Técnica</v>
      </c>
      <c r="U19" s="2140">
        <f>+ENERO!U19</f>
        <v>0</v>
      </c>
      <c r="V19" s="2091">
        <f>SEPTIEMBRE!V19+OCTUBRE!AL19</f>
        <v>0</v>
      </c>
      <c r="W19" s="2091">
        <f>SEPTIEMBRE!W19+OCTUBRE!AM19</f>
        <v>0</v>
      </c>
      <c r="X19" s="2141">
        <f>SUM(U19:W19)</f>
        <v>0</v>
      </c>
      <c r="Y19" s="2142">
        <f>SEPTIEMBRE!AA19</f>
        <v>0</v>
      </c>
      <c r="Z19" s="2077">
        <v>0</v>
      </c>
      <c r="AA19" s="2141">
        <f>SUM(Y19:Z19)</f>
        <v>0</v>
      </c>
      <c r="AB19" s="2142">
        <f>SEPTIEMBRE!AD19</f>
        <v>0</v>
      </c>
      <c r="AC19" s="2077">
        <v>0</v>
      </c>
      <c r="AD19" s="2141">
        <f>SUM(AB19:AC19)</f>
        <v>0</v>
      </c>
      <c r="AE19" s="2142">
        <f>SEPTIEMBRE!AG19</f>
        <v>0</v>
      </c>
      <c r="AF19" s="2077">
        <v>0</v>
      </c>
      <c r="AG19" s="2141">
        <f>SUM(AE19:AF19)</f>
        <v>0</v>
      </c>
      <c r="AH19" s="2142">
        <f>X19-AA19</f>
        <v>0</v>
      </c>
      <c r="AI19" s="2091">
        <f>X19-AD19</f>
        <v>0</v>
      </c>
      <c r="AJ19" s="2143">
        <f>X19-AG19</f>
        <v>0</v>
      </c>
      <c r="AL19" s="2079">
        <v>0</v>
      </c>
      <c r="AM19" s="2080">
        <v>0</v>
      </c>
      <c r="AO19" s="1972"/>
      <c r="AP19" s="2161"/>
      <c r="AQ19" s="2162" t="s">
        <v>13</v>
      </c>
      <c r="AR19" s="2163" t="s">
        <v>44</v>
      </c>
      <c r="AS19" s="2164" t="s">
        <v>92</v>
      </c>
      <c r="AT19" s="2163" t="s">
        <v>16</v>
      </c>
      <c r="AU19" s="2165" t="s">
        <v>16</v>
      </c>
      <c r="AV19" s="2166" t="s">
        <v>16</v>
      </c>
      <c r="AW19" s="3231" t="str">
        <f>+CONCATENATE("PROYECCION A DICIEMBRE 31 DEL ",N3)</f>
        <v>PROYECCION A DICIEMBRE 31 DEL 2017</v>
      </c>
      <c r="AX19" s="3232"/>
      <c r="AY19" s="3232"/>
      <c r="AZ19" s="3233"/>
      <c r="BA19" s="2093"/>
      <c r="BB19" s="2167" t="s">
        <v>93</v>
      </c>
      <c r="BC19" s="2168">
        <f>+F105+F106+F107+F108+F109+F110+F98</f>
        <v>748204441</v>
      </c>
      <c r="BD19" s="2109">
        <f>+I105+I106+I107+I108+I109+I110+I98</f>
        <v>934888355</v>
      </c>
      <c r="BE19" s="2110">
        <f>+K105+K106+K107+K108+K109+K110+K98</f>
        <v>59484001</v>
      </c>
      <c r="BF19" s="1982"/>
      <c r="BG19" s="2093"/>
      <c r="BH19" s="2093">
        <f>BN33</f>
        <v>0</v>
      </c>
      <c r="BI19" s="2093"/>
      <c r="BJ19" s="2093"/>
      <c r="BK19" s="2093"/>
      <c r="BM19" s="2034" t="s">
        <v>94</v>
      </c>
      <c r="BN19" s="2056">
        <f>X126+X167</f>
        <v>904500000</v>
      </c>
      <c r="BO19" s="2054">
        <f>AA126+AA167</f>
        <v>893411126</v>
      </c>
      <c r="BP19" s="2054">
        <f>AD126+AD167</f>
        <v>893342841</v>
      </c>
      <c r="BQ19" s="2057">
        <f>AF126+AF167</f>
        <v>117171876</v>
      </c>
    </row>
    <row r="20" spans="1:70" s="2181" customFormat="1" ht="24.95" customHeight="1" thickBot="1">
      <c r="A20" s="2071" t="str">
        <f>+IF(SEPTIEMBRE!A20=0,"",SEPTIEMBRE!A20)</f>
        <v/>
      </c>
      <c r="B20" s="2169" t="str">
        <f>+IF(SEPTIEMBRE!B20=0,"",SEPTIEMBRE!B20)</f>
        <v/>
      </c>
      <c r="C20" s="1919"/>
      <c r="D20" s="1919"/>
      <c r="E20" s="1919"/>
      <c r="F20" s="1919"/>
      <c r="G20" s="1919"/>
      <c r="H20" s="1919"/>
      <c r="I20" s="1919"/>
      <c r="J20" s="1919"/>
      <c r="K20" s="1919"/>
      <c r="L20" s="1919"/>
      <c r="M20" s="1919"/>
      <c r="N20" s="2154"/>
      <c r="O20" s="1968"/>
      <c r="P20" s="2155"/>
      <c r="Q20" s="2156"/>
      <c r="R20" s="1968"/>
      <c r="S20" s="2138">
        <f>+IF(SEPTIEMBRE!S20=0,"",SEPTIEMBRE!S20)</f>
        <v>1010104</v>
      </c>
      <c r="T20" s="2139" t="str">
        <f>+IF(SEPTIEMBRE!T20=0,"",SEPTIEMBRE!T20)</f>
        <v>Otros</v>
      </c>
      <c r="U20" s="2140">
        <f t="shared" ref="U20:AJ20" si="18">SUM(U21:U32)</f>
        <v>143259177</v>
      </c>
      <c r="V20" s="2091">
        <f t="shared" si="18"/>
        <v>2353000</v>
      </c>
      <c r="W20" s="2091">
        <f t="shared" si="18"/>
        <v>43449099</v>
      </c>
      <c r="X20" s="2141">
        <f t="shared" si="18"/>
        <v>189061276</v>
      </c>
      <c r="Y20" s="2142">
        <f t="shared" si="18"/>
        <v>82834947</v>
      </c>
      <c r="Z20" s="2170">
        <f t="shared" si="18"/>
        <v>8011390</v>
      </c>
      <c r="AA20" s="2141">
        <f t="shared" si="18"/>
        <v>90846337</v>
      </c>
      <c r="AB20" s="2142">
        <f t="shared" si="18"/>
        <v>82834947</v>
      </c>
      <c r="AC20" s="2170">
        <f t="shared" si="18"/>
        <v>8011390</v>
      </c>
      <c r="AD20" s="2141">
        <f t="shared" si="18"/>
        <v>90846337</v>
      </c>
      <c r="AE20" s="2142">
        <f t="shared" si="18"/>
        <v>82834947</v>
      </c>
      <c r="AF20" s="2170">
        <f t="shared" si="18"/>
        <v>8011390</v>
      </c>
      <c r="AG20" s="2141">
        <f t="shared" si="18"/>
        <v>90846337</v>
      </c>
      <c r="AH20" s="2142">
        <f t="shared" si="18"/>
        <v>98214939</v>
      </c>
      <c r="AI20" s="2091">
        <f t="shared" si="18"/>
        <v>98214939</v>
      </c>
      <c r="AJ20" s="2143">
        <f t="shared" si="18"/>
        <v>98214939</v>
      </c>
      <c r="AK20" s="1968"/>
      <c r="AL20" s="2171">
        <f>SUM(AL21:AL32)</f>
        <v>2258000</v>
      </c>
      <c r="AM20" s="2172">
        <f>SUM(AM21:AM32)</f>
        <v>24238746</v>
      </c>
      <c r="AN20" s="1968"/>
      <c r="AO20" s="2023"/>
      <c r="AP20" s="2173" t="s">
        <v>24</v>
      </c>
      <c r="AQ20" s="2174" t="s">
        <v>36</v>
      </c>
      <c r="AR20" s="2175" t="s">
        <v>25</v>
      </c>
      <c r="AS20" s="2176" t="s">
        <v>25</v>
      </c>
      <c r="AT20" s="2175" t="s">
        <v>26</v>
      </c>
      <c r="AU20" s="2177" t="s">
        <v>27</v>
      </c>
      <c r="AV20" s="2177" t="s">
        <v>27</v>
      </c>
      <c r="AW20" s="2178" t="s">
        <v>44</v>
      </c>
      <c r="AX20" s="2178" t="s">
        <v>22</v>
      </c>
      <c r="AY20" s="2177" t="s">
        <v>97</v>
      </c>
      <c r="AZ20" s="2179" t="s">
        <v>97</v>
      </c>
      <c r="BA20" s="2093"/>
      <c r="BB20" s="2180" t="s">
        <v>436</v>
      </c>
      <c r="BC20" s="2008">
        <f>+F115+F117+F119+F120+F121+F123+F124</f>
        <v>3516381</v>
      </c>
      <c r="BD20" s="2009">
        <f>+I115+I117+I119+I120+I121+I123+I124</f>
        <v>4865615</v>
      </c>
      <c r="BE20" s="2010">
        <f>+K115+K117+K119+K120+K121+K123+K124</f>
        <v>274181</v>
      </c>
      <c r="BF20" s="1982"/>
      <c r="BG20" s="2093"/>
      <c r="BH20" s="2093">
        <f>BH19-BH16</f>
        <v>-66999687890</v>
      </c>
      <c r="BI20" s="2093"/>
      <c r="BJ20" s="2093"/>
      <c r="BK20" s="2093"/>
      <c r="BL20" s="2093"/>
      <c r="BM20" s="2100" t="s">
        <v>444</v>
      </c>
      <c r="BN20" s="2056">
        <f>+X141-X143</f>
        <v>2892178</v>
      </c>
      <c r="BO20" s="2054">
        <f>+AA141-AA143</f>
        <v>2892178</v>
      </c>
      <c r="BP20" s="2054">
        <f>+AD141-AD143</f>
        <v>2892178</v>
      </c>
      <c r="BQ20" s="2057">
        <f>+AF141-AF143</f>
        <v>0</v>
      </c>
      <c r="BR20" s="1968"/>
    </row>
    <row r="21" spans="1:70" s="2181" customFormat="1" ht="24.95" customHeight="1" thickBot="1">
      <c r="A21" s="2182">
        <f>+IF(SEPTIEMBRE!A21=0,"",SEPTIEMBRE!A21)</f>
        <v>11301</v>
      </c>
      <c r="B21" s="2183" t="str">
        <f>+IF(SEPTIEMBRE!B21=0,"",SEPTIEMBRE!B21)</f>
        <v>Venta de Servicios de Salud</v>
      </c>
      <c r="C21" s="2039">
        <f t="shared" ref="C21:N21" si="19">C22+C25+C28+C41+C42+C45+C48+C51+C54+C57+C60+C63+C66+C69+C72+C75+C78+C81</f>
        <v>40501810887</v>
      </c>
      <c r="D21" s="2040">
        <f t="shared" si="19"/>
        <v>0</v>
      </c>
      <c r="E21" s="2040">
        <f t="shared" si="19"/>
        <v>15777642234</v>
      </c>
      <c r="F21" s="2040">
        <f t="shared" si="19"/>
        <v>56279453121</v>
      </c>
      <c r="G21" s="2040">
        <f t="shared" si="19"/>
        <v>51320863403</v>
      </c>
      <c r="H21" s="2040">
        <f t="shared" si="19"/>
        <v>5244558250</v>
      </c>
      <c r="I21" s="2040">
        <f t="shared" si="19"/>
        <v>56565421653</v>
      </c>
      <c r="J21" s="2040">
        <f t="shared" si="19"/>
        <v>28688645428</v>
      </c>
      <c r="K21" s="2040">
        <f t="shared" si="19"/>
        <v>3253612936</v>
      </c>
      <c r="L21" s="2040">
        <f t="shared" si="19"/>
        <v>31942258364</v>
      </c>
      <c r="M21" s="2040">
        <f t="shared" si="19"/>
        <v>-285968532</v>
      </c>
      <c r="N21" s="2041">
        <f t="shared" si="19"/>
        <v>24337194757</v>
      </c>
      <c r="O21" s="2093"/>
      <c r="P21" s="2159">
        <f>P22+P25+P28+P41+P42+P45+P48+P51+P54+P57+P60+P63+P66+P69+P72+P75+P78+P81</f>
        <v>0</v>
      </c>
      <c r="Q21" s="2160">
        <f>Q22+Q25+Q28+Q41+Q42+Q45+Q48+Q51+Q54+Q57+Q60+Q63+Q66+Q69+Q72+Q75+Q78+Q81</f>
        <v>0</v>
      </c>
      <c r="R21" s="1968"/>
      <c r="S21" s="2184" t="str">
        <f>+IF(SEPTIEMBRE!S21=0,"",SEPTIEMBRE!S21)</f>
        <v>1010104-1</v>
      </c>
      <c r="T21" s="2185" t="str">
        <f>+IF(SEPTIEMBRE!T21=0,"",SEPTIEMBRE!T21)</f>
        <v xml:space="preserve">Prima de Navidad </v>
      </c>
      <c r="U21" s="2140">
        <f>+ENERO!U21</f>
        <v>52257791</v>
      </c>
      <c r="V21" s="2091">
        <f>SEPTIEMBRE!V21+OCTUBRE!AL21</f>
        <v>0</v>
      </c>
      <c r="W21" s="2091">
        <f>SEPTIEMBRE!W21+OCTUBRE!AM21</f>
        <v>0</v>
      </c>
      <c r="X21" s="2141">
        <f t="shared" ref="X21:X33" si="20">SUM(U21:W21)</f>
        <v>52257791</v>
      </c>
      <c r="Y21" s="2142">
        <f>SEPTIEMBRE!AA21</f>
        <v>3540871</v>
      </c>
      <c r="Z21" s="2077">
        <v>0</v>
      </c>
      <c r="AA21" s="2141">
        <f t="shared" ref="AA21:AA33" si="21">SUM(Y21:Z21)</f>
        <v>3540871</v>
      </c>
      <c r="AB21" s="2142">
        <f>SEPTIEMBRE!AD21</f>
        <v>3540871</v>
      </c>
      <c r="AC21" s="2077">
        <v>0</v>
      </c>
      <c r="AD21" s="2141">
        <f t="shared" ref="AD21:AD33" si="22">SUM(AB21:AC21)</f>
        <v>3540871</v>
      </c>
      <c r="AE21" s="2142">
        <f>SEPTIEMBRE!AG21</f>
        <v>3540871</v>
      </c>
      <c r="AF21" s="2077">
        <v>0</v>
      </c>
      <c r="AG21" s="2141">
        <f t="shared" ref="AG21:AG33" si="23">SUM(AE21:AF21)</f>
        <v>3540871</v>
      </c>
      <c r="AH21" s="2142">
        <f t="shared" ref="AH21:AH33" si="24">X21-AA21</f>
        <v>48716920</v>
      </c>
      <c r="AI21" s="2091">
        <f t="shared" ref="AI21:AI33" si="25">X21-AD21</f>
        <v>48716920</v>
      </c>
      <c r="AJ21" s="2143">
        <f t="shared" ref="AJ21:AJ33" si="26">X21-AG21</f>
        <v>48716920</v>
      </c>
      <c r="AK21" s="1968"/>
      <c r="AL21" s="2079">
        <v>0</v>
      </c>
      <c r="AM21" s="2080">
        <v>0</v>
      </c>
      <c r="AN21" s="1968"/>
      <c r="AO21" s="2023"/>
      <c r="AP21" s="2186"/>
      <c r="AQ21" s="2187"/>
      <c r="AR21" s="2188" t="str">
        <f>AR6</f>
        <v>OCTUBRE</v>
      </c>
      <c r="AS21" s="2189" t="str">
        <f>AR6</f>
        <v>OCTUBRE</v>
      </c>
      <c r="AT21" s="2188" t="str">
        <f>AR6</f>
        <v>OCTUBRE</v>
      </c>
      <c r="AU21" s="2188" t="s">
        <v>44</v>
      </c>
      <c r="AV21" s="2188" t="s">
        <v>22</v>
      </c>
      <c r="AW21" s="2190"/>
      <c r="AX21" s="2190"/>
      <c r="AY21" s="2188" t="s">
        <v>44</v>
      </c>
      <c r="AZ21" s="2191" t="s">
        <v>22</v>
      </c>
      <c r="BA21" s="1968"/>
      <c r="BB21" s="2180" t="s">
        <v>437</v>
      </c>
      <c r="BC21" s="2008">
        <f>SUMIF($B8:B122,$B24,F8:F122)+F122</f>
        <v>24743456557</v>
      </c>
      <c r="BD21" s="2009">
        <f>SUMIF($B8:B122,$B24,I8:I122)+I122</f>
        <v>18013351040</v>
      </c>
      <c r="BE21" s="2010">
        <f>SUMIF($B8:B122,$B24,K8:K122)+K122</f>
        <v>285746025</v>
      </c>
      <c r="BF21" s="1982"/>
      <c r="BG21" s="2093"/>
      <c r="BH21" s="2093"/>
      <c r="BI21" s="2093"/>
      <c r="BJ21" s="2093"/>
      <c r="BK21" s="2093"/>
      <c r="BL21" s="2093"/>
      <c r="BM21" s="2034" t="s">
        <v>99</v>
      </c>
      <c r="BN21" s="2056">
        <v>0</v>
      </c>
      <c r="BO21" s="2054">
        <v>0</v>
      </c>
      <c r="BP21" s="2054">
        <v>0</v>
      </c>
      <c r="BQ21" s="2057">
        <v>0</v>
      </c>
      <c r="BR21" s="2093"/>
    </row>
    <row r="22" spans="1:70" s="1968" customFormat="1" ht="24.95" customHeight="1" thickBot="1">
      <c r="A22" s="2157">
        <f>+IF(SEPTIEMBRE!A22=0,"",SEPTIEMBRE!A22)</f>
        <v>1130101</v>
      </c>
      <c r="B22" s="2192" t="str">
        <f>+IF(SEPTIEMBRE!B22=0,"",SEPTIEMBRE!B22)</f>
        <v>EPS - REGIMEN CONTRIBUTIVO</v>
      </c>
      <c r="C22" s="2159">
        <f t="shared" ref="C22:N22" si="27">SUM(C23:C24)</f>
        <v>18905646713</v>
      </c>
      <c r="D22" s="2193">
        <f t="shared" si="27"/>
        <v>0</v>
      </c>
      <c r="E22" s="2193">
        <f t="shared" si="27"/>
        <v>7269386762</v>
      </c>
      <c r="F22" s="2193">
        <f t="shared" si="27"/>
        <v>26175033475</v>
      </c>
      <c r="G22" s="2193">
        <f t="shared" si="27"/>
        <v>20018110009</v>
      </c>
      <c r="H22" s="2193">
        <f t="shared" si="27"/>
        <v>1718447089</v>
      </c>
      <c r="I22" s="2193">
        <f t="shared" si="27"/>
        <v>21736557098</v>
      </c>
      <c r="J22" s="2193">
        <f t="shared" si="27"/>
        <v>11379845552</v>
      </c>
      <c r="K22" s="2193">
        <f t="shared" si="27"/>
        <v>1095894767</v>
      </c>
      <c r="L22" s="2193">
        <f t="shared" si="27"/>
        <v>12475740319</v>
      </c>
      <c r="M22" s="2193">
        <f t="shared" si="27"/>
        <v>4438476377</v>
      </c>
      <c r="N22" s="2160">
        <f t="shared" si="27"/>
        <v>13699293156</v>
      </c>
      <c r="P22" s="2159">
        <f>SUM(P23:P24)</f>
        <v>0</v>
      </c>
      <c r="Q22" s="2160">
        <f>SUM(Q23:Q24)</f>
        <v>0</v>
      </c>
      <c r="S22" s="2184" t="str">
        <f>+IF(SEPTIEMBRE!S22=0,"",SEPTIEMBRE!S22)</f>
        <v>1010104-2</v>
      </c>
      <c r="T22" s="2185" t="str">
        <f>+IF(SEPTIEMBRE!T22=0,"",SEPTIEMBRE!T22)</f>
        <v>Prima Vida Cara</v>
      </c>
      <c r="U22" s="2140">
        <f>+ENERO!U22</f>
        <v>24380551</v>
      </c>
      <c r="V22" s="2091">
        <f>SEPTIEMBRE!V22+OCTUBRE!AL22</f>
        <v>0</v>
      </c>
      <c r="W22" s="2091">
        <f>SEPTIEMBRE!W22+OCTUBRE!AM22</f>
        <v>41042730</v>
      </c>
      <c r="X22" s="2141">
        <f t="shared" si="20"/>
        <v>65423281</v>
      </c>
      <c r="Y22" s="2142">
        <f>SEPTIEMBRE!AA22</f>
        <v>41042460</v>
      </c>
      <c r="Z22" s="2077">
        <v>0</v>
      </c>
      <c r="AA22" s="2141">
        <f t="shared" si="21"/>
        <v>41042460</v>
      </c>
      <c r="AB22" s="2142">
        <f>SEPTIEMBRE!AD22</f>
        <v>41042460</v>
      </c>
      <c r="AC22" s="2077">
        <v>0</v>
      </c>
      <c r="AD22" s="2141">
        <f t="shared" si="22"/>
        <v>41042460</v>
      </c>
      <c r="AE22" s="2142">
        <f>SEPTIEMBRE!AG22</f>
        <v>41042460</v>
      </c>
      <c r="AF22" s="2077">
        <v>0</v>
      </c>
      <c r="AG22" s="2141">
        <f t="shared" si="23"/>
        <v>41042460</v>
      </c>
      <c r="AH22" s="2142">
        <f t="shared" si="24"/>
        <v>24380821</v>
      </c>
      <c r="AI22" s="2091">
        <f t="shared" si="25"/>
        <v>24380821</v>
      </c>
      <c r="AJ22" s="2143">
        <f t="shared" si="26"/>
        <v>24380821</v>
      </c>
      <c r="AL22" s="2079">
        <v>0</v>
      </c>
      <c r="AM22" s="2080">
        <f>20535678+1296699</f>
        <v>21832377</v>
      </c>
      <c r="AO22" s="1972"/>
      <c r="AP22" s="2194" t="s">
        <v>104</v>
      </c>
      <c r="AQ22" s="2195">
        <f>X17+X66</f>
        <v>1484005363</v>
      </c>
      <c r="AR22" s="2195">
        <f>AD17+AD66</f>
        <v>1099691230</v>
      </c>
      <c r="AS22" s="2195">
        <f>AG17+AG66</f>
        <v>1099691230</v>
      </c>
      <c r="AT22" s="2196"/>
      <c r="AU22" s="2197">
        <f t="shared" ref="AU22:AU32" si="28">IF(AQ22=0," ",AR22/AQ22)</f>
        <v>0.74102914815409604</v>
      </c>
      <c r="AV22" s="2197">
        <f t="shared" ref="AV22:AV32" si="29">IF(AQ22=0," ",AS22/AQ22)</f>
        <v>0.74102914815409604</v>
      </c>
      <c r="AW22" s="2198">
        <f>AR22/$AO$2*12</f>
        <v>1319629476</v>
      </c>
      <c r="AX22" s="2198">
        <f>AS22/$AO$2*12</f>
        <v>1319629476</v>
      </c>
      <c r="AY22" s="2198">
        <f t="shared" ref="AY22:AY31" si="30">AW22-AQ22</f>
        <v>-164375887</v>
      </c>
      <c r="AZ22" s="2199">
        <f t="shared" ref="AZ22:AZ31" si="31">AQ22-AX22</f>
        <v>164375887</v>
      </c>
      <c r="BA22" s="2093"/>
      <c r="BB22" s="2200" t="s">
        <v>109</v>
      </c>
      <c r="BC22" s="2201">
        <f>BC7+BC8+BC20+BC21</f>
        <v>66999687890</v>
      </c>
      <c r="BD22" s="2202">
        <f>BD7+BD8+BD20+BD21</f>
        <v>58602506646</v>
      </c>
      <c r="BE22" s="2203">
        <f>BE7+BE8+BE20+BE21</f>
        <v>3391934854</v>
      </c>
      <c r="BF22" s="1982"/>
      <c r="BG22" s="2093"/>
      <c r="BH22" s="2093"/>
      <c r="BI22" s="2093"/>
      <c r="BJ22" s="2093"/>
      <c r="BK22" s="2093"/>
      <c r="BM22" s="2013" t="s">
        <v>67</v>
      </c>
      <c r="BN22" s="2056">
        <f>BN23+BN24</f>
        <v>163530003</v>
      </c>
      <c r="BO22" s="2054">
        <f>BO23+BO24</f>
        <v>97639224</v>
      </c>
      <c r="BP22" s="2054">
        <f>BP23+BP24</f>
        <v>86764095</v>
      </c>
      <c r="BQ22" s="2057">
        <f>BQ23+BQ24</f>
        <v>493376</v>
      </c>
      <c r="BR22" s="2093"/>
    </row>
    <row r="23" spans="1:70" s="2181" customFormat="1" ht="24.95" customHeight="1">
      <c r="A23" s="2071" t="str">
        <f>+IF(SEPTIEMBRE!A23=0,"",SEPTIEMBRE!A23)</f>
        <v>1130101-1</v>
      </c>
      <c r="B23" s="2204" t="str">
        <f>+CONCATENATE("Vigencia ",INSTRUCCIONES!$F$3)</f>
        <v>Vigencia 2017</v>
      </c>
      <c r="C23" s="2073">
        <f>+ENERO!C23</f>
        <v>18905646713</v>
      </c>
      <c r="D23" s="2074">
        <f>SEPTIEMBRE!D23+OCTUBRE!P23</f>
        <v>0</v>
      </c>
      <c r="E23" s="2074">
        <f>SEPTIEMBRE!E23+OCTUBRE!Q23</f>
        <v>0</v>
      </c>
      <c r="F23" s="2074">
        <f>SUM(C23:E23)</f>
        <v>18905646713</v>
      </c>
      <c r="G23" s="2074">
        <f>SEPTIEMBRE!I23</f>
        <v>11799686018</v>
      </c>
      <c r="H23" s="2077">
        <v>1659598072</v>
      </c>
      <c r="I23" s="2074">
        <f>SUM(G23:H23)</f>
        <v>13459284090</v>
      </c>
      <c r="J23" s="2074">
        <f>SEPTIEMBRE!L23</f>
        <v>3161421561</v>
      </c>
      <c r="K23" s="2077">
        <v>1037045750</v>
      </c>
      <c r="L23" s="2074">
        <f>SUM(J23:K23)</f>
        <v>4198467311</v>
      </c>
      <c r="M23" s="2074">
        <f>F23-I23</f>
        <v>5446362623</v>
      </c>
      <c r="N23" s="2075">
        <f>F23-L23</f>
        <v>14707179402</v>
      </c>
      <c r="O23" s="1968"/>
      <c r="P23" s="2079">
        <v>0</v>
      </c>
      <c r="Q23" s="2080">
        <v>0</v>
      </c>
      <c r="R23" s="1968"/>
      <c r="S23" s="2184" t="str">
        <f>+IF(SEPTIEMBRE!S23=0,"",SEPTIEMBRE!S23)</f>
        <v>1010104-3</v>
      </c>
      <c r="T23" s="2185" t="str">
        <f>+IF(SEPTIEMBRE!T23=0,"",SEPTIEMBRE!T23)</f>
        <v>Prima de Vacaciones</v>
      </c>
      <c r="U23" s="2140">
        <f>+ENERO!U23</f>
        <v>25221642</v>
      </c>
      <c r="V23" s="2091">
        <f>SEPTIEMBRE!V23+OCTUBRE!AL23</f>
        <v>0</v>
      </c>
      <c r="W23" s="2091">
        <f>SEPTIEMBRE!W23+OCTUBRE!AM23</f>
        <v>189657</v>
      </c>
      <c r="X23" s="2141">
        <f t="shared" si="20"/>
        <v>25411299</v>
      </c>
      <c r="Y23" s="2142">
        <f>SEPTIEMBRE!AA23</f>
        <v>7151327</v>
      </c>
      <c r="Z23" s="2077">
        <v>2561361</v>
      </c>
      <c r="AA23" s="2141">
        <f t="shared" si="21"/>
        <v>9712688</v>
      </c>
      <c r="AB23" s="2142">
        <f>SEPTIEMBRE!AD23</f>
        <v>7151327</v>
      </c>
      <c r="AC23" s="2077">
        <v>2561361</v>
      </c>
      <c r="AD23" s="2141">
        <f t="shared" si="22"/>
        <v>9712688</v>
      </c>
      <c r="AE23" s="2142">
        <f>SEPTIEMBRE!AG23</f>
        <v>7151327</v>
      </c>
      <c r="AF23" s="2077">
        <v>2561361</v>
      </c>
      <c r="AG23" s="2141">
        <f t="shared" si="23"/>
        <v>9712688</v>
      </c>
      <c r="AH23" s="2142">
        <f t="shared" si="24"/>
        <v>15698611</v>
      </c>
      <c r="AI23" s="2091">
        <f t="shared" si="25"/>
        <v>15698611</v>
      </c>
      <c r="AJ23" s="2143">
        <f t="shared" si="26"/>
        <v>15698611</v>
      </c>
      <c r="AK23" s="1968"/>
      <c r="AL23" s="2079">
        <v>0</v>
      </c>
      <c r="AM23" s="2080">
        <v>189657</v>
      </c>
      <c r="AN23" s="1968"/>
      <c r="AO23" s="2064"/>
      <c r="AP23" s="2205" t="s">
        <v>108</v>
      </c>
      <c r="AQ23" s="2206">
        <f>X16+X65-AQ22</f>
        <v>698759175</v>
      </c>
      <c r="AR23" s="2206">
        <f>AD16+AD65-AR22</f>
        <v>396903601</v>
      </c>
      <c r="AS23" s="2206">
        <f>AG16+AG65-AS22</f>
        <v>396903601</v>
      </c>
      <c r="AT23" s="1974"/>
      <c r="AU23" s="2005">
        <f t="shared" si="28"/>
        <v>0.56801200642553284</v>
      </c>
      <c r="AV23" s="2005">
        <f t="shared" si="29"/>
        <v>0.56801200642553284</v>
      </c>
      <c r="AW23" s="2206">
        <f>(AR23-AD21-AD22-AD23-AD25-AD30-AD33-AD70-AD71-AD72-AD74-AD78-AD81)/$AO$2*12+AX22/12*2.5+AD30+AD33+AD78+AD81</f>
        <v>510963990.70000005</v>
      </c>
      <c r="AX23" s="2206">
        <f>(AS23-AG21-AG22-AG23-AG25-AG30-AG33-AG70-AG71-AG72-AG74-AG78-AG81)/$AO$2*12+AX22/12*2.5+AG30+AG33+AG78+AG81</f>
        <v>510963990.70000005</v>
      </c>
      <c r="AY23" s="2206">
        <f t="shared" si="30"/>
        <v>-187795184.29999995</v>
      </c>
      <c r="AZ23" s="2207">
        <f t="shared" si="31"/>
        <v>187795184.29999995</v>
      </c>
      <c r="BA23" s="2093"/>
      <c r="BF23" s="2093"/>
      <c r="BG23" s="2093"/>
      <c r="BH23" s="2093"/>
      <c r="BI23" s="2093"/>
      <c r="BJ23" s="2093"/>
      <c r="BK23" s="2093"/>
      <c r="BL23" s="2093"/>
      <c r="BM23" s="2034" t="s">
        <v>105</v>
      </c>
      <c r="BN23" s="2056">
        <f>X177</f>
        <v>18619412</v>
      </c>
      <c r="BO23" s="2054">
        <f>AA177</f>
        <v>11107944</v>
      </c>
      <c r="BP23" s="2054">
        <f>AD177</f>
        <v>11107944</v>
      </c>
      <c r="BQ23" s="2057">
        <f>AF177</f>
        <v>493376</v>
      </c>
      <c r="BR23" s="1968"/>
    </row>
    <row r="24" spans="1:70" s="2181" customFormat="1" ht="24.95" customHeight="1">
      <c r="A24" s="2071" t="str">
        <f>+IF(SEPTIEMBRE!A24=0,"",SEPTIEMBRE!A24)</f>
        <v>1130101-2</v>
      </c>
      <c r="B24" s="2204" t="str">
        <f>+IF(SEPTIEMBRE!B24=0,"",SEPTIEMBRE!B24)</f>
        <v>Vigencia Anterior</v>
      </c>
      <c r="C24" s="2073">
        <f>+ENERO!C24</f>
        <v>0</v>
      </c>
      <c r="D24" s="2074">
        <f>SEPTIEMBRE!D24+OCTUBRE!P24</f>
        <v>0</v>
      </c>
      <c r="E24" s="2074">
        <f>SEPTIEMBRE!E24+OCTUBRE!Q24</f>
        <v>7269386762</v>
      </c>
      <c r="F24" s="2074">
        <f>SUM(C24:E24)</f>
        <v>7269386762</v>
      </c>
      <c r="G24" s="2074">
        <f>SEPTIEMBRE!I24</f>
        <v>8218423991</v>
      </c>
      <c r="H24" s="2077">
        <v>58849017</v>
      </c>
      <c r="I24" s="2074">
        <f>SUM(G24:H24)</f>
        <v>8277273008</v>
      </c>
      <c r="J24" s="2074">
        <f>SEPTIEMBRE!L24</f>
        <v>8218423991</v>
      </c>
      <c r="K24" s="2077">
        <v>58849017</v>
      </c>
      <c r="L24" s="2074">
        <f>SUM(J24:K24)</f>
        <v>8277273008</v>
      </c>
      <c r="M24" s="2074">
        <f>F24-I24</f>
        <v>-1007886246</v>
      </c>
      <c r="N24" s="2075">
        <f>F24-L24</f>
        <v>-1007886246</v>
      </c>
      <c r="O24" s="2093"/>
      <c r="P24" s="2079">
        <v>0</v>
      </c>
      <c r="Q24" s="2080">
        <v>0</v>
      </c>
      <c r="R24" s="1968"/>
      <c r="S24" s="2184" t="str">
        <f>+IF(SEPTIEMBRE!S24=0,"",SEPTIEMBRE!S24)</f>
        <v>1010104-4</v>
      </c>
      <c r="T24" s="2185" t="str">
        <f>+IF(SEPTIEMBRE!T24=0,"",SEPTIEMBRE!T24)</f>
        <v>Prima Clima</v>
      </c>
      <c r="U24" s="2140">
        <f>+ENERO!U24</f>
        <v>0</v>
      </c>
      <c r="V24" s="2091">
        <f>SEPTIEMBRE!V24+OCTUBRE!AL24</f>
        <v>0</v>
      </c>
      <c r="W24" s="2091">
        <f>SEPTIEMBRE!W24+OCTUBRE!AM24</f>
        <v>0</v>
      </c>
      <c r="X24" s="2141">
        <f t="shared" si="20"/>
        <v>0</v>
      </c>
      <c r="Y24" s="2142">
        <f>SEPTIEMBRE!AA24</f>
        <v>0</v>
      </c>
      <c r="Z24" s="2077">
        <v>0</v>
      </c>
      <c r="AA24" s="2141">
        <f t="shared" si="21"/>
        <v>0</v>
      </c>
      <c r="AB24" s="2142">
        <f>SEPTIEMBRE!AD24</f>
        <v>0</v>
      </c>
      <c r="AC24" s="2077">
        <v>0</v>
      </c>
      <c r="AD24" s="2141">
        <f t="shared" si="22"/>
        <v>0</v>
      </c>
      <c r="AE24" s="2142">
        <f>SEPTIEMBRE!AG24</f>
        <v>0</v>
      </c>
      <c r="AF24" s="2077">
        <v>0</v>
      </c>
      <c r="AG24" s="2141">
        <f t="shared" si="23"/>
        <v>0</v>
      </c>
      <c r="AH24" s="2142">
        <f t="shared" si="24"/>
        <v>0</v>
      </c>
      <c r="AI24" s="2091">
        <f t="shared" si="25"/>
        <v>0</v>
      </c>
      <c r="AJ24" s="2143">
        <f t="shared" si="26"/>
        <v>0</v>
      </c>
      <c r="AK24" s="1968"/>
      <c r="AL24" s="2079">
        <v>0</v>
      </c>
      <c r="AM24" s="2080">
        <v>0</v>
      </c>
      <c r="AN24" s="1968"/>
      <c r="AO24" s="2064"/>
      <c r="AP24" s="2173" t="s">
        <v>113</v>
      </c>
      <c r="AQ24" s="2196">
        <f>X35+X83</f>
        <v>36382167051</v>
      </c>
      <c r="AR24" s="2196">
        <f>AD35+AD83</f>
        <v>28277707084</v>
      </c>
      <c r="AS24" s="2196">
        <f>AG35+AG83</f>
        <v>19385110224</v>
      </c>
      <c r="AT24" s="2196"/>
      <c r="AU24" s="2074">
        <f t="shared" si="28"/>
        <v>0.77724086760309563</v>
      </c>
      <c r="AV24" s="2074">
        <f t="shared" si="29"/>
        <v>0.5328190098414487</v>
      </c>
      <c r="AW24" s="2074">
        <f>(AR24-AD41-AD88)/$AO$2*12+AD41+AD88</f>
        <v>32484556091</v>
      </c>
      <c r="AX24" s="2074">
        <f>(AS24-AG41-AG88)/$AO$2*12+AG41+AG88</f>
        <v>21813439859</v>
      </c>
      <c r="AY24" s="2074">
        <f t="shared" si="30"/>
        <v>-3897610960</v>
      </c>
      <c r="AZ24" s="2075">
        <f t="shared" si="31"/>
        <v>14568727192</v>
      </c>
      <c r="BA24" s="1968"/>
      <c r="BB24" s="2208"/>
      <c r="BC24" s="2093"/>
      <c r="BD24" s="2093"/>
      <c r="BE24" s="2093"/>
      <c r="BF24" s="2093"/>
      <c r="BG24" s="2093"/>
      <c r="BH24" s="2093"/>
      <c r="BI24" s="2093"/>
      <c r="BJ24" s="2093"/>
      <c r="BK24" s="2093"/>
      <c r="BL24" s="2093"/>
      <c r="BM24" s="2034" t="s">
        <v>110</v>
      </c>
      <c r="BN24" s="2056">
        <f>X170-X177-X174-X183-X191</f>
        <v>144910591</v>
      </c>
      <c r="BO24" s="2054">
        <f>AA170-AA177-AA174-AA183-AA191</f>
        <v>86531280</v>
      </c>
      <c r="BP24" s="2054">
        <f>AD170-AD177-AD174-AD183-AD191</f>
        <v>75656151</v>
      </c>
      <c r="BQ24" s="2057">
        <f>AF170-AF177-AF174-AF183-AF191</f>
        <v>0</v>
      </c>
      <c r="BR24" s="2093"/>
    </row>
    <row r="25" spans="1:70" s="2093" customFormat="1" ht="24.95" customHeight="1">
      <c r="A25" s="2157">
        <f>+IF(SEPTIEMBRE!A25=0,"",SEPTIEMBRE!A25)</f>
        <v>1130102</v>
      </c>
      <c r="B25" s="2192" t="str">
        <f>+IF(SEPTIEMBRE!B25=0,"",SEPTIEMBRE!B25)</f>
        <v>ARS - REGIMEN SUBSIDIADO</v>
      </c>
      <c r="C25" s="2159">
        <f t="shared" ref="C25:N25" si="32">SUM(C26:C27)</f>
        <v>13439321219</v>
      </c>
      <c r="D25" s="2193">
        <f t="shared" si="32"/>
        <v>0</v>
      </c>
      <c r="E25" s="2193">
        <f t="shared" si="32"/>
        <v>5107572584</v>
      </c>
      <c r="F25" s="2193">
        <f t="shared" si="32"/>
        <v>18546893803</v>
      </c>
      <c r="G25" s="2193">
        <f t="shared" si="32"/>
        <v>20695679318</v>
      </c>
      <c r="H25" s="2193">
        <f t="shared" si="32"/>
        <v>2714456002</v>
      </c>
      <c r="I25" s="2193">
        <f t="shared" si="32"/>
        <v>23410135320</v>
      </c>
      <c r="J25" s="2193">
        <f t="shared" si="32"/>
        <v>12290250066</v>
      </c>
      <c r="K25" s="2193">
        <f t="shared" si="32"/>
        <v>1551457040</v>
      </c>
      <c r="L25" s="2193">
        <f t="shared" si="32"/>
        <v>13841707106</v>
      </c>
      <c r="M25" s="2193">
        <f t="shared" si="32"/>
        <v>-4863241517</v>
      </c>
      <c r="N25" s="2160">
        <f t="shared" si="32"/>
        <v>4705186697</v>
      </c>
      <c r="P25" s="2159">
        <f>SUM(P26:P27)</f>
        <v>0</v>
      </c>
      <c r="Q25" s="2160">
        <f>SUM(Q26:Q27)</f>
        <v>0</v>
      </c>
      <c r="R25" s="1968"/>
      <c r="S25" s="2184" t="str">
        <f>+IF(SEPTIEMBRE!S25=0,"",SEPTIEMBRE!S25)</f>
        <v>1010104-5</v>
      </c>
      <c r="T25" s="2185" t="str">
        <f>+IF(SEPTIEMBRE!T25=0,"",SEPTIEMBRE!T25)</f>
        <v>Prima de Servicios</v>
      </c>
      <c r="U25" s="2140">
        <f>+ENERO!U25</f>
        <v>26128895</v>
      </c>
      <c r="V25" s="2091">
        <f>SEPTIEMBRE!V25+OCTUBRE!AL25</f>
        <v>0</v>
      </c>
      <c r="W25" s="2091">
        <f>SEPTIEMBRE!W25+OCTUBRE!AM25</f>
        <v>1296699</v>
      </c>
      <c r="X25" s="2141">
        <f t="shared" si="20"/>
        <v>27425594</v>
      </c>
      <c r="Y25" s="2142">
        <f>SEPTIEMBRE!AA25</f>
        <v>20944631</v>
      </c>
      <c r="Z25" s="2077">
        <v>0</v>
      </c>
      <c r="AA25" s="2141">
        <f t="shared" si="21"/>
        <v>20944631</v>
      </c>
      <c r="AB25" s="2142">
        <f>SEPTIEMBRE!AD25</f>
        <v>20944631</v>
      </c>
      <c r="AC25" s="2077">
        <v>0</v>
      </c>
      <c r="AD25" s="2141">
        <f t="shared" si="22"/>
        <v>20944631</v>
      </c>
      <c r="AE25" s="2142">
        <f>SEPTIEMBRE!AG25</f>
        <v>20944631</v>
      </c>
      <c r="AF25" s="2077">
        <v>0</v>
      </c>
      <c r="AG25" s="2141">
        <f t="shared" si="23"/>
        <v>20944631</v>
      </c>
      <c r="AH25" s="2142">
        <f t="shared" si="24"/>
        <v>6480963</v>
      </c>
      <c r="AI25" s="2091">
        <f t="shared" si="25"/>
        <v>6480963</v>
      </c>
      <c r="AJ25" s="2143">
        <f t="shared" si="26"/>
        <v>6480963</v>
      </c>
      <c r="AK25" s="1968"/>
      <c r="AL25" s="2079">
        <v>0</v>
      </c>
      <c r="AM25" s="2080">
        <v>1296699</v>
      </c>
      <c r="AN25" s="1968"/>
      <c r="AO25" s="1972"/>
      <c r="AP25" s="2209" t="s">
        <v>116</v>
      </c>
      <c r="AQ25" s="2074">
        <f>X43+X57+X90+X104</f>
        <v>802834377</v>
      </c>
      <c r="AR25" s="2074">
        <f>AD43+AD57+AD90+AD104</f>
        <v>364081665</v>
      </c>
      <c r="AS25" s="2074">
        <f>AG43+AG57+AG90+AG104</f>
        <v>364081665</v>
      </c>
      <c r="AT25" s="2196"/>
      <c r="AU25" s="2074">
        <f t="shared" si="28"/>
        <v>0.45349536022670839</v>
      </c>
      <c r="AV25" s="2074">
        <f t="shared" si="29"/>
        <v>0.45349536022670839</v>
      </c>
      <c r="AW25" s="2074">
        <f>(AR25-AD55-AD61-AD102-AD108)/$AO$2*12+AD55+AD61+AD102+AD108</f>
        <v>436897998</v>
      </c>
      <c r="AX25" s="2074">
        <f>(AS25-AG55-AG61-AG102-AG108)/$AO$2*12+AG55+AG61+AG102+AG108</f>
        <v>436897998</v>
      </c>
      <c r="AY25" s="2074">
        <f t="shared" si="30"/>
        <v>-365936379</v>
      </c>
      <c r="AZ25" s="2075">
        <f t="shared" si="31"/>
        <v>365936379</v>
      </c>
      <c r="BM25" s="2007" t="s">
        <v>445</v>
      </c>
      <c r="BN25" s="2210">
        <f>+SUM(BN26:BN28)</f>
        <v>13405609615</v>
      </c>
      <c r="BO25" s="2211">
        <f>+SUM(BO26:BO28)</f>
        <v>11566827130</v>
      </c>
      <c r="BP25" s="2211">
        <f>+SUM(BP26:BP28)</f>
        <v>9919872651</v>
      </c>
      <c r="BQ25" s="2212">
        <f>+SUM(BQ26:BQ28)</f>
        <v>716829340</v>
      </c>
    </row>
    <row r="26" spans="1:70" s="1968" customFormat="1" ht="24.95" customHeight="1">
      <c r="A26" s="2071" t="str">
        <f>+IF(SEPTIEMBRE!A26=0,"",SEPTIEMBRE!A26)</f>
        <v>1130102-1</v>
      </c>
      <c r="B26" s="2204" t="str">
        <f>+CONCATENATE("Vigencia ",INSTRUCCIONES!$F$3)</f>
        <v>Vigencia 2017</v>
      </c>
      <c r="C26" s="2073">
        <f>+ENERO!C26</f>
        <v>13439321219</v>
      </c>
      <c r="D26" s="2074">
        <f>SEPTIEMBRE!D26+OCTUBRE!P26</f>
        <v>0</v>
      </c>
      <c r="E26" s="2074">
        <f>SEPTIEMBRE!E26+OCTUBRE!Q26</f>
        <v>0</v>
      </c>
      <c r="F26" s="2074">
        <f>SUM(C26:E26)</f>
        <v>13439321219</v>
      </c>
      <c r="G26" s="2074">
        <f>SEPTIEMBRE!I26</f>
        <v>14806056960</v>
      </c>
      <c r="H26" s="2077">
        <v>2571691550</v>
      </c>
      <c r="I26" s="2074">
        <f>SUM(G26:H26)</f>
        <v>17377748510</v>
      </c>
      <c r="J26" s="2074">
        <f>SEPTIEMBRE!L26</f>
        <v>6400627708</v>
      </c>
      <c r="K26" s="2077">
        <v>1408692588</v>
      </c>
      <c r="L26" s="2074">
        <f>SUM(J26:K26)</f>
        <v>7809320296</v>
      </c>
      <c r="M26" s="2074">
        <f>F26-I26</f>
        <v>-3938427291</v>
      </c>
      <c r="N26" s="2075">
        <f>F26-L26</f>
        <v>5630000923</v>
      </c>
      <c r="P26" s="2079">
        <v>0</v>
      </c>
      <c r="Q26" s="2080">
        <v>0</v>
      </c>
      <c r="S26" s="2184" t="str">
        <f>+IF(SEPTIEMBRE!S26=0,"",SEPTIEMBRE!S26)</f>
        <v>1010104-8</v>
      </c>
      <c r="T26" s="2185" t="str">
        <f>+IF(SEPTIEMBRE!T26=0,"",SEPTIEMBRE!T26)</f>
        <v>Bonific. por Servicios Prestados</v>
      </c>
      <c r="U26" s="2140">
        <f>+ENERO!U26</f>
        <v>12868455</v>
      </c>
      <c r="V26" s="2091">
        <f>SEPTIEMBRE!V26+OCTUBRE!AL26</f>
        <v>0</v>
      </c>
      <c r="W26" s="2091">
        <f>SEPTIEMBRE!W26+OCTUBRE!AM26</f>
        <v>719637</v>
      </c>
      <c r="X26" s="2141">
        <f t="shared" si="20"/>
        <v>13588092</v>
      </c>
      <c r="Y26" s="2142">
        <f>SEPTIEMBRE!AA26</f>
        <v>8597096</v>
      </c>
      <c r="Z26" s="2077">
        <v>3318135</v>
      </c>
      <c r="AA26" s="2141">
        <f t="shared" si="21"/>
        <v>11915231</v>
      </c>
      <c r="AB26" s="2142">
        <f>SEPTIEMBRE!AD26</f>
        <v>8597096</v>
      </c>
      <c r="AC26" s="2077">
        <v>3318135</v>
      </c>
      <c r="AD26" s="2141">
        <f t="shared" si="22"/>
        <v>11915231</v>
      </c>
      <c r="AE26" s="2142">
        <f>SEPTIEMBRE!AG26</f>
        <v>8597096</v>
      </c>
      <c r="AF26" s="2077">
        <v>3318135</v>
      </c>
      <c r="AG26" s="2141">
        <f t="shared" si="23"/>
        <v>11915231</v>
      </c>
      <c r="AH26" s="2142">
        <f t="shared" si="24"/>
        <v>1672861</v>
      </c>
      <c r="AI26" s="2091">
        <f t="shared" si="25"/>
        <v>1672861</v>
      </c>
      <c r="AJ26" s="2143">
        <f t="shared" si="26"/>
        <v>1672861</v>
      </c>
      <c r="AL26" s="2079">
        <v>0</v>
      </c>
      <c r="AM26" s="2080">
        <v>719637</v>
      </c>
      <c r="AO26" s="1972"/>
      <c r="AP26" s="2213" t="s">
        <v>120</v>
      </c>
      <c r="AQ26" s="1974">
        <f>X110</f>
        <v>10774605789</v>
      </c>
      <c r="AR26" s="1974">
        <f>AD110</f>
        <v>7592554548</v>
      </c>
      <c r="AS26" s="1974">
        <f>AG110</f>
        <v>4760833234</v>
      </c>
      <c r="AT26" s="2066">
        <f>AO2/12</f>
        <v>0.83333333333333337</v>
      </c>
      <c r="AU26" s="2005">
        <f t="shared" si="28"/>
        <v>0.70467121458414594</v>
      </c>
      <c r="AV26" s="2005">
        <f t="shared" si="29"/>
        <v>0.4418568370139746</v>
      </c>
      <c r="AW26" s="2206">
        <f>(AR26-AD121-AD139-AD143-AD153-AD168)/$AO$2*12+AD121+AD139+AD143+AD153+AD168</f>
        <v>8903798825.4000015</v>
      </c>
      <c r="AX26" s="2206">
        <f>(AS26-AG121-AG139-AG143-AG153-AG168)/$AO$2*12+AG121+AG139+AG143+AG153+AG168</f>
        <v>5505733248.6000004</v>
      </c>
      <c r="AY26" s="2206">
        <f t="shared" si="30"/>
        <v>-1870806963.5999985</v>
      </c>
      <c r="AZ26" s="2207">
        <f t="shared" si="31"/>
        <v>5268872540.3999996</v>
      </c>
      <c r="BA26" s="2093"/>
      <c r="BB26" s="2093"/>
      <c r="BC26" s="2093"/>
      <c r="BD26" s="2093"/>
      <c r="BE26" s="2093"/>
      <c r="BF26" s="2093"/>
      <c r="BG26" s="2093"/>
      <c r="BH26" s="2093"/>
      <c r="BI26" s="2093"/>
      <c r="BJ26" s="2093"/>
      <c r="BK26" s="2093"/>
      <c r="BM26" s="2214" t="s">
        <v>446</v>
      </c>
      <c r="BN26" s="2069">
        <f>+X198+X212</f>
        <v>4659700346</v>
      </c>
      <c r="BO26" s="2067">
        <f>+AA198+AA212</f>
        <v>3575786205</v>
      </c>
      <c r="BP26" s="2067">
        <f>+AD198+AD212</f>
        <v>3054163697</v>
      </c>
      <c r="BQ26" s="2070">
        <f>+AF198+AF212</f>
        <v>298480709</v>
      </c>
      <c r="BR26" s="2093"/>
    </row>
    <row r="27" spans="1:70" s="2181" customFormat="1" ht="24.95" customHeight="1">
      <c r="A27" s="2071" t="str">
        <f>+IF(SEPTIEMBRE!A27=0,"",SEPTIEMBRE!A27)</f>
        <v>1130102-2</v>
      </c>
      <c r="B27" s="2204" t="str">
        <f>+IF(SEPTIEMBRE!B27=0,"",SEPTIEMBRE!B27)</f>
        <v>Vigencia Anterior</v>
      </c>
      <c r="C27" s="2073">
        <f>+ENERO!C27</f>
        <v>0</v>
      </c>
      <c r="D27" s="2074">
        <f>SEPTIEMBRE!D27+OCTUBRE!P27</f>
        <v>0</v>
      </c>
      <c r="E27" s="2074">
        <f>SEPTIEMBRE!E27+OCTUBRE!Q27</f>
        <v>5107572584</v>
      </c>
      <c r="F27" s="2074">
        <f>SUM(C27:E27)</f>
        <v>5107572584</v>
      </c>
      <c r="G27" s="2074">
        <f>SEPTIEMBRE!I27</f>
        <v>5889622358</v>
      </c>
      <c r="H27" s="2077">
        <v>142764452</v>
      </c>
      <c r="I27" s="2074">
        <f>SUM(G27:H27)</f>
        <v>6032386810</v>
      </c>
      <c r="J27" s="2074">
        <f>SEPTIEMBRE!L27</f>
        <v>5889622358</v>
      </c>
      <c r="K27" s="2077">
        <v>142764452</v>
      </c>
      <c r="L27" s="2074">
        <f>SUM(J27:K27)</f>
        <v>6032386810</v>
      </c>
      <c r="M27" s="2074">
        <f>F27-I27</f>
        <v>-924814226</v>
      </c>
      <c r="N27" s="2075">
        <f>F27-L27</f>
        <v>-924814226</v>
      </c>
      <c r="O27" s="2093"/>
      <c r="P27" s="2079">
        <v>0</v>
      </c>
      <c r="Q27" s="2080">
        <v>0</v>
      </c>
      <c r="R27" s="1968"/>
      <c r="S27" s="2184" t="str">
        <f>+IF(SEPTIEMBRE!S27=0,"",SEPTIEMBRE!S27)</f>
        <v>1010104-9</v>
      </c>
      <c r="T27" s="2185" t="str">
        <f>+IF(SEPTIEMBRE!T27=0,"",SEPTIEMBRE!T27)</f>
        <v>Auxilio de Transporte</v>
      </c>
      <c r="U27" s="2140">
        <f>+ENERO!U27</f>
        <v>0</v>
      </c>
      <c r="V27" s="2091">
        <f>SEPTIEMBRE!V27+OCTUBRE!AL27</f>
        <v>0</v>
      </c>
      <c r="W27" s="2091">
        <f>SEPTIEMBRE!W27+OCTUBRE!AM27</f>
        <v>0</v>
      </c>
      <c r="X27" s="2141">
        <f t="shared" si="20"/>
        <v>0</v>
      </c>
      <c r="Y27" s="2142">
        <f>SEPTIEMBRE!AA27</f>
        <v>0</v>
      </c>
      <c r="Z27" s="2077">
        <v>0</v>
      </c>
      <c r="AA27" s="2141">
        <f t="shared" si="21"/>
        <v>0</v>
      </c>
      <c r="AB27" s="2142">
        <f>SEPTIEMBRE!AD27</f>
        <v>0</v>
      </c>
      <c r="AC27" s="2077">
        <v>0</v>
      </c>
      <c r="AD27" s="2141">
        <f t="shared" si="22"/>
        <v>0</v>
      </c>
      <c r="AE27" s="2142">
        <f>SEPTIEMBRE!AG27</f>
        <v>0</v>
      </c>
      <c r="AF27" s="2077">
        <v>0</v>
      </c>
      <c r="AG27" s="2141">
        <f t="shared" si="23"/>
        <v>0</v>
      </c>
      <c r="AH27" s="2142">
        <f t="shared" si="24"/>
        <v>0</v>
      </c>
      <c r="AI27" s="2091">
        <f t="shared" si="25"/>
        <v>0</v>
      </c>
      <c r="AJ27" s="2143">
        <f t="shared" si="26"/>
        <v>0</v>
      </c>
      <c r="AK27" s="1968"/>
      <c r="AL27" s="2079">
        <v>0</v>
      </c>
      <c r="AM27" s="2080">
        <v>0</v>
      </c>
      <c r="AN27" s="1968"/>
      <c r="AO27" s="2023"/>
      <c r="AP27" s="2209" t="s">
        <v>124</v>
      </c>
      <c r="AQ27" s="2074">
        <f>X170</f>
        <v>163530003</v>
      </c>
      <c r="AR27" s="2074">
        <f>AD170</f>
        <v>86764095</v>
      </c>
      <c r="AS27" s="2074">
        <f>AG170</f>
        <v>82379304</v>
      </c>
      <c r="AT27" s="2196"/>
      <c r="AU27" s="2074">
        <f t="shared" si="28"/>
        <v>0.53056988569858954</v>
      </c>
      <c r="AV27" s="2074">
        <f t="shared" si="29"/>
        <v>0.50375651249758735</v>
      </c>
      <c r="AW27" s="2074">
        <f>(AR27-AD174-AD183-AD191)/$AO$2*12+AD174+AD183+AD191</f>
        <v>104116914</v>
      </c>
      <c r="AX27" s="2074">
        <f>(AS27-AG174-AG183-AG191)/$AO$2*12+AG174+AG183+AG191</f>
        <v>98855164.800000012</v>
      </c>
      <c r="AY27" s="2074">
        <f t="shared" si="30"/>
        <v>-59413089</v>
      </c>
      <c r="AZ27" s="2075">
        <f t="shared" si="31"/>
        <v>64674838.199999988</v>
      </c>
      <c r="BA27" s="1968"/>
      <c r="BB27" s="2093"/>
      <c r="BC27" s="2093"/>
      <c r="BD27" s="2093"/>
      <c r="BE27" s="2093"/>
      <c r="BF27" s="2093"/>
      <c r="BG27" s="2093"/>
      <c r="BH27" s="2093"/>
      <c r="BI27" s="2093"/>
      <c r="BJ27" s="2093"/>
      <c r="BK27" s="2093"/>
      <c r="BL27" s="2093"/>
      <c r="BM27" s="2214" t="s">
        <v>447</v>
      </c>
      <c r="BN27" s="2069">
        <f>+X209-X212-X218</f>
        <v>0</v>
      </c>
      <c r="BO27" s="2067">
        <f>+AA209-AA212-AA218</f>
        <v>0</v>
      </c>
      <c r="BP27" s="2067">
        <f>+AD209-AD212-AD218</f>
        <v>0</v>
      </c>
      <c r="BQ27" s="2070">
        <f>+AF209-AF212-AF218</f>
        <v>0</v>
      </c>
      <c r="BR27" s="2093"/>
    </row>
    <row r="28" spans="1:70" s="2181" customFormat="1" ht="24.95" customHeight="1">
      <c r="A28" s="2157">
        <f>+IF(SEPTIEMBRE!A28=0,"",SEPTIEMBRE!A28)</f>
        <v>1130103</v>
      </c>
      <c r="B28" s="2215" t="str">
        <f>+IF(SEPTIEMBRE!B28=0,"",SEPTIEMBRE!B28)</f>
        <v>SUBSIDIO A LA OFERTA- ATENCION PERSONAS POBRES NO CUBIERTOS CON SUBSIDIO A LA DEMANDA</v>
      </c>
      <c r="C28" s="2159">
        <f>C29+C32+C35+C38+C39+C40</f>
        <v>157521482</v>
      </c>
      <c r="D28" s="2193">
        <f>+D29+D32+D35+D38+D39+D40</f>
        <v>0</v>
      </c>
      <c r="E28" s="2193">
        <f>+E29+E32+E35+E38+E39+E40</f>
        <v>258289958</v>
      </c>
      <c r="F28" s="2193">
        <f>+F29+F32+F35+F38+F39+F40</f>
        <v>415811440</v>
      </c>
      <c r="G28" s="2193">
        <f t="shared" ref="G28:N28" si="33">G29+G32+G35+G38+G39+G40</f>
        <v>1344144559</v>
      </c>
      <c r="H28" s="2193">
        <f t="shared" si="33"/>
        <v>154831025</v>
      </c>
      <c r="I28" s="2193">
        <f t="shared" si="33"/>
        <v>1498975584</v>
      </c>
      <c r="J28" s="2193">
        <f t="shared" si="33"/>
        <v>259877919</v>
      </c>
      <c r="K28" s="2193">
        <f t="shared" si="33"/>
        <v>43012832</v>
      </c>
      <c r="L28" s="2193">
        <f t="shared" si="33"/>
        <v>302890751</v>
      </c>
      <c r="M28" s="2193">
        <f t="shared" si="33"/>
        <v>-1083164144</v>
      </c>
      <c r="N28" s="2160">
        <f t="shared" si="33"/>
        <v>112920689</v>
      </c>
      <c r="O28" s="2093"/>
      <c r="P28" s="2159">
        <f>P29+P32+P35+P38+P39+P940</f>
        <v>0</v>
      </c>
      <c r="Q28" s="2160">
        <f>Q29+Q32+Q35+Q38+Q39+Q40</f>
        <v>0</v>
      </c>
      <c r="R28" s="1968"/>
      <c r="S28" s="2184" t="str">
        <f>+IF(SEPTIEMBRE!S28=0,"",SEPTIEMBRE!S28)</f>
        <v>1010104-10</v>
      </c>
      <c r="T28" s="2185" t="str">
        <f>+IF(SEPTIEMBRE!T28=0,"",SEPTIEMBRE!T28)</f>
        <v>Subsidio de Alimentación</v>
      </c>
      <c r="U28" s="2140">
        <f>+ENERO!U28</f>
        <v>532000</v>
      </c>
      <c r="V28" s="2091">
        <f>SEPTIEMBRE!V28+OCTUBRE!AL28</f>
        <v>353000</v>
      </c>
      <c r="W28" s="2091">
        <f>SEPTIEMBRE!W28+OCTUBRE!AM28</f>
        <v>183111</v>
      </c>
      <c r="X28" s="2141">
        <f t="shared" si="20"/>
        <v>1068111</v>
      </c>
      <c r="Y28" s="2142">
        <f>SEPTIEMBRE!AA28</f>
        <v>626578</v>
      </c>
      <c r="Z28" s="2077">
        <v>57256</v>
      </c>
      <c r="AA28" s="2141">
        <f t="shared" si="21"/>
        <v>683834</v>
      </c>
      <c r="AB28" s="2142">
        <f>SEPTIEMBRE!AD28</f>
        <v>626578</v>
      </c>
      <c r="AC28" s="2077">
        <v>57256</v>
      </c>
      <c r="AD28" s="2141">
        <f t="shared" si="22"/>
        <v>683834</v>
      </c>
      <c r="AE28" s="2142">
        <f>SEPTIEMBRE!AG28</f>
        <v>626578</v>
      </c>
      <c r="AF28" s="2077">
        <v>57256</v>
      </c>
      <c r="AG28" s="2141">
        <f t="shared" si="23"/>
        <v>683834</v>
      </c>
      <c r="AH28" s="2142">
        <f t="shared" si="24"/>
        <v>384277</v>
      </c>
      <c r="AI28" s="2091">
        <f t="shared" si="25"/>
        <v>384277</v>
      </c>
      <c r="AJ28" s="2143">
        <f t="shared" si="26"/>
        <v>384277</v>
      </c>
      <c r="AK28" s="1968"/>
      <c r="AL28" s="2079">
        <v>258000</v>
      </c>
      <c r="AM28" s="2080">
        <v>183111</v>
      </c>
      <c r="AN28" s="1968"/>
      <c r="AO28" s="2023"/>
      <c r="AP28" s="2216" t="s">
        <v>586</v>
      </c>
      <c r="AQ28" s="2074">
        <f>X195</f>
        <v>16259908040</v>
      </c>
      <c r="AR28" s="2074">
        <f>AD195</f>
        <v>12746323521</v>
      </c>
      <c r="AS28" s="2074">
        <f>AG195</f>
        <v>6941612554</v>
      </c>
      <c r="AT28" s="2196"/>
      <c r="AU28" s="2074">
        <f t="shared" si="28"/>
        <v>0.78391116909416425</v>
      </c>
      <c r="AV28" s="2074">
        <f t="shared" si="29"/>
        <v>0.42691585566925505</v>
      </c>
      <c r="AW28" s="2074">
        <f>(AR28-AD207)/$AO$2*12+AD207</f>
        <v>14730298051.200001</v>
      </c>
      <c r="AX28" s="2074">
        <f>(AS28-AG207)/$AO$2*12+AG207</f>
        <v>7764644890.7999992</v>
      </c>
      <c r="AY28" s="2074">
        <f t="shared" si="30"/>
        <v>-1529609988.7999992</v>
      </c>
      <c r="AZ28" s="2075">
        <f t="shared" si="31"/>
        <v>8495263149.2000008</v>
      </c>
      <c r="BA28" s="2093"/>
      <c r="BB28" s="2093"/>
      <c r="BC28" s="2093"/>
      <c r="BD28" s="2093"/>
      <c r="BE28" s="2093"/>
      <c r="BF28" s="2093"/>
      <c r="BG28" s="2093"/>
      <c r="BH28" s="2093"/>
      <c r="BI28" s="2093"/>
      <c r="BJ28" s="2093"/>
      <c r="BK28" s="2093"/>
      <c r="BL28" s="2093"/>
      <c r="BM28" s="2013" t="s">
        <v>448</v>
      </c>
      <c r="BN28" s="2056">
        <f>+X196-X198-X207</f>
        <v>8745909269</v>
      </c>
      <c r="BO28" s="2054">
        <f>+AA196-AA198-AA207</f>
        <v>7991040925</v>
      </c>
      <c r="BP28" s="2054">
        <f>+AD196-AD198-AD207</f>
        <v>6865708954</v>
      </c>
      <c r="BQ28" s="2057">
        <f>+AF196-AF198-AF207</f>
        <v>418348631</v>
      </c>
      <c r="BR28" s="1968"/>
    </row>
    <row r="29" spans="1:70" s="1968" customFormat="1" ht="24.95" customHeight="1">
      <c r="A29" s="2071" t="str">
        <f>+IF(SEPTIEMBRE!A29=0,"",SEPTIEMBRE!A29)</f>
        <v>1130103-1</v>
      </c>
      <c r="B29" s="2217" t="str">
        <f>+IF(SEPTIEMBRE!B29=0,"",SEPTIEMBRE!B29)</f>
        <v>Prestación de Servicios de salud  1er Nivel</v>
      </c>
      <c r="C29" s="2142">
        <f t="shared" ref="C29:N29" si="34">SUM(C30:C31)</f>
        <v>0</v>
      </c>
      <c r="D29" s="2091">
        <f t="shared" si="34"/>
        <v>0</v>
      </c>
      <c r="E29" s="2091">
        <f t="shared" si="34"/>
        <v>0</v>
      </c>
      <c r="F29" s="2091">
        <f t="shared" si="34"/>
        <v>0</v>
      </c>
      <c r="G29" s="2091">
        <f t="shared" si="34"/>
        <v>0</v>
      </c>
      <c r="H29" s="2091">
        <f t="shared" si="34"/>
        <v>0</v>
      </c>
      <c r="I29" s="2091">
        <f t="shared" si="34"/>
        <v>0</v>
      </c>
      <c r="J29" s="2091">
        <f t="shared" si="34"/>
        <v>0</v>
      </c>
      <c r="K29" s="2091">
        <f t="shared" si="34"/>
        <v>0</v>
      </c>
      <c r="L29" s="2091">
        <f t="shared" si="34"/>
        <v>0</v>
      </c>
      <c r="M29" s="2091">
        <f t="shared" si="34"/>
        <v>0</v>
      </c>
      <c r="N29" s="2143">
        <f t="shared" si="34"/>
        <v>0</v>
      </c>
      <c r="O29" s="2093"/>
      <c r="P29" s="2218">
        <f>SUM(P30:P31)</f>
        <v>0</v>
      </c>
      <c r="Q29" s="2219">
        <f>SUM(Q30:Q31)</f>
        <v>0</v>
      </c>
      <c r="S29" s="2184" t="str">
        <f>+IF(SEPTIEMBRE!S29=0,"",SEPTIEMBRE!S29)</f>
        <v>1010104-11</v>
      </c>
      <c r="T29" s="2185" t="str">
        <f>+IF(SEPTIEMBRE!T29=0,"",SEPTIEMBRE!T29)</f>
        <v>Gastos de Representación</v>
      </c>
      <c r="U29" s="2140">
        <f>+ENERO!U29</f>
        <v>0</v>
      </c>
      <c r="V29" s="2091">
        <f>SEPTIEMBRE!V29+OCTUBRE!AL29</f>
        <v>0</v>
      </c>
      <c r="W29" s="2091">
        <f>SEPTIEMBRE!W29+OCTUBRE!AM29</f>
        <v>0</v>
      </c>
      <c r="X29" s="2141">
        <f t="shared" si="20"/>
        <v>0</v>
      </c>
      <c r="Y29" s="2142">
        <f>SEPTIEMBRE!AA29</f>
        <v>0</v>
      </c>
      <c r="Z29" s="2077">
        <v>0</v>
      </c>
      <c r="AA29" s="2141">
        <f t="shared" si="21"/>
        <v>0</v>
      </c>
      <c r="AB29" s="2142">
        <f>SEPTIEMBRE!AD29</f>
        <v>0</v>
      </c>
      <c r="AC29" s="2077">
        <v>0</v>
      </c>
      <c r="AD29" s="2141">
        <f t="shared" si="22"/>
        <v>0</v>
      </c>
      <c r="AE29" s="2142">
        <f>SEPTIEMBRE!AG29</f>
        <v>0</v>
      </c>
      <c r="AF29" s="2077">
        <v>0</v>
      </c>
      <c r="AG29" s="2141">
        <f t="shared" si="23"/>
        <v>0</v>
      </c>
      <c r="AH29" s="2142">
        <f t="shared" si="24"/>
        <v>0</v>
      </c>
      <c r="AI29" s="2091">
        <f t="shared" si="25"/>
        <v>0</v>
      </c>
      <c r="AJ29" s="2143">
        <f t="shared" si="26"/>
        <v>0</v>
      </c>
      <c r="AL29" s="2079">
        <v>0</v>
      </c>
      <c r="AM29" s="2080">
        <v>0</v>
      </c>
      <c r="AO29" s="1972"/>
      <c r="AP29" s="2216" t="s">
        <v>585</v>
      </c>
      <c r="AQ29" s="2074">
        <f>X209</f>
        <v>0</v>
      </c>
      <c r="AR29" s="2074">
        <f>AD209</f>
        <v>0</v>
      </c>
      <c r="AS29" s="2074">
        <f>AG209</f>
        <v>0</v>
      </c>
      <c r="AT29" s="1974"/>
      <c r="AU29" s="2005" t="str">
        <f t="shared" si="28"/>
        <v xml:space="preserve"> </v>
      </c>
      <c r="AV29" s="2005" t="str">
        <f t="shared" si="29"/>
        <v xml:space="preserve"> </v>
      </c>
      <c r="AW29" s="2206">
        <f>(AR29-AD218)/$AO$2*12+AD218</f>
        <v>0</v>
      </c>
      <c r="AX29" s="2206">
        <f>(AS29-AG218)/$AO$2*12+AG218</f>
        <v>0</v>
      </c>
      <c r="AY29" s="2206">
        <f t="shared" si="30"/>
        <v>0</v>
      </c>
      <c r="AZ29" s="2207">
        <f t="shared" si="31"/>
        <v>0</v>
      </c>
      <c r="BA29" s="2093"/>
      <c r="BB29" s="2181"/>
      <c r="BC29" s="2181"/>
      <c r="BD29" s="2181"/>
      <c r="BE29" s="2181"/>
      <c r="BF29" s="2181"/>
      <c r="BG29" s="2093"/>
      <c r="BH29" s="2093"/>
      <c r="BI29" s="2093"/>
      <c r="BJ29" s="2093"/>
      <c r="BK29" s="2093"/>
      <c r="BM29" s="2220" t="s">
        <v>70</v>
      </c>
      <c r="BN29" s="2210">
        <f>X232-X256-X241</f>
        <v>433878092</v>
      </c>
      <c r="BO29" s="2211">
        <f>AA232-AA256-AA241</f>
        <v>352813794</v>
      </c>
      <c r="BP29" s="2211">
        <f>AD232-AD256-AD241</f>
        <v>336273002</v>
      </c>
      <c r="BQ29" s="2212">
        <f>AF232-AF256-AF241</f>
        <v>0</v>
      </c>
      <c r="BR29" s="2093"/>
    </row>
    <row r="30" spans="1:70" s="2181" customFormat="1" ht="24.95" customHeight="1">
      <c r="A30" s="2071" t="str">
        <f>+IF(SEPTIEMBRE!A30=0,"",SEPTIEMBRE!A30)</f>
        <v>1130103-1-1</v>
      </c>
      <c r="B30" s="2204" t="str">
        <f>+CONCATENATE("Vigencia ",INSTRUCCIONES!$F$3)</f>
        <v>Vigencia 2017</v>
      </c>
      <c r="C30" s="2073">
        <f>+ENERO!C30</f>
        <v>0</v>
      </c>
      <c r="D30" s="2074">
        <f>SEPTIEMBRE!D30+OCTUBRE!P30</f>
        <v>0</v>
      </c>
      <c r="E30" s="2074">
        <f>SEPTIEMBRE!E30+OCTUBRE!Q30</f>
        <v>0</v>
      </c>
      <c r="F30" s="2074">
        <f>SUM(C30:E30)</f>
        <v>0</v>
      </c>
      <c r="G30" s="2074">
        <f>SEPTIEMBRE!I30</f>
        <v>0</v>
      </c>
      <c r="H30" s="2077">
        <v>0</v>
      </c>
      <c r="I30" s="2074">
        <f>SUM(G30:H30)</f>
        <v>0</v>
      </c>
      <c r="J30" s="2074">
        <f>SEPTIEMBRE!L30</f>
        <v>0</v>
      </c>
      <c r="K30" s="2077">
        <v>0</v>
      </c>
      <c r="L30" s="2074">
        <f>SUM(J30:K30)</f>
        <v>0</v>
      </c>
      <c r="M30" s="2074">
        <f>F30-I30</f>
        <v>0</v>
      </c>
      <c r="N30" s="2075">
        <f>F30-L30</f>
        <v>0</v>
      </c>
      <c r="O30" s="1968"/>
      <c r="P30" s="2079">
        <v>0</v>
      </c>
      <c r="Q30" s="2080">
        <v>0</v>
      </c>
      <c r="R30" s="1968"/>
      <c r="S30" s="2184" t="str">
        <f>+IF(SEPTIEMBRE!S30=0,"",SEPTIEMBRE!S30)</f>
        <v>1010104-12</v>
      </c>
      <c r="T30" s="2185" t="str">
        <f>+IF(SEPTIEMBRE!T30=0,"",SEPTIEMBRE!T30)</f>
        <v xml:space="preserve"> Indemnizaciones por Vacaciones o Supresión de Cargos por Reestructuración</v>
      </c>
      <c r="U30" s="2140">
        <f>+ENERO!U30</f>
        <v>0</v>
      </c>
      <c r="V30" s="2091">
        <f>SEPTIEMBRE!V30+OCTUBRE!AL30</f>
        <v>0</v>
      </c>
      <c r="W30" s="2091">
        <f>SEPTIEMBRE!W30+OCTUBRE!AM30</f>
        <v>0</v>
      </c>
      <c r="X30" s="2141">
        <f t="shared" si="20"/>
        <v>0</v>
      </c>
      <c r="Y30" s="2142">
        <f>SEPTIEMBRE!AA30</f>
        <v>0</v>
      </c>
      <c r="Z30" s="2077">
        <v>0</v>
      </c>
      <c r="AA30" s="2141">
        <f t="shared" si="21"/>
        <v>0</v>
      </c>
      <c r="AB30" s="2142">
        <f>SEPTIEMBRE!AD30</f>
        <v>0</v>
      </c>
      <c r="AC30" s="2077">
        <v>0</v>
      </c>
      <c r="AD30" s="2141">
        <f t="shared" si="22"/>
        <v>0</v>
      </c>
      <c r="AE30" s="2142">
        <f>SEPTIEMBRE!AG30</f>
        <v>0</v>
      </c>
      <c r="AF30" s="2077">
        <v>0</v>
      </c>
      <c r="AG30" s="2141">
        <f t="shared" si="23"/>
        <v>0</v>
      </c>
      <c r="AH30" s="2142">
        <f t="shared" si="24"/>
        <v>0</v>
      </c>
      <c r="AI30" s="2091">
        <f t="shared" si="25"/>
        <v>0</v>
      </c>
      <c r="AJ30" s="2143">
        <f t="shared" si="26"/>
        <v>0</v>
      </c>
      <c r="AK30" s="1968"/>
      <c r="AL30" s="2079">
        <v>0</v>
      </c>
      <c r="AM30" s="2080">
        <v>0</v>
      </c>
      <c r="AN30" s="1968"/>
      <c r="AO30" s="2064" t="s">
        <v>51</v>
      </c>
      <c r="AP30" s="2209" t="s">
        <v>132</v>
      </c>
      <c r="AQ30" s="2074">
        <f>X220+X232</f>
        <v>433878092</v>
      </c>
      <c r="AR30" s="2074">
        <f>AD220+AD232</f>
        <v>336273002</v>
      </c>
      <c r="AS30" s="2074">
        <f>AG220+AG232</f>
        <v>172740563</v>
      </c>
      <c r="AT30" s="2196"/>
      <c r="AU30" s="2074">
        <f t="shared" si="28"/>
        <v>0.7750402894276579</v>
      </c>
      <c r="AV30" s="2074">
        <f t="shared" si="29"/>
        <v>0.39813156318572546</v>
      </c>
      <c r="AW30" s="2074">
        <f>(AR30-AD225-AD230-AD241-AD256)/$AO$2*12+AD225+AD230+AD241+AD256</f>
        <v>403527602.40000004</v>
      </c>
      <c r="AX30" s="2074">
        <f>(AS30-AG225-AG230-AG241-AG256)/$AO$2*12+AG225+AG230+AG241+AG256</f>
        <v>207288675.60000002</v>
      </c>
      <c r="AY30" s="2074">
        <f t="shared" si="30"/>
        <v>-30350489.599999964</v>
      </c>
      <c r="AZ30" s="2075">
        <f t="shared" si="31"/>
        <v>226589416.39999998</v>
      </c>
      <c r="BA30" s="2093"/>
      <c r="BG30" s="2093"/>
      <c r="BH30" s="2093"/>
      <c r="BI30" s="2093"/>
      <c r="BJ30" s="2093"/>
      <c r="BK30" s="2093"/>
      <c r="BL30" s="2093"/>
      <c r="BM30" s="2220" t="s">
        <v>74</v>
      </c>
      <c r="BN30" s="2210">
        <f>X220-X225-X230</f>
        <v>0</v>
      </c>
      <c r="BO30" s="2211">
        <f>AA220-AA225-AA230</f>
        <v>0</v>
      </c>
      <c r="BP30" s="2211">
        <f>AD220-AD225-AD230</f>
        <v>0</v>
      </c>
      <c r="BQ30" s="2212">
        <f>AF220-AF225-AF230</f>
        <v>0</v>
      </c>
      <c r="BR30" s="2093"/>
    </row>
    <row r="31" spans="1:70" s="2181" customFormat="1" ht="24.95" customHeight="1">
      <c r="A31" s="2071" t="str">
        <f>+IF(SEPTIEMBRE!A31=0,"",SEPTIEMBRE!A31)</f>
        <v>1130103-1-2</v>
      </c>
      <c r="B31" s="2204" t="str">
        <f>+IF(SEPTIEMBRE!B31=0,"",SEPTIEMBRE!B31)</f>
        <v>Vigencia Anterior</v>
      </c>
      <c r="C31" s="2073">
        <f>+ENERO!C31</f>
        <v>0</v>
      </c>
      <c r="D31" s="2074">
        <f>SEPTIEMBRE!D31+OCTUBRE!P31</f>
        <v>0</v>
      </c>
      <c r="E31" s="2074">
        <f>SEPTIEMBRE!E31+OCTUBRE!Q31</f>
        <v>0</v>
      </c>
      <c r="F31" s="2074">
        <f>SUM(C31:E31)</f>
        <v>0</v>
      </c>
      <c r="G31" s="2074">
        <f>SEPTIEMBRE!I31</f>
        <v>0</v>
      </c>
      <c r="H31" s="2077">
        <v>0</v>
      </c>
      <c r="I31" s="2074">
        <f>SUM(G31:H31)</f>
        <v>0</v>
      </c>
      <c r="J31" s="2074">
        <f>SEPTIEMBRE!L31</f>
        <v>0</v>
      </c>
      <c r="K31" s="2077">
        <v>0</v>
      </c>
      <c r="L31" s="2074">
        <f>SUM(J31:K31)</f>
        <v>0</v>
      </c>
      <c r="M31" s="2074">
        <f>F31-I31</f>
        <v>0</v>
      </c>
      <c r="N31" s="2075">
        <f>F31-L31</f>
        <v>0</v>
      </c>
      <c r="O31" s="2093"/>
      <c r="P31" s="2079">
        <v>0</v>
      </c>
      <c r="Q31" s="2080">
        <v>0</v>
      </c>
      <c r="R31" s="1968"/>
      <c r="S31" s="2184" t="str">
        <f>+IF(SEPTIEMBRE!S31=0,"",SEPTIEMBRE!S31)</f>
        <v>1010104-13</v>
      </c>
      <c r="T31" s="2185" t="str">
        <f>+IF(SEPTIEMBRE!T31=0,"",SEPTIEMBRE!T31)</f>
        <v>Bonificación Especial por Recreación</v>
      </c>
      <c r="U31" s="2140">
        <f>+ENERO!U31</f>
        <v>1869843</v>
      </c>
      <c r="V31" s="2091">
        <f>SEPTIEMBRE!V31+OCTUBRE!AL31</f>
        <v>2000000</v>
      </c>
      <c r="W31" s="2091">
        <f>SEPTIEMBRE!W31+OCTUBRE!AM31</f>
        <v>17265</v>
      </c>
      <c r="X31" s="2141">
        <f t="shared" si="20"/>
        <v>3887108</v>
      </c>
      <c r="Y31" s="2142">
        <f>SEPTIEMBRE!AA31</f>
        <v>931984</v>
      </c>
      <c r="Z31" s="2077">
        <v>2074638</v>
      </c>
      <c r="AA31" s="2141">
        <f t="shared" si="21"/>
        <v>3006622</v>
      </c>
      <c r="AB31" s="2142">
        <f>SEPTIEMBRE!AD31</f>
        <v>931984</v>
      </c>
      <c r="AC31" s="2077">
        <v>2074638</v>
      </c>
      <c r="AD31" s="2141">
        <f t="shared" si="22"/>
        <v>3006622</v>
      </c>
      <c r="AE31" s="2142">
        <f>SEPTIEMBRE!AG31</f>
        <v>931984</v>
      </c>
      <c r="AF31" s="2077">
        <v>2074638</v>
      </c>
      <c r="AG31" s="2141">
        <f t="shared" si="23"/>
        <v>3006622</v>
      </c>
      <c r="AH31" s="2142">
        <f t="shared" si="24"/>
        <v>880486</v>
      </c>
      <c r="AI31" s="2091">
        <f t="shared" si="25"/>
        <v>880486</v>
      </c>
      <c r="AJ31" s="2143">
        <f t="shared" si="26"/>
        <v>880486</v>
      </c>
      <c r="AK31" s="1968"/>
      <c r="AL31" s="2079">
        <v>2000000</v>
      </c>
      <c r="AM31" s="2080">
        <v>17265</v>
      </c>
      <c r="AN31" s="1968"/>
      <c r="AO31" s="2023"/>
      <c r="AP31" s="2173" t="s">
        <v>135</v>
      </c>
      <c r="AQ31" s="2196">
        <f>X258</f>
        <v>0</v>
      </c>
      <c r="AR31" s="2196">
        <f>AD258</f>
        <v>-17223140249</v>
      </c>
      <c r="AS31" s="2196">
        <f>AG258</f>
        <v>-33203352375</v>
      </c>
      <c r="AT31" s="2196"/>
      <c r="AU31" s="2074" t="str">
        <f t="shared" si="28"/>
        <v xml:space="preserve"> </v>
      </c>
      <c r="AV31" s="2074" t="str">
        <f t="shared" si="29"/>
        <v xml:space="preserve"> </v>
      </c>
      <c r="AW31" s="2074">
        <f>AQ31</f>
        <v>0</v>
      </c>
      <c r="AX31" s="2074">
        <f>AQ31</f>
        <v>0</v>
      </c>
      <c r="AY31" s="2074">
        <f t="shared" si="30"/>
        <v>0</v>
      </c>
      <c r="AZ31" s="2075">
        <f t="shared" si="31"/>
        <v>0</v>
      </c>
      <c r="BA31" s="2093"/>
      <c r="BB31" s="2093"/>
      <c r="BC31" s="2093"/>
      <c r="BD31" s="2093"/>
      <c r="BE31" s="2093"/>
      <c r="BF31" s="2093"/>
      <c r="BG31" s="2093"/>
      <c r="BH31" s="2093"/>
      <c r="BI31" s="2093"/>
      <c r="BJ31" s="2093"/>
      <c r="BK31" s="2093"/>
      <c r="BL31" s="2093"/>
      <c r="BM31" s="2220" t="s">
        <v>130</v>
      </c>
      <c r="BN31" s="2210">
        <f>X33+X41+X55+X61+X81+X88+X102+X108+X121+X139+X143+X153+X168+X174+X183+X191+X207+X218+X230+X241+X256+X225</f>
        <v>11164400104</v>
      </c>
      <c r="BO31" s="2211">
        <f>AA33+AA41+AA55+AA61+AA81+AA88+AA102+AA108+AA121+AA139+AA143+AA153+AA168+AA174+AA183+AA191+AA207+AA218+AA230+AA241+AA256+AA225</f>
        <v>11106246080</v>
      </c>
      <c r="BP31" s="2211">
        <f>AD33+AD41+AD55+AD61+AD81+AD88+AD102+AD108+AD121+AD139+AD143+AD153+AD168+AD174+AD183+AD191+AD207+AD218+AD230+AD241+AD256+AD225</f>
        <v>11106246080</v>
      </c>
      <c r="BQ31" s="2212">
        <f>AF33+AF41+AF55+AF61+AF81+AF88+AF102+AF108+AF121+AF139+AF143+AF153+AF168+AF174+AF183+AF191+AF207+AF218+AF230+AF241+AF256+AF225</f>
        <v>151787709</v>
      </c>
      <c r="BR31" s="1968"/>
    </row>
    <row r="32" spans="1:70" s="1968" customFormat="1" ht="24.95" customHeight="1" thickBot="1">
      <c r="A32" s="2071" t="str">
        <f>+IF(SEPTIEMBRE!A32=0,"",SEPTIEMBRE!A32)</f>
        <v>1130103-2</v>
      </c>
      <c r="B32" s="2217" t="str">
        <f>+IF(SEPTIEMBRE!B32=0,"",SEPTIEMBRE!B32)</f>
        <v>Prestación de Servicios de salud  2o. Nivel</v>
      </c>
      <c r="C32" s="2142">
        <f t="shared" ref="C32:N32" si="35">SUM(C33:C34)</f>
        <v>157521482</v>
      </c>
      <c r="D32" s="2091">
        <f t="shared" si="35"/>
        <v>0</v>
      </c>
      <c r="E32" s="2091">
        <f t="shared" si="35"/>
        <v>212958</v>
      </c>
      <c r="F32" s="2091">
        <f t="shared" si="35"/>
        <v>157734440</v>
      </c>
      <c r="G32" s="2091">
        <f t="shared" si="35"/>
        <v>1193599647</v>
      </c>
      <c r="H32" s="2091">
        <f t="shared" si="35"/>
        <v>111818193</v>
      </c>
      <c r="I32" s="2091">
        <f t="shared" si="35"/>
        <v>1305417840</v>
      </c>
      <c r="J32" s="2091">
        <f t="shared" si="35"/>
        <v>109333007</v>
      </c>
      <c r="K32" s="2091">
        <f t="shared" si="35"/>
        <v>0</v>
      </c>
      <c r="L32" s="2091">
        <f t="shared" si="35"/>
        <v>109333007</v>
      </c>
      <c r="M32" s="2091">
        <f t="shared" si="35"/>
        <v>-1147683400</v>
      </c>
      <c r="N32" s="2143">
        <f t="shared" si="35"/>
        <v>48401433</v>
      </c>
      <c r="O32" s="2093"/>
      <c r="P32" s="2218">
        <f>SUM(P33:P34)</f>
        <v>0</v>
      </c>
      <c r="Q32" s="2219">
        <f>SUM(Q33:Q34)</f>
        <v>0</v>
      </c>
      <c r="S32" s="2184" t="str">
        <f>+IF(SEPTIEMBRE!S32=0,"",SEPTIEMBRE!S32)</f>
        <v>1010104-14</v>
      </c>
      <c r="T32" s="2185" t="str">
        <f>+IF(SEPTIEMBRE!T32=0,"",SEPTIEMBRE!T32)</f>
        <v/>
      </c>
      <c r="U32" s="2140">
        <f>+ENERO!U32</f>
        <v>0</v>
      </c>
      <c r="V32" s="2091">
        <f>SEPTIEMBRE!V32+OCTUBRE!AL32</f>
        <v>0</v>
      </c>
      <c r="W32" s="2091">
        <f>SEPTIEMBRE!W32+OCTUBRE!AM32</f>
        <v>0</v>
      </c>
      <c r="X32" s="2141">
        <f t="shared" si="20"/>
        <v>0</v>
      </c>
      <c r="Y32" s="2142">
        <f>SEPTIEMBRE!AA32</f>
        <v>0</v>
      </c>
      <c r="Z32" s="2077">
        <v>0</v>
      </c>
      <c r="AA32" s="2141">
        <f t="shared" si="21"/>
        <v>0</v>
      </c>
      <c r="AB32" s="2142">
        <f>SEPTIEMBRE!AD32</f>
        <v>0</v>
      </c>
      <c r="AC32" s="2077">
        <v>0</v>
      </c>
      <c r="AD32" s="2141">
        <f t="shared" si="22"/>
        <v>0</v>
      </c>
      <c r="AE32" s="2142">
        <f>SEPTIEMBRE!AG32</f>
        <v>0</v>
      </c>
      <c r="AF32" s="2077">
        <v>0</v>
      </c>
      <c r="AG32" s="2141">
        <f t="shared" si="23"/>
        <v>0</v>
      </c>
      <c r="AH32" s="2142">
        <f t="shared" si="24"/>
        <v>0</v>
      </c>
      <c r="AI32" s="2091">
        <f t="shared" si="25"/>
        <v>0</v>
      </c>
      <c r="AJ32" s="2143">
        <f t="shared" si="26"/>
        <v>0</v>
      </c>
      <c r="AL32" s="2079">
        <v>0</v>
      </c>
      <c r="AM32" s="2080">
        <v>0</v>
      </c>
      <c r="AO32" s="1972"/>
      <c r="AP32" s="2221" t="s">
        <v>140</v>
      </c>
      <c r="AQ32" s="2133">
        <f>SUM(AQ22:AQ31)</f>
        <v>66999687890</v>
      </c>
      <c r="AR32" s="2133">
        <f>SUM(AR22:AR31)</f>
        <v>33677158497</v>
      </c>
      <c r="AS32" s="2133">
        <f>SUM(AS22:AS31)</f>
        <v>0</v>
      </c>
      <c r="AT32" s="2222"/>
      <c r="AU32" s="2223">
        <f t="shared" si="28"/>
        <v>0.5026464981790828</v>
      </c>
      <c r="AV32" s="2223">
        <f t="shared" si="29"/>
        <v>0</v>
      </c>
      <c r="AW32" s="2025">
        <f>SUM(AW22:AW31)</f>
        <v>58893788948.700005</v>
      </c>
      <c r="AX32" s="2025">
        <f>SUM(AX22:AX31)</f>
        <v>37657453303.5</v>
      </c>
      <c r="AY32" s="2025">
        <f>SUM(AY22:AY31)</f>
        <v>-8105898941.2999983</v>
      </c>
      <c r="AZ32" s="2026">
        <f>SUM(AZ22:AZ31)</f>
        <v>29342234586.5</v>
      </c>
      <c r="BA32" s="2093"/>
      <c r="BB32" s="2181"/>
      <c r="BC32" s="2181"/>
      <c r="BD32" s="2181"/>
      <c r="BE32" s="2181"/>
      <c r="BF32" s="2181"/>
      <c r="BG32" s="2093"/>
      <c r="BH32" s="2093"/>
      <c r="BI32" s="2093"/>
      <c r="BJ32" s="2093"/>
      <c r="BK32" s="2093"/>
      <c r="BM32" s="2220" t="s">
        <v>136</v>
      </c>
      <c r="BN32" s="2210">
        <f>+BN7+BN25+BN29+BN30+BN31</f>
        <v>66999687890</v>
      </c>
      <c r="BO32" s="2211">
        <f t="shared" ref="BO32:BQ32" si="36">+BO7+BO25+BO29+BO30+BO31</f>
        <v>61647334143</v>
      </c>
      <c r="BP32" s="2211">
        <f t="shared" si="36"/>
        <v>50900298746</v>
      </c>
      <c r="BQ32" s="2212">
        <f t="shared" si="36"/>
        <v>3303635239</v>
      </c>
      <c r="BR32" s="2093"/>
    </row>
    <row r="33" spans="1:70" s="2181" customFormat="1" ht="24.95" customHeight="1" thickBot="1">
      <c r="A33" s="2071" t="str">
        <f>+IF(SEPTIEMBRE!A33=0,"",SEPTIEMBRE!A33)</f>
        <v>1130103-2-1</v>
      </c>
      <c r="B33" s="2204" t="str">
        <f>+CONCATENATE("Vigencia ",INSTRUCCIONES!$F$3)</f>
        <v>Vigencia 2017</v>
      </c>
      <c r="C33" s="2073">
        <f>+ENERO!C33</f>
        <v>157521482</v>
      </c>
      <c r="D33" s="2074">
        <f>SEPTIEMBRE!D33+OCTUBRE!P33</f>
        <v>0</v>
      </c>
      <c r="E33" s="2074">
        <f>SEPTIEMBRE!E33+OCTUBRE!Q33</f>
        <v>0</v>
      </c>
      <c r="F33" s="2074">
        <f>SUM(C33:E33)</f>
        <v>157521482</v>
      </c>
      <c r="G33" s="2074">
        <f>SEPTIEMBRE!I33</f>
        <v>1193386689</v>
      </c>
      <c r="H33" s="2077">
        <v>111818193</v>
      </c>
      <c r="I33" s="2074">
        <f>SUM(G33:H33)</f>
        <v>1305204882</v>
      </c>
      <c r="J33" s="2074">
        <f>SEPTIEMBRE!L33</f>
        <v>109120049</v>
      </c>
      <c r="K33" s="2077">
        <v>0</v>
      </c>
      <c r="L33" s="2074">
        <f>SUM(J33:K33)</f>
        <v>109120049</v>
      </c>
      <c r="M33" s="2074">
        <f>F33-I33</f>
        <v>-1147683400</v>
      </c>
      <c r="N33" s="2075">
        <f>F33-L33</f>
        <v>48401433</v>
      </c>
      <c r="O33" s="1968"/>
      <c r="P33" s="2079">
        <v>0</v>
      </c>
      <c r="Q33" s="2080">
        <v>0</v>
      </c>
      <c r="R33" s="1968"/>
      <c r="S33" s="2138">
        <f>+IF(SEPTIEMBRE!S33=0,"",SEPTIEMBRE!S33)</f>
        <v>1010199</v>
      </c>
      <c r="T33" s="2139" t="str">
        <f>+IF(SEPTIEMBRE!T33=0,"",SEPTIEMBRE!T33)</f>
        <v>Vigencias Anteriores</v>
      </c>
      <c r="U33" s="2140">
        <f>+ENERO!U33</f>
        <v>0</v>
      </c>
      <c r="V33" s="2091">
        <f>SEPTIEMBRE!V33+OCTUBRE!AL33</f>
        <v>0</v>
      </c>
      <c r="W33" s="2091">
        <f>SEPTIEMBRE!W33+OCTUBRE!AM33</f>
        <v>0</v>
      </c>
      <c r="X33" s="2141">
        <f t="shared" si="20"/>
        <v>0</v>
      </c>
      <c r="Y33" s="2142">
        <f>SEPTIEMBRE!AA33</f>
        <v>0</v>
      </c>
      <c r="Z33" s="2077">
        <v>0</v>
      </c>
      <c r="AA33" s="2141">
        <f t="shared" si="21"/>
        <v>0</v>
      </c>
      <c r="AB33" s="2142">
        <f>SEPTIEMBRE!AD33</f>
        <v>0</v>
      </c>
      <c r="AC33" s="2077">
        <v>0</v>
      </c>
      <c r="AD33" s="2141">
        <f t="shared" si="22"/>
        <v>0</v>
      </c>
      <c r="AE33" s="2142">
        <f>SEPTIEMBRE!AG33</f>
        <v>0</v>
      </c>
      <c r="AF33" s="2077">
        <v>0</v>
      </c>
      <c r="AG33" s="2141">
        <f t="shared" si="23"/>
        <v>0</v>
      </c>
      <c r="AH33" s="2142">
        <f t="shared" si="24"/>
        <v>0</v>
      </c>
      <c r="AI33" s="2091">
        <f t="shared" si="25"/>
        <v>0</v>
      </c>
      <c r="AJ33" s="2143">
        <f t="shared" si="26"/>
        <v>0</v>
      </c>
      <c r="AK33" s="1968"/>
      <c r="AL33" s="2079">
        <v>0</v>
      </c>
      <c r="AM33" s="2080">
        <v>0</v>
      </c>
      <c r="AN33" s="1968"/>
      <c r="AO33" s="2023"/>
      <c r="AP33" s="2224"/>
      <c r="AQ33" s="2225" t="str">
        <f>IF((AQ32-X8)&lt;&gt;0,(AQ32-X8),"")</f>
        <v/>
      </c>
      <c r="AR33" s="2225"/>
      <c r="AS33" s="2225"/>
      <c r="AT33" s="2225"/>
      <c r="AU33" s="2226"/>
      <c r="AV33" s="2197"/>
      <c r="AW33" s="2198"/>
      <c r="AX33" s="2198"/>
      <c r="AY33" s="2198"/>
      <c r="AZ33" s="2199"/>
      <c r="BA33" s="2093"/>
      <c r="BG33" s="2093"/>
      <c r="BH33" s="2093"/>
      <c r="BI33" s="2093"/>
      <c r="BJ33" s="2093"/>
      <c r="BK33" s="2093"/>
      <c r="BL33" s="2093"/>
      <c r="BM33" s="2227" t="s">
        <v>133</v>
      </c>
      <c r="BN33" s="2228">
        <f>X258</f>
        <v>0</v>
      </c>
      <c r="BO33" s="2229">
        <f>AA258</f>
        <v>-3044827497</v>
      </c>
      <c r="BP33" s="2229">
        <f>AD258</f>
        <v>-17223140249</v>
      </c>
      <c r="BQ33" s="2230">
        <f>AF258</f>
        <v>30018894154</v>
      </c>
      <c r="BR33" s="2093"/>
    </row>
    <row r="34" spans="1:70" s="2181" customFormat="1" ht="24.95" customHeight="1" thickBot="1">
      <c r="A34" s="2071" t="str">
        <f>+IF(SEPTIEMBRE!A34=0,"",SEPTIEMBRE!A34)</f>
        <v>1130103-2-2</v>
      </c>
      <c r="B34" s="2204" t="str">
        <f>+IF(SEPTIEMBRE!B34=0,"",SEPTIEMBRE!B34)</f>
        <v>Vigencia Anterior</v>
      </c>
      <c r="C34" s="2073">
        <f>+ENERO!C34</f>
        <v>0</v>
      </c>
      <c r="D34" s="2074">
        <f>SEPTIEMBRE!D34+OCTUBRE!P34</f>
        <v>0</v>
      </c>
      <c r="E34" s="2074">
        <f>SEPTIEMBRE!E34+OCTUBRE!Q34</f>
        <v>212958</v>
      </c>
      <c r="F34" s="2074">
        <f>SUM(C34:E34)</f>
        <v>212958</v>
      </c>
      <c r="G34" s="2074">
        <f>SEPTIEMBRE!I34</f>
        <v>212958</v>
      </c>
      <c r="H34" s="2077">
        <v>0</v>
      </c>
      <c r="I34" s="2074">
        <f>SUM(G34:H34)</f>
        <v>212958</v>
      </c>
      <c r="J34" s="2074">
        <f>SEPTIEMBRE!L34</f>
        <v>212958</v>
      </c>
      <c r="K34" s="2077">
        <v>0</v>
      </c>
      <c r="L34" s="2074">
        <f>SUM(J34:K34)</f>
        <v>212958</v>
      </c>
      <c r="M34" s="2074">
        <f>F34-I34</f>
        <v>0</v>
      </c>
      <c r="N34" s="2075">
        <f>F34-L34</f>
        <v>0</v>
      </c>
      <c r="O34" s="2093"/>
      <c r="P34" s="2079">
        <v>0</v>
      </c>
      <c r="Q34" s="2080">
        <v>0</v>
      </c>
      <c r="R34" s="1968"/>
      <c r="S34" s="2058" t="str">
        <f>+IF(SEPTIEMBRE!S34=0,"",SEPTIEMBRE!S34)</f>
        <v/>
      </c>
      <c r="T34" s="2059" t="str">
        <f>+IF(SEPTIEMBRE!T34=0,"",SEPTIEMBRE!T34)</f>
        <v/>
      </c>
      <c r="U34" s="2060"/>
      <c r="V34" s="2060"/>
      <c r="W34" s="2060"/>
      <c r="X34" s="2060"/>
      <c r="Y34" s="2060"/>
      <c r="Z34" s="2060"/>
      <c r="AA34" s="2060"/>
      <c r="AB34" s="2060"/>
      <c r="AC34" s="2060"/>
      <c r="AD34" s="2060"/>
      <c r="AE34" s="2060"/>
      <c r="AF34" s="2060"/>
      <c r="AG34" s="2060"/>
      <c r="AH34" s="2060"/>
      <c r="AI34" s="2060"/>
      <c r="AJ34" s="2061"/>
      <c r="AK34" s="1968"/>
      <c r="AL34" s="2122"/>
      <c r="AM34" s="2123"/>
      <c r="AN34" s="1968"/>
      <c r="AO34" s="2023"/>
      <c r="AP34" s="2231"/>
      <c r="AQ34" s="1975"/>
      <c r="AR34" s="1975"/>
      <c r="AS34" s="1975" t="s">
        <v>147</v>
      </c>
      <c r="AT34" s="1975"/>
      <c r="AU34" s="2232" t="s">
        <v>148</v>
      </c>
      <c r="AV34" s="2233" t="s">
        <v>149</v>
      </c>
      <c r="AW34" s="2115" t="s">
        <v>147</v>
      </c>
      <c r="AX34" s="2234"/>
      <c r="AY34" s="2115" t="s">
        <v>150</v>
      </c>
      <c r="AZ34" s="2116" t="s">
        <v>151</v>
      </c>
      <c r="BA34" s="2093"/>
      <c r="BB34" s="2093"/>
      <c r="BC34" s="2093"/>
      <c r="BD34" s="2093"/>
      <c r="BE34" s="2093"/>
      <c r="BF34" s="2093"/>
      <c r="BG34" s="2093"/>
      <c r="BH34" s="2093"/>
      <c r="BI34" s="2093"/>
      <c r="BJ34" s="2093"/>
      <c r="BK34" s="2093"/>
      <c r="BL34" s="2093"/>
      <c r="BM34" s="1968"/>
      <c r="BN34" s="1968"/>
      <c r="BO34" s="1968"/>
      <c r="BP34" s="1968"/>
      <c r="BQ34" s="1968"/>
      <c r="BR34" s="1968"/>
    </row>
    <row r="35" spans="1:70" s="2093" customFormat="1" ht="24.95" customHeight="1" thickBot="1">
      <c r="A35" s="2071" t="str">
        <f>+IF(SEPTIEMBRE!A35=0,"",SEPTIEMBRE!A35)</f>
        <v>1130103-3</v>
      </c>
      <c r="B35" s="2217" t="str">
        <f>+IF(SEPTIEMBRE!B35=0,"",SEPTIEMBRE!B35)</f>
        <v>Prestación de Servicios de salud  3o. Nivel</v>
      </c>
      <c r="C35" s="2142">
        <f t="shared" ref="C35:N35" si="37">SUM(C36:C37)</f>
        <v>0</v>
      </c>
      <c r="D35" s="2091">
        <f t="shared" si="37"/>
        <v>0</v>
      </c>
      <c r="E35" s="2091">
        <f t="shared" si="37"/>
        <v>0</v>
      </c>
      <c r="F35" s="2091">
        <f t="shared" si="37"/>
        <v>0</v>
      </c>
      <c r="G35" s="2091">
        <f t="shared" si="37"/>
        <v>0</v>
      </c>
      <c r="H35" s="2091">
        <f t="shared" si="37"/>
        <v>0</v>
      </c>
      <c r="I35" s="2091">
        <f t="shared" si="37"/>
        <v>0</v>
      </c>
      <c r="J35" s="2091">
        <f t="shared" si="37"/>
        <v>0</v>
      </c>
      <c r="K35" s="2091">
        <f t="shared" si="37"/>
        <v>0</v>
      </c>
      <c r="L35" s="2091">
        <f t="shared" si="37"/>
        <v>0</v>
      </c>
      <c r="M35" s="2091">
        <f t="shared" si="37"/>
        <v>0</v>
      </c>
      <c r="N35" s="2143">
        <f t="shared" si="37"/>
        <v>0</v>
      </c>
      <c r="P35" s="2218">
        <f>SUM(P36:P37)</f>
        <v>0</v>
      </c>
      <c r="Q35" s="2219">
        <f>SUM(Q36:Q37)</f>
        <v>0</v>
      </c>
      <c r="R35" s="1968"/>
      <c r="S35" s="2130">
        <f>+IF(SEPTIEMBRE!S35=0,"",SEPTIEMBRE!S35)</f>
        <v>1010200</v>
      </c>
      <c r="T35" s="2131" t="str">
        <f>+IF(SEPTIEMBRE!T35=0,"",SEPTIEMBRE!T35)</f>
        <v>Servicios Personales Indirectos</v>
      </c>
      <c r="U35" s="2103">
        <f t="shared" ref="U35:AJ35" si="38">SUM(U36:U41)</f>
        <v>3034900183</v>
      </c>
      <c r="V35" s="2104">
        <f t="shared" si="38"/>
        <v>718580368</v>
      </c>
      <c r="W35" s="2104">
        <f t="shared" si="38"/>
        <v>2575000000</v>
      </c>
      <c r="X35" s="2105">
        <f t="shared" si="38"/>
        <v>6328480551</v>
      </c>
      <c r="Y35" s="2106">
        <f t="shared" si="38"/>
        <v>5404305251</v>
      </c>
      <c r="Z35" s="2104">
        <f t="shared" si="38"/>
        <v>819432044</v>
      </c>
      <c r="AA35" s="2105">
        <f t="shared" si="38"/>
        <v>6223737295</v>
      </c>
      <c r="AB35" s="2106">
        <f t="shared" si="38"/>
        <v>4734786407</v>
      </c>
      <c r="AC35" s="2104">
        <f t="shared" si="38"/>
        <v>141956184</v>
      </c>
      <c r="AD35" s="2105">
        <f t="shared" si="38"/>
        <v>4876742591</v>
      </c>
      <c r="AE35" s="2106">
        <f t="shared" si="38"/>
        <v>2985477788</v>
      </c>
      <c r="AF35" s="2104">
        <f t="shared" si="38"/>
        <v>711442946</v>
      </c>
      <c r="AG35" s="2105">
        <f t="shared" si="38"/>
        <v>3696920734</v>
      </c>
      <c r="AH35" s="2106">
        <f t="shared" si="38"/>
        <v>104743256</v>
      </c>
      <c r="AI35" s="2104">
        <f t="shared" si="38"/>
        <v>1451737960</v>
      </c>
      <c r="AJ35" s="2107">
        <f t="shared" si="38"/>
        <v>2631559817</v>
      </c>
      <c r="AK35" s="1968"/>
      <c r="AL35" s="2106">
        <f>SUM(AL36:AL41)</f>
        <v>40384188</v>
      </c>
      <c r="AM35" s="2107">
        <f>SUM(AM36:AM41)</f>
        <v>0</v>
      </c>
      <c r="AN35" s="1968"/>
      <c r="AO35" s="2023"/>
      <c r="AP35" s="2235"/>
      <c r="AQ35" s="1913"/>
      <c r="AR35" s="2236"/>
      <c r="AS35" s="2236"/>
      <c r="AT35" s="2236"/>
      <c r="AU35" s="2237">
        <f>AR17-AR32</f>
        <v>23692202963</v>
      </c>
      <c r="AV35" s="2238">
        <f>AS17-AR32</f>
        <v>-930960326</v>
      </c>
      <c r="AW35" s="2238" t="s">
        <v>153</v>
      </c>
      <c r="AX35" s="2239"/>
      <c r="AY35" s="2238">
        <f>AY17+AY32</f>
        <v>-7466057404.2999983</v>
      </c>
      <c r="AZ35" s="2240">
        <f>AZ17+AY32</f>
        <v>-37376475183.099998</v>
      </c>
      <c r="BB35" s="2181"/>
      <c r="BC35" s="2181"/>
      <c r="BD35" s="2181"/>
      <c r="BE35" s="2181"/>
      <c r="BF35" s="2181"/>
    </row>
    <row r="36" spans="1:70" s="2093" customFormat="1" ht="24.95" customHeight="1" thickBot="1">
      <c r="A36" s="2071" t="str">
        <f>+IF(SEPTIEMBRE!A36=0,"",SEPTIEMBRE!A36)</f>
        <v>1130103-3-1</v>
      </c>
      <c r="B36" s="2204" t="str">
        <f>+CONCATENATE("Vigencia ",INSTRUCCIONES!$F$3)</f>
        <v>Vigencia 2017</v>
      </c>
      <c r="C36" s="2073">
        <f>+ENERO!C36</f>
        <v>0</v>
      </c>
      <c r="D36" s="2074">
        <f>SEPTIEMBRE!D36+OCTUBRE!P36</f>
        <v>0</v>
      </c>
      <c r="E36" s="2074">
        <f>SEPTIEMBRE!E36+OCTUBRE!Q36</f>
        <v>0</v>
      </c>
      <c r="F36" s="2074">
        <f>SUM(C36:E36)</f>
        <v>0</v>
      </c>
      <c r="G36" s="2074">
        <f>SEPTIEMBRE!I36</f>
        <v>0</v>
      </c>
      <c r="H36" s="2077">
        <v>0</v>
      </c>
      <c r="I36" s="2074">
        <f>SUM(G36:H36)</f>
        <v>0</v>
      </c>
      <c r="J36" s="2074">
        <f>SEPTIEMBRE!L36</f>
        <v>0</v>
      </c>
      <c r="K36" s="2077">
        <v>0</v>
      </c>
      <c r="L36" s="2074">
        <f>SUM(J36:K36)</f>
        <v>0</v>
      </c>
      <c r="M36" s="2074">
        <f>F36-I36</f>
        <v>0</v>
      </c>
      <c r="N36" s="2075">
        <f>F36-L36</f>
        <v>0</v>
      </c>
      <c r="O36" s="1968"/>
      <c r="P36" s="2079">
        <v>0</v>
      </c>
      <c r="Q36" s="2080">
        <v>0</v>
      </c>
      <c r="R36" s="1968"/>
      <c r="S36" s="2138" t="str">
        <f>+IF(SEPTIEMBRE!S36=0,"",SEPTIEMBRE!S36)</f>
        <v>1010200-1</v>
      </c>
      <c r="T36" s="2139" t="str">
        <f>+IF(SEPTIEMBRE!T36=0,"",SEPTIEMBRE!T36)</f>
        <v>Remuneración y Honorarios por Servicios Técnicos y Profesionales</v>
      </c>
      <c r="U36" s="2140">
        <f>+ENERO!U36</f>
        <v>999690000</v>
      </c>
      <c r="V36" s="2091">
        <f>SEPTIEMBRE!V36+OCTUBRE!AL36</f>
        <v>386300000</v>
      </c>
      <c r="W36" s="2091">
        <f>SEPTIEMBRE!W36+OCTUBRE!AM36</f>
        <v>420000000</v>
      </c>
      <c r="X36" s="2141">
        <f t="shared" ref="X36:X41" si="39">SUM(U36:W36)</f>
        <v>1805990000</v>
      </c>
      <c r="Y36" s="2142">
        <f>SEPTIEMBRE!AA36</f>
        <v>1790584409</v>
      </c>
      <c r="Z36" s="2077">
        <v>15269996</v>
      </c>
      <c r="AA36" s="2141">
        <f t="shared" ref="AA36:AA41" si="40">SUM(Y36:Z36)</f>
        <v>1805854405</v>
      </c>
      <c r="AB36" s="2142">
        <f>SEPTIEMBRE!AD36</f>
        <v>1361908052</v>
      </c>
      <c r="AC36" s="2077">
        <v>116571996</v>
      </c>
      <c r="AD36" s="2141">
        <f t="shared" ref="AD36:AD41" si="41">SUM(AB36:AC36)</f>
        <v>1478480048</v>
      </c>
      <c r="AE36" s="2142">
        <f>SEPTIEMBRE!AG36</f>
        <v>1093703117</v>
      </c>
      <c r="AF36" s="2077">
        <v>141401324</v>
      </c>
      <c r="AG36" s="2141">
        <f t="shared" ref="AG36:AG41" si="42">SUM(AE36:AF36)</f>
        <v>1235104441</v>
      </c>
      <c r="AH36" s="2142">
        <f t="shared" ref="AH36:AH41" si="43">X36-AA36</f>
        <v>135595</v>
      </c>
      <c r="AI36" s="2091">
        <f t="shared" ref="AI36:AI41" si="44">X36-AD36</f>
        <v>327509952</v>
      </c>
      <c r="AJ36" s="2143">
        <f t="shared" ref="AJ36:AJ41" si="45">X36-AG36</f>
        <v>570885559</v>
      </c>
      <c r="AK36" s="1968"/>
      <c r="AL36" s="2079">
        <v>15000000</v>
      </c>
      <c r="AM36" s="2080">
        <v>0</v>
      </c>
      <c r="AN36" s="1968"/>
      <c r="AO36" s="2241"/>
      <c r="AP36" s="2242"/>
      <c r="AQ36" s="2242"/>
      <c r="AR36" s="2242"/>
      <c r="AS36" s="2242"/>
      <c r="AT36" s="2242"/>
      <c r="AU36" s="2242"/>
      <c r="AV36" s="2242"/>
      <c r="AW36" s="2242"/>
      <c r="AX36" s="2242"/>
      <c r="AY36" s="2242"/>
      <c r="AZ36" s="2243"/>
      <c r="BB36" s="2181"/>
      <c r="BC36" s="2181"/>
      <c r="BD36" s="2181"/>
      <c r="BE36" s="2181"/>
      <c r="BF36" s="2181"/>
    </row>
    <row r="37" spans="1:70" s="2093" customFormat="1" ht="24.95" customHeight="1">
      <c r="A37" s="2071" t="str">
        <f>+IF(SEPTIEMBRE!A37=0,"",SEPTIEMBRE!A37)</f>
        <v>1130103-3-2</v>
      </c>
      <c r="B37" s="2204" t="str">
        <f>+IF(SEPTIEMBRE!B37=0,"",SEPTIEMBRE!B37)</f>
        <v>Vigencia Anterior</v>
      </c>
      <c r="C37" s="2073">
        <f>+ENERO!C37</f>
        <v>0</v>
      </c>
      <c r="D37" s="2074">
        <f>SEPTIEMBRE!D37+OCTUBRE!P37</f>
        <v>0</v>
      </c>
      <c r="E37" s="2074">
        <f>SEPTIEMBRE!E37+OCTUBRE!Q37</f>
        <v>0</v>
      </c>
      <c r="F37" s="2074">
        <f>SUM(C37:E37)</f>
        <v>0</v>
      </c>
      <c r="G37" s="2074">
        <f>SEPTIEMBRE!I37</f>
        <v>0</v>
      </c>
      <c r="H37" s="2077">
        <v>0</v>
      </c>
      <c r="I37" s="2074">
        <f>SUM(G37:H37)</f>
        <v>0</v>
      </c>
      <c r="J37" s="2074">
        <f>SEPTIEMBRE!L37</f>
        <v>0</v>
      </c>
      <c r="K37" s="2077">
        <v>0</v>
      </c>
      <c r="L37" s="2074">
        <f>SUM(J37:K37)</f>
        <v>0</v>
      </c>
      <c r="M37" s="2074">
        <f>F37-I37</f>
        <v>0</v>
      </c>
      <c r="N37" s="2075">
        <f>F37-L37</f>
        <v>0</v>
      </c>
      <c r="P37" s="2079">
        <v>0</v>
      </c>
      <c r="Q37" s="2080">
        <v>0</v>
      </c>
      <c r="R37" s="1968"/>
      <c r="S37" s="2138" t="str">
        <f>+IF(SEPTIEMBRE!S37=0,"",SEPTIEMBRE!S37)</f>
        <v>1010200-2</v>
      </c>
      <c r="T37" s="2139" t="str">
        <f>+IF(SEPTIEMBRE!T37=0,"",SEPTIEMBRE!T37)</f>
        <v>Personal Supernumerario</v>
      </c>
      <c r="U37" s="2140">
        <f>+ENERO!U37</f>
        <v>0</v>
      </c>
      <c r="V37" s="2091">
        <f>SEPTIEMBRE!V37+OCTUBRE!AL37</f>
        <v>0</v>
      </c>
      <c r="W37" s="2091">
        <f>SEPTIEMBRE!W37+OCTUBRE!AM37</f>
        <v>0</v>
      </c>
      <c r="X37" s="2141">
        <f t="shared" si="39"/>
        <v>0</v>
      </c>
      <c r="Y37" s="2142">
        <f>SEPTIEMBRE!AA37</f>
        <v>0</v>
      </c>
      <c r="Z37" s="2077">
        <v>0</v>
      </c>
      <c r="AA37" s="2141">
        <f t="shared" si="40"/>
        <v>0</v>
      </c>
      <c r="AB37" s="2142">
        <f>SEPTIEMBRE!AD37</f>
        <v>0</v>
      </c>
      <c r="AC37" s="2077">
        <v>0</v>
      </c>
      <c r="AD37" s="2141">
        <f t="shared" si="41"/>
        <v>0</v>
      </c>
      <c r="AE37" s="2142">
        <f>SEPTIEMBRE!AG37</f>
        <v>0</v>
      </c>
      <c r="AF37" s="2077">
        <v>0</v>
      </c>
      <c r="AG37" s="2141">
        <f t="shared" si="42"/>
        <v>0</v>
      </c>
      <c r="AH37" s="2142">
        <f t="shared" si="43"/>
        <v>0</v>
      </c>
      <c r="AI37" s="2091">
        <f t="shared" si="44"/>
        <v>0</v>
      </c>
      <c r="AJ37" s="2143">
        <f t="shared" si="45"/>
        <v>0</v>
      </c>
      <c r="AK37" s="1968"/>
      <c r="AL37" s="2079">
        <v>0</v>
      </c>
      <c r="AM37" s="2080">
        <v>0</v>
      </c>
      <c r="AN37" s="1968"/>
      <c r="AO37" s="2244" t="s">
        <v>156</v>
      </c>
    </row>
    <row r="38" spans="1:70" s="2093" customFormat="1" ht="24.95" customHeight="1">
      <c r="A38" s="2245" t="str">
        <f>+IF(SEPTIEMBRE!A38=0,"",SEPTIEMBRE!A38)</f>
        <v>1130103-4</v>
      </c>
      <c r="B38" s="2246" t="str">
        <f>+IF(SEPTIEMBRE!B38=0,"",SEPTIEMBRE!B38)</f>
        <v xml:space="preserve"> Aportes Patronales  1o. Nivel</v>
      </c>
      <c r="C38" s="2073">
        <f>+ENERO!C38</f>
        <v>0</v>
      </c>
      <c r="D38" s="2074">
        <f>SEPTIEMBRE!D38+OCTUBRE!P38</f>
        <v>0</v>
      </c>
      <c r="E38" s="2074">
        <f>SEPTIEMBRE!E38+OCTUBRE!Q38</f>
        <v>0</v>
      </c>
      <c r="F38" s="2074">
        <f t="shared" ref="F38:F41" si="46">SUM(C38:E38)</f>
        <v>0</v>
      </c>
      <c r="G38" s="2074">
        <f>SEPTIEMBRE!I38</f>
        <v>0</v>
      </c>
      <c r="H38" s="2077">
        <v>0</v>
      </c>
      <c r="I38" s="2074">
        <f t="shared" ref="I38:I41" si="47">SUM(G38:H38)</f>
        <v>0</v>
      </c>
      <c r="J38" s="2074">
        <f>SEPTIEMBRE!L38</f>
        <v>0</v>
      </c>
      <c r="K38" s="2077">
        <v>0</v>
      </c>
      <c r="L38" s="2074">
        <f t="shared" ref="L38:L41" si="48">SUM(J38:K38)</f>
        <v>0</v>
      </c>
      <c r="M38" s="2074">
        <f t="shared" ref="M38:M41" si="49">F38-I38</f>
        <v>0</v>
      </c>
      <c r="N38" s="2075">
        <f t="shared" ref="N38:N41" si="50">F38-L38</f>
        <v>0</v>
      </c>
      <c r="O38" s="2247"/>
      <c r="P38" s="2079">
        <v>0</v>
      </c>
      <c r="Q38" s="2080">
        <v>0</v>
      </c>
      <c r="R38" s="1968"/>
      <c r="S38" s="2138" t="str">
        <f>+IF(SEPTIEMBRE!S38=0,"",SEPTIEMBRE!S38)</f>
        <v>1010200-3</v>
      </c>
      <c r="T38" s="2139" t="str">
        <f>+IF(SEPTIEMBRE!T38=0,"",SEPTIEMBRE!T38)</f>
        <v>Honorarios de la Junta Directiva</v>
      </c>
      <c r="U38" s="2140">
        <f>+ENERO!U38</f>
        <v>5000000</v>
      </c>
      <c r="V38" s="2091">
        <f>SEPTIEMBRE!V38+OCTUBRE!AL38</f>
        <v>0</v>
      </c>
      <c r="W38" s="2091">
        <f>SEPTIEMBRE!W38+OCTUBRE!AM38</f>
        <v>5000000</v>
      </c>
      <c r="X38" s="2141">
        <f t="shared" si="39"/>
        <v>10000000</v>
      </c>
      <c r="Y38" s="2142">
        <f>SEPTIEMBRE!AA38</f>
        <v>3592059</v>
      </c>
      <c r="Z38" s="2077">
        <v>0</v>
      </c>
      <c r="AA38" s="2141">
        <f t="shared" si="40"/>
        <v>3592059</v>
      </c>
      <c r="AB38" s="2142">
        <f>SEPTIEMBRE!AD38</f>
        <v>3592059</v>
      </c>
      <c r="AC38" s="2077">
        <v>0</v>
      </c>
      <c r="AD38" s="2141">
        <f t="shared" si="41"/>
        <v>3592059</v>
      </c>
      <c r="AE38" s="2142">
        <f>SEPTIEMBRE!AG38</f>
        <v>2164889</v>
      </c>
      <c r="AF38" s="2077">
        <v>0</v>
      </c>
      <c r="AG38" s="2141">
        <f t="shared" si="42"/>
        <v>2164889</v>
      </c>
      <c r="AH38" s="2142">
        <f t="shared" si="43"/>
        <v>6407941</v>
      </c>
      <c r="AI38" s="2091">
        <f t="shared" si="44"/>
        <v>6407941</v>
      </c>
      <c r="AJ38" s="2143">
        <f t="shared" si="45"/>
        <v>7835111</v>
      </c>
      <c r="AK38" s="1968"/>
      <c r="AL38" s="2079">
        <v>0</v>
      </c>
      <c r="AM38" s="2080">
        <v>0</v>
      </c>
      <c r="AN38" s="1968"/>
      <c r="AO38" s="1919"/>
      <c r="AP38" s="1919"/>
      <c r="AQ38" s="1919"/>
      <c r="AR38" s="1919"/>
      <c r="AS38" s="1919"/>
      <c r="AT38" s="1919"/>
      <c r="AU38" s="1919"/>
      <c r="AV38" s="1919"/>
      <c r="AW38" s="1919"/>
      <c r="AX38" s="1919"/>
      <c r="AY38" s="1919"/>
      <c r="AZ38" s="1919"/>
    </row>
    <row r="39" spans="1:70" s="2093" customFormat="1" ht="24.95" customHeight="1">
      <c r="A39" s="2245" t="str">
        <f>+IF(SEPTIEMBRE!A39=0,"",SEPTIEMBRE!A39)</f>
        <v>1130103-5</v>
      </c>
      <c r="B39" s="2246" t="str">
        <f>+IF(SEPTIEMBRE!B39=0,"",SEPTIEMBRE!B39)</f>
        <v xml:space="preserve"> Aportes Patronales  2o. Nivel</v>
      </c>
      <c r="C39" s="2073">
        <f>+ENERO!C39</f>
        <v>0</v>
      </c>
      <c r="D39" s="2074">
        <f>SEPTIEMBRE!D39+OCTUBRE!P39</f>
        <v>0</v>
      </c>
      <c r="E39" s="2074">
        <f>SEPTIEMBRE!E39+OCTUBRE!Q39</f>
        <v>258077000</v>
      </c>
      <c r="F39" s="2074">
        <f t="shared" si="46"/>
        <v>258077000</v>
      </c>
      <c r="G39" s="2074">
        <f>SEPTIEMBRE!I39</f>
        <v>150544912</v>
      </c>
      <c r="H39" s="2077">
        <v>43012832</v>
      </c>
      <c r="I39" s="2074">
        <f t="shared" si="47"/>
        <v>193557744</v>
      </c>
      <c r="J39" s="2074">
        <f>SEPTIEMBRE!L39</f>
        <v>150544912</v>
      </c>
      <c r="K39" s="2077">
        <v>43012832</v>
      </c>
      <c r="L39" s="2074">
        <f t="shared" si="48"/>
        <v>193557744</v>
      </c>
      <c r="M39" s="2074">
        <f t="shared" si="49"/>
        <v>64519256</v>
      </c>
      <c r="N39" s="2075">
        <f t="shared" si="50"/>
        <v>64519256</v>
      </c>
      <c r="O39" s="2247"/>
      <c r="P39" s="2079">
        <v>0</v>
      </c>
      <c r="Q39" s="2080">
        <v>0</v>
      </c>
      <c r="R39" s="1968"/>
      <c r="S39" s="2138" t="str">
        <f>+IF(SEPTIEMBRE!S39=0,"",SEPTIEMBRE!S39)</f>
        <v>1010200-4</v>
      </c>
      <c r="T39" s="2139" t="str">
        <f>+IF(SEPTIEMBRE!T39=0,"",SEPTIEMBRE!T39)</f>
        <v>Otros Honorarios</v>
      </c>
      <c r="U39" s="2140">
        <f>+ENERO!U39</f>
        <v>2030210183</v>
      </c>
      <c r="V39" s="2091">
        <f>SEPTIEMBRE!V39+OCTUBRE!AL39</f>
        <v>191100000</v>
      </c>
      <c r="W39" s="2091">
        <f>SEPTIEMBRE!W39+OCTUBRE!AM39</f>
        <v>1450000000</v>
      </c>
      <c r="X39" s="2141">
        <f t="shared" si="39"/>
        <v>3671310183</v>
      </c>
      <c r="Y39" s="2142">
        <f>SEPTIEMBRE!AA39</f>
        <v>2794332603</v>
      </c>
      <c r="Z39" s="2077">
        <v>778777860</v>
      </c>
      <c r="AA39" s="2141">
        <f t="shared" si="40"/>
        <v>3573110463</v>
      </c>
      <c r="AB39" s="2142">
        <f>SEPTIEMBRE!AD39</f>
        <v>2553490116</v>
      </c>
      <c r="AC39" s="2077">
        <v>0</v>
      </c>
      <c r="AD39" s="2141">
        <f t="shared" si="41"/>
        <v>2553490116</v>
      </c>
      <c r="AE39" s="2142">
        <f>SEPTIEMBRE!AG39</f>
        <v>1073813602</v>
      </c>
      <c r="AF39" s="2077">
        <v>544657434</v>
      </c>
      <c r="AG39" s="2141">
        <f t="shared" si="42"/>
        <v>1618471036</v>
      </c>
      <c r="AH39" s="2142">
        <f t="shared" si="43"/>
        <v>98199720</v>
      </c>
      <c r="AI39" s="2091">
        <f t="shared" si="44"/>
        <v>1117820067</v>
      </c>
      <c r="AJ39" s="2143">
        <f t="shared" si="45"/>
        <v>2052839147</v>
      </c>
      <c r="AK39" s="1968"/>
      <c r="AL39" s="2079">
        <v>0</v>
      </c>
      <c r="AM39" s="2080">
        <v>0</v>
      </c>
      <c r="AN39" s="1968"/>
      <c r="AO39" s="1919"/>
      <c r="AP39" s="1919"/>
      <c r="AQ39" s="1919"/>
      <c r="AR39" s="1919"/>
      <c r="AS39" s="1919"/>
      <c r="AT39" s="1919"/>
      <c r="AU39" s="1919"/>
      <c r="AV39" s="1919"/>
      <c r="AW39" s="1919"/>
      <c r="AX39" s="1919"/>
      <c r="AY39" s="1919"/>
      <c r="AZ39" s="1919"/>
    </row>
    <row r="40" spans="1:70" s="2181" customFormat="1" ht="24.95" customHeight="1">
      <c r="A40" s="2245" t="str">
        <f>+IF(SEPTIEMBRE!A40=0,"",SEPTIEMBRE!A40)</f>
        <v>1130103-6</v>
      </c>
      <c r="B40" s="2246" t="str">
        <f>+IF(SEPTIEMBRE!B40=0,"",SEPTIEMBRE!B40)</f>
        <v xml:space="preserve"> Aportes Patronales  3er. Nivel</v>
      </c>
      <c r="C40" s="2073">
        <f>+ENERO!C40</f>
        <v>0</v>
      </c>
      <c r="D40" s="2074">
        <f>SEPTIEMBRE!D40+OCTUBRE!P40</f>
        <v>0</v>
      </c>
      <c r="E40" s="2074">
        <f>SEPTIEMBRE!E40+OCTUBRE!Q40</f>
        <v>0</v>
      </c>
      <c r="F40" s="2074">
        <f t="shared" si="46"/>
        <v>0</v>
      </c>
      <c r="G40" s="2074">
        <f>SEPTIEMBRE!I40</f>
        <v>0</v>
      </c>
      <c r="H40" s="2077">
        <v>0</v>
      </c>
      <c r="I40" s="2074">
        <f t="shared" si="47"/>
        <v>0</v>
      </c>
      <c r="J40" s="2074">
        <f>SEPTIEMBRE!L40</f>
        <v>0</v>
      </c>
      <c r="K40" s="2077">
        <v>0</v>
      </c>
      <c r="L40" s="2074">
        <f t="shared" si="48"/>
        <v>0</v>
      </c>
      <c r="M40" s="2074">
        <f t="shared" si="49"/>
        <v>0</v>
      </c>
      <c r="N40" s="2075">
        <f t="shared" si="50"/>
        <v>0</v>
      </c>
      <c r="O40" s="2247"/>
      <c r="P40" s="2079">
        <v>0</v>
      </c>
      <c r="Q40" s="2080">
        <v>0</v>
      </c>
      <c r="R40" s="1968"/>
      <c r="S40" s="2138" t="str">
        <f>+IF(SEPTIEMBRE!S40=0,"",SEPTIEMBRE!S40)</f>
        <v>1010200-6</v>
      </c>
      <c r="T40" s="2139" t="str">
        <f>+IF(SEPTIEMBRE!T40=0,"",SEPTIEMBRE!T40)</f>
        <v>Certificación, Habilitación y Acreditación</v>
      </c>
      <c r="U40" s="2140">
        <f>+ENERO!U40</f>
        <v>0</v>
      </c>
      <c r="V40" s="2091">
        <f>SEPTIEMBRE!V40+OCTUBRE!AL40</f>
        <v>0</v>
      </c>
      <c r="W40" s="2091">
        <f>SEPTIEMBRE!W40+OCTUBRE!AM40</f>
        <v>0</v>
      </c>
      <c r="X40" s="2141">
        <f t="shared" si="39"/>
        <v>0</v>
      </c>
      <c r="Y40" s="2142">
        <f>SEPTIEMBRE!AA40</f>
        <v>0</v>
      </c>
      <c r="Z40" s="2077">
        <v>0</v>
      </c>
      <c r="AA40" s="2141">
        <f t="shared" si="40"/>
        <v>0</v>
      </c>
      <c r="AB40" s="2142">
        <f>SEPTIEMBRE!AD40</f>
        <v>0</v>
      </c>
      <c r="AC40" s="2077">
        <v>0</v>
      </c>
      <c r="AD40" s="2141">
        <f t="shared" si="41"/>
        <v>0</v>
      </c>
      <c r="AE40" s="2142">
        <f>SEPTIEMBRE!AG40</f>
        <v>0</v>
      </c>
      <c r="AF40" s="2077">
        <v>0</v>
      </c>
      <c r="AG40" s="2141">
        <f t="shared" si="42"/>
        <v>0</v>
      </c>
      <c r="AH40" s="2142">
        <f t="shared" si="43"/>
        <v>0</v>
      </c>
      <c r="AI40" s="2091">
        <f t="shared" si="44"/>
        <v>0</v>
      </c>
      <c r="AJ40" s="2143">
        <f t="shared" si="45"/>
        <v>0</v>
      </c>
      <c r="AK40" s="1968"/>
      <c r="AL40" s="2079">
        <v>0</v>
      </c>
      <c r="AM40" s="2080">
        <v>0</v>
      </c>
      <c r="AN40" s="1968"/>
      <c r="AO40" s="2093"/>
      <c r="AP40" s="2093"/>
      <c r="AQ40" s="2093"/>
      <c r="AR40" s="2093"/>
      <c r="AS40" s="2093"/>
      <c r="AT40" s="2093"/>
      <c r="AU40" s="2093"/>
      <c r="AV40" s="2093"/>
      <c r="AW40" s="2093"/>
      <c r="AX40" s="2093"/>
      <c r="AY40" s="2093"/>
      <c r="AZ40" s="2093"/>
      <c r="BA40" s="2093"/>
      <c r="BF40" s="2093"/>
      <c r="BG40" s="2093"/>
      <c r="BH40" s="2093"/>
      <c r="BI40" s="2093"/>
      <c r="BJ40" s="2093"/>
      <c r="BK40" s="2093"/>
      <c r="BL40" s="2093"/>
      <c r="BM40" s="2093"/>
      <c r="BN40" s="2093"/>
      <c r="BO40" s="2093"/>
      <c r="BP40" s="2093"/>
      <c r="BQ40" s="2093"/>
      <c r="BR40" s="2093"/>
    </row>
    <row r="41" spans="1:70" s="2181" customFormat="1" ht="24.95" customHeight="1">
      <c r="A41" s="2157">
        <f>+IF(SEPTIEMBRE!A41=0,"",SEPTIEMBRE!A41)</f>
        <v>1130104</v>
      </c>
      <c r="B41" s="2192" t="str">
        <f>+IF(SEPTIEMBRE!B41=0,"",SEPTIEMBRE!B41)</f>
        <v>SUBSIDIO A LA OFERTA- ACTIVIDADES NO POS-S</v>
      </c>
      <c r="C41" s="2073">
        <f>+ENERO!C41</f>
        <v>0</v>
      </c>
      <c r="D41" s="2104">
        <f>SEPTIEMBRE!D41+OCTUBRE!P41</f>
        <v>0</v>
      </c>
      <c r="E41" s="2104">
        <f>SEPTIEMBRE!E41+OCTUBRE!Q41</f>
        <v>0</v>
      </c>
      <c r="F41" s="2104">
        <f t="shared" si="46"/>
        <v>0</v>
      </c>
      <c r="G41" s="2104">
        <f>SEPTIEMBRE!I41</f>
        <v>0</v>
      </c>
      <c r="H41" s="2077">
        <v>0</v>
      </c>
      <c r="I41" s="2104">
        <f t="shared" si="47"/>
        <v>0</v>
      </c>
      <c r="J41" s="2104">
        <f>SEPTIEMBRE!L41</f>
        <v>0</v>
      </c>
      <c r="K41" s="2077">
        <v>0</v>
      </c>
      <c r="L41" s="2104">
        <f t="shared" si="48"/>
        <v>0</v>
      </c>
      <c r="M41" s="2104">
        <f t="shared" si="49"/>
        <v>0</v>
      </c>
      <c r="N41" s="2107">
        <f t="shared" si="50"/>
        <v>0</v>
      </c>
      <c r="O41" s="2093"/>
      <c r="P41" s="2077">
        <v>0</v>
      </c>
      <c r="Q41" s="2080">
        <v>0</v>
      </c>
      <c r="R41" s="1968"/>
      <c r="S41" s="2138">
        <f>+IF(SEPTIEMBRE!S41=0,"",SEPTIEMBRE!S41)</f>
        <v>1010299</v>
      </c>
      <c r="T41" s="2139" t="str">
        <f>+IF(SEPTIEMBRE!T41=0,"",SEPTIEMBRE!T41)</f>
        <v>Vigencias Anteriores</v>
      </c>
      <c r="U41" s="2140">
        <f>+ENERO!U41</f>
        <v>0</v>
      </c>
      <c r="V41" s="2091">
        <f>SEPTIEMBRE!V41+OCTUBRE!AL41</f>
        <v>141180368</v>
      </c>
      <c r="W41" s="2091">
        <f>SEPTIEMBRE!W41+OCTUBRE!AM41</f>
        <v>700000000</v>
      </c>
      <c r="X41" s="2141">
        <f t="shared" si="39"/>
        <v>841180368</v>
      </c>
      <c r="Y41" s="2142">
        <f>SEPTIEMBRE!AA41</f>
        <v>815796180</v>
      </c>
      <c r="Z41" s="2077">
        <v>25384188</v>
      </c>
      <c r="AA41" s="2141">
        <f t="shared" si="40"/>
        <v>841180368</v>
      </c>
      <c r="AB41" s="2142">
        <f>SEPTIEMBRE!AD41</f>
        <v>815796180</v>
      </c>
      <c r="AC41" s="2077">
        <v>25384188</v>
      </c>
      <c r="AD41" s="2141">
        <f t="shared" si="41"/>
        <v>841180368</v>
      </c>
      <c r="AE41" s="2142">
        <f>SEPTIEMBRE!AG41</f>
        <v>815796180</v>
      </c>
      <c r="AF41" s="2077">
        <v>25384188</v>
      </c>
      <c r="AG41" s="2141">
        <f t="shared" si="42"/>
        <v>841180368</v>
      </c>
      <c r="AH41" s="2142">
        <f t="shared" si="43"/>
        <v>0</v>
      </c>
      <c r="AI41" s="2091">
        <f t="shared" si="44"/>
        <v>0</v>
      </c>
      <c r="AJ41" s="2143">
        <f t="shared" si="45"/>
        <v>0</v>
      </c>
      <c r="AK41" s="1968"/>
      <c r="AL41" s="2079">
        <v>25384188</v>
      </c>
      <c r="AM41" s="2080">
        <v>0</v>
      </c>
      <c r="AN41" s="1968"/>
      <c r="AO41" s="1919"/>
      <c r="AP41" s="1919"/>
      <c r="AQ41" s="1919"/>
      <c r="AR41" s="1919"/>
      <c r="AS41" s="1919"/>
      <c r="AT41" s="1919"/>
      <c r="AU41" s="1919"/>
      <c r="AV41" s="1919"/>
      <c r="AW41" s="1919"/>
      <c r="AX41" s="1919"/>
      <c r="AY41" s="1919"/>
      <c r="AZ41" s="1919"/>
      <c r="BA41" s="2093"/>
      <c r="BF41" s="2093"/>
      <c r="BG41" s="2093"/>
      <c r="BH41" s="2093"/>
      <c r="BI41" s="2093"/>
      <c r="BJ41" s="2093"/>
      <c r="BK41" s="2093"/>
      <c r="BL41" s="2093"/>
    </row>
    <row r="42" spans="1:70" s="2093" customFormat="1" ht="24.95" customHeight="1">
      <c r="A42" s="2157">
        <f>+IF(SEPTIEMBRE!A42=0,"",SEPTIEMBRE!A42)</f>
        <v>1130106</v>
      </c>
      <c r="B42" s="2192" t="str">
        <f>+IF(SEPTIEMBRE!B42=0,"",SEPTIEMBRE!B42)</f>
        <v>SALUD PUBLICA - PLAN DE INTERVENCIONES COLECTIVAS</v>
      </c>
      <c r="C42" s="2159">
        <f t="shared" ref="C42:N42" si="51">SUM(C43:C44)</f>
        <v>0</v>
      </c>
      <c r="D42" s="2193">
        <f t="shared" si="51"/>
        <v>0</v>
      </c>
      <c r="E42" s="2193">
        <f t="shared" si="51"/>
        <v>0</v>
      </c>
      <c r="F42" s="2193">
        <f t="shared" si="51"/>
        <v>0</v>
      </c>
      <c r="G42" s="2193">
        <f t="shared" si="51"/>
        <v>0</v>
      </c>
      <c r="H42" s="2193">
        <f t="shared" si="51"/>
        <v>0</v>
      </c>
      <c r="I42" s="2193">
        <f t="shared" si="51"/>
        <v>0</v>
      </c>
      <c r="J42" s="2193">
        <f t="shared" si="51"/>
        <v>0</v>
      </c>
      <c r="K42" s="2193">
        <f t="shared" si="51"/>
        <v>0</v>
      </c>
      <c r="L42" s="2193">
        <f t="shared" si="51"/>
        <v>0</v>
      </c>
      <c r="M42" s="2193">
        <f t="shared" si="51"/>
        <v>0</v>
      </c>
      <c r="N42" s="2160">
        <f t="shared" si="51"/>
        <v>0</v>
      </c>
      <c r="P42" s="2159">
        <f>SUM(P43:P44)</f>
        <v>0</v>
      </c>
      <c r="Q42" s="2160">
        <f>SUM(Q43:Q44)</f>
        <v>0</v>
      </c>
      <c r="R42" s="1968"/>
      <c r="S42" s="2058" t="str">
        <f>+IF(SEPTIEMBRE!S42=0,"",SEPTIEMBRE!S42)</f>
        <v/>
      </c>
      <c r="T42" s="2059" t="str">
        <f>+IF(SEPTIEMBRE!T42=0,"",SEPTIEMBRE!T42)</f>
        <v/>
      </c>
      <c r="U42" s="2060"/>
      <c r="V42" s="2060"/>
      <c r="W42" s="2060"/>
      <c r="X42" s="2060"/>
      <c r="Y42" s="2060"/>
      <c r="Z42" s="2060"/>
      <c r="AA42" s="2060"/>
      <c r="AB42" s="2060"/>
      <c r="AC42" s="2060"/>
      <c r="AD42" s="2060"/>
      <c r="AE42" s="2060"/>
      <c r="AF42" s="2060"/>
      <c r="AG42" s="2060"/>
      <c r="AH42" s="2060"/>
      <c r="AI42" s="2060"/>
      <c r="AJ42" s="2061"/>
      <c r="AK42" s="2086"/>
      <c r="AL42" s="2248"/>
      <c r="AM42" s="2249"/>
      <c r="AN42" s="1968"/>
      <c r="AO42" s="1919"/>
      <c r="AP42" s="1919"/>
      <c r="AQ42" s="1919"/>
      <c r="AR42" s="1919"/>
      <c r="AS42" s="1919"/>
      <c r="AT42" s="1919"/>
      <c r="AU42" s="1919"/>
      <c r="AV42" s="1919"/>
      <c r="AW42" s="1919"/>
      <c r="AX42" s="1919"/>
      <c r="AY42" s="1919"/>
      <c r="AZ42" s="1919"/>
    </row>
    <row r="43" spans="1:70" s="2181" customFormat="1" ht="24.95" customHeight="1">
      <c r="A43" s="2071" t="str">
        <f>+IF(SEPTIEMBRE!A43=0,"",SEPTIEMBRE!A43)</f>
        <v>1130106-1</v>
      </c>
      <c r="B43" s="2204" t="str">
        <f>+CONCATENATE("Vigencia ",INSTRUCCIONES!$F$3)</f>
        <v>Vigencia 2017</v>
      </c>
      <c r="C43" s="2073">
        <f>+ENERO!C43</f>
        <v>0</v>
      </c>
      <c r="D43" s="2074">
        <f>SEPTIEMBRE!D43+OCTUBRE!P43</f>
        <v>0</v>
      </c>
      <c r="E43" s="2074">
        <f>SEPTIEMBRE!E43+OCTUBRE!Q43</f>
        <v>0</v>
      </c>
      <c r="F43" s="2074">
        <f>SUM(C43:E43)</f>
        <v>0</v>
      </c>
      <c r="G43" s="2074">
        <f>SEPTIEMBRE!I43</f>
        <v>0</v>
      </c>
      <c r="H43" s="2077">
        <v>0</v>
      </c>
      <c r="I43" s="2074">
        <f>SUM(G43:H43)</f>
        <v>0</v>
      </c>
      <c r="J43" s="2074">
        <f>SEPTIEMBRE!L43</f>
        <v>0</v>
      </c>
      <c r="K43" s="2077">
        <v>0</v>
      </c>
      <c r="L43" s="2074">
        <f>SUM(J43:K43)</f>
        <v>0</v>
      </c>
      <c r="M43" s="2074">
        <f>F43-I43</f>
        <v>0</v>
      </c>
      <c r="N43" s="2075">
        <f>F43-L43</f>
        <v>0</v>
      </c>
      <c r="O43" s="2093"/>
      <c r="P43" s="2079">
        <v>0</v>
      </c>
      <c r="Q43" s="2080">
        <v>0</v>
      </c>
      <c r="R43" s="1968"/>
      <c r="S43" s="2130">
        <f>+IF(SEPTIEMBRE!S43=0,"",SEPTIEMBRE!S43)</f>
        <v>1010300</v>
      </c>
      <c r="T43" s="2131" t="str">
        <f>+IF(SEPTIEMBRE!T43=0,"",SEPTIEMBRE!T43)</f>
        <v>Contribuciones Inherentes nómina al Sector Privado</v>
      </c>
      <c r="U43" s="2103">
        <f t="shared" ref="U43:AJ43" si="52">U44+U49+U55</f>
        <v>182861553</v>
      </c>
      <c r="V43" s="2104">
        <f t="shared" si="52"/>
        <v>-40802080</v>
      </c>
      <c r="W43" s="2104">
        <f t="shared" si="52"/>
        <v>97321330</v>
      </c>
      <c r="X43" s="2105">
        <f t="shared" si="52"/>
        <v>239380803</v>
      </c>
      <c r="Y43" s="2106">
        <f t="shared" si="52"/>
        <v>87910743</v>
      </c>
      <c r="Z43" s="2104">
        <f t="shared" si="52"/>
        <v>13320254</v>
      </c>
      <c r="AA43" s="2105">
        <f t="shared" si="52"/>
        <v>101230997</v>
      </c>
      <c r="AB43" s="2106">
        <f t="shared" si="52"/>
        <v>87910743</v>
      </c>
      <c r="AC43" s="2104">
        <f t="shared" si="52"/>
        <v>13320254</v>
      </c>
      <c r="AD43" s="2105">
        <f t="shared" si="52"/>
        <v>101230997</v>
      </c>
      <c r="AE43" s="2106">
        <f t="shared" si="52"/>
        <v>87910743</v>
      </c>
      <c r="AF43" s="2104">
        <f t="shared" si="52"/>
        <v>13320254</v>
      </c>
      <c r="AG43" s="2105">
        <f t="shared" si="52"/>
        <v>101230997</v>
      </c>
      <c r="AH43" s="2106">
        <f t="shared" si="52"/>
        <v>138149806</v>
      </c>
      <c r="AI43" s="2104">
        <f t="shared" si="52"/>
        <v>138149806</v>
      </c>
      <c r="AJ43" s="2107">
        <f t="shared" si="52"/>
        <v>138149806</v>
      </c>
      <c r="AK43" s="1968"/>
      <c r="AL43" s="2106">
        <f>AL44+AL49+AL55</f>
        <v>-10000000</v>
      </c>
      <c r="AM43" s="2107">
        <f>AM44+AM49+AM55</f>
        <v>0</v>
      </c>
      <c r="AN43" s="1968"/>
      <c r="AO43" s="2093"/>
      <c r="AP43" s="2250"/>
      <c r="AQ43" s="1919"/>
      <c r="AR43" s="1919"/>
      <c r="AS43" s="1919"/>
      <c r="AT43" s="1919"/>
      <c r="AU43" s="1919"/>
      <c r="AV43" s="1919"/>
      <c r="AW43" s="1919"/>
      <c r="AX43" s="1919"/>
      <c r="AY43" s="1919"/>
      <c r="AZ43" s="1919"/>
      <c r="BA43" s="2093"/>
      <c r="BF43" s="2093"/>
      <c r="BG43" s="2093"/>
      <c r="BH43" s="2093"/>
      <c r="BI43" s="2093"/>
      <c r="BJ43" s="2093"/>
      <c r="BK43" s="2093"/>
      <c r="BL43" s="2093"/>
      <c r="BM43" s="2093"/>
      <c r="BN43" s="2093"/>
      <c r="BO43" s="2093"/>
      <c r="BP43" s="2093"/>
      <c r="BQ43" s="2093"/>
      <c r="BR43" s="2093"/>
    </row>
    <row r="44" spans="1:70" s="2181" customFormat="1" ht="24.95" customHeight="1">
      <c r="A44" s="2071" t="str">
        <f>+IF(SEPTIEMBRE!A44=0,"",SEPTIEMBRE!A44)</f>
        <v>1130106-2</v>
      </c>
      <c r="B44" s="2204" t="str">
        <f>+IF(SEPTIEMBRE!B44=0,"",SEPTIEMBRE!B44)</f>
        <v>Vigencia Anterior</v>
      </c>
      <c r="C44" s="2073">
        <f>+ENERO!C44</f>
        <v>0</v>
      </c>
      <c r="D44" s="2074">
        <f>SEPTIEMBRE!D44+OCTUBRE!P44</f>
        <v>0</v>
      </c>
      <c r="E44" s="2074">
        <f>SEPTIEMBRE!E44+OCTUBRE!Q44</f>
        <v>0</v>
      </c>
      <c r="F44" s="2074">
        <f>SUM(C44:E44)</f>
        <v>0</v>
      </c>
      <c r="G44" s="2074">
        <f>SEPTIEMBRE!I44</f>
        <v>0</v>
      </c>
      <c r="H44" s="2077">
        <v>0</v>
      </c>
      <c r="I44" s="2074">
        <f>SUM(G44:H44)</f>
        <v>0</v>
      </c>
      <c r="J44" s="2074">
        <f>SEPTIEMBRE!L44</f>
        <v>0</v>
      </c>
      <c r="K44" s="2077">
        <v>0</v>
      </c>
      <c r="L44" s="2074">
        <f>SUM(J44:K44)</f>
        <v>0</v>
      </c>
      <c r="M44" s="2074">
        <f>F44-I44</f>
        <v>0</v>
      </c>
      <c r="N44" s="2075">
        <f>F44-L44</f>
        <v>0</v>
      </c>
      <c r="O44" s="2093"/>
      <c r="P44" s="2079">
        <v>0</v>
      </c>
      <c r="Q44" s="2080">
        <v>0</v>
      </c>
      <c r="R44" s="1968"/>
      <c r="S44" s="2138">
        <f>+IF(SEPTIEMBRE!S44=0,"",SEPTIEMBRE!S44)</f>
        <v>1010301</v>
      </c>
      <c r="T44" s="2139" t="str">
        <f>+IF(SEPTIEMBRE!T44=0,"",SEPTIEMBRE!T44)</f>
        <v>Contribuciones - SGP - Aportes Patronales - Cuentas Maestras</v>
      </c>
      <c r="U44" s="2140">
        <f t="shared" ref="U44:AJ44" si="53">SUM(U45:U48)</f>
        <v>0</v>
      </c>
      <c r="V44" s="2091">
        <f t="shared" si="53"/>
        <v>14000000</v>
      </c>
      <c r="W44" s="2091">
        <f t="shared" si="53"/>
        <v>64519250</v>
      </c>
      <c r="X44" s="2141">
        <f t="shared" si="53"/>
        <v>78519250</v>
      </c>
      <c r="Y44" s="2142">
        <f t="shared" si="53"/>
        <v>24409774</v>
      </c>
      <c r="Z44" s="2170">
        <f t="shared" si="53"/>
        <v>11216340</v>
      </c>
      <c r="AA44" s="2141">
        <f t="shared" si="53"/>
        <v>35626114</v>
      </c>
      <c r="AB44" s="2142">
        <f t="shared" si="53"/>
        <v>24409774</v>
      </c>
      <c r="AC44" s="2170">
        <f t="shared" si="53"/>
        <v>11216340</v>
      </c>
      <c r="AD44" s="2141">
        <f t="shared" si="53"/>
        <v>35626114</v>
      </c>
      <c r="AE44" s="2142">
        <f t="shared" si="53"/>
        <v>24409774</v>
      </c>
      <c r="AF44" s="2170">
        <f t="shared" si="53"/>
        <v>11216340</v>
      </c>
      <c r="AG44" s="2141">
        <f t="shared" si="53"/>
        <v>35626114</v>
      </c>
      <c r="AH44" s="2142">
        <f t="shared" si="53"/>
        <v>42893136</v>
      </c>
      <c r="AI44" s="2091">
        <f t="shared" si="53"/>
        <v>42893136</v>
      </c>
      <c r="AJ44" s="2143">
        <f t="shared" si="53"/>
        <v>42893136</v>
      </c>
      <c r="AK44" s="1968"/>
      <c r="AL44" s="2171">
        <f>SUM(AL45:AL48)</f>
        <v>14000000</v>
      </c>
      <c r="AM44" s="2172">
        <f>SUM(AM45:AM48)</f>
        <v>0</v>
      </c>
      <c r="AN44" s="1968"/>
      <c r="AO44" s="1919"/>
      <c r="AP44" s="1919"/>
      <c r="AQ44" s="1919"/>
      <c r="AR44" s="1919"/>
      <c r="AS44" s="1919"/>
      <c r="AT44" s="1919"/>
      <c r="AU44" s="1919"/>
      <c r="AV44" s="1919"/>
      <c r="AW44" s="1919"/>
      <c r="AX44" s="1919"/>
      <c r="AY44" s="1919"/>
      <c r="AZ44" s="1919"/>
      <c r="BA44" s="2093"/>
      <c r="BF44" s="2093"/>
      <c r="BG44" s="2093"/>
      <c r="BH44" s="2093"/>
      <c r="BI44" s="2093"/>
      <c r="BJ44" s="2093"/>
      <c r="BK44" s="2093"/>
      <c r="BL44" s="2093"/>
      <c r="BM44" s="2093"/>
      <c r="BN44" s="2093"/>
      <c r="BO44" s="2093"/>
      <c r="BP44" s="2093"/>
      <c r="BQ44" s="2093"/>
      <c r="BR44" s="2093"/>
    </row>
    <row r="45" spans="1:70" s="2093" customFormat="1" ht="24.95" customHeight="1">
      <c r="A45" s="2157">
        <f>+IF(SEPTIEMBRE!A45=0,"",SEPTIEMBRE!A45)</f>
        <v>1130107</v>
      </c>
      <c r="B45" s="2192" t="str">
        <f>+IF(SEPTIEMBRE!B45=0,"",SEPTIEMBRE!B45)</f>
        <v>MINSALUD-FOSYGA-RECLAMACIONES ECAT</v>
      </c>
      <c r="C45" s="2159">
        <f t="shared" ref="C45:N45" si="54">SUM(C46:C47)</f>
        <v>375197511</v>
      </c>
      <c r="D45" s="2193">
        <f t="shared" si="54"/>
        <v>0</v>
      </c>
      <c r="E45" s="2193">
        <f t="shared" si="54"/>
        <v>79487</v>
      </c>
      <c r="F45" s="2193">
        <f t="shared" si="54"/>
        <v>375276998</v>
      </c>
      <c r="G45" s="2193">
        <f t="shared" si="54"/>
        <v>285779566</v>
      </c>
      <c r="H45" s="2193">
        <f t="shared" si="54"/>
        <v>35692493</v>
      </c>
      <c r="I45" s="2193">
        <f t="shared" si="54"/>
        <v>321472059</v>
      </c>
      <c r="J45" s="2193">
        <f t="shared" si="54"/>
        <v>79487</v>
      </c>
      <c r="K45" s="2193">
        <f t="shared" si="54"/>
        <v>0</v>
      </c>
      <c r="L45" s="2193">
        <f t="shared" si="54"/>
        <v>79487</v>
      </c>
      <c r="M45" s="2193">
        <f t="shared" si="54"/>
        <v>53804939</v>
      </c>
      <c r="N45" s="2160">
        <f t="shared" si="54"/>
        <v>375197511</v>
      </c>
      <c r="P45" s="2159">
        <f>SUM(P46:P47)</f>
        <v>0</v>
      </c>
      <c r="Q45" s="2160">
        <f>SUM(Q46:Q47)</f>
        <v>0</v>
      </c>
      <c r="R45" s="1968"/>
      <c r="S45" s="2184" t="str">
        <f>+IF(SEPTIEMBRE!S45=0,"",SEPTIEMBRE!S45)</f>
        <v>1010301-1</v>
      </c>
      <c r="T45" s="2185" t="str">
        <f>+IF(SEPTIEMBRE!T45=0,"",SEPTIEMBRE!T45)</f>
        <v>E.P.S. - Aportes cuentas maestras</v>
      </c>
      <c r="U45" s="2140">
        <f>+ENERO!U45</f>
        <v>0</v>
      </c>
      <c r="V45" s="2091">
        <f>SEPTIEMBRE!V45+OCTUBRE!AL45</f>
        <v>14000000</v>
      </c>
      <c r="W45" s="2091">
        <f>SEPTIEMBRE!W45+OCTUBRE!AM45</f>
        <v>13633482</v>
      </c>
      <c r="X45" s="2141">
        <f>SUM(U45:W45)</f>
        <v>27633482</v>
      </c>
      <c r="Y45" s="2142">
        <f>SEPTIEMBRE!AA45</f>
        <v>9982336</v>
      </c>
      <c r="Z45" s="2077">
        <v>4630036</v>
      </c>
      <c r="AA45" s="2141">
        <f>SUM(Y45:Z45)</f>
        <v>14612372</v>
      </c>
      <c r="AB45" s="2142">
        <f>SEPTIEMBRE!AD45</f>
        <v>9982336</v>
      </c>
      <c r="AC45" s="2077">
        <v>4630036</v>
      </c>
      <c r="AD45" s="2141">
        <f>SUM(AB45:AC45)</f>
        <v>14612372</v>
      </c>
      <c r="AE45" s="2142">
        <f>SEPTIEMBRE!AG45</f>
        <v>9982336</v>
      </c>
      <c r="AF45" s="2077">
        <v>4630036</v>
      </c>
      <c r="AG45" s="2141">
        <f>SUM(AE45:AF45)</f>
        <v>14612372</v>
      </c>
      <c r="AH45" s="2142">
        <f>X45-AA45</f>
        <v>13021110</v>
      </c>
      <c r="AI45" s="2091">
        <f>X45-AD45</f>
        <v>13021110</v>
      </c>
      <c r="AJ45" s="2143">
        <f>X45-AG45</f>
        <v>13021110</v>
      </c>
      <c r="AK45" s="1968"/>
      <c r="AL45" s="2079">
        <v>14000000</v>
      </c>
      <c r="AM45" s="2080">
        <v>0</v>
      </c>
      <c r="AN45" s="1968"/>
      <c r="AO45" s="1919"/>
      <c r="AP45" s="1919"/>
      <c r="AQ45" s="1919"/>
      <c r="AR45" s="1919"/>
      <c r="AS45" s="1919"/>
      <c r="AT45" s="1919"/>
      <c r="AU45" s="1919"/>
      <c r="AV45" s="1919"/>
      <c r="AW45" s="1919"/>
      <c r="AX45" s="1919"/>
      <c r="AY45" s="1919"/>
      <c r="AZ45" s="1919"/>
    </row>
    <row r="46" spans="1:70" s="2181" customFormat="1" ht="24.95" customHeight="1">
      <c r="A46" s="2071" t="str">
        <f>+IF(SEPTIEMBRE!A46=0,"",SEPTIEMBRE!A46)</f>
        <v>1130107-1</v>
      </c>
      <c r="B46" s="2204" t="str">
        <f>+CONCATENATE("Vigencia ",INSTRUCCIONES!$F$3)</f>
        <v>Vigencia 2017</v>
      </c>
      <c r="C46" s="2073">
        <f>+ENERO!C46</f>
        <v>375197511</v>
      </c>
      <c r="D46" s="2074">
        <f>SEPTIEMBRE!D46+OCTUBRE!P46</f>
        <v>0</v>
      </c>
      <c r="E46" s="2074">
        <f>SEPTIEMBRE!E46+OCTUBRE!Q46</f>
        <v>0</v>
      </c>
      <c r="F46" s="2074">
        <f>SUM(C46:E46)</f>
        <v>375197511</v>
      </c>
      <c r="G46" s="2074">
        <f>SEPTIEMBRE!I46</f>
        <v>285700079</v>
      </c>
      <c r="H46" s="2077">
        <v>35692493</v>
      </c>
      <c r="I46" s="2074">
        <f>SUM(G46:H46)</f>
        <v>321392572</v>
      </c>
      <c r="J46" s="2074">
        <f>SEPTIEMBRE!L46</f>
        <v>0</v>
      </c>
      <c r="K46" s="2077">
        <v>0</v>
      </c>
      <c r="L46" s="2074">
        <f>SUM(J46:K46)</f>
        <v>0</v>
      </c>
      <c r="M46" s="2074">
        <f>F46-I46</f>
        <v>53804939</v>
      </c>
      <c r="N46" s="2075">
        <f>F46-L46</f>
        <v>375197511</v>
      </c>
      <c r="O46" s="2093"/>
      <c r="P46" s="2079">
        <v>0</v>
      </c>
      <c r="Q46" s="2080">
        <v>0</v>
      </c>
      <c r="R46" s="1968"/>
      <c r="S46" s="2184" t="str">
        <f>+IF(SEPTIEMBRE!S46=0,"",SEPTIEMBRE!S46)</f>
        <v>1010301-2</v>
      </c>
      <c r="T46" s="2185" t="str">
        <f>+IF(SEPTIEMBRE!T46=0,"",SEPTIEMBRE!T46)</f>
        <v>Fondos pensionales - Aportes cuentas maestras</v>
      </c>
      <c r="U46" s="2140">
        <f>+ENERO!U46</f>
        <v>0</v>
      </c>
      <c r="V46" s="2091">
        <f>SEPTIEMBRE!V46+OCTUBRE!AL46</f>
        <v>0</v>
      </c>
      <c r="W46" s="2091">
        <f>SEPTIEMBRE!W46+OCTUBRE!AM46</f>
        <v>38239500</v>
      </c>
      <c r="X46" s="2141">
        <f>SUM(U46:W46)</f>
        <v>38239500</v>
      </c>
      <c r="Y46" s="2142">
        <f>SEPTIEMBRE!AA46</f>
        <v>13840118</v>
      </c>
      <c r="Z46" s="2077">
        <v>6311743</v>
      </c>
      <c r="AA46" s="2141">
        <f>SUM(Y46:Z46)</f>
        <v>20151861</v>
      </c>
      <c r="AB46" s="2142">
        <f>SEPTIEMBRE!AD46</f>
        <v>13840118</v>
      </c>
      <c r="AC46" s="2077">
        <v>6311743</v>
      </c>
      <c r="AD46" s="2141">
        <f>SUM(AB46:AC46)</f>
        <v>20151861</v>
      </c>
      <c r="AE46" s="2142">
        <f>SEPTIEMBRE!AG46</f>
        <v>13840118</v>
      </c>
      <c r="AF46" s="2077">
        <v>6311743</v>
      </c>
      <c r="AG46" s="2141">
        <f>SUM(AE46:AF46)</f>
        <v>20151861</v>
      </c>
      <c r="AH46" s="2142">
        <f>X46-AA46</f>
        <v>18087639</v>
      </c>
      <c r="AI46" s="2091">
        <f>X46-AD46</f>
        <v>18087639</v>
      </c>
      <c r="AJ46" s="2143">
        <f>X46-AG46</f>
        <v>18087639</v>
      </c>
      <c r="AK46" s="1968"/>
      <c r="AL46" s="2079">
        <v>0</v>
      </c>
      <c r="AM46" s="2080">
        <v>0</v>
      </c>
      <c r="AN46" s="1968"/>
      <c r="AO46" s="2251"/>
      <c r="AP46" s="2250"/>
      <c r="AQ46" s="1919"/>
      <c r="AR46" s="1919"/>
      <c r="AS46" s="1919"/>
      <c r="AT46" s="1919"/>
      <c r="AU46" s="1919"/>
      <c r="AV46" s="1919"/>
      <c r="AW46" s="1919"/>
      <c r="AX46" s="1919"/>
      <c r="AY46" s="1919"/>
      <c r="AZ46" s="1919"/>
      <c r="BA46" s="2093"/>
      <c r="BF46" s="2093"/>
      <c r="BG46" s="2093"/>
      <c r="BH46" s="2093"/>
      <c r="BI46" s="2093"/>
      <c r="BJ46" s="2093"/>
      <c r="BK46" s="2093"/>
      <c r="BL46" s="2093"/>
    </row>
    <row r="47" spans="1:70" s="2181" customFormat="1" ht="24.95" customHeight="1">
      <c r="A47" s="2071" t="str">
        <f>+IF(SEPTIEMBRE!A47=0,"",SEPTIEMBRE!A47)</f>
        <v>1130107-2</v>
      </c>
      <c r="B47" s="2204" t="str">
        <f>+IF(SEPTIEMBRE!B47=0,"",SEPTIEMBRE!B47)</f>
        <v>Vigencia Anterior</v>
      </c>
      <c r="C47" s="2073">
        <f>+ENERO!C47</f>
        <v>0</v>
      </c>
      <c r="D47" s="2074">
        <f>SEPTIEMBRE!D47+OCTUBRE!P47</f>
        <v>0</v>
      </c>
      <c r="E47" s="2074">
        <f>SEPTIEMBRE!E47+OCTUBRE!Q47</f>
        <v>79487</v>
      </c>
      <c r="F47" s="2074">
        <f>SUM(C47:E47)</f>
        <v>79487</v>
      </c>
      <c r="G47" s="2074">
        <f>SEPTIEMBRE!I47</f>
        <v>79487</v>
      </c>
      <c r="H47" s="2077">
        <v>0</v>
      </c>
      <c r="I47" s="2074">
        <f>SUM(G47:H47)</f>
        <v>79487</v>
      </c>
      <c r="J47" s="2074">
        <f>SEPTIEMBRE!L47</f>
        <v>79487</v>
      </c>
      <c r="K47" s="2077">
        <v>0</v>
      </c>
      <c r="L47" s="2074">
        <f>SUM(J47:K47)</f>
        <v>79487</v>
      </c>
      <c r="M47" s="2074">
        <f>F47-I47</f>
        <v>0</v>
      </c>
      <c r="N47" s="2075">
        <f>F47-L47</f>
        <v>0</v>
      </c>
      <c r="O47" s="2093"/>
      <c r="P47" s="2079">
        <v>0</v>
      </c>
      <c r="Q47" s="2080">
        <v>0</v>
      </c>
      <c r="R47" s="1968"/>
      <c r="S47" s="2184" t="str">
        <f>+IF(SEPTIEMBRE!S47=0,"",SEPTIEMBRE!S47)</f>
        <v>1010301-3</v>
      </c>
      <c r="T47" s="2185" t="str">
        <f>+IF(SEPTIEMBRE!T47=0,"",SEPTIEMBRE!T47)</f>
        <v>Fondos de cesantías - Aportes cuentas maestras</v>
      </c>
      <c r="U47" s="2140">
        <f>+ENERO!U47</f>
        <v>0</v>
      </c>
      <c r="V47" s="2091">
        <f>SEPTIEMBRE!V47+OCTUBRE!AL47</f>
        <v>0</v>
      </c>
      <c r="W47" s="2091">
        <f>SEPTIEMBRE!W47+OCTUBRE!AM47</f>
        <v>9400000</v>
      </c>
      <c r="X47" s="2141">
        <f>SUM(U47:W47)</f>
        <v>9400000</v>
      </c>
      <c r="Y47" s="2142">
        <f>SEPTIEMBRE!AA47</f>
        <v>0</v>
      </c>
      <c r="Z47" s="2077">
        <v>0</v>
      </c>
      <c r="AA47" s="2141">
        <f>SUM(Y47:Z47)</f>
        <v>0</v>
      </c>
      <c r="AB47" s="2142">
        <f>SEPTIEMBRE!AD47</f>
        <v>0</v>
      </c>
      <c r="AC47" s="2077">
        <v>0</v>
      </c>
      <c r="AD47" s="2141">
        <f>SUM(AB47:AC47)</f>
        <v>0</v>
      </c>
      <c r="AE47" s="2142">
        <f>SEPTIEMBRE!AG47</f>
        <v>0</v>
      </c>
      <c r="AF47" s="2077">
        <v>0</v>
      </c>
      <c r="AG47" s="2141">
        <f>SUM(AE47:AF47)</f>
        <v>0</v>
      </c>
      <c r="AH47" s="2142">
        <f>X47-AA47</f>
        <v>9400000</v>
      </c>
      <c r="AI47" s="2091">
        <f>X47-AD47</f>
        <v>9400000</v>
      </c>
      <c r="AJ47" s="2143">
        <f>X47-AG47</f>
        <v>9400000</v>
      </c>
      <c r="AK47" s="1968"/>
      <c r="AL47" s="2079">
        <v>0</v>
      </c>
      <c r="AM47" s="2080">
        <v>0</v>
      </c>
      <c r="AN47" s="1968"/>
      <c r="AO47" s="1919"/>
      <c r="AP47" s="1919"/>
      <c r="AQ47" s="1919"/>
      <c r="AR47" s="1919"/>
      <c r="AS47" s="1919"/>
      <c r="AT47" s="1919"/>
      <c r="AU47" s="1919"/>
      <c r="AV47" s="1919"/>
      <c r="AW47" s="1919"/>
      <c r="AX47" s="1919"/>
      <c r="AY47" s="1919"/>
      <c r="AZ47" s="1919"/>
      <c r="BA47" s="2093"/>
      <c r="BF47" s="2093"/>
      <c r="BG47" s="2093"/>
      <c r="BH47" s="2093"/>
      <c r="BI47" s="2093"/>
      <c r="BJ47" s="2093"/>
      <c r="BK47" s="2093"/>
      <c r="BL47" s="2093"/>
      <c r="BM47" s="2093"/>
      <c r="BN47" s="2093"/>
      <c r="BO47" s="2093"/>
      <c r="BP47" s="2093"/>
      <c r="BQ47" s="2093"/>
      <c r="BR47" s="2093"/>
    </row>
    <row r="48" spans="1:70" s="2093" customFormat="1" ht="24.95" customHeight="1">
      <c r="A48" s="2157">
        <f>+IF(SEPTIEMBRE!A48=0,"",SEPTIEMBRE!A48)</f>
        <v>1130108</v>
      </c>
      <c r="B48" s="2192" t="str">
        <f>+IF(SEPTIEMBRE!B48=0,"",SEPTIEMBRE!B48)</f>
        <v>MINSALUD-FOSYGA -TRAUMA MAYOR Y DESPLAZADOS</v>
      </c>
      <c r="C48" s="2159">
        <f t="shared" ref="C48:N48" si="55">SUM(C49:C50)</f>
        <v>0</v>
      </c>
      <c r="D48" s="2193">
        <f t="shared" si="55"/>
        <v>0</v>
      </c>
      <c r="E48" s="2193">
        <f t="shared" si="55"/>
        <v>0</v>
      </c>
      <c r="F48" s="2193">
        <f t="shared" si="55"/>
        <v>0</v>
      </c>
      <c r="G48" s="2193">
        <f t="shared" si="55"/>
        <v>0</v>
      </c>
      <c r="H48" s="2193">
        <f t="shared" si="55"/>
        <v>0</v>
      </c>
      <c r="I48" s="2193">
        <f t="shared" si="55"/>
        <v>0</v>
      </c>
      <c r="J48" s="2193">
        <f t="shared" si="55"/>
        <v>0</v>
      </c>
      <c r="K48" s="2193">
        <f t="shared" si="55"/>
        <v>0</v>
      </c>
      <c r="L48" s="2193">
        <f t="shared" si="55"/>
        <v>0</v>
      </c>
      <c r="M48" s="2193">
        <f t="shared" si="55"/>
        <v>0</v>
      </c>
      <c r="N48" s="2160">
        <f t="shared" si="55"/>
        <v>0</v>
      </c>
      <c r="P48" s="2159">
        <f>SUM(P49:P50)</f>
        <v>0</v>
      </c>
      <c r="Q48" s="2160">
        <f>SUM(Q49:Q50)</f>
        <v>0</v>
      </c>
      <c r="R48" s="1968"/>
      <c r="S48" s="2184" t="str">
        <f>+IF(SEPTIEMBRE!S48=0,"",SEPTIEMBRE!S48)</f>
        <v>1010301-4</v>
      </c>
      <c r="T48" s="2185" t="str">
        <f>+IF(SEPTIEMBRE!T48=0,"",SEPTIEMBRE!T48)</f>
        <v>Riesgos laborales - Aportes cuentas maestras</v>
      </c>
      <c r="U48" s="2140">
        <f>+ENERO!U48</f>
        <v>0</v>
      </c>
      <c r="V48" s="2091">
        <f>SEPTIEMBRE!V48+OCTUBRE!AL48</f>
        <v>0</v>
      </c>
      <c r="W48" s="2091">
        <f>SEPTIEMBRE!W48+OCTUBRE!AM48</f>
        <v>3246268</v>
      </c>
      <c r="X48" s="2141">
        <f>SUM(U48:W48)</f>
        <v>3246268</v>
      </c>
      <c r="Y48" s="2142">
        <f>SEPTIEMBRE!AA48</f>
        <v>587320</v>
      </c>
      <c r="Z48" s="2077">
        <v>274561</v>
      </c>
      <c r="AA48" s="2141">
        <f>SUM(Y48:Z48)</f>
        <v>861881</v>
      </c>
      <c r="AB48" s="2142">
        <f>SEPTIEMBRE!AD48</f>
        <v>587320</v>
      </c>
      <c r="AC48" s="2077">
        <v>274561</v>
      </c>
      <c r="AD48" s="2141">
        <f>SUM(AB48:AC48)</f>
        <v>861881</v>
      </c>
      <c r="AE48" s="2142">
        <f>SEPTIEMBRE!AG48</f>
        <v>587320</v>
      </c>
      <c r="AF48" s="2077">
        <v>274561</v>
      </c>
      <c r="AG48" s="2141">
        <f>SUM(AE48:AF48)</f>
        <v>861881</v>
      </c>
      <c r="AH48" s="2142">
        <f>X48-AA48</f>
        <v>2384387</v>
      </c>
      <c r="AI48" s="2091">
        <f>X48-AD48</f>
        <v>2384387</v>
      </c>
      <c r="AJ48" s="2143">
        <f>X48-AG48</f>
        <v>2384387</v>
      </c>
      <c r="AK48" s="1968"/>
      <c r="AL48" s="2079">
        <v>0</v>
      </c>
      <c r="AM48" s="2080">
        <v>0</v>
      </c>
      <c r="AN48" s="1968"/>
      <c r="AO48" s="1919"/>
      <c r="AP48" s="1919"/>
      <c r="AQ48" s="1919"/>
      <c r="AR48" s="1919"/>
      <c r="AS48" s="1919"/>
      <c r="AT48" s="1919"/>
      <c r="AU48" s="1919"/>
      <c r="AV48" s="1919"/>
      <c r="AW48" s="1919"/>
      <c r="AX48" s="1919"/>
      <c r="AY48" s="1919"/>
      <c r="AZ48" s="1919"/>
    </row>
    <row r="49" spans="1:70" s="2181" customFormat="1" ht="24.95" customHeight="1">
      <c r="A49" s="2071" t="str">
        <f>+IF(SEPTIEMBRE!A49=0,"",SEPTIEMBRE!A49)</f>
        <v>1130108-1</v>
      </c>
      <c r="B49" s="2204" t="str">
        <f>+CONCATENATE("Vigencia ",INSTRUCCIONES!$F$3)</f>
        <v>Vigencia 2017</v>
      </c>
      <c r="C49" s="2073">
        <f>+ENERO!C49</f>
        <v>0</v>
      </c>
      <c r="D49" s="2074">
        <f>SEPTIEMBRE!D49+OCTUBRE!P49</f>
        <v>0</v>
      </c>
      <c r="E49" s="2074">
        <f>SEPTIEMBRE!E49+OCTUBRE!Q49</f>
        <v>0</v>
      </c>
      <c r="F49" s="2074">
        <f>SUM(C49:E49)</f>
        <v>0</v>
      </c>
      <c r="G49" s="2074">
        <f>SEPTIEMBRE!I49</f>
        <v>0</v>
      </c>
      <c r="H49" s="2077">
        <v>0</v>
      </c>
      <c r="I49" s="2074">
        <f>SUM(G49:H49)</f>
        <v>0</v>
      </c>
      <c r="J49" s="2074">
        <f>SEPTIEMBRE!L49</f>
        <v>0</v>
      </c>
      <c r="K49" s="2077">
        <v>0</v>
      </c>
      <c r="L49" s="2074">
        <f>SUM(J49:K49)</f>
        <v>0</v>
      </c>
      <c r="M49" s="2074">
        <f>F49-I49</f>
        <v>0</v>
      </c>
      <c r="N49" s="2075">
        <f>F49-L49</f>
        <v>0</v>
      </c>
      <c r="O49" s="2093"/>
      <c r="P49" s="2079">
        <v>0</v>
      </c>
      <c r="Q49" s="2080">
        <v>0</v>
      </c>
      <c r="R49" s="1968"/>
      <c r="S49" s="2138">
        <f>+IF(SEPTIEMBRE!S49=0,"",SEPTIEMBRE!S49)</f>
        <v>1010302</v>
      </c>
      <c r="T49" s="2139" t="str">
        <f>+IF(SEPTIEMBRE!T49=0,"",SEPTIEMBRE!T49)</f>
        <v>Contribuciones - Otros</v>
      </c>
      <c r="U49" s="2140">
        <f t="shared" ref="U49:AJ49" si="56">SUM(U50:U54)</f>
        <v>182861553</v>
      </c>
      <c r="V49" s="2091">
        <f t="shared" si="56"/>
        <v>-30000000</v>
      </c>
      <c r="W49" s="2091">
        <f t="shared" si="56"/>
        <v>8000000</v>
      </c>
      <c r="X49" s="2141">
        <f t="shared" si="56"/>
        <v>160861553</v>
      </c>
      <c r="Y49" s="2142">
        <f t="shared" si="56"/>
        <v>63500969</v>
      </c>
      <c r="Z49" s="2170">
        <f t="shared" si="56"/>
        <v>2103914</v>
      </c>
      <c r="AA49" s="2141">
        <f t="shared" si="56"/>
        <v>65604883</v>
      </c>
      <c r="AB49" s="2142">
        <f t="shared" si="56"/>
        <v>63500969</v>
      </c>
      <c r="AC49" s="2170">
        <f t="shared" si="56"/>
        <v>2103914</v>
      </c>
      <c r="AD49" s="2141">
        <f t="shared" si="56"/>
        <v>65604883</v>
      </c>
      <c r="AE49" s="2142">
        <f t="shared" si="56"/>
        <v>63500969</v>
      </c>
      <c r="AF49" s="2170">
        <f t="shared" si="56"/>
        <v>2103914</v>
      </c>
      <c r="AG49" s="2141">
        <f t="shared" si="56"/>
        <v>65604883</v>
      </c>
      <c r="AH49" s="2142">
        <f t="shared" si="56"/>
        <v>95256670</v>
      </c>
      <c r="AI49" s="2091">
        <f t="shared" si="56"/>
        <v>95256670</v>
      </c>
      <c r="AJ49" s="2143">
        <f t="shared" si="56"/>
        <v>95256670</v>
      </c>
      <c r="AK49" s="1968"/>
      <c r="AL49" s="2171">
        <f>SUM(AL50:AL54)</f>
        <v>-24000000</v>
      </c>
      <c r="AM49" s="2172">
        <f>SUM(AM50:AM54)</f>
        <v>0</v>
      </c>
      <c r="AN49" s="1968"/>
      <c r="AO49" s="2251"/>
      <c r="AP49" s="2250"/>
      <c r="AQ49" s="1919"/>
      <c r="AR49" s="1919"/>
      <c r="AS49" s="1919"/>
      <c r="AT49" s="1919"/>
      <c r="AU49" s="1919"/>
      <c r="AV49" s="1919"/>
      <c r="AW49" s="1919"/>
      <c r="AX49" s="1919"/>
      <c r="AY49" s="1919"/>
      <c r="AZ49" s="1919"/>
      <c r="BA49" s="2093"/>
      <c r="BF49" s="2093"/>
      <c r="BG49" s="2093"/>
      <c r="BH49" s="2093"/>
      <c r="BI49" s="2093"/>
      <c r="BJ49" s="2093"/>
      <c r="BK49" s="2093"/>
      <c r="BL49" s="2093"/>
      <c r="BM49" s="2093"/>
      <c r="BN49" s="2093"/>
      <c r="BO49" s="2093"/>
      <c r="BP49" s="2093"/>
      <c r="BQ49" s="2093"/>
      <c r="BR49" s="2093"/>
    </row>
    <row r="50" spans="1:70" s="2181" customFormat="1" ht="24.95" customHeight="1">
      <c r="A50" s="2071" t="str">
        <f>+IF(SEPTIEMBRE!A50=0,"",SEPTIEMBRE!A50)</f>
        <v>1130108-2</v>
      </c>
      <c r="B50" s="2204" t="str">
        <f>+IF(SEPTIEMBRE!B50=0,"",SEPTIEMBRE!B50)</f>
        <v>Vigencia Anterior</v>
      </c>
      <c r="C50" s="2073">
        <f>+ENERO!C50</f>
        <v>0</v>
      </c>
      <c r="D50" s="2074">
        <f>SEPTIEMBRE!D50+OCTUBRE!P50</f>
        <v>0</v>
      </c>
      <c r="E50" s="2074">
        <f>SEPTIEMBRE!E50+OCTUBRE!Q50</f>
        <v>0</v>
      </c>
      <c r="F50" s="2074">
        <f>SUM(C50:E50)</f>
        <v>0</v>
      </c>
      <c r="G50" s="2074">
        <f>SEPTIEMBRE!I50</f>
        <v>0</v>
      </c>
      <c r="H50" s="2077">
        <v>0</v>
      </c>
      <c r="I50" s="2074">
        <f>SUM(G50:H50)</f>
        <v>0</v>
      </c>
      <c r="J50" s="2074">
        <f>SEPTIEMBRE!L50</f>
        <v>0</v>
      </c>
      <c r="K50" s="2077">
        <v>0</v>
      </c>
      <c r="L50" s="2074">
        <f>SUM(J50:K50)</f>
        <v>0</v>
      </c>
      <c r="M50" s="2074">
        <f>F50-I50</f>
        <v>0</v>
      </c>
      <c r="N50" s="2075">
        <f>F50-L50</f>
        <v>0</v>
      </c>
      <c r="O50" s="2093"/>
      <c r="P50" s="2079">
        <v>0</v>
      </c>
      <c r="Q50" s="2080">
        <v>0</v>
      </c>
      <c r="R50" s="1968"/>
      <c r="S50" s="2184" t="str">
        <f>+IF(SEPTIEMBRE!S50=0,"",SEPTIEMBRE!S50)</f>
        <v>1010302-1</v>
      </c>
      <c r="T50" s="2185" t="str">
        <f>+IF(SEPTIEMBRE!T50=0,"",SEPTIEMBRE!T50)</f>
        <v>Aportes a E.P.S.- Con sit. Fondos</v>
      </c>
      <c r="U50" s="2140">
        <f>+ENERO!U50</f>
        <v>72876516</v>
      </c>
      <c r="V50" s="2091">
        <f>SEPTIEMBRE!V50+OCTUBRE!AL50</f>
        <v>-23500000</v>
      </c>
      <c r="W50" s="2091">
        <f>SEPTIEMBRE!W50+OCTUBRE!AM50</f>
        <v>0</v>
      </c>
      <c r="X50" s="2141">
        <f t="shared" ref="X50:X55" si="57">SUM(U50:W50)</f>
        <v>49376516</v>
      </c>
      <c r="Y50" s="2142">
        <f>SEPTIEMBRE!AA50</f>
        <v>19832896</v>
      </c>
      <c r="Z50" s="2077">
        <v>0</v>
      </c>
      <c r="AA50" s="2141">
        <f t="shared" ref="AA50:AA55" si="58">SUM(Y50:Z50)</f>
        <v>19832896</v>
      </c>
      <c r="AB50" s="2142">
        <f>SEPTIEMBRE!AD50</f>
        <v>19832896</v>
      </c>
      <c r="AC50" s="2077">
        <v>0</v>
      </c>
      <c r="AD50" s="2141">
        <f t="shared" ref="AD50:AD55" si="59">SUM(AB50:AC50)</f>
        <v>19832896</v>
      </c>
      <c r="AE50" s="2142">
        <f>SEPTIEMBRE!AG50</f>
        <v>19832896</v>
      </c>
      <c r="AF50" s="2077">
        <v>0</v>
      </c>
      <c r="AG50" s="2141">
        <f t="shared" ref="AG50:AG55" si="60">SUM(AE50:AF50)</f>
        <v>19832896</v>
      </c>
      <c r="AH50" s="2142">
        <f t="shared" ref="AH50:AH55" si="61">X50-AA50</f>
        <v>29543620</v>
      </c>
      <c r="AI50" s="2091">
        <f t="shared" ref="AI50:AI55" si="62">X50-AD50</f>
        <v>29543620</v>
      </c>
      <c r="AJ50" s="2143">
        <f t="shared" ref="AJ50:AJ55" si="63">X50-AG50</f>
        <v>29543620</v>
      </c>
      <c r="AK50" s="1968"/>
      <c r="AL50" s="2079">
        <v>-14000000</v>
      </c>
      <c r="AM50" s="2080">
        <v>0</v>
      </c>
      <c r="AN50" s="1968"/>
      <c r="AO50" s="1919"/>
      <c r="AP50" s="1919"/>
      <c r="AQ50" s="1919"/>
      <c r="AR50" s="1919"/>
      <c r="AS50" s="1919"/>
      <c r="AT50" s="1919"/>
      <c r="AU50" s="1919"/>
      <c r="AV50" s="1919"/>
      <c r="AW50" s="1919"/>
      <c r="AX50" s="1919"/>
      <c r="AY50" s="1919"/>
      <c r="AZ50" s="1919"/>
      <c r="BA50" s="2093"/>
      <c r="BF50" s="2093"/>
      <c r="BG50" s="2093"/>
      <c r="BH50" s="2093"/>
      <c r="BI50" s="2093"/>
      <c r="BJ50" s="2093"/>
      <c r="BK50" s="2093"/>
      <c r="BL50" s="2093"/>
      <c r="BM50" s="2093"/>
      <c r="BN50" s="2093"/>
      <c r="BO50" s="2093"/>
      <c r="BP50" s="2093"/>
      <c r="BQ50" s="2093"/>
      <c r="BR50" s="2093"/>
    </row>
    <row r="51" spans="1:70" s="2093" customFormat="1" ht="24.95" customHeight="1">
      <c r="A51" s="2157">
        <f>+IF(SEPTIEMBRE!A51=0,"",SEPTIEMBRE!A51)</f>
        <v>1130109</v>
      </c>
      <c r="B51" s="2192" t="str">
        <f>+IF(SEPTIEMBRE!B51=0,"",SEPTIEMBRE!B51)</f>
        <v>EPS - PLANES COMPLEMENTARIOS</v>
      </c>
      <c r="C51" s="2159">
        <f t="shared" ref="C51:N51" si="64">SUM(C52:C53)</f>
        <v>0</v>
      </c>
      <c r="D51" s="2193">
        <f t="shared" si="64"/>
        <v>0</v>
      </c>
      <c r="E51" s="2193">
        <f t="shared" si="64"/>
        <v>0</v>
      </c>
      <c r="F51" s="2193">
        <f t="shared" si="64"/>
        <v>0</v>
      </c>
      <c r="G51" s="2193">
        <f t="shared" si="64"/>
        <v>0</v>
      </c>
      <c r="H51" s="2193">
        <f t="shared" si="64"/>
        <v>0</v>
      </c>
      <c r="I51" s="2193">
        <f t="shared" si="64"/>
        <v>0</v>
      </c>
      <c r="J51" s="2193">
        <f t="shared" si="64"/>
        <v>0</v>
      </c>
      <c r="K51" s="2193">
        <f t="shared" si="64"/>
        <v>0</v>
      </c>
      <c r="L51" s="2193">
        <f t="shared" si="64"/>
        <v>0</v>
      </c>
      <c r="M51" s="2193">
        <f t="shared" si="64"/>
        <v>0</v>
      </c>
      <c r="N51" s="2160">
        <f t="shared" si="64"/>
        <v>0</v>
      </c>
      <c r="P51" s="2159">
        <f>SUM(P52:P53)</f>
        <v>0</v>
      </c>
      <c r="Q51" s="2160">
        <f>SUM(Q52:Q53)</f>
        <v>0</v>
      </c>
      <c r="R51" s="1968"/>
      <c r="S51" s="2184" t="str">
        <f>+IF(SEPTIEMBRE!S51=0,"",SEPTIEMBRE!S51)</f>
        <v>1010302-2</v>
      </c>
      <c r="T51" s="2185" t="str">
        <f>+IF(SEPTIEMBRE!T51=0,"",SEPTIEMBRE!T51)</f>
        <v>Aportes Fondos Pensionales - Con Sit. Fondos</v>
      </c>
      <c r="U51" s="2140">
        <f>+ENERO!U51</f>
        <v>75101971</v>
      </c>
      <c r="V51" s="2091">
        <f>SEPTIEMBRE!V51+OCTUBRE!AL51</f>
        <v>-10000000</v>
      </c>
      <c r="W51" s="2091">
        <f>SEPTIEMBRE!W51+OCTUBRE!AM51</f>
        <v>0</v>
      </c>
      <c r="X51" s="2141">
        <f t="shared" si="57"/>
        <v>65101971</v>
      </c>
      <c r="Y51" s="2142">
        <f>SEPTIEMBRE!AA51</f>
        <v>27539061</v>
      </c>
      <c r="Z51" s="2077">
        <v>0</v>
      </c>
      <c r="AA51" s="2141">
        <f t="shared" si="58"/>
        <v>27539061</v>
      </c>
      <c r="AB51" s="2142">
        <f>SEPTIEMBRE!AD51</f>
        <v>27539061</v>
      </c>
      <c r="AC51" s="2077">
        <v>0</v>
      </c>
      <c r="AD51" s="2141">
        <f t="shared" si="59"/>
        <v>27539061</v>
      </c>
      <c r="AE51" s="2142">
        <f>SEPTIEMBRE!AG51</f>
        <v>27539061</v>
      </c>
      <c r="AF51" s="2077">
        <v>0</v>
      </c>
      <c r="AG51" s="2141">
        <f t="shared" si="60"/>
        <v>27539061</v>
      </c>
      <c r="AH51" s="2142">
        <f t="shared" si="61"/>
        <v>37562910</v>
      </c>
      <c r="AI51" s="2091">
        <f t="shared" si="62"/>
        <v>37562910</v>
      </c>
      <c r="AJ51" s="2143">
        <f t="shared" si="63"/>
        <v>37562910</v>
      </c>
      <c r="AK51" s="1968"/>
      <c r="AL51" s="2079">
        <v>-10000000</v>
      </c>
      <c r="AM51" s="2080">
        <v>0</v>
      </c>
      <c r="AN51" s="1968"/>
      <c r="AO51" s="1919"/>
      <c r="AP51" s="1919"/>
      <c r="AQ51" s="1919"/>
      <c r="AR51" s="1919"/>
      <c r="AS51" s="1919"/>
      <c r="AT51" s="1919"/>
      <c r="AU51" s="1919"/>
      <c r="AV51" s="1919"/>
      <c r="AW51" s="1919"/>
      <c r="AX51" s="1919"/>
      <c r="AY51" s="1919"/>
      <c r="AZ51" s="1919"/>
    </row>
    <row r="52" spans="1:70" s="2181" customFormat="1" ht="24.95" customHeight="1">
      <c r="A52" s="2071" t="str">
        <f>+IF(SEPTIEMBRE!A52=0,"",SEPTIEMBRE!A52)</f>
        <v>1130109-1</v>
      </c>
      <c r="B52" s="2204" t="str">
        <f>+CONCATENATE("Vigencia ",INSTRUCCIONES!$F$3)</f>
        <v>Vigencia 2017</v>
      </c>
      <c r="C52" s="2073">
        <f>+ENERO!C52</f>
        <v>0</v>
      </c>
      <c r="D52" s="2074">
        <f>SEPTIEMBRE!D52+OCTUBRE!P52</f>
        <v>0</v>
      </c>
      <c r="E52" s="2074">
        <f>SEPTIEMBRE!E52+OCTUBRE!Q52</f>
        <v>0</v>
      </c>
      <c r="F52" s="2074">
        <f>SUM(C52:E52)</f>
        <v>0</v>
      </c>
      <c r="G52" s="2074">
        <f>SEPTIEMBRE!I52</f>
        <v>0</v>
      </c>
      <c r="H52" s="2077">
        <v>0</v>
      </c>
      <c r="I52" s="2074">
        <f>SUM(G52:H52)</f>
        <v>0</v>
      </c>
      <c r="J52" s="2074">
        <f>SEPTIEMBRE!L52</f>
        <v>0</v>
      </c>
      <c r="K52" s="2077">
        <v>0</v>
      </c>
      <c r="L52" s="2074">
        <f>SUM(J52:K52)</f>
        <v>0</v>
      </c>
      <c r="M52" s="2074">
        <f>F52-I52</f>
        <v>0</v>
      </c>
      <c r="N52" s="2075">
        <f>F52-L52</f>
        <v>0</v>
      </c>
      <c r="O52" s="2093"/>
      <c r="P52" s="2079">
        <v>0</v>
      </c>
      <c r="Q52" s="2080">
        <v>0</v>
      </c>
      <c r="R52" s="1968"/>
      <c r="S52" s="2184" t="str">
        <f>+IF(SEPTIEMBRE!S52=0,"",SEPTIEMBRE!S52)</f>
        <v>1010302-3</v>
      </c>
      <c r="T52" s="2185" t="str">
        <f>+IF(SEPTIEMBRE!T52=0,"",SEPTIEMBRE!T52)</f>
        <v xml:space="preserve">Aportes a Fondos de Cesantia - Con Sit. de Fondos </v>
      </c>
      <c r="U52" s="2140">
        <f>+ENERO!U52</f>
        <v>12471386</v>
      </c>
      <c r="V52" s="2091">
        <f>SEPTIEMBRE!V52+OCTUBRE!AL52</f>
        <v>0</v>
      </c>
      <c r="W52" s="2091">
        <f>SEPTIEMBRE!W52+OCTUBRE!AM52</f>
        <v>0</v>
      </c>
      <c r="X52" s="2141">
        <f t="shared" si="57"/>
        <v>12471386</v>
      </c>
      <c r="Y52" s="2142">
        <f>SEPTIEMBRE!AA52</f>
        <v>0</v>
      </c>
      <c r="Z52" s="2077">
        <v>0</v>
      </c>
      <c r="AA52" s="2141">
        <f t="shared" si="58"/>
        <v>0</v>
      </c>
      <c r="AB52" s="2142">
        <f>SEPTIEMBRE!AD52</f>
        <v>0</v>
      </c>
      <c r="AC52" s="2077">
        <v>0</v>
      </c>
      <c r="AD52" s="2141">
        <f t="shared" si="59"/>
        <v>0</v>
      </c>
      <c r="AE52" s="2142">
        <f>SEPTIEMBRE!AG52</f>
        <v>0</v>
      </c>
      <c r="AF52" s="2077">
        <v>0</v>
      </c>
      <c r="AG52" s="2141">
        <f t="shared" si="60"/>
        <v>0</v>
      </c>
      <c r="AH52" s="2142">
        <f t="shared" si="61"/>
        <v>12471386</v>
      </c>
      <c r="AI52" s="2091">
        <f t="shared" si="62"/>
        <v>12471386</v>
      </c>
      <c r="AJ52" s="2143">
        <f t="shared" si="63"/>
        <v>12471386</v>
      </c>
      <c r="AK52" s="1968"/>
      <c r="AL52" s="2079">
        <v>0</v>
      </c>
      <c r="AM52" s="2080">
        <v>0</v>
      </c>
      <c r="AN52" s="1968"/>
      <c r="AO52" s="2252"/>
      <c r="AP52" s="2252"/>
      <c r="AQ52" s="2252"/>
      <c r="AR52" s="1919"/>
      <c r="AS52" s="2251"/>
      <c r="AT52" s="2251"/>
      <c r="AU52" s="2251"/>
      <c r="AV52" s="2251"/>
      <c r="AW52" s="2251"/>
      <c r="AX52" s="2251"/>
      <c r="AY52" s="2251"/>
      <c r="AZ52" s="2251"/>
      <c r="BA52" s="2093"/>
      <c r="BF52" s="2093"/>
      <c r="BG52" s="2093"/>
      <c r="BH52" s="2093"/>
      <c r="BI52" s="2093"/>
      <c r="BJ52" s="2093"/>
      <c r="BK52" s="2093"/>
      <c r="BL52" s="2093"/>
      <c r="BM52" s="2093"/>
      <c r="BN52" s="2093"/>
      <c r="BO52" s="2093"/>
      <c r="BP52" s="2093"/>
      <c r="BQ52" s="2093"/>
      <c r="BR52" s="2093"/>
    </row>
    <row r="53" spans="1:70" s="2181" customFormat="1" ht="24.95" customHeight="1">
      <c r="A53" s="2071" t="str">
        <f>+IF(SEPTIEMBRE!A53=0,"",SEPTIEMBRE!A53)</f>
        <v>1130109-2</v>
      </c>
      <c r="B53" s="2204" t="str">
        <f>+IF(SEPTIEMBRE!B53=0,"",SEPTIEMBRE!B53)</f>
        <v>Vigencia Anterior</v>
      </c>
      <c r="C53" s="2073">
        <f>+ENERO!C53</f>
        <v>0</v>
      </c>
      <c r="D53" s="2074">
        <f>SEPTIEMBRE!D53+OCTUBRE!P53</f>
        <v>0</v>
      </c>
      <c r="E53" s="2074">
        <f>SEPTIEMBRE!E53+OCTUBRE!Q53</f>
        <v>0</v>
      </c>
      <c r="F53" s="2074">
        <f>SUM(C53:E53)</f>
        <v>0</v>
      </c>
      <c r="G53" s="2074">
        <f>SEPTIEMBRE!I53</f>
        <v>0</v>
      </c>
      <c r="H53" s="2077">
        <v>0</v>
      </c>
      <c r="I53" s="2074">
        <f>SUM(G53:H53)</f>
        <v>0</v>
      </c>
      <c r="J53" s="2074">
        <f>SEPTIEMBRE!L53</f>
        <v>0</v>
      </c>
      <c r="K53" s="2077">
        <v>0</v>
      </c>
      <c r="L53" s="2074">
        <f>SUM(J53:K53)</f>
        <v>0</v>
      </c>
      <c r="M53" s="2074">
        <f>F53-I53</f>
        <v>0</v>
      </c>
      <c r="N53" s="2075">
        <f>F53-L53</f>
        <v>0</v>
      </c>
      <c r="O53" s="2093"/>
      <c r="P53" s="2079">
        <v>0</v>
      </c>
      <c r="Q53" s="2080">
        <v>0</v>
      </c>
      <c r="R53" s="1968"/>
      <c r="S53" s="2184" t="str">
        <f>+IF(SEPTIEMBRE!S53=0,"",SEPTIEMBRE!S53)</f>
        <v>1010302-4</v>
      </c>
      <c r="T53" s="2185" t="str">
        <f>+IF(SEPTIEMBRE!T53=0,"",SEPTIEMBRE!T53)</f>
        <v>Aporte a ARL. - Con Sit. de Fondos</v>
      </c>
      <c r="U53" s="2140">
        <f>+ENERO!U53</f>
        <v>15124020</v>
      </c>
      <c r="V53" s="2091">
        <f>SEPTIEMBRE!V53+OCTUBRE!AL53</f>
        <v>0</v>
      </c>
      <c r="W53" s="2091">
        <f>SEPTIEMBRE!W53+OCTUBRE!AM53</f>
        <v>0</v>
      </c>
      <c r="X53" s="2141">
        <f t="shared" si="57"/>
        <v>15124020</v>
      </c>
      <c r="Y53" s="2142">
        <f>SEPTIEMBRE!AA53</f>
        <v>1188615</v>
      </c>
      <c r="Z53" s="2077">
        <v>0</v>
      </c>
      <c r="AA53" s="2141">
        <f t="shared" si="58"/>
        <v>1188615</v>
      </c>
      <c r="AB53" s="2142">
        <f>SEPTIEMBRE!AD53</f>
        <v>1188615</v>
      </c>
      <c r="AC53" s="2077">
        <v>0</v>
      </c>
      <c r="AD53" s="2141">
        <f t="shared" si="59"/>
        <v>1188615</v>
      </c>
      <c r="AE53" s="2142">
        <f>SEPTIEMBRE!AG53</f>
        <v>1188615</v>
      </c>
      <c r="AF53" s="2077">
        <v>0</v>
      </c>
      <c r="AG53" s="2141">
        <f t="shared" si="60"/>
        <v>1188615</v>
      </c>
      <c r="AH53" s="2142">
        <f t="shared" si="61"/>
        <v>13935405</v>
      </c>
      <c r="AI53" s="2091">
        <f t="shared" si="62"/>
        <v>13935405</v>
      </c>
      <c r="AJ53" s="2143">
        <f t="shared" si="63"/>
        <v>13935405</v>
      </c>
      <c r="AK53" s="1968"/>
      <c r="AL53" s="2079">
        <v>0</v>
      </c>
      <c r="AM53" s="2080">
        <v>0</v>
      </c>
      <c r="AN53" s="1968"/>
      <c r="AO53" s="1919"/>
      <c r="AP53" s="1919"/>
      <c r="AQ53" s="1919"/>
      <c r="AR53" s="1919"/>
      <c r="AS53" s="1919"/>
      <c r="AT53" s="1919"/>
      <c r="AU53" s="1919"/>
      <c r="AV53" s="1919"/>
      <c r="AW53" s="1919"/>
      <c r="AX53" s="1919"/>
      <c r="AY53" s="1919"/>
      <c r="AZ53" s="1919"/>
      <c r="BA53" s="2093"/>
      <c r="BF53" s="2093"/>
      <c r="BG53" s="2093"/>
      <c r="BH53" s="2093"/>
      <c r="BI53" s="2093"/>
      <c r="BJ53" s="2093"/>
      <c r="BK53" s="2093"/>
      <c r="BL53" s="2093"/>
      <c r="BM53" s="2093"/>
      <c r="BN53" s="2093"/>
      <c r="BO53" s="2093"/>
      <c r="BP53" s="2093"/>
      <c r="BQ53" s="2093"/>
      <c r="BR53" s="2093"/>
    </row>
    <row r="54" spans="1:70" s="2093" customFormat="1" ht="24.95" customHeight="1">
      <c r="A54" s="2157">
        <f>+IF(SEPTIEMBRE!A54=0,"",SEPTIEMBRE!A54)</f>
        <v>1130110</v>
      </c>
      <c r="B54" s="2192" t="str">
        <f>+IF(SEPTIEMBRE!B54=0,"",SEPTIEMBRE!B54)</f>
        <v>EMPRESAS MEDICINA PREPAGADA</v>
      </c>
      <c r="C54" s="2159">
        <f t="shared" ref="C54:N54" si="65">SUM(C55:C56)</f>
        <v>0</v>
      </c>
      <c r="D54" s="2193">
        <f t="shared" si="65"/>
        <v>0</v>
      </c>
      <c r="E54" s="2193">
        <f t="shared" si="65"/>
        <v>0</v>
      </c>
      <c r="F54" s="2193">
        <f t="shared" si="65"/>
        <v>0</v>
      </c>
      <c r="G54" s="2193">
        <f t="shared" si="65"/>
        <v>0</v>
      </c>
      <c r="H54" s="2193">
        <f t="shared" si="65"/>
        <v>0</v>
      </c>
      <c r="I54" s="2193">
        <f t="shared" si="65"/>
        <v>0</v>
      </c>
      <c r="J54" s="2193">
        <f t="shared" si="65"/>
        <v>0</v>
      </c>
      <c r="K54" s="2193">
        <f t="shared" si="65"/>
        <v>0</v>
      </c>
      <c r="L54" s="2193">
        <f t="shared" si="65"/>
        <v>0</v>
      </c>
      <c r="M54" s="2193">
        <f t="shared" si="65"/>
        <v>0</v>
      </c>
      <c r="N54" s="2160">
        <f t="shared" si="65"/>
        <v>0</v>
      </c>
      <c r="P54" s="2159">
        <f>SUM(P55:P56)</f>
        <v>0</v>
      </c>
      <c r="Q54" s="2160">
        <f>SUM(Q55:Q56)</f>
        <v>0</v>
      </c>
      <c r="R54" s="1968"/>
      <c r="S54" s="2184" t="str">
        <f>+IF(SEPTIEMBRE!S54=0,"",SEPTIEMBRE!S54)</f>
        <v>1010302-5</v>
      </c>
      <c r="T54" s="2185" t="str">
        <f>+IF(SEPTIEMBRE!T54=0,"",SEPTIEMBRE!T54)</f>
        <v>Aporte a Caja Compensación Familiar</v>
      </c>
      <c r="U54" s="2140">
        <f>+ENERO!U54</f>
        <v>7287660</v>
      </c>
      <c r="V54" s="2091">
        <f>SEPTIEMBRE!V54+OCTUBRE!AL54</f>
        <v>3500000</v>
      </c>
      <c r="W54" s="2091">
        <f>SEPTIEMBRE!W54+OCTUBRE!AM54</f>
        <v>8000000</v>
      </c>
      <c r="X54" s="2141">
        <f t="shared" si="57"/>
        <v>18787660</v>
      </c>
      <c r="Y54" s="2142">
        <f>SEPTIEMBRE!AA54</f>
        <v>14940397</v>
      </c>
      <c r="Z54" s="2077">
        <v>2103914</v>
      </c>
      <c r="AA54" s="2141">
        <f t="shared" si="58"/>
        <v>17044311</v>
      </c>
      <c r="AB54" s="2142">
        <f>SEPTIEMBRE!AD54</f>
        <v>14940397</v>
      </c>
      <c r="AC54" s="2077">
        <v>2103914</v>
      </c>
      <c r="AD54" s="2141">
        <f t="shared" si="59"/>
        <v>17044311</v>
      </c>
      <c r="AE54" s="2142">
        <f>SEPTIEMBRE!AG54</f>
        <v>14940397</v>
      </c>
      <c r="AF54" s="2077">
        <v>2103914</v>
      </c>
      <c r="AG54" s="2141">
        <f t="shared" si="60"/>
        <v>17044311</v>
      </c>
      <c r="AH54" s="2142">
        <f t="shared" si="61"/>
        <v>1743349</v>
      </c>
      <c r="AI54" s="2091">
        <f t="shared" si="62"/>
        <v>1743349</v>
      </c>
      <c r="AJ54" s="2143">
        <f t="shared" si="63"/>
        <v>1743349</v>
      </c>
      <c r="AK54" s="1968"/>
      <c r="AL54" s="2079">
        <v>0</v>
      </c>
      <c r="AM54" s="2080">
        <v>0</v>
      </c>
      <c r="AN54" s="1968"/>
      <c r="AO54" s="1919"/>
      <c r="AP54" s="1919"/>
      <c r="AQ54" s="1919"/>
      <c r="AR54" s="1919"/>
      <c r="AS54" s="1919"/>
      <c r="AT54" s="1919"/>
      <c r="AU54" s="1919"/>
      <c r="AV54" s="1919"/>
      <c r="AW54" s="1919"/>
      <c r="AX54" s="1919"/>
      <c r="AY54" s="1919"/>
      <c r="AZ54" s="1919"/>
    </row>
    <row r="55" spans="1:70" s="2181" customFormat="1" ht="24.95" customHeight="1">
      <c r="A55" s="2071" t="str">
        <f>+IF(SEPTIEMBRE!A55=0,"",SEPTIEMBRE!A55)</f>
        <v>1130110-1</v>
      </c>
      <c r="B55" s="2204" t="str">
        <f>+CONCATENATE("Vigencia ",INSTRUCCIONES!$F$3)</f>
        <v>Vigencia 2017</v>
      </c>
      <c r="C55" s="2073">
        <f>+ENERO!C55</f>
        <v>0</v>
      </c>
      <c r="D55" s="2074">
        <f>SEPTIEMBRE!D55+OCTUBRE!P55</f>
        <v>0</v>
      </c>
      <c r="E55" s="2074">
        <f>SEPTIEMBRE!E55+OCTUBRE!Q55</f>
        <v>0</v>
      </c>
      <c r="F55" s="2074">
        <f>SUM(C55:E55)</f>
        <v>0</v>
      </c>
      <c r="G55" s="2074">
        <f>SEPTIEMBRE!I55</f>
        <v>0</v>
      </c>
      <c r="H55" s="2077">
        <v>0</v>
      </c>
      <c r="I55" s="2074">
        <f>SUM(G55:H55)</f>
        <v>0</v>
      </c>
      <c r="J55" s="2074">
        <f>SEPTIEMBRE!L55</f>
        <v>0</v>
      </c>
      <c r="K55" s="2077">
        <v>0</v>
      </c>
      <c r="L55" s="2074">
        <f>SUM(J55:K55)</f>
        <v>0</v>
      </c>
      <c r="M55" s="2074">
        <f>F55-I55</f>
        <v>0</v>
      </c>
      <c r="N55" s="2075">
        <f>F55-L55</f>
        <v>0</v>
      </c>
      <c r="O55" s="2093"/>
      <c r="P55" s="2079">
        <v>0</v>
      </c>
      <c r="Q55" s="2080">
        <v>0</v>
      </c>
      <c r="R55" s="1968"/>
      <c r="S55" s="2138">
        <f>+IF(SEPTIEMBRE!S55=0,"",SEPTIEMBRE!S55)</f>
        <v>1010399</v>
      </c>
      <c r="T55" s="2139" t="str">
        <f>+IF(SEPTIEMBRE!T55=0,"",SEPTIEMBRE!T55)</f>
        <v>Vigencias Anteriores</v>
      </c>
      <c r="U55" s="2140">
        <f>+ENERO!U55</f>
        <v>0</v>
      </c>
      <c r="V55" s="2091">
        <f>SEPTIEMBRE!V55+OCTUBRE!AL55</f>
        <v>-24802080</v>
      </c>
      <c r="W55" s="2091">
        <f>SEPTIEMBRE!W55+OCTUBRE!AM55</f>
        <v>24802080</v>
      </c>
      <c r="X55" s="2141">
        <f t="shared" si="57"/>
        <v>0</v>
      </c>
      <c r="Y55" s="2142">
        <f>SEPTIEMBRE!AA55</f>
        <v>0</v>
      </c>
      <c r="Z55" s="2077">
        <v>0</v>
      </c>
      <c r="AA55" s="2141">
        <f t="shared" si="58"/>
        <v>0</v>
      </c>
      <c r="AB55" s="2142">
        <f>SEPTIEMBRE!AD55</f>
        <v>0</v>
      </c>
      <c r="AC55" s="2077">
        <v>0</v>
      </c>
      <c r="AD55" s="2141">
        <f t="shared" si="59"/>
        <v>0</v>
      </c>
      <c r="AE55" s="2142">
        <f>SEPTIEMBRE!AG55</f>
        <v>0</v>
      </c>
      <c r="AF55" s="2077">
        <v>0</v>
      </c>
      <c r="AG55" s="2141">
        <f t="shared" si="60"/>
        <v>0</v>
      </c>
      <c r="AH55" s="2142">
        <f t="shared" si="61"/>
        <v>0</v>
      </c>
      <c r="AI55" s="2091">
        <f t="shared" si="62"/>
        <v>0</v>
      </c>
      <c r="AJ55" s="2143">
        <f t="shared" si="63"/>
        <v>0</v>
      </c>
      <c r="AK55" s="1968"/>
      <c r="AL55" s="2079">
        <v>0</v>
      </c>
      <c r="AM55" s="2080">
        <v>0</v>
      </c>
      <c r="AN55" s="1968"/>
      <c r="AO55" s="1919"/>
      <c r="AP55" s="2250"/>
      <c r="AQ55" s="1919"/>
      <c r="AR55" s="1919"/>
      <c r="AS55" s="1919"/>
      <c r="AT55" s="1919"/>
      <c r="AU55" s="1919"/>
      <c r="AV55" s="1919"/>
      <c r="AW55" s="1919"/>
      <c r="AX55" s="1919"/>
      <c r="AY55" s="1919"/>
      <c r="AZ55" s="1919"/>
      <c r="BA55" s="2093"/>
      <c r="BF55" s="2093"/>
      <c r="BG55" s="2093"/>
      <c r="BH55" s="2093"/>
      <c r="BI55" s="2093"/>
      <c r="BJ55" s="2093"/>
      <c r="BK55" s="2093"/>
      <c r="BL55" s="2093"/>
      <c r="BM55" s="2093"/>
      <c r="BN55" s="2093"/>
      <c r="BO55" s="2093"/>
      <c r="BP55" s="2093"/>
      <c r="BQ55" s="2093"/>
      <c r="BR55" s="2093"/>
    </row>
    <row r="56" spans="1:70" s="2181" customFormat="1" ht="24.95" customHeight="1">
      <c r="A56" s="2071" t="str">
        <f>+IF(SEPTIEMBRE!A56=0,"",SEPTIEMBRE!A56)</f>
        <v>1130110-2</v>
      </c>
      <c r="B56" s="2204" t="str">
        <f>+IF(SEPTIEMBRE!B56=0,"",SEPTIEMBRE!B56)</f>
        <v>Vigencia Anterior</v>
      </c>
      <c r="C56" s="2073">
        <f>+ENERO!C56</f>
        <v>0</v>
      </c>
      <c r="D56" s="2074">
        <f>SEPTIEMBRE!D56+OCTUBRE!P56</f>
        <v>0</v>
      </c>
      <c r="E56" s="2074">
        <f>SEPTIEMBRE!E56+OCTUBRE!Q56</f>
        <v>0</v>
      </c>
      <c r="F56" s="2074">
        <f>SUM(C56:E56)</f>
        <v>0</v>
      </c>
      <c r="G56" s="2074">
        <f>SEPTIEMBRE!I56</f>
        <v>0</v>
      </c>
      <c r="H56" s="2077">
        <v>0</v>
      </c>
      <c r="I56" s="2074">
        <f>SUM(G56:H56)</f>
        <v>0</v>
      </c>
      <c r="J56" s="2074">
        <f>SEPTIEMBRE!L56</f>
        <v>0</v>
      </c>
      <c r="K56" s="2077">
        <v>0</v>
      </c>
      <c r="L56" s="2074">
        <f>SUM(J56:K56)</f>
        <v>0</v>
      </c>
      <c r="M56" s="2074">
        <f>F56-I56</f>
        <v>0</v>
      </c>
      <c r="N56" s="2075">
        <f>F56-L56</f>
        <v>0</v>
      </c>
      <c r="O56" s="2093"/>
      <c r="P56" s="2079">
        <v>0</v>
      </c>
      <c r="Q56" s="2080">
        <v>0</v>
      </c>
      <c r="R56" s="1968"/>
      <c r="S56" s="2058" t="str">
        <f>+IF(SEPTIEMBRE!S56=0,"",SEPTIEMBRE!S56)</f>
        <v/>
      </c>
      <c r="T56" s="2059" t="str">
        <f>+IF(SEPTIEMBRE!T56=0,"",SEPTIEMBRE!T56)</f>
        <v/>
      </c>
      <c r="U56" s="2060"/>
      <c r="V56" s="2060"/>
      <c r="W56" s="2060"/>
      <c r="X56" s="2060"/>
      <c r="Y56" s="2060"/>
      <c r="Z56" s="2060"/>
      <c r="AA56" s="2060"/>
      <c r="AB56" s="2060"/>
      <c r="AC56" s="2060"/>
      <c r="AD56" s="2060"/>
      <c r="AE56" s="2060"/>
      <c r="AF56" s="2060"/>
      <c r="AG56" s="2060"/>
      <c r="AH56" s="2060"/>
      <c r="AI56" s="2060"/>
      <c r="AJ56" s="2061"/>
      <c r="AK56" s="2086"/>
      <c r="AL56" s="2248"/>
      <c r="AM56" s="2249"/>
      <c r="AN56" s="1968"/>
      <c r="AO56" s="1919"/>
      <c r="AP56" s="1919"/>
      <c r="AQ56" s="1919"/>
      <c r="AR56" s="1919"/>
      <c r="AS56" s="1919"/>
      <c r="AT56" s="1919"/>
      <c r="AU56" s="1919"/>
      <c r="AV56" s="1919"/>
      <c r="AW56" s="1919"/>
      <c r="AX56" s="1919"/>
      <c r="AY56" s="1919"/>
      <c r="AZ56" s="1919"/>
      <c r="BA56" s="2093"/>
      <c r="BF56" s="2093"/>
      <c r="BG56" s="2093"/>
      <c r="BH56" s="2093"/>
      <c r="BI56" s="2093"/>
      <c r="BJ56" s="2093"/>
      <c r="BK56" s="2093"/>
      <c r="BL56" s="2093"/>
      <c r="BM56" s="2093"/>
      <c r="BN56" s="2093"/>
      <c r="BO56" s="2093"/>
      <c r="BP56" s="2093"/>
      <c r="BQ56" s="2093"/>
      <c r="BR56" s="2093"/>
    </row>
    <row r="57" spans="1:70" s="2093" customFormat="1" ht="24.95" customHeight="1">
      <c r="A57" s="2157">
        <f>+IF(SEPTIEMBRE!A57=0,"",SEPTIEMBRE!A57)</f>
        <v>1130111</v>
      </c>
      <c r="B57" s="2192" t="str">
        <f>+IF(SEPTIEMBRE!B57=0,"",SEPTIEMBRE!B57)</f>
        <v>IPS PRIVADAS</v>
      </c>
      <c r="C57" s="2159">
        <f t="shared" ref="C57:N57" si="66">SUM(C58:C59)</f>
        <v>133639169</v>
      </c>
      <c r="D57" s="2193">
        <f t="shared" si="66"/>
        <v>0</v>
      </c>
      <c r="E57" s="2193">
        <f t="shared" si="66"/>
        <v>176960</v>
      </c>
      <c r="F57" s="2193">
        <f t="shared" si="66"/>
        <v>133816129</v>
      </c>
      <c r="G57" s="2193">
        <f t="shared" si="66"/>
        <v>195132</v>
      </c>
      <c r="H57" s="2193">
        <f t="shared" si="66"/>
        <v>2675366</v>
      </c>
      <c r="I57" s="2193">
        <f t="shared" si="66"/>
        <v>2870498</v>
      </c>
      <c r="J57" s="2193">
        <f t="shared" si="66"/>
        <v>176960</v>
      </c>
      <c r="K57" s="2193">
        <f t="shared" si="66"/>
        <v>2675366</v>
      </c>
      <c r="L57" s="2193">
        <f t="shared" si="66"/>
        <v>2852326</v>
      </c>
      <c r="M57" s="2193">
        <f t="shared" si="66"/>
        <v>130945631</v>
      </c>
      <c r="N57" s="2160">
        <f t="shared" si="66"/>
        <v>130963803</v>
      </c>
      <c r="P57" s="2159">
        <f>SUM(P58:P59)</f>
        <v>0</v>
      </c>
      <c r="Q57" s="2160">
        <f>SUM(Q58:Q59)</f>
        <v>0</v>
      </c>
      <c r="R57" s="1968"/>
      <c r="S57" s="2130">
        <f>+IF(SEPTIEMBRE!S57=0,"",SEPTIEMBRE!S57)</f>
        <v>1010400</v>
      </c>
      <c r="T57" s="2131" t="str">
        <f>+IF(SEPTIEMBRE!T57=0,"",SEPTIEMBRE!T57)</f>
        <v>Contribuciones Inherentes nómina del Sector Publico</v>
      </c>
      <c r="U57" s="2103">
        <f t="shared" ref="U57:AJ57" si="67">U58+U61</f>
        <v>31192586</v>
      </c>
      <c r="V57" s="2104">
        <f t="shared" si="67"/>
        <v>0</v>
      </c>
      <c r="W57" s="2104">
        <f t="shared" si="67"/>
        <v>0</v>
      </c>
      <c r="X57" s="2105">
        <f t="shared" si="67"/>
        <v>31192586</v>
      </c>
      <c r="Y57" s="2106">
        <f t="shared" si="67"/>
        <v>17265760</v>
      </c>
      <c r="Z57" s="2104">
        <f t="shared" si="67"/>
        <v>2629893</v>
      </c>
      <c r="AA57" s="2105">
        <f t="shared" si="67"/>
        <v>19895653</v>
      </c>
      <c r="AB57" s="2106">
        <f t="shared" si="67"/>
        <v>17265760</v>
      </c>
      <c r="AC57" s="2104">
        <f t="shared" si="67"/>
        <v>2629893</v>
      </c>
      <c r="AD57" s="2105">
        <f t="shared" si="67"/>
        <v>19895653</v>
      </c>
      <c r="AE57" s="2106">
        <f t="shared" si="67"/>
        <v>17265760</v>
      </c>
      <c r="AF57" s="2104">
        <f t="shared" si="67"/>
        <v>2629893</v>
      </c>
      <c r="AG57" s="2105">
        <f t="shared" si="67"/>
        <v>19895653</v>
      </c>
      <c r="AH57" s="2106">
        <f t="shared" si="67"/>
        <v>11296933</v>
      </c>
      <c r="AI57" s="2104">
        <f t="shared" si="67"/>
        <v>11296933</v>
      </c>
      <c r="AJ57" s="2107">
        <f t="shared" si="67"/>
        <v>11296933</v>
      </c>
      <c r="AK57" s="1968"/>
      <c r="AL57" s="2106">
        <f>AL58+AL61</f>
        <v>0</v>
      </c>
      <c r="AM57" s="2107">
        <f>AM58+AM61</f>
        <v>0</v>
      </c>
      <c r="AN57" s="1968"/>
      <c r="AO57" s="1919"/>
      <c r="AP57" s="1919"/>
      <c r="AQ57" s="1919"/>
      <c r="AR57" s="1919"/>
      <c r="AS57" s="1919"/>
      <c r="AT57" s="1919"/>
      <c r="AU57" s="1919"/>
      <c r="AV57" s="1919"/>
      <c r="AW57" s="1919"/>
      <c r="AX57" s="1919"/>
      <c r="AY57" s="1919"/>
      <c r="AZ57" s="1919"/>
    </row>
    <row r="58" spans="1:70" s="2181" customFormat="1" ht="24.95" customHeight="1">
      <c r="A58" s="2071" t="str">
        <f>+IF(SEPTIEMBRE!A58=0,"",SEPTIEMBRE!A58)</f>
        <v>1130111-1</v>
      </c>
      <c r="B58" s="2204" t="str">
        <f>+CONCATENATE("Vigencia ",INSTRUCCIONES!$F$3)</f>
        <v>Vigencia 2017</v>
      </c>
      <c r="C58" s="2073">
        <f>+ENERO!C58</f>
        <v>133639169</v>
      </c>
      <c r="D58" s="2074">
        <f>SEPTIEMBRE!D58+OCTUBRE!P58</f>
        <v>0</v>
      </c>
      <c r="E58" s="2074">
        <f>SEPTIEMBRE!E58+OCTUBRE!Q58</f>
        <v>0</v>
      </c>
      <c r="F58" s="2074">
        <f>SUM(C58:E58)</f>
        <v>133639169</v>
      </c>
      <c r="G58" s="2074">
        <f>SEPTIEMBRE!I58</f>
        <v>18172</v>
      </c>
      <c r="H58" s="2077">
        <v>0</v>
      </c>
      <c r="I58" s="2074">
        <f>SUM(G58:H58)</f>
        <v>18172</v>
      </c>
      <c r="J58" s="2074">
        <f>SEPTIEMBRE!L58</f>
        <v>0</v>
      </c>
      <c r="K58" s="2077">
        <v>0</v>
      </c>
      <c r="L58" s="2074">
        <f>SUM(J58:K58)</f>
        <v>0</v>
      </c>
      <c r="M58" s="2074">
        <f>F58-I58</f>
        <v>133620997</v>
      </c>
      <c r="N58" s="2075">
        <f>F58-L58</f>
        <v>133639169</v>
      </c>
      <c r="O58" s="2093"/>
      <c r="P58" s="2079">
        <v>0</v>
      </c>
      <c r="Q58" s="2080">
        <v>0</v>
      </c>
      <c r="R58" s="1968"/>
      <c r="S58" s="2138">
        <f>+IF(SEPTIEMBRE!S58=0,"",SEPTIEMBRE!S58)</f>
        <v>1010402</v>
      </c>
      <c r="T58" s="2139" t="str">
        <f>+IF(SEPTIEMBRE!T58=0,"",SEPTIEMBRE!T58)</f>
        <v>Contribuciones - Otros</v>
      </c>
      <c r="U58" s="2140">
        <f t="shared" ref="U58:AJ58" si="68">SUM(U59:U60)</f>
        <v>31192586</v>
      </c>
      <c r="V58" s="2091">
        <f t="shared" si="68"/>
        <v>0</v>
      </c>
      <c r="W58" s="2091">
        <f t="shared" si="68"/>
        <v>0</v>
      </c>
      <c r="X58" s="2141">
        <f t="shared" si="68"/>
        <v>31192586</v>
      </c>
      <c r="Y58" s="2142">
        <f t="shared" si="68"/>
        <v>17265760</v>
      </c>
      <c r="Z58" s="2170">
        <f t="shared" si="68"/>
        <v>2629893</v>
      </c>
      <c r="AA58" s="2141">
        <f t="shared" si="68"/>
        <v>19895653</v>
      </c>
      <c r="AB58" s="2142">
        <f t="shared" si="68"/>
        <v>17265760</v>
      </c>
      <c r="AC58" s="2170">
        <f t="shared" si="68"/>
        <v>2629893</v>
      </c>
      <c r="AD58" s="2141">
        <f t="shared" si="68"/>
        <v>19895653</v>
      </c>
      <c r="AE58" s="2142">
        <f t="shared" si="68"/>
        <v>17265760</v>
      </c>
      <c r="AF58" s="2170">
        <f t="shared" si="68"/>
        <v>2629893</v>
      </c>
      <c r="AG58" s="2141">
        <f t="shared" si="68"/>
        <v>19895653</v>
      </c>
      <c r="AH58" s="2142">
        <f t="shared" si="68"/>
        <v>11296933</v>
      </c>
      <c r="AI58" s="2091">
        <f t="shared" si="68"/>
        <v>11296933</v>
      </c>
      <c r="AJ58" s="2143">
        <f t="shared" si="68"/>
        <v>11296933</v>
      </c>
      <c r="AK58" s="1968"/>
      <c r="AL58" s="2171">
        <f>SUM(AL59:AL60)</f>
        <v>0</v>
      </c>
      <c r="AM58" s="2172">
        <f>SUM(AM59:AM60)</f>
        <v>0</v>
      </c>
      <c r="AN58" s="1968"/>
      <c r="AO58" s="2251"/>
      <c r="AP58" s="2250"/>
      <c r="AQ58" s="1919"/>
      <c r="AR58" s="1919"/>
      <c r="AS58" s="1919"/>
      <c r="AT58" s="1919"/>
      <c r="AU58" s="1919"/>
      <c r="AV58" s="1919"/>
      <c r="AW58" s="1919"/>
      <c r="AX58" s="1919"/>
      <c r="AY58" s="1919"/>
      <c r="AZ58" s="1919"/>
      <c r="BA58" s="2093"/>
      <c r="BF58" s="2093"/>
      <c r="BG58" s="2093"/>
      <c r="BH58" s="2093"/>
      <c r="BI58" s="2093"/>
      <c r="BJ58" s="2093"/>
      <c r="BK58" s="2093"/>
      <c r="BL58" s="2093"/>
      <c r="BM58" s="2093"/>
      <c r="BN58" s="2093"/>
      <c r="BO58" s="2093"/>
      <c r="BP58" s="2093"/>
      <c r="BQ58" s="2093"/>
      <c r="BR58" s="2093"/>
    </row>
    <row r="59" spans="1:70" s="2181" customFormat="1" ht="24.95" customHeight="1">
      <c r="A59" s="2071" t="str">
        <f>+IF(SEPTIEMBRE!A59=0,"",SEPTIEMBRE!A59)</f>
        <v>1130111-2</v>
      </c>
      <c r="B59" s="2204" t="str">
        <f>+IF(SEPTIEMBRE!B59=0,"",SEPTIEMBRE!B59)</f>
        <v>Vigencia Anterior</v>
      </c>
      <c r="C59" s="2073">
        <f>+ENERO!C59</f>
        <v>0</v>
      </c>
      <c r="D59" s="2074">
        <f>SEPTIEMBRE!D59+OCTUBRE!P59</f>
        <v>0</v>
      </c>
      <c r="E59" s="2074">
        <f>SEPTIEMBRE!E59+OCTUBRE!Q59</f>
        <v>176960</v>
      </c>
      <c r="F59" s="2074">
        <f>SUM(C59:E59)</f>
        <v>176960</v>
      </c>
      <c r="G59" s="2074">
        <f>SEPTIEMBRE!I59</f>
        <v>176960</v>
      </c>
      <c r="H59" s="2077">
        <v>2675366</v>
      </c>
      <c r="I59" s="2074">
        <f>SUM(G59:H59)</f>
        <v>2852326</v>
      </c>
      <c r="J59" s="2074">
        <f>SEPTIEMBRE!L59</f>
        <v>176960</v>
      </c>
      <c r="K59" s="2077">
        <v>2675366</v>
      </c>
      <c r="L59" s="2074">
        <f>SUM(J59:K59)</f>
        <v>2852326</v>
      </c>
      <c r="M59" s="2074">
        <f>F59-I59</f>
        <v>-2675366</v>
      </c>
      <c r="N59" s="2075">
        <f>F59-L59</f>
        <v>-2675366</v>
      </c>
      <c r="O59" s="2093"/>
      <c r="P59" s="2079">
        <v>0</v>
      </c>
      <c r="Q59" s="2080">
        <v>0</v>
      </c>
      <c r="R59" s="1968"/>
      <c r="S59" s="2184" t="str">
        <f>+IF(SEPTIEMBRE!S59=0,"",SEPTIEMBRE!S59)</f>
        <v>1010402-1</v>
      </c>
      <c r="T59" s="2185" t="str">
        <f>+IF(SEPTIEMBRE!T59=0,"",SEPTIEMBRE!T59)</f>
        <v>S.E.N.A.</v>
      </c>
      <c r="U59" s="2140">
        <f>+ENERO!U59</f>
        <v>18775492</v>
      </c>
      <c r="V59" s="2091">
        <f>SEPTIEMBRE!V59+OCTUBRE!AL59</f>
        <v>0</v>
      </c>
      <c r="W59" s="2091">
        <f>SEPTIEMBRE!W59+OCTUBRE!AM59</f>
        <v>0</v>
      </c>
      <c r="X59" s="2141">
        <f>SUM(U59:W59)</f>
        <v>18775492</v>
      </c>
      <c r="Y59" s="2142">
        <f>SEPTIEMBRE!AA59</f>
        <v>6906127</v>
      </c>
      <c r="Z59" s="2077">
        <v>1051957</v>
      </c>
      <c r="AA59" s="2141">
        <f>SUM(Y59:Z59)</f>
        <v>7958084</v>
      </c>
      <c r="AB59" s="2142">
        <f>SEPTIEMBRE!AD59</f>
        <v>6906127</v>
      </c>
      <c r="AC59" s="2077">
        <v>1051957</v>
      </c>
      <c r="AD59" s="2141">
        <f>SUM(AB59:AC59)</f>
        <v>7958084</v>
      </c>
      <c r="AE59" s="2142">
        <f>SEPTIEMBRE!AG59</f>
        <v>6906127</v>
      </c>
      <c r="AF59" s="2077">
        <v>1051957</v>
      </c>
      <c r="AG59" s="2141">
        <f>SUM(AE59:AF59)</f>
        <v>7958084</v>
      </c>
      <c r="AH59" s="2142">
        <f>X59-AA59</f>
        <v>10817408</v>
      </c>
      <c r="AI59" s="2091">
        <f>X59-AD59</f>
        <v>10817408</v>
      </c>
      <c r="AJ59" s="2143">
        <f>X59-AG59</f>
        <v>10817408</v>
      </c>
      <c r="AK59" s="1968"/>
      <c r="AL59" s="2079">
        <v>0</v>
      </c>
      <c r="AM59" s="2080">
        <v>0</v>
      </c>
      <c r="AN59" s="1968"/>
      <c r="AO59" s="1919"/>
      <c r="AP59" s="1919"/>
      <c r="AQ59" s="1919"/>
      <c r="AR59" s="1919"/>
      <c r="AS59" s="1919"/>
      <c r="AT59" s="1919"/>
      <c r="AU59" s="1919"/>
      <c r="AV59" s="1919"/>
      <c r="AW59" s="1919"/>
      <c r="AX59" s="1919"/>
      <c r="AY59" s="1919"/>
      <c r="AZ59" s="1919"/>
      <c r="BA59" s="2093"/>
      <c r="BF59" s="2093"/>
      <c r="BG59" s="2093"/>
      <c r="BH59" s="2093"/>
      <c r="BI59" s="2093"/>
      <c r="BJ59" s="2093"/>
      <c r="BK59" s="2093"/>
      <c r="BL59" s="2093"/>
      <c r="BM59" s="2093"/>
      <c r="BN59" s="2093"/>
      <c r="BO59" s="2093"/>
      <c r="BP59" s="2093"/>
      <c r="BQ59" s="2093"/>
      <c r="BR59" s="2093"/>
    </row>
    <row r="60" spans="1:70" s="2093" customFormat="1" ht="24.95" customHeight="1">
      <c r="A60" s="2157">
        <f>+IF(SEPTIEMBRE!A60=0,"",SEPTIEMBRE!A60)</f>
        <v>1130112</v>
      </c>
      <c r="B60" s="2192" t="str">
        <f>+IF(SEPTIEMBRE!B60=0,"",SEPTIEMBRE!B60)</f>
        <v>IPS PUBLICAS</v>
      </c>
      <c r="C60" s="2159">
        <f t="shared" ref="C60:N60" si="69">SUM(C61:C62)</f>
        <v>45194994</v>
      </c>
      <c r="D60" s="2193">
        <f t="shared" si="69"/>
        <v>0</v>
      </c>
      <c r="E60" s="2193">
        <f t="shared" si="69"/>
        <v>1907315</v>
      </c>
      <c r="F60" s="2193">
        <f t="shared" si="69"/>
        <v>47102309</v>
      </c>
      <c r="G60" s="2193">
        <f t="shared" si="69"/>
        <v>294717442</v>
      </c>
      <c r="H60" s="2193">
        <f t="shared" si="69"/>
        <v>10980385</v>
      </c>
      <c r="I60" s="2193">
        <f t="shared" si="69"/>
        <v>305697827</v>
      </c>
      <c r="J60" s="2193">
        <f t="shared" si="69"/>
        <v>21821841</v>
      </c>
      <c r="K60" s="2193">
        <f t="shared" si="69"/>
        <v>756606</v>
      </c>
      <c r="L60" s="2193">
        <f t="shared" si="69"/>
        <v>22578447</v>
      </c>
      <c r="M60" s="2193">
        <f t="shared" si="69"/>
        <v>-258595518</v>
      </c>
      <c r="N60" s="2160">
        <f t="shared" si="69"/>
        <v>24523862</v>
      </c>
      <c r="P60" s="2159">
        <f>SUM(P61:P62)</f>
        <v>0</v>
      </c>
      <c r="Q60" s="2160">
        <f>SUM(Q61:Q62)</f>
        <v>0</v>
      </c>
      <c r="R60" s="1968"/>
      <c r="S60" s="2184" t="str">
        <f>+IF(SEPTIEMBRE!S60=0,"",SEPTIEMBRE!S60)</f>
        <v>1010402-2</v>
      </c>
      <c r="T60" s="2185" t="str">
        <f>+IF(SEPTIEMBRE!T60=0,"",SEPTIEMBRE!T60)</f>
        <v>I.C.B.F.</v>
      </c>
      <c r="U60" s="2140">
        <f>+ENERO!U60</f>
        <v>12417094</v>
      </c>
      <c r="V60" s="2091">
        <f>SEPTIEMBRE!V60+OCTUBRE!AL60</f>
        <v>0</v>
      </c>
      <c r="W60" s="2091">
        <f>SEPTIEMBRE!W60+OCTUBRE!AM60</f>
        <v>0</v>
      </c>
      <c r="X60" s="2141">
        <f>SUM(U60:W60)</f>
        <v>12417094</v>
      </c>
      <c r="Y60" s="2142">
        <f>SEPTIEMBRE!AA60</f>
        <v>10359633</v>
      </c>
      <c r="Z60" s="2077">
        <v>1577936</v>
      </c>
      <c r="AA60" s="2141">
        <f>SUM(Y60:Z60)</f>
        <v>11937569</v>
      </c>
      <c r="AB60" s="2142">
        <f>SEPTIEMBRE!AD60</f>
        <v>10359633</v>
      </c>
      <c r="AC60" s="2077">
        <v>1577936</v>
      </c>
      <c r="AD60" s="2141">
        <f>SUM(AB60:AC60)</f>
        <v>11937569</v>
      </c>
      <c r="AE60" s="2142">
        <f>SEPTIEMBRE!AG60</f>
        <v>10359633</v>
      </c>
      <c r="AF60" s="2077">
        <v>1577936</v>
      </c>
      <c r="AG60" s="2141">
        <f>SUM(AE60:AF60)</f>
        <v>11937569</v>
      </c>
      <c r="AH60" s="2142">
        <f>X60-AA60</f>
        <v>479525</v>
      </c>
      <c r="AI60" s="2091">
        <f>X60-AD60</f>
        <v>479525</v>
      </c>
      <c r="AJ60" s="2143">
        <f>X60-AG60</f>
        <v>479525</v>
      </c>
      <c r="AK60" s="1968"/>
      <c r="AL60" s="2079">
        <v>0</v>
      </c>
      <c r="AM60" s="2080">
        <v>0</v>
      </c>
      <c r="AN60" s="1968"/>
      <c r="AO60" s="1919"/>
      <c r="AP60" s="1919"/>
      <c r="AQ60" s="1919"/>
      <c r="AR60" s="1919"/>
      <c r="AS60" s="1919"/>
      <c r="AT60" s="1919"/>
      <c r="AU60" s="1919"/>
      <c r="AV60" s="1919"/>
      <c r="AW60" s="1919"/>
      <c r="AX60" s="1919"/>
      <c r="AY60" s="1919"/>
      <c r="AZ60" s="1919"/>
    </row>
    <row r="61" spans="1:70" s="2181" customFormat="1" ht="24.95" customHeight="1">
      <c r="A61" s="2071" t="str">
        <f>+IF(SEPTIEMBRE!A61=0,"",SEPTIEMBRE!A61)</f>
        <v>1130112-1</v>
      </c>
      <c r="B61" s="2204" t="str">
        <f>+CONCATENATE("Vigencia ",INSTRUCCIONES!$F$3)</f>
        <v>Vigencia 2017</v>
      </c>
      <c r="C61" s="2073">
        <f>+ENERO!C61</f>
        <v>45194994</v>
      </c>
      <c r="D61" s="2074">
        <f>SEPTIEMBRE!D61+OCTUBRE!P61</f>
        <v>0</v>
      </c>
      <c r="E61" s="2074">
        <f>SEPTIEMBRE!E61+OCTUBRE!Q61</f>
        <v>0</v>
      </c>
      <c r="F61" s="2074">
        <f>SUM(C61:E61)</f>
        <v>45194994</v>
      </c>
      <c r="G61" s="2074">
        <f>SEPTIEMBRE!I61</f>
        <v>291669477</v>
      </c>
      <c r="H61" s="2077">
        <v>10223779</v>
      </c>
      <c r="I61" s="2074">
        <f>SUM(G61:H61)</f>
        <v>301893256</v>
      </c>
      <c r="J61" s="2074">
        <f>SEPTIEMBRE!L61</f>
        <v>18773876</v>
      </c>
      <c r="K61" s="2077">
        <v>0</v>
      </c>
      <c r="L61" s="2074">
        <f>SUM(J61:K61)</f>
        <v>18773876</v>
      </c>
      <c r="M61" s="2074">
        <f>F61-I61</f>
        <v>-256698262</v>
      </c>
      <c r="N61" s="2075">
        <f>F61-L61</f>
        <v>26421118</v>
      </c>
      <c r="O61" s="2093"/>
      <c r="P61" s="2079">
        <v>0</v>
      </c>
      <c r="Q61" s="2080">
        <v>0</v>
      </c>
      <c r="R61" s="1968"/>
      <c r="S61" s="2138">
        <f>+IF(SEPTIEMBRE!S61=0,"",SEPTIEMBRE!S61)</f>
        <v>1010499</v>
      </c>
      <c r="T61" s="2139" t="str">
        <f>+IF(SEPTIEMBRE!T61=0,"",SEPTIEMBRE!T61)</f>
        <v>Vigencias Anteriores</v>
      </c>
      <c r="U61" s="2140">
        <f>+ENERO!U61</f>
        <v>0</v>
      </c>
      <c r="V61" s="2091">
        <f>SEPTIEMBRE!V61+OCTUBRE!AL61</f>
        <v>0</v>
      </c>
      <c r="W61" s="2091">
        <f>SEPTIEMBRE!W61+OCTUBRE!AM61</f>
        <v>0</v>
      </c>
      <c r="X61" s="2141">
        <f>SUM(U61:W61)</f>
        <v>0</v>
      </c>
      <c r="Y61" s="2142">
        <f>SEPTIEMBRE!AA61</f>
        <v>0</v>
      </c>
      <c r="Z61" s="2077">
        <v>0</v>
      </c>
      <c r="AA61" s="2141">
        <f>SUM(Y61:Z61)</f>
        <v>0</v>
      </c>
      <c r="AB61" s="2142">
        <f>SEPTIEMBRE!AD61</f>
        <v>0</v>
      </c>
      <c r="AC61" s="2077">
        <v>0</v>
      </c>
      <c r="AD61" s="2141">
        <f>SUM(AB61:AC61)</f>
        <v>0</v>
      </c>
      <c r="AE61" s="2142">
        <f>SEPTIEMBRE!AG61</f>
        <v>0</v>
      </c>
      <c r="AF61" s="2077">
        <v>0</v>
      </c>
      <c r="AG61" s="2141">
        <f>SUM(AE61:AF61)</f>
        <v>0</v>
      </c>
      <c r="AH61" s="2142">
        <f>X61-AA61</f>
        <v>0</v>
      </c>
      <c r="AI61" s="2091">
        <f>X61-AD61</f>
        <v>0</v>
      </c>
      <c r="AJ61" s="2143">
        <f>X61-AG61</f>
        <v>0</v>
      </c>
      <c r="AK61" s="1968"/>
      <c r="AL61" s="2079">
        <v>0</v>
      </c>
      <c r="AM61" s="2080">
        <v>0</v>
      </c>
      <c r="AN61" s="1968"/>
      <c r="AO61" s="1919"/>
      <c r="AP61" s="2250"/>
      <c r="AQ61" s="1919"/>
      <c r="AR61" s="1919"/>
      <c r="AS61" s="1919"/>
      <c r="AT61" s="1919"/>
      <c r="AU61" s="2250"/>
      <c r="AV61" s="2250"/>
      <c r="AW61" s="1919"/>
      <c r="AX61" s="1919"/>
      <c r="AY61" s="1919"/>
      <c r="AZ61" s="1919"/>
      <c r="BA61" s="2093"/>
      <c r="BF61" s="2093"/>
      <c r="BG61" s="2093"/>
      <c r="BH61" s="2093"/>
      <c r="BI61" s="2093"/>
      <c r="BJ61" s="2093"/>
      <c r="BK61" s="2093"/>
      <c r="BL61" s="2093"/>
      <c r="BM61" s="2093"/>
      <c r="BN61" s="2093"/>
      <c r="BO61" s="2093"/>
      <c r="BP61" s="2093"/>
      <c r="BQ61" s="2093"/>
      <c r="BR61" s="2093"/>
    </row>
    <row r="62" spans="1:70" s="2181" customFormat="1" ht="24.95" customHeight="1">
      <c r="A62" s="2071" t="str">
        <f>+IF(SEPTIEMBRE!A62=0,"",SEPTIEMBRE!A62)</f>
        <v>1130112-2</v>
      </c>
      <c r="B62" s="2204" t="str">
        <f>+IF(SEPTIEMBRE!B62=0,"",SEPTIEMBRE!B62)</f>
        <v>Vigencia Anterior</v>
      </c>
      <c r="C62" s="2073">
        <f>+ENERO!C62</f>
        <v>0</v>
      </c>
      <c r="D62" s="2074">
        <f>SEPTIEMBRE!D62+OCTUBRE!P62</f>
        <v>0</v>
      </c>
      <c r="E62" s="2074">
        <f>SEPTIEMBRE!E62+OCTUBRE!Q62</f>
        <v>1907315</v>
      </c>
      <c r="F62" s="2074">
        <f>SUM(C62:E62)</f>
        <v>1907315</v>
      </c>
      <c r="G62" s="2074">
        <f>SEPTIEMBRE!I62</f>
        <v>3047965</v>
      </c>
      <c r="H62" s="2077">
        <v>756606</v>
      </c>
      <c r="I62" s="2074">
        <f>SUM(G62:H62)</f>
        <v>3804571</v>
      </c>
      <c r="J62" s="2074">
        <f>SEPTIEMBRE!L62</f>
        <v>3047965</v>
      </c>
      <c r="K62" s="2077">
        <v>756606</v>
      </c>
      <c r="L62" s="2074">
        <f>SUM(J62:K62)</f>
        <v>3804571</v>
      </c>
      <c r="M62" s="2074">
        <f>F62-I62</f>
        <v>-1897256</v>
      </c>
      <c r="N62" s="2075">
        <f>F62-L62</f>
        <v>-1897256</v>
      </c>
      <c r="O62" s="2093"/>
      <c r="P62" s="2079">
        <v>0</v>
      </c>
      <c r="Q62" s="2080">
        <v>0</v>
      </c>
      <c r="R62" s="1968"/>
      <c r="S62" s="2058" t="str">
        <f>+IF(SEPTIEMBRE!S62=0,"",SEPTIEMBRE!S62)</f>
        <v/>
      </c>
      <c r="T62" s="2059" t="str">
        <f>+IF(SEPTIEMBRE!T62=0,"",SEPTIEMBRE!T62)</f>
        <v/>
      </c>
      <c r="U62" s="2060"/>
      <c r="V62" s="2060"/>
      <c r="W62" s="2060"/>
      <c r="X62" s="2060"/>
      <c r="Y62" s="2060"/>
      <c r="Z62" s="2060"/>
      <c r="AA62" s="2060"/>
      <c r="AB62" s="2060"/>
      <c r="AC62" s="2060"/>
      <c r="AD62" s="2060"/>
      <c r="AE62" s="2060"/>
      <c r="AF62" s="2060"/>
      <c r="AG62" s="2060"/>
      <c r="AH62" s="2060"/>
      <c r="AI62" s="2060"/>
      <c r="AJ62" s="2061"/>
      <c r="AK62" s="2086"/>
      <c r="AL62" s="2248"/>
      <c r="AM62" s="2249"/>
      <c r="AN62" s="1968"/>
      <c r="AO62" s="1919"/>
      <c r="AP62" s="1919"/>
      <c r="AQ62" s="1919"/>
      <c r="AR62" s="1919"/>
      <c r="AS62" s="1919"/>
      <c r="AT62" s="1919"/>
      <c r="AU62" s="1919"/>
      <c r="AV62" s="1919"/>
      <c r="AW62" s="1919"/>
      <c r="AX62" s="1919"/>
      <c r="AY62" s="1919"/>
      <c r="AZ62" s="1919"/>
      <c r="BA62" s="2093"/>
      <c r="BF62" s="2093"/>
      <c r="BG62" s="2093"/>
      <c r="BH62" s="2093"/>
      <c r="BI62" s="2093"/>
      <c r="BJ62" s="2093"/>
      <c r="BK62" s="2093"/>
      <c r="BL62" s="2093"/>
      <c r="BM62" s="2093"/>
      <c r="BN62" s="2093"/>
      <c r="BO62" s="2093"/>
      <c r="BP62" s="2093"/>
      <c r="BQ62" s="2093"/>
      <c r="BR62" s="2093"/>
    </row>
    <row r="63" spans="1:70" s="2093" customFormat="1" ht="24.95" customHeight="1">
      <c r="A63" s="2157">
        <f>+IF(SEPTIEMBRE!A63=0,"",SEPTIEMBRE!A63)</f>
        <v>1130113</v>
      </c>
      <c r="B63" s="2192" t="str">
        <f>+IF(SEPTIEMBRE!B63=0,"",SEPTIEMBRE!B63)</f>
        <v>COMPAÑIAS DE SEGUROS  - ACCIDENTES DE TRANSITO (SOAT)</v>
      </c>
      <c r="C63" s="2159">
        <f t="shared" ref="C63:N63" si="70">SUM(C64:C65)</f>
        <v>5110724757</v>
      </c>
      <c r="D63" s="2193">
        <f t="shared" si="70"/>
        <v>0</v>
      </c>
      <c r="E63" s="2193">
        <f t="shared" si="70"/>
        <v>807551501</v>
      </c>
      <c r="F63" s="2193">
        <f t="shared" si="70"/>
        <v>5918276258</v>
      </c>
      <c r="G63" s="2193">
        <f t="shared" si="70"/>
        <v>2634693991</v>
      </c>
      <c r="H63" s="2193">
        <f t="shared" si="70"/>
        <v>268604627</v>
      </c>
      <c r="I63" s="2193">
        <f t="shared" si="70"/>
        <v>2903298618</v>
      </c>
      <c r="J63" s="2193">
        <f t="shared" si="70"/>
        <v>1382174192</v>
      </c>
      <c r="K63" s="2193">
        <f t="shared" si="70"/>
        <v>138456137</v>
      </c>
      <c r="L63" s="2193">
        <f t="shared" si="70"/>
        <v>1520630329</v>
      </c>
      <c r="M63" s="2193">
        <f t="shared" si="70"/>
        <v>3014977640</v>
      </c>
      <c r="N63" s="2160">
        <f t="shared" si="70"/>
        <v>4397645929</v>
      </c>
      <c r="P63" s="2159">
        <f>SUM(P64:P65)</f>
        <v>0</v>
      </c>
      <c r="Q63" s="2160">
        <f>SUM(Q64:Q65)</f>
        <v>0</v>
      </c>
      <c r="R63" s="1968"/>
      <c r="S63" s="2101">
        <f>+IF(SEPTIEMBRE!S63=0,"",SEPTIEMBRE!S63)</f>
        <v>1020010</v>
      </c>
      <c r="T63" s="2102" t="str">
        <f>+IF(SEPTIEMBRE!T63=0,"",SEPTIEMBRE!T63)</f>
        <v>Gastos de Operación</v>
      </c>
      <c r="U63" s="2103">
        <f t="shared" ref="U63:AJ63" si="71">U65+U83+U90+U104</f>
        <v>23745928633</v>
      </c>
      <c r="V63" s="2104">
        <f t="shared" si="71"/>
        <v>1300411716</v>
      </c>
      <c r="W63" s="2104">
        <f t="shared" si="71"/>
        <v>6973065851</v>
      </c>
      <c r="X63" s="2105">
        <f t="shared" si="71"/>
        <v>32019406200</v>
      </c>
      <c r="Y63" s="2106">
        <f t="shared" si="71"/>
        <v>30976404268</v>
      </c>
      <c r="Z63" s="2104">
        <f t="shared" si="71"/>
        <v>238324012</v>
      </c>
      <c r="AA63" s="2105">
        <f t="shared" si="71"/>
        <v>31214728280</v>
      </c>
      <c r="AB63" s="2106">
        <f t="shared" si="71"/>
        <v>23452192179</v>
      </c>
      <c r="AC63" s="2104">
        <f t="shared" si="71"/>
        <v>1197922379</v>
      </c>
      <c r="AD63" s="2105">
        <f t="shared" si="71"/>
        <v>24650114558</v>
      </c>
      <c r="AE63" s="2106">
        <f t="shared" si="71"/>
        <v>15570685267</v>
      </c>
      <c r="AF63" s="2104">
        <f t="shared" si="71"/>
        <v>1366654288</v>
      </c>
      <c r="AG63" s="2105">
        <f t="shared" si="71"/>
        <v>16937339555</v>
      </c>
      <c r="AH63" s="2106">
        <f t="shared" si="71"/>
        <v>804677920</v>
      </c>
      <c r="AI63" s="2104">
        <f t="shared" si="71"/>
        <v>7369291642</v>
      </c>
      <c r="AJ63" s="2107">
        <f t="shared" si="71"/>
        <v>15082066645</v>
      </c>
      <c r="AK63" s="1968"/>
      <c r="AL63" s="2106">
        <f>AL65+AL83+AL90+AL104</f>
        <v>-8788188</v>
      </c>
      <c r="AM63" s="2107">
        <f>AM65+AM83+AM90+AM104</f>
        <v>78907244</v>
      </c>
      <c r="AN63" s="1968"/>
      <c r="AO63" s="1919"/>
      <c r="AP63" s="1919"/>
      <c r="AQ63" s="1919"/>
      <c r="AR63" s="1919"/>
      <c r="AS63" s="1919"/>
      <c r="AT63" s="1919"/>
      <c r="AU63" s="1919"/>
      <c r="AV63" s="1919"/>
      <c r="AW63" s="1919"/>
      <c r="AX63" s="1919"/>
      <c r="AY63" s="1919"/>
      <c r="AZ63" s="1919"/>
    </row>
    <row r="64" spans="1:70" s="2181" customFormat="1" ht="24.95" customHeight="1">
      <c r="A64" s="2071" t="str">
        <f>+IF(SEPTIEMBRE!A64=0,"",SEPTIEMBRE!A64)</f>
        <v>1130113-1</v>
      </c>
      <c r="B64" s="2204" t="str">
        <f>+CONCATENATE("Vigencia ",INSTRUCCIONES!$F$3)</f>
        <v>Vigencia 2017</v>
      </c>
      <c r="C64" s="2073">
        <f>+ENERO!C64</f>
        <v>5110724757</v>
      </c>
      <c r="D64" s="2074">
        <f>SEPTIEMBRE!D64+OCTUBRE!P64</f>
        <v>0</v>
      </c>
      <c r="E64" s="2074">
        <f>SEPTIEMBRE!E64+OCTUBRE!Q64</f>
        <v>0</v>
      </c>
      <c r="F64" s="2074">
        <f>SUM(C64:E64)</f>
        <v>5110724757</v>
      </c>
      <c r="G64" s="2074">
        <f>SEPTIEMBRE!I64</f>
        <v>1668023446</v>
      </c>
      <c r="H64" s="2077">
        <v>268604627</v>
      </c>
      <c r="I64" s="2074">
        <f>SUM(G64:H64)</f>
        <v>1936628073</v>
      </c>
      <c r="J64" s="2074">
        <f>SEPTIEMBRE!L64</f>
        <v>415503647</v>
      </c>
      <c r="K64" s="2077">
        <v>138456137</v>
      </c>
      <c r="L64" s="2074">
        <f>SUM(J64:K64)</f>
        <v>553959784</v>
      </c>
      <c r="M64" s="2074">
        <f>F64-I64</f>
        <v>3174096684</v>
      </c>
      <c r="N64" s="2075">
        <f>F64-L64</f>
        <v>4556764973</v>
      </c>
      <c r="O64" s="2093"/>
      <c r="P64" s="2079">
        <v>0</v>
      </c>
      <c r="Q64" s="2080">
        <v>0</v>
      </c>
      <c r="R64" s="1968"/>
      <c r="S64" s="2058" t="str">
        <f>+IF(SEPTIEMBRE!S64=0,"",SEPTIEMBRE!S64)</f>
        <v/>
      </c>
      <c r="T64" s="2059" t="str">
        <f>+IF(SEPTIEMBRE!T64=0,"",SEPTIEMBRE!T64)</f>
        <v/>
      </c>
      <c r="U64" s="2060"/>
      <c r="V64" s="2060"/>
      <c r="W64" s="2060"/>
      <c r="X64" s="2060"/>
      <c r="Y64" s="2060"/>
      <c r="Z64" s="2060"/>
      <c r="AA64" s="2060"/>
      <c r="AB64" s="2060"/>
      <c r="AC64" s="2060"/>
      <c r="AD64" s="2060"/>
      <c r="AE64" s="2060"/>
      <c r="AF64" s="2060"/>
      <c r="AG64" s="2060"/>
      <c r="AH64" s="2060"/>
      <c r="AI64" s="2060"/>
      <c r="AJ64" s="2061"/>
      <c r="AK64" s="1968"/>
      <c r="AL64" s="2122"/>
      <c r="AM64" s="2123"/>
      <c r="AN64" s="1968"/>
      <c r="AO64" s="1919"/>
      <c r="AP64" s="1919"/>
      <c r="AQ64" s="1919"/>
      <c r="AR64" s="1919"/>
      <c r="AS64" s="1919"/>
      <c r="AT64" s="1919"/>
      <c r="AU64" s="1919"/>
      <c r="AV64" s="1919"/>
      <c r="AW64" s="1919"/>
      <c r="AX64" s="1919"/>
      <c r="AY64" s="1919"/>
      <c r="AZ64" s="1919"/>
      <c r="BA64" s="2093"/>
      <c r="BB64" s="2093"/>
      <c r="BC64" s="2093"/>
      <c r="BD64" s="2093"/>
      <c r="BE64" s="2093"/>
      <c r="BF64" s="2093"/>
      <c r="BG64" s="2093"/>
      <c r="BH64" s="2093"/>
      <c r="BI64" s="2093"/>
      <c r="BJ64" s="2093"/>
      <c r="BK64" s="2093"/>
      <c r="BL64" s="2093"/>
      <c r="BM64" s="2093"/>
      <c r="BN64" s="2093"/>
      <c r="BO64" s="2093"/>
      <c r="BP64" s="2093"/>
      <c r="BQ64" s="2093"/>
      <c r="BR64" s="2093"/>
    </row>
    <row r="65" spans="1:70" s="2181" customFormat="1" ht="24.95" customHeight="1">
      <c r="A65" s="2071" t="str">
        <f>+IF(SEPTIEMBRE!A65=0,"",SEPTIEMBRE!A65)</f>
        <v>1130113-2</v>
      </c>
      <c r="B65" s="2204" t="str">
        <f>+IF(SEPTIEMBRE!B65=0,"",SEPTIEMBRE!B65)</f>
        <v>Vigencia Anterior</v>
      </c>
      <c r="C65" s="2073">
        <f>+ENERO!C65</f>
        <v>0</v>
      </c>
      <c r="D65" s="2074">
        <f>SEPTIEMBRE!D65+OCTUBRE!P65</f>
        <v>0</v>
      </c>
      <c r="E65" s="2074">
        <f>SEPTIEMBRE!E65+OCTUBRE!Q65</f>
        <v>807551501</v>
      </c>
      <c r="F65" s="2074">
        <f>SUM(C65:E65)</f>
        <v>807551501</v>
      </c>
      <c r="G65" s="2074">
        <f>SEPTIEMBRE!I65</f>
        <v>966670545</v>
      </c>
      <c r="H65" s="2077">
        <v>0</v>
      </c>
      <c r="I65" s="2074">
        <f>SUM(G65:H65)</f>
        <v>966670545</v>
      </c>
      <c r="J65" s="2074">
        <f>SEPTIEMBRE!L65</f>
        <v>966670545</v>
      </c>
      <c r="K65" s="2077">
        <v>0</v>
      </c>
      <c r="L65" s="2074">
        <f>SUM(J65:K65)</f>
        <v>966670545</v>
      </c>
      <c r="M65" s="2074">
        <f>F65-I65</f>
        <v>-159119044</v>
      </c>
      <c r="N65" s="2075">
        <f>F65-L65</f>
        <v>-159119044</v>
      </c>
      <c r="O65" s="2093"/>
      <c r="P65" s="2079">
        <v>0</v>
      </c>
      <c r="Q65" s="2080">
        <v>0</v>
      </c>
      <c r="R65" s="1968"/>
      <c r="S65" s="2130">
        <f>+IF(SEPTIEMBRE!S65=0,"",SEPTIEMBRE!S65)</f>
        <v>1020100</v>
      </c>
      <c r="T65" s="2131" t="str">
        <f>+IF(SEPTIEMBRE!T65=0,"",SEPTIEMBRE!T65)</f>
        <v>Servicios Personales Asociados a Nómina</v>
      </c>
      <c r="U65" s="2103">
        <f t="shared" ref="U65:AJ65" si="72">SUM(U66:U69)+U81</f>
        <v>1210753694</v>
      </c>
      <c r="V65" s="2104">
        <f t="shared" si="72"/>
        <v>75342000</v>
      </c>
      <c r="W65" s="2104">
        <f t="shared" si="72"/>
        <v>147363018</v>
      </c>
      <c r="X65" s="2105">
        <f t="shared" si="72"/>
        <v>1433458712</v>
      </c>
      <c r="Y65" s="2106">
        <f t="shared" si="72"/>
        <v>899829547</v>
      </c>
      <c r="Z65" s="2104">
        <f t="shared" si="72"/>
        <v>106365503</v>
      </c>
      <c r="AA65" s="2105">
        <f t="shared" si="72"/>
        <v>1006195050</v>
      </c>
      <c r="AB65" s="2106">
        <f t="shared" si="72"/>
        <v>899829547</v>
      </c>
      <c r="AC65" s="2104">
        <f t="shared" si="72"/>
        <v>106365503</v>
      </c>
      <c r="AD65" s="2105">
        <f t="shared" si="72"/>
        <v>1006195050</v>
      </c>
      <c r="AE65" s="2106">
        <f t="shared" si="72"/>
        <v>899829547</v>
      </c>
      <c r="AF65" s="2104">
        <f t="shared" si="72"/>
        <v>106365503</v>
      </c>
      <c r="AG65" s="2105">
        <f t="shared" si="72"/>
        <v>1006195050</v>
      </c>
      <c r="AH65" s="2106">
        <f t="shared" si="72"/>
        <v>427263662</v>
      </c>
      <c r="AI65" s="2104">
        <f t="shared" si="72"/>
        <v>427263662</v>
      </c>
      <c r="AJ65" s="2107">
        <f t="shared" si="72"/>
        <v>427263662</v>
      </c>
      <c r="AK65" s="1968"/>
      <c r="AL65" s="2106">
        <f>SUM(AL66:AL69)+AL81</f>
        <v>41596000</v>
      </c>
      <c r="AM65" s="2107">
        <f>SUM(AM66:AM69)+AM81</f>
        <v>78907244</v>
      </c>
      <c r="AN65" s="1968"/>
      <c r="AO65" s="1919"/>
      <c r="AP65" s="1919"/>
      <c r="AQ65" s="1919"/>
      <c r="AR65" s="1919"/>
      <c r="AS65" s="1919"/>
      <c r="AT65" s="1919"/>
      <c r="AU65" s="1919"/>
      <c r="AV65" s="1919"/>
      <c r="AW65" s="1919"/>
      <c r="AX65" s="1919"/>
      <c r="AY65" s="1919"/>
      <c r="AZ65" s="1919"/>
      <c r="BA65" s="2093"/>
      <c r="BB65" s="2093"/>
      <c r="BC65" s="2093"/>
      <c r="BD65" s="2093"/>
      <c r="BE65" s="2093"/>
      <c r="BF65" s="2093"/>
      <c r="BG65" s="2093"/>
      <c r="BH65" s="2093"/>
      <c r="BI65" s="2093"/>
      <c r="BJ65" s="2093"/>
      <c r="BK65" s="2093"/>
      <c r="BL65" s="2093"/>
      <c r="BM65" s="2093"/>
      <c r="BN65" s="2093"/>
      <c r="BO65" s="2093"/>
      <c r="BP65" s="2093"/>
      <c r="BQ65" s="2093"/>
      <c r="BR65" s="2093"/>
    </row>
    <row r="66" spans="1:70" s="2093" customFormat="1" ht="24.95" customHeight="1">
      <c r="A66" s="2157">
        <f>+IF(SEPTIEMBRE!A66=0,"",SEPTIEMBRE!A66)</f>
        <v>1130114</v>
      </c>
      <c r="B66" s="2192" t="str">
        <f>+IF(SEPTIEMBRE!B66=0,"",SEPTIEMBRE!B66)</f>
        <v xml:space="preserve">COMPAÑIAS DE SEGUROS  - PLANES DE SALUD  </v>
      </c>
      <c r="C66" s="2159">
        <f t="shared" ref="C66:N66" si="73">SUM(C67:C68)</f>
        <v>0</v>
      </c>
      <c r="D66" s="2193">
        <f t="shared" si="73"/>
        <v>0</v>
      </c>
      <c r="E66" s="2193">
        <f t="shared" si="73"/>
        <v>23280608</v>
      </c>
      <c r="F66" s="2193">
        <f t="shared" si="73"/>
        <v>23280608</v>
      </c>
      <c r="G66" s="2193">
        <f t="shared" si="73"/>
        <v>478949049</v>
      </c>
      <c r="H66" s="2193">
        <f t="shared" si="73"/>
        <v>13906170</v>
      </c>
      <c r="I66" s="2193">
        <f t="shared" si="73"/>
        <v>492855219</v>
      </c>
      <c r="J66" s="2193">
        <f t="shared" si="73"/>
        <v>161815970</v>
      </c>
      <c r="K66" s="2193">
        <f t="shared" si="73"/>
        <v>69509926</v>
      </c>
      <c r="L66" s="2193">
        <f t="shared" si="73"/>
        <v>231325896</v>
      </c>
      <c r="M66" s="2193">
        <f t="shared" si="73"/>
        <v>-469574611</v>
      </c>
      <c r="N66" s="2160">
        <f t="shared" si="73"/>
        <v>-208045288</v>
      </c>
      <c r="P66" s="2159">
        <f>SUM(P67:P68)</f>
        <v>0</v>
      </c>
      <c r="Q66" s="2160">
        <f>SUM(Q67:Q68)</f>
        <v>0</v>
      </c>
      <c r="R66" s="1968"/>
      <c r="S66" s="2138">
        <f>+IF(SEPTIEMBRE!S66=0,"",SEPTIEMBRE!S66)</f>
        <v>1020101</v>
      </c>
      <c r="T66" s="2139" t="str">
        <f>+IF(SEPTIEMBRE!T66=0,"",SEPTIEMBRE!T66)</f>
        <v>Sueldos del Personal de nómina</v>
      </c>
      <c r="U66" s="2140">
        <f>+ENERO!U66</f>
        <v>893219355</v>
      </c>
      <c r="V66" s="2091">
        <f>SEPTIEMBRE!V66+OCTUBRE!AL66</f>
        <v>0</v>
      </c>
      <c r="W66" s="2091">
        <f>SEPTIEMBRE!W66+OCTUBRE!AM66</f>
        <v>30541458</v>
      </c>
      <c r="X66" s="2141">
        <f>SUM(U66:W66)</f>
        <v>923760813</v>
      </c>
      <c r="Y66" s="2142">
        <f>SEPTIEMBRE!AA66</f>
        <v>621197207</v>
      </c>
      <c r="Z66" s="2077">
        <v>78940579</v>
      </c>
      <c r="AA66" s="2141">
        <f>SUM(Y66:Z66)</f>
        <v>700137786</v>
      </c>
      <c r="AB66" s="2142">
        <f>SEPTIEMBRE!AD66</f>
        <v>621197207</v>
      </c>
      <c r="AC66" s="2077">
        <v>78940579</v>
      </c>
      <c r="AD66" s="2141">
        <f>SUM(AB66:AC66)</f>
        <v>700137786</v>
      </c>
      <c r="AE66" s="2142">
        <f>SEPTIEMBRE!AG66</f>
        <v>621197207</v>
      </c>
      <c r="AF66" s="2077">
        <v>78940579</v>
      </c>
      <c r="AG66" s="2141">
        <f>SUM(AE66:AF66)</f>
        <v>700137786</v>
      </c>
      <c r="AH66" s="2142">
        <f>X66-AA66</f>
        <v>223623027</v>
      </c>
      <c r="AI66" s="2091">
        <f>X66-AD66</f>
        <v>223623027</v>
      </c>
      <c r="AJ66" s="2143">
        <f>X66-AG66</f>
        <v>223623027</v>
      </c>
      <c r="AK66" s="1968"/>
      <c r="AL66" s="2079">
        <v>0</v>
      </c>
      <c r="AM66" s="2080">
        <v>30541458</v>
      </c>
      <c r="AN66" s="1968"/>
      <c r="AO66" s="1919"/>
      <c r="AP66" s="1919"/>
      <c r="AQ66" s="1919"/>
      <c r="AR66" s="1919"/>
      <c r="AS66" s="1919"/>
      <c r="AT66" s="1919"/>
      <c r="AU66" s="1919"/>
      <c r="AV66" s="1919"/>
      <c r="AW66" s="1919"/>
      <c r="AX66" s="1919"/>
      <c r="AY66" s="1919"/>
      <c r="AZ66" s="1919"/>
    </row>
    <row r="67" spans="1:70" s="2181" customFormat="1" ht="24.95" customHeight="1">
      <c r="A67" s="2071" t="str">
        <f>+IF(SEPTIEMBRE!A67=0,"",SEPTIEMBRE!A67)</f>
        <v>1130114-1</v>
      </c>
      <c r="B67" s="2204" t="str">
        <f>+CONCATENATE("Vigencia ",INSTRUCCIONES!$F$3)</f>
        <v>Vigencia 2017</v>
      </c>
      <c r="C67" s="2073">
        <f>+ENERO!C67</f>
        <v>0</v>
      </c>
      <c r="D67" s="2074">
        <f>SEPTIEMBRE!D67+OCTUBRE!P67</f>
        <v>0</v>
      </c>
      <c r="E67" s="2074">
        <f>SEPTIEMBRE!E67+OCTUBRE!Q67</f>
        <v>2055774</v>
      </c>
      <c r="F67" s="2074">
        <f>SUM(C67:E67)</f>
        <v>2055774</v>
      </c>
      <c r="G67" s="2074">
        <f>SEPTIEMBRE!I67</f>
        <v>423443936</v>
      </c>
      <c r="H67" s="2077">
        <v>13906170</v>
      </c>
      <c r="I67" s="2074">
        <f>SUM(G67:H67)</f>
        <v>437350106</v>
      </c>
      <c r="J67" s="2074">
        <f>SEPTIEMBRE!L67</f>
        <v>106310857</v>
      </c>
      <c r="K67" s="2077">
        <v>69509926</v>
      </c>
      <c r="L67" s="2074">
        <f>SUM(J67:K67)</f>
        <v>175820783</v>
      </c>
      <c r="M67" s="2074">
        <f>F67-I67</f>
        <v>-435294332</v>
      </c>
      <c r="N67" s="2075">
        <f>F67-L67</f>
        <v>-173765009</v>
      </c>
      <c r="O67" s="2093"/>
      <c r="P67" s="2079">
        <v>0</v>
      </c>
      <c r="Q67" s="2080">
        <v>0</v>
      </c>
      <c r="R67" s="1968"/>
      <c r="S67" s="2138">
        <f>+IF(SEPTIEMBRE!S67=0,"",SEPTIEMBRE!S67)</f>
        <v>1020102</v>
      </c>
      <c r="T67" s="2139" t="str">
        <f>+IF(SEPTIEMBRE!T67=0,"",SEPTIEMBRE!T67)</f>
        <v>Horas Extras,Dominic.,Festivos y Rec. Nocturnos</v>
      </c>
      <c r="U67" s="2140">
        <f>+ENERO!U67</f>
        <v>36988810</v>
      </c>
      <c r="V67" s="2091">
        <f>SEPTIEMBRE!V67+OCTUBRE!AL67</f>
        <v>27623000</v>
      </c>
      <c r="W67" s="2091">
        <f>SEPTIEMBRE!W67+OCTUBRE!AM67</f>
        <v>39509971</v>
      </c>
      <c r="X67" s="2141">
        <f>SUM(U67:W67)</f>
        <v>104121781</v>
      </c>
      <c r="Y67" s="2142">
        <f>SEPTIEMBRE!AA67</f>
        <v>76511072</v>
      </c>
      <c r="Z67" s="2077">
        <v>7620426</v>
      </c>
      <c r="AA67" s="2141">
        <f>SUM(Y67:Z67)</f>
        <v>84131498</v>
      </c>
      <c r="AB67" s="2142">
        <f>SEPTIEMBRE!AD67</f>
        <v>76511072</v>
      </c>
      <c r="AC67" s="2077">
        <v>7620426</v>
      </c>
      <c r="AD67" s="2141">
        <f>SUM(AB67:AC67)</f>
        <v>84131498</v>
      </c>
      <c r="AE67" s="2142">
        <f>SEPTIEMBRE!AG67</f>
        <v>76511072</v>
      </c>
      <c r="AF67" s="2077">
        <v>7620426</v>
      </c>
      <c r="AG67" s="2141">
        <f>SUM(AE67:AF67)</f>
        <v>84131498</v>
      </c>
      <c r="AH67" s="2142">
        <f>X67-AA67</f>
        <v>19990283</v>
      </c>
      <c r="AI67" s="2091">
        <f>X67-AD67</f>
        <v>19990283</v>
      </c>
      <c r="AJ67" s="2143">
        <f>X67-AG67</f>
        <v>19990283</v>
      </c>
      <c r="AK67" s="1968"/>
      <c r="AL67" s="2079">
        <v>24000000</v>
      </c>
      <c r="AM67" s="2080">
        <v>3509971</v>
      </c>
      <c r="AN67" s="1968"/>
      <c r="AO67" s="1919"/>
      <c r="AP67" s="1919"/>
      <c r="AQ67" s="1919"/>
      <c r="AR67" s="1919"/>
      <c r="AS67" s="1919"/>
      <c r="AT67" s="1919"/>
      <c r="AU67" s="1919"/>
      <c r="AV67" s="1919"/>
      <c r="AW67" s="1919"/>
      <c r="AX67" s="1919"/>
      <c r="AY67" s="1919"/>
      <c r="AZ67" s="1919"/>
      <c r="BA67" s="2093"/>
      <c r="BB67" s="2093"/>
      <c r="BC67" s="2093"/>
      <c r="BD67" s="2093"/>
      <c r="BE67" s="2093"/>
      <c r="BF67" s="2093"/>
      <c r="BG67" s="2093"/>
      <c r="BH67" s="2093"/>
      <c r="BI67" s="2093"/>
      <c r="BJ67" s="2093"/>
      <c r="BK67" s="2093"/>
      <c r="BL67" s="2093"/>
      <c r="BM67" s="2093"/>
      <c r="BN67" s="2093"/>
      <c r="BO67" s="2093"/>
      <c r="BP67" s="2093"/>
      <c r="BQ67" s="2093"/>
      <c r="BR67" s="2093"/>
    </row>
    <row r="68" spans="1:70" s="2181" customFormat="1" ht="24.95" customHeight="1">
      <c r="A68" s="2071" t="str">
        <f>+IF(SEPTIEMBRE!A68=0,"",SEPTIEMBRE!A68)</f>
        <v>1130114-2</v>
      </c>
      <c r="B68" s="2204" t="str">
        <f>+IF(SEPTIEMBRE!B68=0,"",SEPTIEMBRE!B68)</f>
        <v>Vigencia Anterior</v>
      </c>
      <c r="C68" s="2073">
        <f>+ENERO!C68</f>
        <v>0</v>
      </c>
      <c r="D68" s="2074">
        <f>SEPTIEMBRE!D68+OCTUBRE!P68</f>
        <v>0</v>
      </c>
      <c r="E68" s="2074">
        <f>SEPTIEMBRE!E68+OCTUBRE!Q68</f>
        <v>21224834</v>
      </c>
      <c r="F68" s="2074">
        <f>SUM(C68:E68)</f>
        <v>21224834</v>
      </c>
      <c r="G68" s="2074">
        <f>SEPTIEMBRE!I68</f>
        <v>55505113</v>
      </c>
      <c r="H68" s="2077">
        <v>0</v>
      </c>
      <c r="I68" s="2074">
        <f>SUM(G68:H68)</f>
        <v>55505113</v>
      </c>
      <c r="J68" s="2074">
        <f>SEPTIEMBRE!L68</f>
        <v>55505113</v>
      </c>
      <c r="K68" s="2077">
        <v>0</v>
      </c>
      <c r="L68" s="2074">
        <f>SUM(J68:K68)</f>
        <v>55505113</v>
      </c>
      <c r="M68" s="2074">
        <f>F68-I68</f>
        <v>-34280279</v>
      </c>
      <c r="N68" s="2075">
        <f>F68-L68</f>
        <v>-34280279</v>
      </c>
      <c r="O68" s="2093"/>
      <c r="P68" s="2079">
        <v>0</v>
      </c>
      <c r="Q68" s="2080">
        <v>0</v>
      </c>
      <c r="R68" s="1968"/>
      <c r="S68" s="2138">
        <f>+IF(SEPTIEMBRE!S68=0,"",SEPTIEMBRE!S68)</f>
        <v>1020103</v>
      </c>
      <c r="T68" s="2139" t="str">
        <f>+IF(SEPTIEMBRE!T68=0,"",SEPTIEMBRE!T68)</f>
        <v>Prima Técnica</v>
      </c>
      <c r="U68" s="2140">
        <f>+ENERO!U68</f>
        <v>0</v>
      </c>
      <c r="V68" s="2091">
        <f>SEPTIEMBRE!V68+OCTUBRE!AL68</f>
        <v>0</v>
      </c>
      <c r="W68" s="2091">
        <f>SEPTIEMBRE!W68+OCTUBRE!AM68</f>
        <v>0</v>
      </c>
      <c r="X68" s="2141">
        <f>SUM(U68:W68)</f>
        <v>0</v>
      </c>
      <c r="Y68" s="2142">
        <f>SEPTIEMBRE!AA68</f>
        <v>0</v>
      </c>
      <c r="Z68" s="2077">
        <v>0</v>
      </c>
      <c r="AA68" s="2141">
        <f>SUM(Y68:Z68)</f>
        <v>0</v>
      </c>
      <c r="AB68" s="2142">
        <f>SEPTIEMBRE!AD68</f>
        <v>0</v>
      </c>
      <c r="AC68" s="2077">
        <v>0</v>
      </c>
      <c r="AD68" s="2141">
        <f>SUM(AB68:AC68)</f>
        <v>0</v>
      </c>
      <c r="AE68" s="2142">
        <f>SEPTIEMBRE!AG68</f>
        <v>0</v>
      </c>
      <c r="AF68" s="2077">
        <v>0</v>
      </c>
      <c r="AG68" s="2141">
        <f>SUM(AE68:AF68)</f>
        <v>0</v>
      </c>
      <c r="AH68" s="2142">
        <f>X68-AA68</f>
        <v>0</v>
      </c>
      <c r="AI68" s="2091">
        <f>X68-AD68</f>
        <v>0</v>
      </c>
      <c r="AJ68" s="2143">
        <f>X68-AG68</f>
        <v>0</v>
      </c>
      <c r="AK68" s="1968"/>
      <c r="AL68" s="2079">
        <v>0</v>
      </c>
      <c r="AM68" s="2080">
        <v>0</v>
      </c>
      <c r="AN68" s="1968"/>
      <c r="AO68" s="1919"/>
      <c r="AP68" s="1919"/>
      <c r="AQ68" s="1919"/>
      <c r="AR68" s="1919"/>
      <c r="AS68" s="1919"/>
      <c r="AT68" s="1919"/>
      <c r="AU68" s="1919"/>
      <c r="AV68" s="1919"/>
      <c r="AW68" s="1919"/>
      <c r="AX68" s="1919"/>
      <c r="AY68" s="1919"/>
      <c r="AZ68" s="1919"/>
      <c r="BA68" s="2093"/>
      <c r="BB68" s="2093"/>
      <c r="BC68" s="2093"/>
      <c r="BD68" s="2093"/>
      <c r="BE68" s="2093"/>
      <c r="BF68" s="2093"/>
      <c r="BG68" s="2093"/>
      <c r="BH68" s="2093"/>
      <c r="BI68" s="2093"/>
      <c r="BJ68" s="2093"/>
      <c r="BK68" s="2093"/>
      <c r="BL68" s="2093"/>
      <c r="BM68" s="2093"/>
      <c r="BN68" s="2093"/>
      <c r="BO68" s="2093"/>
      <c r="BP68" s="2093"/>
      <c r="BQ68" s="2093"/>
      <c r="BR68" s="2093"/>
    </row>
    <row r="69" spans="1:70" s="2093" customFormat="1" ht="24.95" customHeight="1">
      <c r="A69" s="2157">
        <f>+IF(SEPTIEMBRE!A69=0,"",SEPTIEMBRE!A69)</f>
        <v>1130115</v>
      </c>
      <c r="B69" s="2192" t="str">
        <f>+IF(SEPTIEMBRE!B69=0,"",SEPTIEMBRE!B69)</f>
        <v>ENTIDADES DE REGIMEN ESPECIAL (Magisterio, Fuerza Pca.)</v>
      </c>
      <c r="C69" s="2159">
        <f t="shared" ref="C69:N69" si="74">SUM(C70:C71)</f>
        <v>1373481412</v>
      </c>
      <c r="D69" s="2193">
        <f t="shared" si="74"/>
        <v>0</v>
      </c>
      <c r="E69" s="2193">
        <f t="shared" si="74"/>
        <v>2102620336</v>
      </c>
      <c r="F69" s="2193">
        <f t="shared" si="74"/>
        <v>3476101748</v>
      </c>
      <c r="G69" s="2193">
        <f t="shared" si="74"/>
        <v>4823716616</v>
      </c>
      <c r="H69" s="2193">
        <f t="shared" si="74"/>
        <v>247365304</v>
      </c>
      <c r="I69" s="2193">
        <f t="shared" si="74"/>
        <v>5071081920</v>
      </c>
      <c r="J69" s="2193">
        <f t="shared" si="74"/>
        <v>2607535272</v>
      </c>
      <c r="K69" s="2193">
        <f t="shared" si="74"/>
        <v>260240094</v>
      </c>
      <c r="L69" s="2193">
        <f t="shared" si="74"/>
        <v>2867775366</v>
      </c>
      <c r="M69" s="2193">
        <f t="shared" si="74"/>
        <v>-1594980172</v>
      </c>
      <c r="N69" s="2160">
        <f t="shared" si="74"/>
        <v>608326382</v>
      </c>
      <c r="P69" s="2159">
        <f>SUM(P70:P71)</f>
        <v>0</v>
      </c>
      <c r="Q69" s="2160">
        <f>SUM(Q70:Q71)</f>
        <v>0</v>
      </c>
      <c r="R69" s="1968"/>
      <c r="S69" s="2138">
        <f>+IF(SEPTIEMBRE!S69=0,"",SEPTIEMBRE!S69)</f>
        <v>1020104</v>
      </c>
      <c r="T69" s="2139" t="str">
        <f>+IF(SEPTIEMBRE!T69=0,"",SEPTIEMBRE!T69)</f>
        <v>Otros</v>
      </c>
      <c r="U69" s="2140">
        <f t="shared" ref="U69:AJ69" si="75">SUM(U70:U80)</f>
        <v>280545529</v>
      </c>
      <c r="V69" s="2091">
        <f t="shared" si="75"/>
        <v>47719000</v>
      </c>
      <c r="W69" s="2091">
        <f t="shared" si="75"/>
        <v>77311589</v>
      </c>
      <c r="X69" s="2141">
        <f t="shared" si="75"/>
        <v>405576118</v>
      </c>
      <c r="Y69" s="2142">
        <f t="shared" si="75"/>
        <v>202121268</v>
      </c>
      <c r="Z69" s="2170">
        <f t="shared" si="75"/>
        <v>19804498</v>
      </c>
      <c r="AA69" s="2141">
        <f t="shared" si="75"/>
        <v>221925766</v>
      </c>
      <c r="AB69" s="2142">
        <f t="shared" si="75"/>
        <v>202121268</v>
      </c>
      <c r="AC69" s="2170">
        <f t="shared" si="75"/>
        <v>19804498</v>
      </c>
      <c r="AD69" s="2141">
        <f t="shared" si="75"/>
        <v>221925766</v>
      </c>
      <c r="AE69" s="2142">
        <f t="shared" si="75"/>
        <v>202121268</v>
      </c>
      <c r="AF69" s="2170">
        <f t="shared" si="75"/>
        <v>19804498</v>
      </c>
      <c r="AG69" s="2141">
        <f t="shared" si="75"/>
        <v>221925766</v>
      </c>
      <c r="AH69" s="2142">
        <f t="shared" si="75"/>
        <v>183650352</v>
      </c>
      <c r="AI69" s="2091">
        <f t="shared" si="75"/>
        <v>183650352</v>
      </c>
      <c r="AJ69" s="2143">
        <f t="shared" si="75"/>
        <v>183650352</v>
      </c>
      <c r="AK69" s="1968"/>
      <c r="AL69" s="2171">
        <f>SUM(AL70:AL80)</f>
        <v>17596000</v>
      </c>
      <c r="AM69" s="2172">
        <f>SUM(AM70:AM80)</f>
        <v>44855815</v>
      </c>
      <c r="AN69" s="1968"/>
      <c r="AO69" s="1919"/>
      <c r="AP69" s="1919"/>
      <c r="AQ69" s="1919"/>
      <c r="AR69" s="1919"/>
      <c r="AS69" s="1919"/>
      <c r="AT69" s="1919"/>
      <c r="AU69" s="1919"/>
      <c r="AV69" s="1919"/>
      <c r="AW69" s="1919"/>
      <c r="AX69" s="1919"/>
      <c r="AY69" s="1919"/>
      <c r="AZ69" s="1919"/>
    </row>
    <row r="70" spans="1:70" s="2181" customFormat="1" ht="24.95" customHeight="1">
      <c r="A70" s="2071" t="str">
        <f>+IF(SEPTIEMBRE!A70=0,"",SEPTIEMBRE!A70)</f>
        <v>1130115-1</v>
      </c>
      <c r="B70" s="2204" t="str">
        <f>+CONCATENATE("Vigencia ",INSTRUCCIONES!$F$3)</f>
        <v>Vigencia 2017</v>
      </c>
      <c r="C70" s="2073">
        <f>+ENERO!C70</f>
        <v>1373481412</v>
      </c>
      <c r="D70" s="2074">
        <f>SEPTIEMBRE!D70+OCTUBRE!P70</f>
        <v>0</v>
      </c>
      <c r="E70" s="2074">
        <f>SEPTIEMBRE!E70+OCTUBRE!Q70</f>
        <v>0</v>
      </c>
      <c r="F70" s="2074">
        <f>SUM(C70:E70)</f>
        <v>1373481412</v>
      </c>
      <c r="G70" s="2074">
        <f>SEPTIEMBRE!I70</f>
        <v>2717657354</v>
      </c>
      <c r="H70" s="2077">
        <v>247225210</v>
      </c>
      <c r="I70" s="2074">
        <f>SUM(G70:H70)</f>
        <v>2964882564</v>
      </c>
      <c r="J70" s="2074">
        <f>SEPTIEMBRE!L70</f>
        <v>501476010</v>
      </c>
      <c r="K70" s="2077">
        <v>260100000</v>
      </c>
      <c r="L70" s="2074">
        <f>SUM(J70:K70)</f>
        <v>761576010</v>
      </c>
      <c r="M70" s="2074">
        <f>F70-I70</f>
        <v>-1591401152</v>
      </c>
      <c r="N70" s="2075">
        <f>F70-L70</f>
        <v>611905402</v>
      </c>
      <c r="O70" s="2093"/>
      <c r="P70" s="2079">
        <v>0</v>
      </c>
      <c r="Q70" s="2080">
        <v>0</v>
      </c>
      <c r="R70" s="1968"/>
      <c r="S70" s="2184" t="str">
        <f>+IF(SEPTIEMBRE!S70=0,"",SEPTIEMBRE!S70)</f>
        <v>1020104-1</v>
      </c>
      <c r="T70" s="2185" t="str">
        <f>+IF(SEPTIEMBRE!T70=0,"",SEPTIEMBRE!T70)</f>
        <v xml:space="preserve">Prima de Navidad </v>
      </c>
      <c r="U70" s="2140">
        <f>+ENERO!U70</f>
        <v>72165521</v>
      </c>
      <c r="V70" s="2091">
        <f>SEPTIEMBRE!V70+OCTUBRE!AL70</f>
        <v>0</v>
      </c>
      <c r="W70" s="2091">
        <f>SEPTIEMBRE!W70+OCTUBRE!AM70</f>
        <v>0</v>
      </c>
      <c r="X70" s="2141">
        <f t="shared" ref="X70:X81" si="76">SUM(U70:W70)</f>
        <v>72165521</v>
      </c>
      <c r="Y70" s="2142">
        <f>SEPTIEMBRE!AA70</f>
        <v>0</v>
      </c>
      <c r="Z70" s="2077">
        <v>0</v>
      </c>
      <c r="AA70" s="2141">
        <f t="shared" ref="AA70:AA81" si="77">SUM(Y70:Z70)</f>
        <v>0</v>
      </c>
      <c r="AB70" s="2142">
        <f>SEPTIEMBRE!AD70</f>
        <v>0</v>
      </c>
      <c r="AC70" s="2077">
        <v>0</v>
      </c>
      <c r="AD70" s="2141">
        <f t="shared" ref="AD70:AD81" si="78">SUM(AB70:AC70)</f>
        <v>0</v>
      </c>
      <c r="AE70" s="2142">
        <f>SEPTIEMBRE!AG70</f>
        <v>0</v>
      </c>
      <c r="AF70" s="2077">
        <v>0</v>
      </c>
      <c r="AG70" s="2141">
        <f t="shared" ref="AG70:AG81" si="79">SUM(AE70:AF70)</f>
        <v>0</v>
      </c>
      <c r="AH70" s="2142">
        <f t="shared" ref="AH70:AH81" si="80">X70-AA70</f>
        <v>72165521</v>
      </c>
      <c r="AI70" s="2091">
        <f t="shared" ref="AI70:AI81" si="81">X70-AD70</f>
        <v>72165521</v>
      </c>
      <c r="AJ70" s="2143">
        <f t="shared" ref="AJ70:AJ81" si="82">X70-AG70</f>
        <v>72165521</v>
      </c>
      <c r="AK70" s="1968"/>
      <c r="AL70" s="2079">
        <v>0</v>
      </c>
      <c r="AM70" s="2080">
        <v>0</v>
      </c>
      <c r="AN70" s="1968"/>
      <c r="AO70" s="1919"/>
      <c r="AP70" s="1919"/>
      <c r="AQ70" s="1919"/>
      <c r="AR70" s="1919"/>
      <c r="AS70" s="1919"/>
      <c r="AT70" s="1919"/>
      <c r="AU70" s="1919"/>
      <c r="AV70" s="1919"/>
      <c r="AW70" s="1919"/>
      <c r="AX70" s="1919"/>
      <c r="AY70" s="1919"/>
      <c r="AZ70" s="1919"/>
      <c r="BA70" s="2093"/>
      <c r="BB70" s="2093"/>
      <c r="BC70" s="2093"/>
      <c r="BD70" s="2093"/>
      <c r="BE70" s="2093"/>
      <c r="BF70" s="2093"/>
      <c r="BG70" s="2093"/>
      <c r="BH70" s="2093"/>
      <c r="BI70" s="2093"/>
      <c r="BJ70" s="2093"/>
      <c r="BK70" s="2093"/>
      <c r="BL70" s="2093"/>
      <c r="BM70" s="2093"/>
      <c r="BN70" s="2093"/>
      <c r="BO70" s="2093"/>
      <c r="BP70" s="2093"/>
      <c r="BQ70" s="2093"/>
      <c r="BR70" s="2093"/>
    </row>
    <row r="71" spans="1:70" s="2181" customFormat="1" ht="24.95" customHeight="1">
      <c r="A71" s="2071" t="str">
        <f>+IF(SEPTIEMBRE!A71=0,"",SEPTIEMBRE!A71)</f>
        <v>1130115-2</v>
      </c>
      <c r="B71" s="2204" t="str">
        <f>+IF(SEPTIEMBRE!B71=0,"",SEPTIEMBRE!B71)</f>
        <v>Vigencia Anterior</v>
      </c>
      <c r="C71" s="2073">
        <f>+ENERO!C71</f>
        <v>0</v>
      </c>
      <c r="D71" s="2074">
        <f>SEPTIEMBRE!D71+OCTUBRE!P71</f>
        <v>0</v>
      </c>
      <c r="E71" s="2074">
        <f>SEPTIEMBRE!E71+OCTUBRE!Q71</f>
        <v>2102620336</v>
      </c>
      <c r="F71" s="2074">
        <f>SUM(C71:E71)</f>
        <v>2102620336</v>
      </c>
      <c r="G71" s="2074">
        <f>SEPTIEMBRE!I71</f>
        <v>2106059262</v>
      </c>
      <c r="H71" s="2077">
        <v>140094</v>
      </c>
      <c r="I71" s="2074">
        <f>SUM(G71:H71)</f>
        <v>2106199356</v>
      </c>
      <c r="J71" s="2074">
        <f>SEPTIEMBRE!L71</f>
        <v>2106059262</v>
      </c>
      <c r="K71" s="2077">
        <v>140094</v>
      </c>
      <c r="L71" s="2074">
        <f>SUM(J71:K71)</f>
        <v>2106199356</v>
      </c>
      <c r="M71" s="2074">
        <f>F71-I71</f>
        <v>-3579020</v>
      </c>
      <c r="N71" s="2075">
        <f>F71-L71</f>
        <v>-3579020</v>
      </c>
      <c r="O71" s="2093"/>
      <c r="P71" s="2079">
        <v>0</v>
      </c>
      <c r="Q71" s="2080">
        <v>0</v>
      </c>
      <c r="R71" s="1968"/>
      <c r="S71" s="2184" t="str">
        <f>+IF(SEPTIEMBRE!S71=0,"",SEPTIEMBRE!S71)</f>
        <v>1020104-2</v>
      </c>
      <c r="T71" s="2185" t="str">
        <f>+IF(SEPTIEMBRE!T71=0,"",SEPTIEMBRE!T71)</f>
        <v>Prima Vida Cara</v>
      </c>
      <c r="U71" s="2140">
        <f>+ENERO!U71</f>
        <v>65329386</v>
      </c>
      <c r="V71" s="2091">
        <f>SEPTIEMBRE!V71+OCTUBRE!AL71</f>
        <v>0</v>
      </c>
      <c r="W71" s="2091">
        <f>SEPTIEMBRE!W71+OCTUBRE!AM71</f>
        <v>69429213</v>
      </c>
      <c r="X71" s="2141">
        <f t="shared" si="76"/>
        <v>134758599</v>
      </c>
      <c r="Y71" s="2142">
        <f>SEPTIEMBRE!AA71</f>
        <v>69429074</v>
      </c>
      <c r="Z71" s="2077">
        <v>0</v>
      </c>
      <c r="AA71" s="2141">
        <f t="shared" si="77"/>
        <v>69429074</v>
      </c>
      <c r="AB71" s="2142">
        <f>SEPTIEMBRE!AD71</f>
        <v>69429074</v>
      </c>
      <c r="AC71" s="2077">
        <v>0</v>
      </c>
      <c r="AD71" s="2141">
        <f t="shared" si="78"/>
        <v>69429074</v>
      </c>
      <c r="AE71" s="2142">
        <f>SEPTIEMBRE!AG71</f>
        <v>69429074</v>
      </c>
      <c r="AF71" s="2077">
        <v>0</v>
      </c>
      <c r="AG71" s="2141">
        <f t="shared" si="79"/>
        <v>69429074</v>
      </c>
      <c r="AH71" s="2142">
        <f t="shared" si="80"/>
        <v>65329525</v>
      </c>
      <c r="AI71" s="2091">
        <f t="shared" si="81"/>
        <v>65329525</v>
      </c>
      <c r="AJ71" s="2143">
        <f t="shared" si="82"/>
        <v>65329525</v>
      </c>
      <c r="AK71" s="1968"/>
      <c r="AL71" s="2079">
        <v>0</v>
      </c>
      <c r="AM71" s="2080">
        <f>34781326+2192113</f>
        <v>36973439</v>
      </c>
      <c r="AN71" s="1968"/>
      <c r="AO71" s="1919"/>
      <c r="AP71" s="1919"/>
      <c r="AQ71" s="1919"/>
      <c r="AR71" s="1919"/>
      <c r="AS71" s="1919"/>
      <c r="AT71" s="1919"/>
      <c r="AU71" s="1919"/>
      <c r="AV71" s="1919"/>
      <c r="AW71" s="1919"/>
      <c r="AX71" s="1919"/>
      <c r="AY71" s="1919"/>
      <c r="AZ71" s="1919"/>
      <c r="BA71" s="2093"/>
      <c r="BB71" s="2093"/>
      <c r="BC71" s="2093"/>
      <c r="BD71" s="2093"/>
      <c r="BE71" s="2093"/>
      <c r="BF71" s="2093"/>
      <c r="BG71" s="2093"/>
      <c r="BH71" s="2093"/>
      <c r="BI71" s="2093"/>
      <c r="BJ71" s="2093"/>
      <c r="BK71" s="2093"/>
      <c r="BL71" s="2093"/>
      <c r="BM71" s="2093"/>
      <c r="BN71" s="2093"/>
      <c r="BO71" s="2093"/>
      <c r="BP71" s="2093"/>
      <c r="BQ71" s="2093"/>
      <c r="BR71" s="2093"/>
    </row>
    <row r="72" spans="1:70" s="2093" customFormat="1" ht="24.95" customHeight="1">
      <c r="A72" s="2157">
        <f>+IF(SEPTIEMBRE!A72=0,"",SEPTIEMBRE!A72)</f>
        <v>1130116</v>
      </c>
      <c r="B72" s="2192" t="str">
        <f>+IF(SEPTIEMBRE!B72=0,"",SEPTIEMBRE!B72)</f>
        <v>ADMINISTRADORAS DE RIESGOS PROFESIONALES</v>
      </c>
      <c r="C72" s="2159">
        <f t="shared" ref="C72:N72" si="83">SUM(C73:C74)</f>
        <v>474083630</v>
      </c>
      <c r="D72" s="2193">
        <f t="shared" si="83"/>
        <v>0</v>
      </c>
      <c r="E72" s="2193">
        <f t="shared" si="83"/>
        <v>204340974</v>
      </c>
      <c r="F72" s="2193">
        <f t="shared" si="83"/>
        <v>678424604</v>
      </c>
      <c r="G72" s="2193">
        <f t="shared" si="83"/>
        <v>356574402</v>
      </c>
      <c r="H72" s="2193">
        <f t="shared" si="83"/>
        <v>10928311</v>
      </c>
      <c r="I72" s="2193">
        <f t="shared" si="83"/>
        <v>367502713</v>
      </c>
      <c r="J72" s="2193">
        <f t="shared" si="83"/>
        <v>226623064</v>
      </c>
      <c r="K72" s="2193">
        <f t="shared" si="83"/>
        <v>24938690</v>
      </c>
      <c r="L72" s="2193">
        <f t="shared" si="83"/>
        <v>251561754</v>
      </c>
      <c r="M72" s="2193">
        <f t="shared" si="83"/>
        <v>310921891</v>
      </c>
      <c r="N72" s="2160">
        <f t="shared" si="83"/>
        <v>426862850</v>
      </c>
      <c r="P72" s="2159">
        <f>SUM(P73:P74)</f>
        <v>0</v>
      </c>
      <c r="Q72" s="2160">
        <f>SUM(Q73:Q74)</f>
        <v>0</v>
      </c>
      <c r="R72" s="1968"/>
      <c r="S72" s="2184" t="str">
        <f>+IF(SEPTIEMBRE!S72=0,"",SEPTIEMBRE!S72)</f>
        <v>1020104-3</v>
      </c>
      <c r="T72" s="2185" t="str">
        <f>+IF(SEPTIEMBRE!T72=0,"",SEPTIEMBRE!T72)</f>
        <v>Prima de Vacaciones</v>
      </c>
      <c r="U72" s="2140">
        <f>+ENERO!U72</f>
        <v>34829886</v>
      </c>
      <c r="V72" s="2091">
        <f>SEPTIEMBRE!V72+OCTUBRE!AL72</f>
        <v>0</v>
      </c>
      <c r="W72" s="2091">
        <f>SEPTIEMBRE!W72+OCTUBRE!AM72</f>
        <v>1314922</v>
      </c>
      <c r="X72" s="2141">
        <f t="shared" si="76"/>
        <v>36144808</v>
      </c>
      <c r="Y72" s="2142">
        <f>SEPTIEMBRE!AA72</f>
        <v>15098774</v>
      </c>
      <c r="Z72" s="2077">
        <v>5785864</v>
      </c>
      <c r="AA72" s="2141">
        <f t="shared" si="77"/>
        <v>20884638</v>
      </c>
      <c r="AB72" s="2142">
        <f>SEPTIEMBRE!AD72</f>
        <v>15098774</v>
      </c>
      <c r="AC72" s="2077">
        <v>5785864</v>
      </c>
      <c r="AD72" s="2141">
        <f t="shared" si="78"/>
        <v>20884638</v>
      </c>
      <c r="AE72" s="2142">
        <f>SEPTIEMBRE!AG72</f>
        <v>15098774</v>
      </c>
      <c r="AF72" s="2077">
        <v>5785864</v>
      </c>
      <c r="AG72" s="2141">
        <f t="shared" si="79"/>
        <v>20884638</v>
      </c>
      <c r="AH72" s="2142">
        <f t="shared" si="80"/>
        <v>15260170</v>
      </c>
      <c r="AI72" s="2091">
        <f t="shared" si="81"/>
        <v>15260170</v>
      </c>
      <c r="AJ72" s="2143">
        <f t="shared" si="82"/>
        <v>15260170</v>
      </c>
      <c r="AK72" s="1968"/>
      <c r="AL72" s="2079">
        <v>0</v>
      </c>
      <c r="AM72" s="2080">
        <v>1314922</v>
      </c>
      <c r="AN72" s="1968"/>
      <c r="AO72" s="1919"/>
      <c r="AP72" s="1919"/>
      <c r="AQ72" s="1919"/>
      <c r="AR72" s="1919"/>
      <c r="AS72" s="1919"/>
      <c r="AT72" s="1919"/>
      <c r="AU72" s="1919"/>
      <c r="AV72" s="1919"/>
      <c r="AW72" s="1919"/>
      <c r="AX72" s="1919"/>
      <c r="AY72" s="1919"/>
      <c r="AZ72" s="1919"/>
    </row>
    <row r="73" spans="1:70" s="2181" customFormat="1" ht="24.95" customHeight="1">
      <c r="A73" s="2071" t="str">
        <f>+IF(SEPTIEMBRE!A73=0,"",SEPTIEMBRE!A73)</f>
        <v>1130116-1</v>
      </c>
      <c r="B73" s="2204" t="str">
        <f>+CONCATENATE("Vigencia ",INSTRUCCIONES!$F$3)</f>
        <v>Vigencia 2017</v>
      </c>
      <c r="C73" s="2073">
        <f>+ENERO!C73</f>
        <v>474083630</v>
      </c>
      <c r="D73" s="2074">
        <f>SEPTIEMBRE!D73+OCTUBRE!P73</f>
        <v>0</v>
      </c>
      <c r="E73" s="2074">
        <f>SEPTIEMBRE!E73+OCTUBRE!Q73</f>
        <v>0</v>
      </c>
      <c r="F73" s="2074">
        <f>SUM(C73:E73)</f>
        <v>474083630</v>
      </c>
      <c r="G73" s="2074">
        <f>SEPTIEMBRE!I73</f>
        <v>149959775</v>
      </c>
      <c r="H73" s="2077">
        <v>10928311</v>
      </c>
      <c r="I73" s="2074">
        <f>SUM(G73:H73)</f>
        <v>160888086</v>
      </c>
      <c r="J73" s="2074">
        <f>SEPTIEMBRE!L73</f>
        <v>20008437</v>
      </c>
      <c r="K73" s="2077">
        <v>24938690</v>
      </c>
      <c r="L73" s="2074">
        <f>SUM(J73:K73)</f>
        <v>44947127</v>
      </c>
      <c r="M73" s="2074">
        <f>F73-I73</f>
        <v>313195544</v>
      </c>
      <c r="N73" s="2075">
        <f>F73-L73</f>
        <v>429136503</v>
      </c>
      <c r="O73" s="2093"/>
      <c r="P73" s="2079">
        <v>0</v>
      </c>
      <c r="Q73" s="2080">
        <v>0</v>
      </c>
      <c r="R73" s="1968"/>
      <c r="S73" s="2184" t="str">
        <f>+IF(SEPTIEMBRE!S73=0,"",SEPTIEMBRE!S73)</f>
        <v>1020104-4</v>
      </c>
      <c r="T73" s="2185" t="str">
        <f>+IF(SEPTIEMBRE!T73=0,"",SEPTIEMBRE!T73)</f>
        <v>Prima Clima</v>
      </c>
      <c r="U73" s="2140">
        <f>+ENERO!U73</f>
        <v>0</v>
      </c>
      <c r="V73" s="2091">
        <f>SEPTIEMBRE!V73+OCTUBRE!AL73</f>
        <v>0</v>
      </c>
      <c r="W73" s="2091">
        <f>SEPTIEMBRE!W73+OCTUBRE!AM73</f>
        <v>0</v>
      </c>
      <c r="X73" s="2141">
        <f t="shared" si="76"/>
        <v>0</v>
      </c>
      <c r="Y73" s="2142">
        <f>SEPTIEMBRE!AA73</f>
        <v>0</v>
      </c>
      <c r="Z73" s="2077">
        <v>0</v>
      </c>
      <c r="AA73" s="2141">
        <f t="shared" si="77"/>
        <v>0</v>
      </c>
      <c r="AB73" s="2142">
        <f>SEPTIEMBRE!AD73</f>
        <v>0</v>
      </c>
      <c r="AC73" s="2077">
        <v>0</v>
      </c>
      <c r="AD73" s="2141">
        <f t="shared" si="78"/>
        <v>0</v>
      </c>
      <c r="AE73" s="2142">
        <f>SEPTIEMBRE!AG73</f>
        <v>0</v>
      </c>
      <c r="AF73" s="2077">
        <v>0</v>
      </c>
      <c r="AG73" s="2141">
        <f t="shared" si="79"/>
        <v>0</v>
      </c>
      <c r="AH73" s="2142">
        <f t="shared" si="80"/>
        <v>0</v>
      </c>
      <c r="AI73" s="2091">
        <f t="shared" si="81"/>
        <v>0</v>
      </c>
      <c r="AJ73" s="2143">
        <f t="shared" si="82"/>
        <v>0</v>
      </c>
      <c r="AK73" s="1968"/>
      <c r="AL73" s="2079">
        <v>0</v>
      </c>
      <c r="AM73" s="2080">
        <v>0</v>
      </c>
      <c r="AN73" s="1968"/>
      <c r="AO73" s="1919"/>
      <c r="AP73" s="1919"/>
      <c r="AQ73" s="1919"/>
      <c r="AR73" s="1919"/>
      <c r="AS73" s="1919"/>
      <c r="AT73" s="1919"/>
      <c r="AU73" s="1919"/>
      <c r="AV73" s="1919"/>
      <c r="AW73" s="1919"/>
      <c r="AX73" s="1919"/>
      <c r="AY73" s="1919"/>
      <c r="AZ73" s="1919"/>
      <c r="BA73" s="2093"/>
      <c r="BB73" s="2093"/>
      <c r="BC73" s="2093"/>
      <c r="BD73" s="2093"/>
      <c r="BE73" s="2093"/>
      <c r="BF73" s="2093"/>
      <c r="BG73" s="2093"/>
      <c r="BH73" s="2093"/>
      <c r="BI73" s="2093"/>
      <c r="BJ73" s="2093"/>
      <c r="BK73" s="2093"/>
      <c r="BL73" s="2093"/>
      <c r="BM73" s="2093"/>
      <c r="BN73" s="2093"/>
      <c r="BO73" s="2093"/>
      <c r="BP73" s="2093"/>
      <c r="BQ73" s="2093"/>
      <c r="BR73" s="2093"/>
    </row>
    <row r="74" spans="1:70" s="2181" customFormat="1" ht="24.95" customHeight="1">
      <c r="A74" s="2071" t="str">
        <f>+IF(SEPTIEMBRE!A74=0,"",SEPTIEMBRE!A74)</f>
        <v>1130116-2</v>
      </c>
      <c r="B74" s="2204" t="str">
        <f>+IF(SEPTIEMBRE!B74=0,"",SEPTIEMBRE!B74)</f>
        <v>Vigencia Anterior</v>
      </c>
      <c r="C74" s="2073">
        <f>+ENERO!C74</f>
        <v>0</v>
      </c>
      <c r="D74" s="2074">
        <f>SEPTIEMBRE!D74+OCTUBRE!P74</f>
        <v>0</v>
      </c>
      <c r="E74" s="2074">
        <f>SEPTIEMBRE!E74+OCTUBRE!Q74</f>
        <v>204340974</v>
      </c>
      <c r="F74" s="2074">
        <f>SUM(C74:E74)</f>
        <v>204340974</v>
      </c>
      <c r="G74" s="2074">
        <f>SEPTIEMBRE!I74</f>
        <v>206614627</v>
      </c>
      <c r="H74" s="2077">
        <v>0</v>
      </c>
      <c r="I74" s="2074">
        <f>SUM(G74:H74)</f>
        <v>206614627</v>
      </c>
      <c r="J74" s="2074">
        <f>SEPTIEMBRE!L74</f>
        <v>206614627</v>
      </c>
      <c r="K74" s="2077">
        <v>0</v>
      </c>
      <c r="L74" s="2074">
        <f>SUM(J74:K74)</f>
        <v>206614627</v>
      </c>
      <c r="M74" s="2074">
        <f>F74-I74</f>
        <v>-2273653</v>
      </c>
      <c r="N74" s="2075">
        <f>F74-L74</f>
        <v>-2273653</v>
      </c>
      <c r="O74" s="2093"/>
      <c r="P74" s="2079">
        <v>0</v>
      </c>
      <c r="Q74" s="2080">
        <v>0</v>
      </c>
      <c r="R74" s="1968"/>
      <c r="S74" s="2184" t="str">
        <f>+IF(SEPTIEMBRE!S74=0,"",SEPTIEMBRE!S74)</f>
        <v>1020104-5</v>
      </c>
      <c r="T74" s="2185" t="str">
        <f>+IF(SEPTIEMBRE!T74=0,"",SEPTIEMBRE!T74)</f>
        <v>Prima de Servicios</v>
      </c>
      <c r="U74" s="2140">
        <f>+ENERO!U74</f>
        <v>36082760</v>
      </c>
      <c r="V74" s="2091">
        <f>SEPTIEMBRE!V74+OCTUBRE!AL74</f>
        <v>0</v>
      </c>
      <c r="W74" s="2091">
        <f>SEPTIEMBRE!W74+OCTUBRE!AM74</f>
        <v>2192113</v>
      </c>
      <c r="X74" s="2141">
        <f t="shared" si="76"/>
        <v>38274873</v>
      </c>
      <c r="Y74" s="2142">
        <f>SEPTIEMBRE!AA74</f>
        <v>34648253</v>
      </c>
      <c r="Z74" s="2077">
        <v>0</v>
      </c>
      <c r="AA74" s="2141">
        <f t="shared" si="77"/>
        <v>34648253</v>
      </c>
      <c r="AB74" s="2142">
        <f>SEPTIEMBRE!AD74</f>
        <v>34648253</v>
      </c>
      <c r="AC74" s="2077">
        <v>0</v>
      </c>
      <c r="AD74" s="2141">
        <f t="shared" si="78"/>
        <v>34648253</v>
      </c>
      <c r="AE74" s="2142">
        <f>SEPTIEMBRE!AG74</f>
        <v>34648253</v>
      </c>
      <c r="AF74" s="2077">
        <v>0</v>
      </c>
      <c r="AG74" s="2141">
        <f t="shared" si="79"/>
        <v>34648253</v>
      </c>
      <c r="AH74" s="2142">
        <f t="shared" si="80"/>
        <v>3626620</v>
      </c>
      <c r="AI74" s="2091">
        <f t="shared" si="81"/>
        <v>3626620</v>
      </c>
      <c r="AJ74" s="2143">
        <f t="shared" si="82"/>
        <v>3626620</v>
      </c>
      <c r="AK74" s="1968"/>
      <c r="AL74" s="2079">
        <v>0</v>
      </c>
      <c r="AM74" s="2080">
        <v>2192113</v>
      </c>
      <c r="AN74" s="1968"/>
      <c r="AO74" s="1919"/>
      <c r="AP74" s="1919"/>
      <c r="AQ74" s="1919"/>
      <c r="AR74" s="1919"/>
      <c r="AS74" s="1919"/>
      <c r="AT74" s="1919"/>
      <c r="AU74" s="1919"/>
      <c r="AV74" s="1919"/>
      <c r="AW74" s="1919"/>
      <c r="AX74" s="1919"/>
      <c r="AY74" s="1919"/>
      <c r="AZ74" s="1919"/>
      <c r="BA74" s="2093"/>
      <c r="BB74" s="2093"/>
      <c r="BC74" s="2093"/>
      <c r="BD74" s="2093"/>
      <c r="BE74" s="2093"/>
      <c r="BF74" s="2093"/>
      <c r="BG74" s="2093"/>
      <c r="BH74" s="2093"/>
      <c r="BI74" s="2093"/>
      <c r="BJ74" s="2093"/>
      <c r="BK74" s="2093"/>
      <c r="BL74" s="2093"/>
      <c r="BM74" s="2093"/>
      <c r="BN74" s="2093"/>
      <c r="BO74" s="2093"/>
      <c r="BP74" s="2093"/>
      <c r="BQ74" s="2093"/>
      <c r="BR74" s="2093"/>
    </row>
    <row r="75" spans="1:70" s="2093" customFormat="1" ht="24.95" customHeight="1">
      <c r="A75" s="2157">
        <f>+IF(SEPTIEMBRE!A75=0,"",SEPTIEMBRE!A75)</f>
        <v>1130117</v>
      </c>
      <c r="B75" s="2192" t="str">
        <f>+IF(SEPTIEMBRE!B75=0,"",SEPTIEMBRE!B75)</f>
        <v>CUOTAS DE RECUPERACION</v>
      </c>
      <c r="C75" s="2159">
        <f t="shared" ref="C75:N75" si="84">SUM(C76:C77)</f>
        <v>52000000</v>
      </c>
      <c r="D75" s="2193">
        <f t="shared" si="84"/>
        <v>0</v>
      </c>
      <c r="E75" s="2193">
        <f t="shared" si="84"/>
        <v>602749</v>
      </c>
      <c r="F75" s="2193">
        <f t="shared" si="84"/>
        <v>52602749</v>
      </c>
      <c r="G75" s="2193">
        <f t="shared" si="84"/>
        <v>31367263</v>
      </c>
      <c r="H75" s="2193">
        <f t="shared" si="84"/>
        <v>0</v>
      </c>
      <c r="I75" s="2193">
        <f t="shared" si="84"/>
        <v>31367263</v>
      </c>
      <c r="J75" s="2193">
        <f t="shared" si="84"/>
        <v>1509049</v>
      </c>
      <c r="K75" s="2193">
        <f t="shared" si="84"/>
        <v>0</v>
      </c>
      <c r="L75" s="2193">
        <f t="shared" si="84"/>
        <v>1509049</v>
      </c>
      <c r="M75" s="2193">
        <f t="shared" si="84"/>
        <v>21235486</v>
      </c>
      <c r="N75" s="2160">
        <f t="shared" si="84"/>
        <v>51093700</v>
      </c>
      <c r="P75" s="2159">
        <f>SUM(P76:P77)</f>
        <v>0</v>
      </c>
      <c r="Q75" s="2160">
        <f>SUM(Q76:Q77)</f>
        <v>0</v>
      </c>
      <c r="R75" s="1968"/>
      <c r="S75" s="2184" t="str">
        <f>+IF(SEPTIEMBRE!S75=0,"",SEPTIEMBRE!S75)</f>
        <v>1020104-8</v>
      </c>
      <c r="T75" s="2185" t="str">
        <f>+IF(SEPTIEMBRE!T75=0,"",SEPTIEMBRE!T75)</f>
        <v>Bonific. por Servicios Prestados</v>
      </c>
      <c r="U75" s="2140">
        <f>+ENERO!U75</f>
        <v>17770724</v>
      </c>
      <c r="V75" s="2091">
        <f>SEPTIEMBRE!V75+OCTUBRE!AL75</f>
        <v>14000000</v>
      </c>
      <c r="W75" s="2091">
        <f>SEPTIEMBRE!W75+OCTUBRE!AM75</f>
        <v>694013</v>
      </c>
      <c r="X75" s="2141">
        <f t="shared" si="76"/>
        <v>32464737</v>
      </c>
      <c r="Y75" s="2142">
        <f>SEPTIEMBRE!AA75</f>
        <v>15137332</v>
      </c>
      <c r="Z75" s="2077">
        <v>7321469</v>
      </c>
      <c r="AA75" s="2141">
        <f t="shared" si="77"/>
        <v>22458801</v>
      </c>
      <c r="AB75" s="2142">
        <f>SEPTIEMBRE!AD75</f>
        <v>15137332</v>
      </c>
      <c r="AC75" s="2077">
        <v>7321469</v>
      </c>
      <c r="AD75" s="2141">
        <f t="shared" si="78"/>
        <v>22458801</v>
      </c>
      <c r="AE75" s="2142">
        <f>SEPTIEMBRE!AG75</f>
        <v>15137332</v>
      </c>
      <c r="AF75" s="2077">
        <v>7321469</v>
      </c>
      <c r="AG75" s="2141">
        <f t="shared" si="79"/>
        <v>22458801</v>
      </c>
      <c r="AH75" s="2142">
        <f t="shared" si="80"/>
        <v>10005936</v>
      </c>
      <c r="AI75" s="2091">
        <f t="shared" si="81"/>
        <v>10005936</v>
      </c>
      <c r="AJ75" s="2143">
        <f t="shared" si="82"/>
        <v>10005936</v>
      </c>
      <c r="AK75" s="1968"/>
      <c r="AL75" s="2079">
        <v>14000000</v>
      </c>
      <c r="AM75" s="2080">
        <v>694013</v>
      </c>
      <c r="AN75" s="1968"/>
      <c r="AO75" s="1919"/>
      <c r="AP75" s="1919"/>
      <c r="AQ75" s="1919"/>
      <c r="AR75" s="1919"/>
      <c r="AS75" s="1919"/>
      <c r="AT75" s="1919"/>
      <c r="AU75" s="1919"/>
      <c r="AV75" s="1919"/>
      <c r="AW75" s="1919"/>
      <c r="AX75" s="1919"/>
      <c r="AY75" s="1919"/>
      <c r="AZ75" s="1919"/>
    </row>
    <row r="76" spans="1:70" s="2181" customFormat="1" ht="24.95" customHeight="1">
      <c r="A76" s="2071" t="str">
        <f>+IF(SEPTIEMBRE!A76=0,"",SEPTIEMBRE!A76)</f>
        <v>1130117-1</v>
      </c>
      <c r="B76" s="2204" t="str">
        <f>+CONCATENATE("Vigencia ",INSTRUCCIONES!$F$3)</f>
        <v>Vigencia 2017</v>
      </c>
      <c r="C76" s="2073">
        <f>+ENERO!C76</f>
        <v>52000000</v>
      </c>
      <c r="D76" s="2074">
        <f>SEPTIEMBRE!D76+OCTUBRE!P76</f>
        <v>0</v>
      </c>
      <c r="E76" s="2074">
        <f>SEPTIEMBRE!E76+OCTUBRE!Q76</f>
        <v>0</v>
      </c>
      <c r="F76" s="2074">
        <f t="shared" ref="F76:F83" si="85">SUM(C76:E76)</f>
        <v>52000000</v>
      </c>
      <c r="G76" s="2074">
        <f>SEPTIEMBRE!I76</f>
        <v>30764514</v>
      </c>
      <c r="H76" s="2077">
        <v>0</v>
      </c>
      <c r="I76" s="2074">
        <f t="shared" ref="I76:I83" si="86">SUM(G76:H76)</f>
        <v>30764514</v>
      </c>
      <c r="J76" s="2074">
        <f>SEPTIEMBRE!L76</f>
        <v>906300</v>
      </c>
      <c r="K76" s="2077">
        <v>0</v>
      </c>
      <c r="L76" s="2074">
        <f t="shared" ref="L76:L83" si="87">SUM(J76:K76)</f>
        <v>906300</v>
      </c>
      <c r="M76" s="2074">
        <f t="shared" ref="M76:M83" si="88">F76-I76</f>
        <v>21235486</v>
      </c>
      <c r="N76" s="2075">
        <f t="shared" ref="N76:N83" si="89">F76-L76</f>
        <v>51093700</v>
      </c>
      <c r="O76" s="2093"/>
      <c r="P76" s="2079">
        <v>0</v>
      </c>
      <c r="Q76" s="2080">
        <v>0</v>
      </c>
      <c r="R76" s="1968"/>
      <c r="S76" s="2184" t="str">
        <f>+IF(SEPTIEMBRE!S76=0,"",SEPTIEMBRE!S76)</f>
        <v>1020104-9</v>
      </c>
      <c r="T76" s="2185" t="str">
        <f>+IF(SEPTIEMBRE!T76=0,"",SEPTIEMBRE!T76)</f>
        <v>Auxilio de Transporte</v>
      </c>
      <c r="U76" s="2140">
        <f>+ENERO!U76</f>
        <v>1703268</v>
      </c>
      <c r="V76" s="2091">
        <f>SEPTIEMBRE!V76+OCTUBRE!AL76</f>
        <v>255000</v>
      </c>
      <c r="W76" s="2091">
        <f>SEPTIEMBRE!W76+OCTUBRE!AM76</f>
        <v>0</v>
      </c>
      <c r="X76" s="2141">
        <f t="shared" si="76"/>
        <v>1958268</v>
      </c>
      <c r="Y76" s="2142">
        <f>SEPTIEMBRE!AA76</f>
        <v>1704340</v>
      </c>
      <c r="Z76" s="2077">
        <v>166280</v>
      </c>
      <c r="AA76" s="2141">
        <f t="shared" si="77"/>
        <v>1870620</v>
      </c>
      <c r="AB76" s="2142">
        <f>SEPTIEMBRE!AD76</f>
        <v>1704340</v>
      </c>
      <c r="AC76" s="2077">
        <v>166280</v>
      </c>
      <c r="AD76" s="2141">
        <f t="shared" si="78"/>
        <v>1870620</v>
      </c>
      <c r="AE76" s="2142">
        <f>SEPTIEMBRE!AG76</f>
        <v>1704340</v>
      </c>
      <c r="AF76" s="2077">
        <v>166280</v>
      </c>
      <c r="AG76" s="2141">
        <f t="shared" si="79"/>
        <v>1870620</v>
      </c>
      <c r="AH76" s="2142">
        <f t="shared" si="80"/>
        <v>87648</v>
      </c>
      <c r="AI76" s="2091">
        <f t="shared" si="81"/>
        <v>87648</v>
      </c>
      <c r="AJ76" s="2143">
        <f t="shared" si="82"/>
        <v>87648</v>
      </c>
      <c r="AK76" s="1968"/>
      <c r="AL76" s="2079">
        <v>250000</v>
      </c>
      <c r="AM76" s="2080">
        <v>0</v>
      </c>
      <c r="AN76" s="1968"/>
      <c r="AO76" s="1919"/>
      <c r="AP76" s="1919"/>
      <c r="AQ76" s="2252"/>
      <c r="AR76" s="1919"/>
      <c r="AS76" s="1919"/>
      <c r="AT76" s="1919"/>
      <c r="AU76" s="1919"/>
      <c r="AV76" s="1919"/>
      <c r="AW76" s="1919"/>
      <c r="AX76" s="1919"/>
      <c r="AY76" s="1919"/>
      <c r="AZ76" s="1919"/>
      <c r="BA76" s="2093"/>
      <c r="BB76" s="2093"/>
      <c r="BC76" s="2093"/>
      <c r="BD76" s="2093"/>
      <c r="BE76" s="2093"/>
      <c r="BF76" s="2093"/>
      <c r="BG76" s="2093"/>
      <c r="BH76" s="2093"/>
      <c r="BI76" s="2093"/>
      <c r="BJ76" s="2093"/>
      <c r="BK76" s="2093"/>
      <c r="BL76" s="2093"/>
      <c r="BM76" s="2093"/>
      <c r="BN76" s="2093"/>
      <c r="BO76" s="2093"/>
      <c r="BP76" s="2093"/>
      <c r="BQ76" s="2093"/>
      <c r="BR76" s="2093"/>
    </row>
    <row r="77" spans="1:70" s="2181" customFormat="1" ht="24.95" customHeight="1">
      <c r="A77" s="2071" t="str">
        <f>+IF(SEPTIEMBRE!A77=0,"",SEPTIEMBRE!A77)</f>
        <v>1130117-2</v>
      </c>
      <c r="B77" s="2204" t="str">
        <f>+IF(SEPTIEMBRE!B77=0,"",SEPTIEMBRE!B77)</f>
        <v>Vigencia Anterior</v>
      </c>
      <c r="C77" s="2073">
        <f>+ENERO!C77</f>
        <v>0</v>
      </c>
      <c r="D77" s="2074">
        <f>SEPTIEMBRE!D77+OCTUBRE!P77</f>
        <v>0</v>
      </c>
      <c r="E77" s="2074">
        <f>SEPTIEMBRE!E77+OCTUBRE!Q77</f>
        <v>602749</v>
      </c>
      <c r="F77" s="2074">
        <f t="shared" si="85"/>
        <v>602749</v>
      </c>
      <c r="G77" s="2074">
        <f>SEPTIEMBRE!I77</f>
        <v>602749</v>
      </c>
      <c r="H77" s="2077">
        <v>0</v>
      </c>
      <c r="I77" s="2074">
        <f t="shared" si="86"/>
        <v>602749</v>
      </c>
      <c r="J77" s="2074">
        <f>SEPTIEMBRE!L77</f>
        <v>602749</v>
      </c>
      <c r="K77" s="2077">
        <v>0</v>
      </c>
      <c r="L77" s="2074">
        <f t="shared" si="87"/>
        <v>602749</v>
      </c>
      <c r="M77" s="2074">
        <f t="shared" si="88"/>
        <v>0</v>
      </c>
      <c r="N77" s="2075">
        <f t="shared" si="89"/>
        <v>0</v>
      </c>
      <c r="O77" s="2093"/>
      <c r="P77" s="2079">
        <v>0</v>
      </c>
      <c r="Q77" s="2080">
        <v>0</v>
      </c>
      <c r="R77" s="1968"/>
      <c r="S77" s="2184" t="str">
        <f>+IF(SEPTIEMBRE!S77=0,"",SEPTIEMBRE!S77)</f>
        <v>1020104-10</v>
      </c>
      <c r="T77" s="2185" t="str">
        <f>+IF(SEPTIEMBRE!T77=0,"",SEPTIEMBRE!T77)</f>
        <v>Subsidio de Alimentación</v>
      </c>
      <c r="U77" s="2140">
        <f>+ENERO!U77</f>
        <v>1200000</v>
      </c>
      <c r="V77" s="2091">
        <f>SEPTIEMBRE!V77+OCTUBRE!AL77</f>
        <v>464000</v>
      </c>
      <c r="W77" s="2091">
        <f>SEPTIEMBRE!W77+OCTUBRE!AM77</f>
        <v>371291</v>
      </c>
      <c r="X77" s="2141">
        <f t="shared" si="76"/>
        <v>2035291</v>
      </c>
      <c r="Y77" s="2142">
        <f>SEPTIEMBRE!AA77</f>
        <v>1317228</v>
      </c>
      <c r="Z77" s="2077">
        <v>114512</v>
      </c>
      <c r="AA77" s="2141">
        <f t="shared" si="77"/>
        <v>1431740</v>
      </c>
      <c r="AB77" s="2142">
        <f>SEPTIEMBRE!AD77</f>
        <v>1317228</v>
      </c>
      <c r="AC77" s="2077">
        <v>114512</v>
      </c>
      <c r="AD77" s="2141">
        <f t="shared" si="78"/>
        <v>1431740</v>
      </c>
      <c r="AE77" s="2142">
        <f>SEPTIEMBRE!AG77</f>
        <v>1317228</v>
      </c>
      <c r="AF77" s="2077">
        <v>114512</v>
      </c>
      <c r="AG77" s="2141">
        <f t="shared" si="79"/>
        <v>1431740</v>
      </c>
      <c r="AH77" s="2142">
        <f t="shared" si="80"/>
        <v>603551</v>
      </c>
      <c r="AI77" s="2091">
        <f t="shared" si="81"/>
        <v>603551</v>
      </c>
      <c r="AJ77" s="2143">
        <f t="shared" si="82"/>
        <v>603551</v>
      </c>
      <c r="AK77" s="1968"/>
      <c r="AL77" s="2079">
        <v>346000</v>
      </c>
      <c r="AM77" s="2080">
        <v>371291</v>
      </c>
      <c r="AN77" s="1968"/>
      <c r="AO77" s="1919"/>
      <c r="AP77" s="1919"/>
      <c r="AQ77" s="1919"/>
      <c r="AR77" s="1919"/>
      <c r="AS77" s="1919"/>
      <c r="AT77" s="1919"/>
      <c r="AU77" s="1919"/>
      <c r="AV77" s="1919"/>
      <c r="AW77" s="1919"/>
      <c r="AX77" s="1919"/>
      <c r="AY77" s="1919"/>
      <c r="AZ77" s="1919"/>
      <c r="BA77" s="2093"/>
      <c r="BB77" s="2093"/>
      <c r="BC77" s="2093"/>
      <c r="BD77" s="2093"/>
      <c r="BE77" s="2093"/>
      <c r="BF77" s="2093"/>
      <c r="BG77" s="2093"/>
      <c r="BH77" s="2093"/>
      <c r="BI77" s="2093"/>
      <c r="BJ77" s="2093"/>
      <c r="BK77" s="2093"/>
      <c r="BL77" s="2093"/>
      <c r="BM77" s="2093"/>
      <c r="BN77" s="2093"/>
      <c r="BO77" s="2093"/>
      <c r="BP77" s="2093"/>
      <c r="BQ77" s="2093"/>
      <c r="BR77" s="2093"/>
    </row>
    <row r="78" spans="1:70" s="2181" customFormat="1" ht="24.95" customHeight="1">
      <c r="A78" s="2157">
        <f>+IF(SEPTIEMBRE!A78=0,"",SEPTIEMBRE!A78)</f>
        <v>1130118</v>
      </c>
      <c r="B78" s="2192" t="str">
        <f>+IF(SEPTIEMBRE!B78=0,"",SEPTIEMBRE!B78)</f>
        <v>PARTICULARES   (Venta de Contado)</v>
      </c>
      <c r="C78" s="2159">
        <f>SUM(C79:C80)</f>
        <v>435000000</v>
      </c>
      <c r="D78" s="2193">
        <f>SUM(D79:D80)</f>
        <v>0</v>
      </c>
      <c r="E78" s="2193">
        <f>SUM(E79:E80)</f>
        <v>1833000</v>
      </c>
      <c r="F78" s="2193">
        <f t="shared" si="85"/>
        <v>436833000</v>
      </c>
      <c r="G78" s="2193">
        <f>SUM(G79:G80)</f>
        <v>356936056</v>
      </c>
      <c r="H78" s="2193">
        <f>SUM(H79:H80)</f>
        <v>66671478</v>
      </c>
      <c r="I78" s="2193">
        <f t="shared" si="86"/>
        <v>423607534</v>
      </c>
      <c r="J78" s="2193">
        <f>SUM(J79:J80)</f>
        <v>356936056</v>
      </c>
      <c r="K78" s="2193">
        <f>SUM(K79:K80)</f>
        <v>66671478</v>
      </c>
      <c r="L78" s="2193">
        <f t="shared" si="87"/>
        <v>423607534</v>
      </c>
      <c r="M78" s="2193">
        <f t="shared" si="88"/>
        <v>13225466</v>
      </c>
      <c r="N78" s="2160">
        <f t="shared" si="89"/>
        <v>13225466</v>
      </c>
      <c r="O78" s="2093"/>
      <c r="P78" s="2159">
        <f>SUM(P79:P80)</f>
        <v>0</v>
      </c>
      <c r="Q78" s="2160">
        <f>SUM(Q79:Q80)</f>
        <v>0</v>
      </c>
      <c r="R78" s="1968"/>
      <c r="S78" s="2184" t="str">
        <f>+IF(SEPTIEMBRE!S78=0,"",SEPTIEMBRE!S78)</f>
        <v>1020104-12</v>
      </c>
      <c r="T78" s="2185" t="str">
        <f>+IF(SEPTIEMBRE!T78=0,"",SEPTIEMBRE!T78)</f>
        <v>Indemnizaciones por Vacaciones o Supresión de Cargos por Reestructuración</v>
      </c>
      <c r="U78" s="2140">
        <f>+ENERO!U78</f>
        <v>0</v>
      </c>
      <c r="V78" s="2091">
        <f>SEPTIEMBRE!V78+OCTUBRE!AL78</f>
        <v>0</v>
      </c>
      <c r="W78" s="2091">
        <f>SEPTIEMBRE!W78+OCTUBRE!AM78</f>
        <v>0</v>
      </c>
      <c r="X78" s="2141">
        <f t="shared" si="76"/>
        <v>0</v>
      </c>
      <c r="Y78" s="2142">
        <f>SEPTIEMBRE!AA78</f>
        <v>0</v>
      </c>
      <c r="Z78" s="2077">
        <v>0</v>
      </c>
      <c r="AA78" s="2141">
        <f t="shared" si="77"/>
        <v>0</v>
      </c>
      <c r="AB78" s="2142">
        <f>SEPTIEMBRE!AD78</f>
        <v>0</v>
      </c>
      <c r="AC78" s="2077">
        <v>0</v>
      </c>
      <c r="AD78" s="2141">
        <f t="shared" si="78"/>
        <v>0</v>
      </c>
      <c r="AE78" s="2142">
        <f>SEPTIEMBRE!AG78</f>
        <v>0</v>
      </c>
      <c r="AF78" s="2077">
        <v>0</v>
      </c>
      <c r="AG78" s="2141">
        <f t="shared" si="79"/>
        <v>0</v>
      </c>
      <c r="AH78" s="2142">
        <f t="shared" si="80"/>
        <v>0</v>
      </c>
      <c r="AI78" s="2091">
        <f t="shared" si="81"/>
        <v>0</v>
      </c>
      <c r="AJ78" s="2143">
        <f t="shared" si="82"/>
        <v>0</v>
      </c>
      <c r="AK78" s="1968"/>
      <c r="AL78" s="2079">
        <v>0</v>
      </c>
      <c r="AM78" s="2080">
        <v>0</v>
      </c>
      <c r="AN78" s="1968"/>
      <c r="AO78" s="1919"/>
      <c r="AP78" s="1919"/>
      <c r="AQ78" s="1919"/>
      <c r="AR78" s="1919"/>
      <c r="AS78" s="1919"/>
      <c r="AT78" s="1919"/>
      <c r="AU78" s="1919"/>
      <c r="AV78" s="1919"/>
      <c r="AW78" s="1919"/>
      <c r="AX78" s="1919"/>
      <c r="AY78" s="1919"/>
      <c r="AZ78" s="1919"/>
      <c r="BA78" s="2093"/>
      <c r="BB78" s="2093"/>
      <c r="BC78" s="2093"/>
      <c r="BD78" s="2093"/>
      <c r="BE78" s="2093"/>
      <c r="BF78" s="2093"/>
      <c r="BG78" s="2093"/>
      <c r="BH78" s="2093"/>
      <c r="BI78" s="2093"/>
      <c r="BJ78" s="2093"/>
      <c r="BK78" s="2093"/>
      <c r="BL78" s="2093"/>
      <c r="BM78" s="2093"/>
      <c r="BN78" s="2093"/>
      <c r="BO78" s="2093"/>
      <c r="BP78" s="2093"/>
      <c r="BQ78" s="2093"/>
      <c r="BR78" s="2093"/>
    </row>
    <row r="79" spans="1:70" s="2093" customFormat="1" ht="24.95" customHeight="1">
      <c r="A79" s="2071" t="str">
        <f>+IF(SEPTIEMBRE!A79=0,"",SEPTIEMBRE!A79)</f>
        <v>1130118-1</v>
      </c>
      <c r="B79" s="2204" t="str">
        <f>+CONCATENATE("Vigencia ",INSTRUCCIONES!$F$3)</f>
        <v>Vigencia 2017</v>
      </c>
      <c r="C79" s="2073">
        <f>+ENERO!C79</f>
        <v>435000000</v>
      </c>
      <c r="D79" s="2074">
        <f>SEPTIEMBRE!D79+OCTUBRE!P79</f>
        <v>0</v>
      </c>
      <c r="E79" s="2074">
        <f>SEPTIEMBRE!E79+OCTUBRE!Q79</f>
        <v>0</v>
      </c>
      <c r="F79" s="2074">
        <f t="shared" si="85"/>
        <v>435000000</v>
      </c>
      <c r="G79" s="2074">
        <f>SEPTIEMBRE!I79</f>
        <v>352547493</v>
      </c>
      <c r="H79" s="2077">
        <v>64674724</v>
      </c>
      <c r="I79" s="2074">
        <f t="shared" si="86"/>
        <v>417222217</v>
      </c>
      <c r="J79" s="2074">
        <f>SEPTIEMBRE!L79</f>
        <v>352547493</v>
      </c>
      <c r="K79" s="2077">
        <v>64674724</v>
      </c>
      <c r="L79" s="2074">
        <f t="shared" si="87"/>
        <v>417222217</v>
      </c>
      <c r="M79" s="2074">
        <f t="shared" si="88"/>
        <v>17777783</v>
      </c>
      <c r="N79" s="2075">
        <f t="shared" si="89"/>
        <v>17777783</v>
      </c>
      <c r="P79" s="2079">
        <v>0</v>
      </c>
      <c r="Q79" s="2080">
        <v>0</v>
      </c>
      <c r="R79" s="1968"/>
      <c r="S79" s="2184" t="str">
        <f>+IF(SEPTIEMBRE!S79=0,"",SEPTIEMBRE!S79)</f>
        <v>1020104-13</v>
      </c>
      <c r="T79" s="2185" t="str">
        <f>+IF(SEPTIEMBRE!T79=0,"",SEPTIEMBRE!T79)</f>
        <v>Bonificación Especial por Recreación</v>
      </c>
      <c r="U79" s="2140">
        <f>+ENERO!U79</f>
        <v>2582164</v>
      </c>
      <c r="V79" s="2091">
        <f>SEPTIEMBRE!V79+OCTUBRE!AL79</f>
        <v>3000000</v>
      </c>
      <c r="W79" s="2091">
        <f>SEPTIEMBRE!W79+OCTUBRE!AM79</f>
        <v>222542</v>
      </c>
      <c r="X79" s="2141">
        <f t="shared" si="76"/>
        <v>5804706</v>
      </c>
      <c r="Y79" s="2142">
        <f>SEPTIEMBRE!AA79</f>
        <v>2225944</v>
      </c>
      <c r="Z79" s="2077">
        <v>792012</v>
      </c>
      <c r="AA79" s="2141">
        <f t="shared" si="77"/>
        <v>3017956</v>
      </c>
      <c r="AB79" s="2142">
        <f>SEPTIEMBRE!AD79</f>
        <v>2225944</v>
      </c>
      <c r="AC79" s="2077">
        <v>792012</v>
      </c>
      <c r="AD79" s="2141">
        <f t="shared" si="78"/>
        <v>3017956</v>
      </c>
      <c r="AE79" s="2142">
        <f>SEPTIEMBRE!AG79</f>
        <v>2225944</v>
      </c>
      <c r="AF79" s="2077">
        <v>792012</v>
      </c>
      <c r="AG79" s="2141">
        <f t="shared" si="79"/>
        <v>3017956</v>
      </c>
      <c r="AH79" s="2142">
        <f t="shared" si="80"/>
        <v>2786750</v>
      </c>
      <c r="AI79" s="2091">
        <f t="shared" si="81"/>
        <v>2786750</v>
      </c>
      <c r="AJ79" s="2143">
        <f t="shared" si="82"/>
        <v>2786750</v>
      </c>
      <c r="AK79" s="1968"/>
      <c r="AL79" s="2079">
        <v>3000000</v>
      </c>
      <c r="AM79" s="2080">
        <v>222542</v>
      </c>
      <c r="AN79" s="1968"/>
      <c r="AO79" s="1919"/>
      <c r="AP79" s="1919"/>
      <c r="AQ79" s="1919"/>
      <c r="AR79" s="1919"/>
      <c r="AS79" s="1919"/>
      <c r="AT79" s="1919"/>
      <c r="AU79" s="1919"/>
      <c r="AV79" s="1919"/>
      <c r="AW79" s="1919"/>
      <c r="AX79" s="1919"/>
      <c r="AY79" s="1919"/>
      <c r="AZ79" s="1919"/>
      <c r="BL79" s="1968"/>
    </row>
    <row r="80" spans="1:70" s="1968" customFormat="1" ht="24.95" customHeight="1">
      <c r="A80" s="2071" t="str">
        <f>+IF(SEPTIEMBRE!A80=0,"",SEPTIEMBRE!A80)</f>
        <v>1130118-2</v>
      </c>
      <c r="B80" s="2204" t="str">
        <f>+IF(SEPTIEMBRE!B80=0,"",SEPTIEMBRE!B80)</f>
        <v>Vigencia Anterior</v>
      </c>
      <c r="C80" s="2073">
        <f>+ENERO!C80</f>
        <v>0</v>
      </c>
      <c r="D80" s="2074">
        <f>SEPTIEMBRE!D80+OCTUBRE!P80</f>
        <v>0</v>
      </c>
      <c r="E80" s="2074">
        <f>SEPTIEMBRE!E80+OCTUBRE!Q80</f>
        <v>1833000</v>
      </c>
      <c r="F80" s="2074">
        <f t="shared" si="85"/>
        <v>1833000</v>
      </c>
      <c r="G80" s="2074">
        <f>SEPTIEMBRE!I80</f>
        <v>4388563</v>
      </c>
      <c r="H80" s="2077">
        <v>1996754</v>
      </c>
      <c r="I80" s="2074">
        <f t="shared" si="86"/>
        <v>6385317</v>
      </c>
      <c r="J80" s="2074">
        <f>SEPTIEMBRE!L80</f>
        <v>4388563</v>
      </c>
      <c r="K80" s="2077">
        <v>1996754</v>
      </c>
      <c r="L80" s="2074">
        <f t="shared" si="87"/>
        <v>6385317</v>
      </c>
      <c r="M80" s="2074">
        <f t="shared" si="88"/>
        <v>-4552317</v>
      </c>
      <c r="N80" s="2075">
        <f t="shared" si="89"/>
        <v>-4552317</v>
      </c>
      <c r="O80" s="2093"/>
      <c r="P80" s="2079">
        <v>0</v>
      </c>
      <c r="Q80" s="2080">
        <v>0</v>
      </c>
      <c r="S80" s="2184" t="str">
        <f>+IF(SEPTIEMBRE!S80=0,"",SEPTIEMBRE!S80)</f>
        <v>1020104-14</v>
      </c>
      <c r="T80" s="2185" t="str">
        <f>+IF(SEPTIEMBRE!T80=0,"",SEPTIEMBRE!T80)</f>
        <v/>
      </c>
      <c r="U80" s="2140">
        <f>+ENERO!U80</f>
        <v>48881820</v>
      </c>
      <c r="V80" s="2091">
        <f>SEPTIEMBRE!V80+OCTUBRE!AL80</f>
        <v>30000000</v>
      </c>
      <c r="W80" s="2091">
        <f>SEPTIEMBRE!W80+OCTUBRE!AM80</f>
        <v>3087495</v>
      </c>
      <c r="X80" s="2141">
        <f t="shared" si="76"/>
        <v>81969315</v>
      </c>
      <c r="Y80" s="2142">
        <f>SEPTIEMBRE!AA80</f>
        <v>62560323</v>
      </c>
      <c r="Z80" s="2077">
        <v>5624361</v>
      </c>
      <c r="AA80" s="2141">
        <f t="shared" si="77"/>
        <v>68184684</v>
      </c>
      <c r="AB80" s="2142">
        <f>SEPTIEMBRE!AD80</f>
        <v>62560323</v>
      </c>
      <c r="AC80" s="2077">
        <v>5624361</v>
      </c>
      <c r="AD80" s="2141">
        <f t="shared" si="78"/>
        <v>68184684</v>
      </c>
      <c r="AE80" s="2142">
        <f>SEPTIEMBRE!AG80</f>
        <v>62560323</v>
      </c>
      <c r="AF80" s="2077">
        <v>5624361</v>
      </c>
      <c r="AG80" s="2141">
        <f t="shared" si="79"/>
        <v>68184684</v>
      </c>
      <c r="AH80" s="2142">
        <f t="shared" si="80"/>
        <v>13784631</v>
      </c>
      <c r="AI80" s="2091">
        <f t="shared" si="81"/>
        <v>13784631</v>
      </c>
      <c r="AJ80" s="2143">
        <f t="shared" si="82"/>
        <v>13784631</v>
      </c>
      <c r="AL80" s="2079">
        <v>0</v>
      </c>
      <c r="AM80" s="2080">
        <v>3087495</v>
      </c>
      <c r="AO80" s="1919"/>
      <c r="AP80" s="1919"/>
      <c r="AQ80" s="1919"/>
      <c r="AR80" s="1919"/>
      <c r="AS80" s="1919"/>
      <c r="AT80" s="1919"/>
      <c r="AU80" s="1919"/>
      <c r="AV80" s="1919"/>
      <c r="AW80" s="1919"/>
      <c r="AX80" s="1919"/>
      <c r="AY80" s="1919"/>
      <c r="AZ80" s="1919"/>
      <c r="BA80" s="2093"/>
      <c r="BC80" s="2093"/>
      <c r="BD80" s="2093"/>
      <c r="BE80" s="2093"/>
      <c r="BL80" s="2093"/>
      <c r="BM80" s="2093"/>
      <c r="BN80" s="2093"/>
      <c r="BO80" s="2093"/>
      <c r="BP80" s="2093"/>
      <c r="BQ80" s="2093"/>
      <c r="BR80" s="2093"/>
    </row>
    <row r="81" spans="1:70" s="2093" customFormat="1" ht="24.95" customHeight="1">
      <c r="A81" s="2157">
        <f>+IF(SEPTIEMBRE!A81=0,"",SEPTIEMBRE!A81)</f>
        <v>1130119</v>
      </c>
      <c r="B81" s="2253" t="str">
        <f>+IF(SEPTIEMBRE!B81=0,"",SEPTIEMBRE!B81)</f>
        <v>Digitar nombre de Nuevo Rubro. Si lo Requiere</v>
      </c>
      <c r="C81" s="2159">
        <f>ENERO!C81</f>
        <v>0</v>
      </c>
      <c r="D81" s="2193">
        <f t="shared" ref="D81:Q81" si="90">SUM(D82:D83)</f>
        <v>0</v>
      </c>
      <c r="E81" s="2193">
        <f t="shared" si="90"/>
        <v>0</v>
      </c>
      <c r="F81" s="2193">
        <f t="shared" si="90"/>
        <v>0</v>
      </c>
      <c r="G81" s="2193">
        <f t="shared" si="90"/>
        <v>0</v>
      </c>
      <c r="H81" s="2193">
        <f t="shared" si="90"/>
        <v>0</v>
      </c>
      <c r="I81" s="2193">
        <f t="shared" si="90"/>
        <v>0</v>
      </c>
      <c r="J81" s="2193">
        <f t="shared" si="90"/>
        <v>0</v>
      </c>
      <c r="K81" s="2193">
        <f t="shared" si="90"/>
        <v>0</v>
      </c>
      <c r="L81" s="2193">
        <f t="shared" si="90"/>
        <v>0</v>
      </c>
      <c r="M81" s="2193">
        <f t="shared" si="90"/>
        <v>0</v>
      </c>
      <c r="N81" s="2160">
        <f t="shared" si="90"/>
        <v>0</v>
      </c>
      <c r="P81" s="2159">
        <f t="shared" si="90"/>
        <v>0</v>
      </c>
      <c r="Q81" s="2160">
        <f t="shared" si="90"/>
        <v>0</v>
      </c>
      <c r="R81" s="1968"/>
      <c r="S81" s="2138">
        <f>+IF(SEPTIEMBRE!S81=0,"",SEPTIEMBRE!S81)</f>
        <v>1020199</v>
      </c>
      <c r="T81" s="2139" t="str">
        <f>+IF(SEPTIEMBRE!T81=0,"",SEPTIEMBRE!T81)</f>
        <v>Vigencias Anteriores</v>
      </c>
      <c r="U81" s="2140">
        <f>+ENERO!U81</f>
        <v>0</v>
      </c>
      <c r="V81" s="2091">
        <f>SEPTIEMBRE!V81+OCTUBRE!AL81</f>
        <v>0</v>
      </c>
      <c r="W81" s="2091">
        <f>SEPTIEMBRE!W81+OCTUBRE!AM81</f>
        <v>0</v>
      </c>
      <c r="X81" s="2141">
        <f t="shared" si="76"/>
        <v>0</v>
      </c>
      <c r="Y81" s="2142">
        <f>SEPTIEMBRE!AA81</f>
        <v>0</v>
      </c>
      <c r="Z81" s="2077">
        <v>0</v>
      </c>
      <c r="AA81" s="2141">
        <f t="shared" si="77"/>
        <v>0</v>
      </c>
      <c r="AB81" s="2142">
        <f>SEPTIEMBRE!AD81</f>
        <v>0</v>
      </c>
      <c r="AC81" s="2077">
        <v>0</v>
      </c>
      <c r="AD81" s="2141">
        <f t="shared" si="78"/>
        <v>0</v>
      </c>
      <c r="AE81" s="2142">
        <f>SEPTIEMBRE!AG81</f>
        <v>0</v>
      </c>
      <c r="AF81" s="2077">
        <v>0</v>
      </c>
      <c r="AG81" s="2141">
        <f t="shared" si="79"/>
        <v>0</v>
      </c>
      <c r="AH81" s="2142">
        <f t="shared" si="80"/>
        <v>0</v>
      </c>
      <c r="AI81" s="2091">
        <f t="shared" si="81"/>
        <v>0</v>
      </c>
      <c r="AJ81" s="2143">
        <f t="shared" si="82"/>
        <v>0</v>
      </c>
      <c r="AK81" s="1968"/>
      <c r="AL81" s="2079">
        <v>0</v>
      </c>
      <c r="AM81" s="2080">
        <v>0</v>
      </c>
      <c r="AN81" s="1968"/>
      <c r="AO81" s="1919"/>
      <c r="AP81" s="1919"/>
      <c r="AQ81" s="1919"/>
      <c r="AR81" s="1919"/>
      <c r="AS81" s="1919"/>
      <c r="AT81" s="1919"/>
      <c r="AU81" s="1919"/>
      <c r="AV81" s="1919"/>
      <c r="AW81" s="1919"/>
      <c r="AX81" s="1919"/>
      <c r="AY81" s="1919"/>
      <c r="AZ81" s="1919"/>
      <c r="BA81" s="1968"/>
      <c r="BC81" s="1968"/>
      <c r="BD81" s="1968"/>
      <c r="BE81" s="1968"/>
    </row>
    <row r="82" spans="1:70" s="2093" customFormat="1" ht="24.95" customHeight="1">
      <c r="A82" s="2071" t="str">
        <f>+IF(SEPTIEMBRE!A82=0,"",SEPTIEMBRE!A82)</f>
        <v>1130119-1</v>
      </c>
      <c r="B82" s="2204" t="str">
        <f>+CONCATENATE("Vigencia ",INSTRUCCIONES!$F$3)</f>
        <v>Vigencia 2017</v>
      </c>
      <c r="C82" s="2073">
        <f>+ENERO!C82</f>
        <v>0</v>
      </c>
      <c r="D82" s="2074">
        <f>SEPTIEMBRE!D82+OCTUBRE!P82</f>
        <v>0</v>
      </c>
      <c r="E82" s="2074">
        <f>SEPTIEMBRE!E82+OCTUBRE!Q82</f>
        <v>0</v>
      </c>
      <c r="F82" s="2074">
        <f t="shared" si="85"/>
        <v>0</v>
      </c>
      <c r="G82" s="2074">
        <f>SEPTIEMBRE!I82</f>
        <v>0</v>
      </c>
      <c r="H82" s="2077">
        <v>0</v>
      </c>
      <c r="I82" s="2074">
        <f t="shared" si="86"/>
        <v>0</v>
      </c>
      <c r="J82" s="2074">
        <f>SEPTIEMBRE!L82</f>
        <v>0</v>
      </c>
      <c r="K82" s="2077">
        <v>0</v>
      </c>
      <c r="L82" s="2074">
        <f t="shared" si="87"/>
        <v>0</v>
      </c>
      <c r="M82" s="2074">
        <f t="shared" si="88"/>
        <v>0</v>
      </c>
      <c r="N82" s="2075">
        <f t="shared" si="89"/>
        <v>0</v>
      </c>
      <c r="P82" s="2079">
        <v>0</v>
      </c>
      <c r="Q82" s="2080">
        <v>0</v>
      </c>
      <c r="R82" s="1968"/>
      <c r="S82" s="2058" t="str">
        <f>+IF(SEPTIEMBRE!S82=0,"",SEPTIEMBRE!S82)</f>
        <v/>
      </c>
      <c r="T82" s="2059" t="str">
        <f>+IF(SEPTIEMBRE!T82=0,"",SEPTIEMBRE!T82)</f>
        <v/>
      </c>
      <c r="U82" s="2060"/>
      <c r="V82" s="2060"/>
      <c r="W82" s="2060"/>
      <c r="X82" s="2060"/>
      <c r="Y82" s="2060"/>
      <c r="Z82" s="2060"/>
      <c r="AA82" s="2060"/>
      <c r="AB82" s="2060"/>
      <c r="AC82" s="2060"/>
      <c r="AD82" s="2060"/>
      <c r="AE82" s="2060"/>
      <c r="AF82" s="2060"/>
      <c r="AG82" s="2060"/>
      <c r="AH82" s="2060"/>
      <c r="AI82" s="2060"/>
      <c r="AJ82" s="2061"/>
      <c r="AK82" s="1968"/>
      <c r="AL82" s="2248"/>
      <c r="AM82" s="2249"/>
      <c r="AN82" s="1968"/>
      <c r="AO82" s="1919"/>
      <c r="AP82" s="1919"/>
      <c r="AQ82" s="1919"/>
      <c r="AR82" s="1919"/>
      <c r="AS82" s="1919"/>
      <c r="AT82" s="1919"/>
      <c r="AU82" s="1919"/>
      <c r="AV82" s="1919"/>
      <c r="AW82" s="1919"/>
      <c r="AX82" s="1919"/>
      <c r="AY82" s="1919"/>
      <c r="AZ82" s="1919"/>
      <c r="BN82" s="1968"/>
      <c r="BO82" s="1968"/>
      <c r="BP82" s="1968"/>
      <c r="BQ82" s="1968"/>
      <c r="BR82" s="1968"/>
    </row>
    <row r="83" spans="1:70" s="2093" customFormat="1" ht="24.95" customHeight="1" thickBot="1">
      <c r="A83" s="2071" t="str">
        <f>+IF(SEPTIEMBRE!A83=0,"",SEPTIEMBRE!A83)</f>
        <v>1130119-2</v>
      </c>
      <c r="B83" s="2254" t="str">
        <f>+IF(SEPTIEMBRE!B83=0,"",SEPTIEMBRE!B83)</f>
        <v>Vigencia Anterior</v>
      </c>
      <c r="C83" s="2114">
        <f>+ENERO!C83</f>
        <v>0</v>
      </c>
      <c r="D83" s="2115">
        <f>SEPTIEMBRE!D83+OCTUBRE!P83</f>
        <v>0</v>
      </c>
      <c r="E83" s="2115">
        <f>SEPTIEMBRE!E83+OCTUBRE!Q83</f>
        <v>0</v>
      </c>
      <c r="F83" s="2115">
        <f t="shared" si="85"/>
        <v>0</v>
      </c>
      <c r="G83" s="2115">
        <f>SEPTIEMBRE!I83</f>
        <v>0</v>
      </c>
      <c r="H83" s="2118">
        <v>0</v>
      </c>
      <c r="I83" s="2115">
        <f t="shared" si="86"/>
        <v>0</v>
      </c>
      <c r="J83" s="2115">
        <f>SEPTIEMBRE!L83</f>
        <v>0</v>
      </c>
      <c r="K83" s="2118">
        <v>0</v>
      </c>
      <c r="L83" s="2115">
        <f t="shared" si="87"/>
        <v>0</v>
      </c>
      <c r="M83" s="2115">
        <f t="shared" si="88"/>
        <v>0</v>
      </c>
      <c r="N83" s="2116">
        <f t="shared" si="89"/>
        <v>0</v>
      </c>
      <c r="P83" s="2079">
        <v>0</v>
      </c>
      <c r="Q83" s="2080">
        <v>0</v>
      </c>
      <c r="R83" s="1968"/>
      <c r="S83" s="2130">
        <f>+IF(SEPTIEMBRE!S83=0,"",SEPTIEMBRE!S83)</f>
        <v>1020200</v>
      </c>
      <c r="T83" s="2131" t="str">
        <f>+IF(SEPTIEMBRE!T83=0,"",SEPTIEMBRE!T83)</f>
        <v>Servicios Personales Indirectos</v>
      </c>
      <c r="U83" s="2103">
        <f t="shared" ref="U83:AJ83" si="91">SUM(U84:U88)</f>
        <v>22232471701</v>
      </c>
      <c r="V83" s="2104">
        <f t="shared" si="91"/>
        <v>1287609636</v>
      </c>
      <c r="W83" s="2104">
        <f t="shared" si="91"/>
        <v>6533605163</v>
      </c>
      <c r="X83" s="2105">
        <f t="shared" si="91"/>
        <v>30053686500</v>
      </c>
      <c r="Y83" s="2106">
        <f t="shared" si="91"/>
        <v>29870918948</v>
      </c>
      <c r="Z83" s="2104">
        <f t="shared" si="91"/>
        <v>94659267</v>
      </c>
      <c r="AA83" s="2105">
        <f t="shared" si="91"/>
        <v>29965578215</v>
      </c>
      <c r="AB83" s="2106">
        <f t="shared" si="91"/>
        <v>22346706859</v>
      </c>
      <c r="AC83" s="2104">
        <f t="shared" si="91"/>
        <v>1054257634</v>
      </c>
      <c r="AD83" s="2105">
        <f t="shared" si="91"/>
        <v>23400964493</v>
      </c>
      <c r="AE83" s="2106">
        <f t="shared" si="91"/>
        <v>14465199947</v>
      </c>
      <c r="AF83" s="2104">
        <f t="shared" si="91"/>
        <v>1222989543</v>
      </c>
      <c r="AG83" s="2105">
        <f t="shared" si="91"/>
        <v>15688189490</v>
      </c>
      <c r="AH83" s="2106">
        <f t="shared" si="91"/>
        <v>88108285</v>
      </c>
      <c r="AI83" s="2104">
        <f t="shared" si="91"/>
        <v>6652722007</v>
      </c>
      <c r="AJ83" s="2107">
        <f t="shared" si="91"/>
        <v>14365497010</v>
      </c>
      <c r="AK83" s="1968"/>
      <c r="AL83" s="2106">
        <f>SUM(AL84:AL88)</f>
        <v>-60384188</v>
      </c>
      <c r="AM83" s="2107">
        <f>SUM(AM84:AM88)</f>
        <v>0</v>
      </c>
      <c r="AN83" s="1968"/>
      <c r="AO83" s="1919"/>
      <c r="AP83" s="1919"/>
      <c r="AQ83" s="1919"/>
      <c r="AR83" s="1919"/>
      <c r="AS83" s="1919"/>
      <c r="AT83" s="1919"/>
      <c r="AU83" s="1919"/>
      <c r="AV83" s="1919"/>
      <c r="AW83" s="1919"/>
      <c r="AX83" s="1919"/>
      <c r="AY83" s="1919"/>
      <c r="AZ83" s="1919"/>
      <c r="BM83" s="1968"/>
    </row>
    <row r="84" spans="1:70" s="2093" customFormat="1" ht="24.95" customHeight="1" thickBot="1">
      <c r="A84" s="2255" t="str">
        <f>+IF(SEPTIEMBRE!A84=0,"",SEPTIEMBRE!A84)</f>
        <v/>
      </c>
      <c r="B84" s="2256" t="str">
        <f>+IF(SEPTIEMBRE!B84=0,"",SEPTIEMBRE!B84)</f>
        <v/>
      </c>
      <c r="C84" s="1919"/>
      <c r="D84" s="1919"/>
      <c r="E84" s="1919"/>
      <c r="F84" s="1919"/>
      <c r="G84" s="1919"/>
      <c r="H84" s="1919"/>
      <c r="I84" s="1919"/>
      <c r="J84" s="1919"/>
      <c r="K84" s="1919"/>
      <c r="L84" s="1919"/>
      <c r="M84" s="1919"/>
      <c r="N84" s="2154"/>
      <c r="O84" s="2257"/>
      <c r="P84" s="2258"/>
      <c r="Q84" s="2127"/>
      <c r="R84" s="1968"/>
      <c r="S84" s="2138" t="str">
        <f>+IF(SEPTIEMBRE!S84=0,"",SEPTIEMBRE!S84)</f>
        <v>1020200-1</v>
      </c>
      <c r="T84" s="2139" t="str">
        <f>+IF(SEPTIEMBRE!T84=0,"",SEPTIEMBRE!T84)</f>
        <v>Remuneración y Honorarios por Servicios Técnicos y Profesionales</v>
      </c>
      <c r="U84" s="2140">
        <f>+ENERO!U84</f>
        <v>1000000000</v>
      </c>
      <c r="V84" s="2091">
        <f>SEPTIEMBRE!V84+OCTUBRE!AL84</f>
        <v>2918458000</v>
      </c>
      <c r="W84" s="2091">
        <f>SEPTIEMBRE!W84+OCTUBRE!AM84</f>
        <v>1300000000</v>
      </c>
      <c r="X84" s="2141">
        <f>SUM(U84:W84)</f>
        <v>5218458000</v>
      </c>
      <c r="Y84" s="2142">
        <f>SEPTIEMBRE!AA84</f>
        <v>5083050058</v>
      </c>
      <c r="Z84" s="2077">
        <v>87625000</v>
      </c>
      <c r="AA84" s="2141">
        <f>SUM(Y84:Z84)</f>
        <v>5170675058</v>
      </c>
      <c r="AB84" s="2142">
        <f>SEPTIEMBRE!AD84</f>
        <v>2885995654</v>
      </c>
      <c r="AC84" s="2077">
        <v>590316161</v>
      </c>
      <c r="AD84" s="2141">
        <f>SUM(AB84:AC84)</f>
        <v>3476311815</v>
      </c>
      <c r="AE84" s="2142">
        <f>SEPTIEMBRE!AG84</f>
        <v>2269712645</v>
      </c>
      <c r="AF84" s="2077">
        <v>524278894</v>
      </c>
      <c r="AG84" s="2141">
        <f>SUM(AE84:AF84)</f>
        <v>2793991539</v>
      </c>
      <c r="AH84" s="2142">
        <f>X84-AA84</f>
        <v>47782942</v>
      </c>
      <c r="AI84" s="2091">
        <f>X84-AD84</f>
        <v>1742146185</v>
      </c>
      <c r="AJ84" s="2143">
        <f>X84-AG84</f>
        <v>2424466461</v>
      </c>
      <c r="AK84" s="1968"/>
      <c r="AL84" s="2079">
        <v>-15000000</v>
      </c>
      <c r="AM84" s="2080">
        <v>0</v>
      </c>
      <c r="AN84" s="1968"/>
      <c r="AO84" s="1919"/>
      <c r="AP84" s="1919"/>
      <c r="AQ84" s="1919"/>
      <c r="AR84" s="1919"/>
      <c r="AS84" s="1919"/>
      <c r="AT84" s="1919"/>
      <c r="AU84" s="1919"/>
      <c r="AV84" s="1919"/>
      <c r="AW84" s="1919"/>
      <c r="AX84" s="1919"/>
      <c r="AY84" s="1919"/>
      <c r="AZ84" s="1919"/>
    </row>
    <row r="85" spans="1:70" s="2093" customFormat="1" ht="24.95" customHeight="1">
      <c r="A85" s="2259">
        <f>+IF(SEPTIEMBRE!A85=0,"",SEPTIEMBRE!A85)</f>
        <v>11302</v>
      </c>
      <c r="B85" s="2260" t="str">
        <f>+IF(SEPTIEMBRE!B85=0,"",SEPTIEMBRE!B85)</f>
        <v>Otras Ventas de Servicios de Salud</v>
      </c>
      <c r="C85" s="2261">
        <f t="shared" ref="C85:N85" si="92">SUM(C86:C92)</f>
        <v>0</v>
      </c>
      <c r="D85" s="2262">
        <f t="shared" si="92"/>
        <v>0</v>
      </c>
      <c r="E85" s="2262">
        <f t="shared" si="92"/>
        <v>0</v>
      </c>
      <c r="F85" s="2262">
        <f t="shared" si="92"/>
        <v>0</v>
      </c>
      <c r="G85" s="2262">
        <f t="shared" si="92"/>
        <v>0</v>
      </c>
      <c r="H85" s="2262">
        <f t="shared" si="92"/>
        <v>0</v>
      </c>
      <c r="I85" s="2262">
        <f t="shared" si="92"/>
        <v>0</v>
      </c>
      <c r="J85" s="2262">
        <f t="shared" si="92"/>
        <v>0</v>
      </c>
      <c r="K85" s="2262">
        <f t="shared" si="92"/>
        <v>0</v>
      </c>
      <c r="L85" s="2262">
        <f t="shared" si="92"/>
        <v>0</v>
      </c>
      <c r="M85" s="2262">
        <f t="shared" si="92"/>
        <v>0</v>
      </c>
      <c r="N85" s="2263">
        <f t="shared" si="92"/>
        <v>0</v>
      </c>
      <c r="P85" s="2159">
        <f>SUM(P86:P92)</f>
        <v>0</v>
      </c>
      <c r="Q85" s="2160">
        <f>SUM(Q86:Q92)</f>
        <v>0</v>
      </c>
      <c r="R85" s="1968"/>
      <c r="S85" s="2138" t="str">
        <f>+IF(SEPTIEMBRE!S85=0,"",SEPTIEMBRE!S85)</f>
        <v>1020200-2</v>
      </c>
      <c r="T85" s="2139" t="str">
        <f>+IF(SEPTIEMBRE!T85=0,"",SEPTIEMBRE!T85)</f>
        <v>Personal Supernumerario</v>
      </c>
      <c r="U85" s="2140">
        <f>+ENERO!U85</f>
        <v>0</v>
      </c>
      <c r="V85" s="2091">
        <f>SEPTIEMBRE!V85+OCTUBRE!AL85</f>
        <v>0</v>
      </c>
      <c r="W85" s="2091">
        <f>SEPTIEMBRE!W85+OCTUBRE!AM85</f>
        <v>0</v>
      </c>
      <c r="X85" s="2141">
        <f>SUM(U85:W85)</f>
        <v>0</v>
      </c>
      <c r="Y85" s="2142">
        <f>SEPTIEMBRE!AA85</f>
        <v>0</v>
      </c>
      <c r="Z85" s="2077">
        <v>0</v>
      </c>
      <c r="AA85" s="2141">
        <f>SUM(Y85:Z85)</f>
        <v>0</v>
      </c>
      <c r="AB85" s="2142">
        <f>SEPTIEMBRE!AD85</f>
        <v>0</v>
      </c>
      <c r="AC85" s="2077">
        <v>0</v>
      </c>
      <c r="AD85" s="2141">
        <f>SUM(AB85:AC85)</f>
        <v>0</v>
      </c>
      <c r="AE85" s="2142">
        <f>SEPTIEMBRE!AG85</f>
        <v>0</v>
      </c>
      <c r="AF85" s="2077">
        <v>0</v>
      </c>
      <c r="AG85" s="2141">
        <f>SUM(AE85:AF85)</f>
        <v>0</v>
      </c>
      <c r="AH85" s="2142">
        <f>X85-AA85</f>
        <v>0</v>
      </c>
      <c r="AI85" s="2091">
        <f>X85-AD85</f>
        <v>0</v>
      </c>
      <c r="AJ85" s="2143">
        <f>X85-AG85</f>
        <v>0</v>
      </c>
      <c r="AK85" s="1968"/>
      <c r="AL85" s="2079">
        <v>0</v>
      </c>
      <c r="AM85" s="2080">
        <v>0</v>
      </c>
      <c r="AN85" s="1968"/>
      <c r="AO85" s="1919"/>
      <c r="AP85" s="1919"/>
      <c r="AQ85" s="1919"/>
      <c r="AR85" s="1919"/>
      <c r="AS85" s="1919"/>
      <c r="AT85" s="1919"/>
      <c r="AU85" s="1919"/>
      <c r="AV85" s="1919"/>
      <c r="AW85" s="1919"/>
      <c r="AX85" s="1919"/>
      <c r="AY85" s="1919"/>
      <c r="AZ85" s="1919"/>
      <c r="BL85" s="1968"/>
    </row>
    <row r="86" spans="1:70" s="1968" customFormat="1" ht="24.95" customHeight="1">
      <c r="A86" s="2264">
        <f>+IF(SEPTIEMBRE!A86=0,"",SEPTIEMBRE!A86)</f>
        <v>1130201</v>
      </c>
      <c r="B86" s="2265" t="str">
        <f>+IF(SEPTIEMBRE!B86=0,"",SEPTIEMBRE!B86)</f>
        <v/>
      </c>
      <c r="C86" s="2266">
        <f>+ENERO!C86</f>
        <v>0</v>
      </c>
      <c r="D86" s="2074">
        <f>SEPTIEMBRE!D86+OCTUBRE!P86</f>
        <v>0</v>
      </c>
      <c r="E86" s="2074">
        <f>SEPTIEMBRE!E86+OCTUBRE!Q86</f>
        <v>0</v>
      </c>
      <c r="F86" s="2074">
        <f t="shared" ref="F86:F92" si="93">SUM(C86:E86)</f>
        <v>0</v>
      </c>
      <c r="G86" s="2074">
        <f>SEPTIEMBRE!I86</f>
        <v>0</v>
      </c>
      <c r="H86" s="2077">
        <v>0</v>
      </c>
      <c r="I86" s="2074">
        <f t="shared" ref="I86:I92" si="94">SUM(G86:H86)</f>
        <v>0</v>
      </c>
      <c r="J86" s="2074">
        <f>SEPTIEMBRE!L86</f>
        <v>0</v>
      </c>
      <c r="K86" s="2077">
        <v>0</v>
      </c>
      <c r="L86" s="2074">
        <f t="shared" ref="L86:L92" si="95">SUM(J86:K86)</f>
        <v>0</v>
      </c>
      <c r="M86" s="2074">
        <f t="shared" ref="M86:M92" si="96">F86-I86</f>
        <v>0</v>
      </c>
      <c r="N86" s="2075">
        <f t="shared" ref="N86:N92" si="97">F86-L86</f>
        <v>0</v>
      </c>
      <c r="O86" s="2093"/>
      <c r="P86" s="2079">
        <v>0</v>
      </c>
      <c r="Q86" s="2080">
        <v>0</v>
      </c>
      <c r="S86" s="2138" t="str">
        <f>+IF(SEPTIEMBRE!S86=0,"",SEPTIEMBRE!S86)</f>
        <v>1020200-4</v>
      </c>
      <c r="T86" s="2139" t="str">
        <f>+IF(SEPTIEMBRE!T86=0,"",SEPTIEMBRE!T86)</f>
        <v>Otros Honorarios</v>
      </c>
      <c r="U86" s="2140">
        <f>+ENERO!U86</f>
        <v>19000000000</v>
      </c>
      <c r="V86" s="2091">
        <f>SEPTIEMBRE!V86+OCTUBRE!AL86</f>
        <v>-3445446678</v>
      </c>
      <c r="W86" s="2091">
        <f>SEPTIEMBRE!W86+OCTUBRE!AM86</f>
        <v>2850000000</v>
      </c>
      <c r="X86" s="2141">
        <f>SUM(U86:W86)</f>
        <v>18404553322</v>
      </c>
      <c r="Y86" s="2142">
        <f>SEPTIEMBRE!AA86</f>
        <v>18398618429</v>
      </c>
      <c r="Z86" s="2077">
        <v>-5996953</v>
      </c>
      <c r="AA86" s="2141">
        <f>SUM(Y86:Z86)</f>
        <v>18392621476</v>
      </c>
      <c r="AB86" s="2142">
        <f>SEPTIEMBRE!AD86</f>
        <v>13071460744</v>
      </c>
      <c r="AC86" s="2077">
        <v>450910253</v>
      </c>
      <c r="AD86" s="2141">
        <f>SUM(AB86:AC86)</f>
        <v>13522370997</v>
      </c>
      <c r="AE86" s="2142">
        <f>SEPTIEMBRE!AG86</f>
        <v>5806236841</v>
      </c>
      <c r="AF86" s="2077">
        <v>685679429</v>
      </c>
      <c r="AG86" s="2141">
        <f>SUM(AE86:AF86)</f>
        <v>6491916270</v>
      </c>
      <c r="AH86" s="2142">
        <f>X86-AA86</f>
        <v>11931846</v>
      </c>
      <c r="AI86" s="2091">
        <f>X86-AD86</f>
        <v>4882182325</v>
      </c>
      <c r="AJ86" s="2143">
        <f>X86-AG86</f>
        <v>11912637052</v>
      </c>
      <c r="AL86" s="2079">
        <v>0</v>
      </c>
      <c r="AM86" s="2080">
        <v>0</v>
      </c>
      <c r="AO86" s="1919"/>
      <c r="AP86" s="1919"/>
      <c r="AQ86" s="1919"/>
      <c r="AR86" s="1919"/>
      <c r="AS86" s="1919"/>
      <c r="AT86" s="1919"/>
      <c r="AU86" s="1919"/>
      <c r="AV86" s="1919"/>
      <c r="AW86" s="1919"/>
      <c r="AX86" s="1919"/>
      <c r="AY86" s="1919"/>
      <c r="AZ86" s="1919"/>
      <c r="BA86" s="2093"/>
      <c r="BC86" s="2093"/>
      <c r="BD86" s="2093"/>
      <c r="BE86" s="2093"/>
      <c r="BL86" s="2093"/>
      <c r="BM86" s="2093"/>
      <c r="BN86" s="2093"/>
      <c r="BO86" s="2093"/>
      <c r="BP86" s="2093"/>
      <c r="BQ86" s="2093"/>
      <c r="BR86" s="2093"/>
    </row>
    <row r="87" spans="1:70" s="2093" customFormat="1" ht="24.95" customHeight="1">
      <c r="A87" s="2264">
        <f>+IF(SEPTIEMBRE!A87=0,"",SEPTIEMBRE!A87)</f>
        <v>1130202</v>
      </c>
      <c r="B87" s="2265" t="str">
        <f>+IF(SEPTIEMBRE!B87=0,"",SEPTIEMBRE!B87)</f>
        <v/>
      </c>
      <c r="C87" s="2266">
        <f>+ENERO!C87</f>
        <v>0</v>
      </c>
      <c r="D87" s="2074">
        <f>SEPTIEMBRE!D87+OCTUBRE!P87</f>
        <v>0</v>
      </c>
      <c r="E87" s="2074">
        <f>SEPTIEMBRE!E87+OCTUBRE!Q87</f>
        <v>0</v>
      </c>
      <c r="F87" s="2074">
        <f t="shared" si="93"/>
        <v>0</v>
      </c>
      <c r="G87" s="2074">
        <f>SEPTIEMBRE!I87</f>
        <v>0</v>
      </c>
      <c r="H87" s="2077">
        <v>0</v>
      </c>
      <c r="I87" s="2074">
        <f t="shared" si="94"/>
        <v>0</v>
      </c>
      <c r="J87" s="2074">
        <f>SEPTIEMBRE!L87</f>
        <v>0</v>
      </c>
      <c r="K87" s="2077">
        <v>0</v>
      </c>
      <c r="L87" s="2074">
        <f t="shared" si="95"/>
        <v>0</v>
      </c>
      <c r="M87" s="2074">
        <f t="shared" si="96"/>
        <v>0</v>
      </c>
      <c r="N87" s="2075">
        <f t="shared" si="97"/>
        <v>0</v>
      </c>
      <c r="P87" s="2079">
        <v>0</v>
      </c>
      <c r="Q87" s="2080">
        <v>0</v>
      </c>
      <c r="R87" s="1968"/>
      <c r="S87" s="2138" t="str">
        <f>+IF(SEPTIEMBRE!S87=0,"",SEPTIEMBRE!S87)</f>
        <v/>
      </c>
      <c r="T87" s="2139" t="str">
        <f>+IF(SEPTIEMBRE!T87=0,"",SEPTIEMBRE!T87)</f>
        <v/>
      </c>
      <c r="U87" s="2140">
        <f>+ENERO!U87</f>
        <v>0</v>
      </c>
      <c r="V87" s="2091">
        <f>SEPTIEMBRE!V87+OCTUBRE!AL87</f>
        <v>0</v>
      </c>
      <c r="W87" s="2091">
        <f>SEPTIEMBRE!W87+OCTUBRE!AM87</f>
        <v>0</v>
      </c>
      <c r="X87" s="2141">
        <f>SUM(U87:W87)</f>
        <v>0</v>
      </c>
      <c r="Y87" s="2142">
        <f>SEPTIEMBRE!AA87</f>
        <v>0</v>
      </c>
      <c r="Z87" s="2077">
        <v>0</v>
      </c>
      <c r="AA87" s="2141">
        <f>SUM(Y87:Z87)</f>
        <v>0</v>
      </c>
      <c r="AB87" s="2142">
        <f>SEPTIEMBRE!AD87</f>
        <v>0</v>
      </c>
      <c r="AC87" s="2077">
        <v>0</v>
      </c>
      <c r="AD87" s="2141">
        <f>SUM(AB87:AC87)</f>
        <v>0</v>
      </c>
      <c r="AE87" s="2142">
        <f>SEPTIEMBRE!AG87</f>
        <v>0</v>
      </c>
      <c r="AF87" s="2077">
        <v>0</v>
      </c>
      <c r="AG87" s="2141">
        <f>SUM(AE87:AF87)</f>
        <v>0</v>
      </c>
      <c r="AH87" s="2142">
        <f>X87-AA87</f>
        <v>0</v>
      </c>
      <c r="AI87" s="2091">
        <f>X87-AD87</f>
        <v>0</v>
      </c>
      <c r="AJ87" s="2143">
        <f>X87-AG87</f>
        <v>0</v>
      </c>
      <c r="AK87" s="1968"/>
      <c r="AL87" s="2079">
        <v>0</v>
      </c>
      <c r="AM87" s="2080">
        <v>0</v>
      </c>
      <c r="AN87" s="1968"/>
      <c r="AO87" s="1919"/>
      <c r="AP87" s="1919"/>
      <c r="AQ87" s="1919"/>
      <c r="AR87" s="1919"/>
      <c r="AS87" s="1919"/>
      <c r="AT87" s="1919"/>
      <c r="AU87" s="1919"/>
      <c r="AV87" s="1919"/>
      <c r="AW87" s="1919"/>
      <c r="AX87" s="1919"/>
      <c r="AY87" s="1919"/>
      <c r="AZ87" s="1919"/>
      <c r="BA87" s="1968"/>
      <c r="BC87" s="1968"/>
      <c r="BD87" s="1968"/>
      <c r="BE87" s="1968"/>
    </row>
    <row r="88" spans="1:70" s="2093" customFormat="1" ht="24.95" customHeight="1">
      <c r="A88" s="2264">
        <f>+IF(SEPTIEMBRE!A88=0,"",SEPTIEMBRE!A88)</f>
        <v>1130203</v>
      </c>
      <c r="B88" s="2267" t="str">
        <f>+IF(SEPTIEMBRE!B88=0,"",SEPTIEMBRE!B88)</f>
        <v>CONVENIOS CON LA NACION LIGADOS A LA VENTA DE SERVICIOS</v>
      </c>
      <c r="C88" s="2266">
        <f>+ENERO!C88</f>
        <v>0</v>
      </c>
      <c r="D88" s="2074">
        <f>SEPTIEMBRE!D88+OCTUBRE!P88</f>
        <v>0</v>
      </c>
      <c r="E88" s="2074">
        <f>SEPTIEMBRE!E88+OCTUBRE!Q88</f>
        <v>0</v>
      </c>
      <c r="F88" s="2074">
        <f t="shared" si="93"/>
        <v>0</v>
      </c>
      <c r="G88" s="2074">
        <f>SEPTIEMBRE!I88</f>
        <v>0</v>
      </c>
      <c r="H88" s="2077">
        <v>0</v>
      </c>
      <c r="I88" s="2074">
        <f t="shared" si="94"/>
        <v>0</v>
      </c>
      <c r="J88" s="2074">
        <f>SEPTIEMBRE!L88</f>
        <v>0</v>
      </c>
      <c r="K88" s="2077">
        <v>0</v>
      </c>
      <c r="L88" s="2074">
        <f t="shared" si="95"/>
        <v>0</v>
      </c>
      <c r="M88" s="2074">
        <f t="shared" si="96"/>
        <v>0</v>
      </c>
      <c r="N88" s="2075">
        <f t="shared" si="97"/>
        <v>0</v>
      </c>
      <c r="P88" s="2079">
        <v>0</v>
      </c>
      <c r="Q88" s="2080">
        <v>0</v>
      </c>
      <c r="R88" s="1968"/>
      <c r="S88" s="2138">
        <f>+IF(SEPTIEMBRE!S88=0,"",SEPTIEMBRE!S88)</f>
        <v>1020299</v>
      </c>
      <c r="T88" s="2139" t="str">
        <f>+IF(SEPTIEMBRE!T88=0,"",SEPTIEMBRE!T88)</f>
        <v>Vigencias Anteriores</v>
      </c>
      <c r="U88" s="2140">
        <f>+ENERO!U88</f>
        <v>2232471701</v>
      </c>
      <c r="V88" s="2091">
        <f>SEPTIEMBRE!V88+OCTUBRE!AL88</f>
        <v>1814598314</v>
      </c>
      <c r="W88" s="2091">
        <f>SEPTIEMBRE!W88+OCTUBRE!AM88</f>
        <v>2383605163</v>
      </c>
      <c r="X88" s="2141">
        <f>SUM(U88:W88)</f>
        <v>6430675178</v>
      </c>
      <c r="Y88" s="2142">
        <f>SEPTIEMBRE!AA88</f>
        <v>6389250461</v>
      </c>
      <c r="Z88" s="2077">
        <v>13031220</v>
      </c>
      <c r="AA88" s="2141">
        <f>SUM(Y88:Z88)</f>
        <v>6402281681</v>
      </c>
      <c r="AB88" s="2142">
        <f>SEPTIEMBRE!AD88</f>
        <v>6389250461</v>
      </c>
      <c r="AC88" s="2077">
        <v>13031220</v>
      </c>
      <c r="AD88" s="2141">
        <f>SUM(AB88:AC88)</f>
        <v>6402281681</v>
      </c>
      <c r="AE88" s="2142">
        <f>SEPTIEMBRE!AG88</f>
        <v>6389250461</v>
      </c>
      <c r="AF88" s="2077">
        <v>13031220</v>
      </c>
      <c r="AG88" s="2141">
        <f>SUM(AE88:AF88)</f>
        <v>6402281681</v>
      </c>
      <c r="AH88" s="2142">
        <f>X88-AA88</f>
        <v>28393497</v>
      </c>
      <c r="AI88" s="2091">
        <f>X88-AD88</f>
        <v>28393497</v>
      </c>
      <c r="AJ88" s="2143">
        <f>X88-AG88</f>
        <v>28393497</v>
      </c>
      <c r="AK88" s="1968"/>
      <c r="AL88" s="2079">
        <v>-45384188</v>
      </c>
      <c r="AM88" s="2080">
        <v>0</v>
      </c>
      <c r="AN88" s="1968"/>
      <c r="AO88" s="1919"/>
      <c r="AP88" s="1919"/>
      <c r="AQ88" s="1919"/>
      <c r="AR88" s="1919"/>
      <c r="AS88" s="1919"/>
      <c r="AT88" s="1919"/>
      <c r="AU88" s="1919"/>
      <c r="AV88" s="1919"/>
      <c r="AW88" s="1919"/>
      <c r="AX88" s="1919"/>
      <c r="AY88" s="1919"/>
      <c r="AZ88" s="1919"/>
      <c r="BN88" s="1968"/>
      <c r="BO88" s="1968"/>
      <c r="BP88" s="1968"/>
      <c r="BQ88" s="1968"/>
      <c r="BR88" s="1968"/>
    </row>
    <row r="89" spans="1:70" s="2093" customFormat="1" ht="24.95" customHeight="1">
      <c r="A89" s="2264">
        <f>+IF(SEPTIEMBRE!A89=0,"",SEPTIEMBRE!A89)</f>
        <v>1130204</v>
      </c>
      <c r="B89" s="2267" t="str">
        <f>+IF(SEPTIEMBRE!B89=0,"",SEPTIEMBRE!B89)</f>
        <v>CONVENIOS CON EL DEPARTAMENTO LIGADOS A LA VENTA SERVICIOS</v>
      </c>
      <c r="C89" s="2266">
        <f>+ENERO!C89</f>
        <v>0</v>
      </c>
      <c r="D89" s="2074">
        <f>SEPTIEMBRE!D89+OCTUBRE!P89</f>
        <v>0</v>
      </c>
      <c r="E89" s="2074">
        <f>SEPTIEMBRE!E89+OCTUBRE!Q89</f>
        <v>0</v>
      </c>
      <c r="F89" s="2074">
        <f t="shared" si="93"/>
        <v>0</v>
      </c>
      <c r="G89" s="2074">
        <f>SEPTIEMBRE!I89</f>
        <v>0</v>
      </c>
      <c r="H89" s="2077">
        <v>0</v>
      </c>
      <c r="I89" s="2074">
        <f t="shared" si="94"/>
        <v>0</v>
      </c>
      <c r="J89" s="2074">
        <f>SEPTIEMBRE!L89</f>
        <v>0</v>
      </c>
      <c r="K89" s="2077">
        <v>0</v>
      </c>
      <c r="L89" s="2074">
        <f t="shared" si="95"/>
        <v>0</v>
      </c>
      <c r="M89" s="2074">
        <f t="shared" si="96"/>
        <v>0</v>
      </c>
      <c r="N89" s="2075">
        <f t="shared" si="97"/>
        <v>0</v>
      </c>
      <c r="P89" s="2079">
        <v>0</v>
      </c>
      <c r="Q89" s="2080">
        <v>0</v>
      </c>
      <c r="R89" s="1968"/>
      <c r="S89" s="2058" t="str">
        <f>+IF(SEPTIEMBRE!S89=0,"",SEPTIEMBRE!S89)</f>
        <v/>
      </c>
      <c r="T89" s="2059" t="str">
        <f>+IF(SEPTIEMBRE!T89=0,"",SEPTIEMBRE!T89)</f>
        <v/>
      </c>
      <c r="U89" s="2060"/>
      <c r="V89" s="2060"/>
      <c r="W89" s="2060"/>
      <c r="X89" s="2060"/>
      <c r="Y89" s="2060"/>
      <c r="Z89" s="2060"/>
      <c r="AA89" s="2060"/>
      <c r="AB89" s="2060"/>
      <c r="AC89" s="2060"/>
      <c r="AD89" s="2060"/>
      <c r="AE89" s="2060"/>
      <c r="AF89" s="2060"/>
      <c r="AG89" s="2060"/>
      <c r="AH89" s="2060"/>
      <c r="AI89" s="2060"/>
      <c r="AJ89" s="2061"/>
      <c r="AK89" s="1968"/>
      <c r="AL89" s="2248"/>
      <c r="AM89" s="2249"/>
      <c r="AN89" s="1968"/>
      <c r="AO89" s="1919"/>
      <c r="AP89" s="1919"/>
      <c r="AQ89" s="1919"/>
      <c r="AR89" s="1919"/>
      <c r="AS89" s="1919"/>
      <c r="AT89" s="1919"/>
      <c r="AU89" s="1919"/>
      <c r="AV89" s="1919"/>
      <c r="AW89" s="1919"/>
      <c r="AX89" s="1919"/>
      <c r="AY89" s="1919"/>
      <c r="AZ89" s="1919"/>
      <c r="BM89" s="1968"/>
    </row>
    <row r="90" spans="1:70" s="2257" customFormat="1" ht="24.95" customHeight="1">
      <c r="A90" s="2264">
        <f>+IF(SEPTIEMBRE!A90=0,"",SEPTIEMBRE!A90)</f>
        <v>1130205</v>
      </c>
      <c r="B90" s="2267" t="str">
        <f>+IF(SEPTIEMBRE!B90=0,"",SEPTIEMBRE!B90)</f>
        <v>CONVENIOS CON EL MUNICIPIO LIGADOS A LA VENTA DE SERVICIOS</v>
      </c>
      <c r="C90" s="2266">
        <f>+ENERO!C90</f>
        <v>0</v>
      </c>
      <c r="D90" s="2074">
        <f>SEPTIEMBRE!D90+OCTUBRE!P90</f>
        <v>0</v>
      </c>
      <c r="E90" s="2074">
        <f>SEPTIEMBRE!E90+OCTUBRE!Q90</f>
        <v>0</v>
      </c>
      <c r="F90" s="2074">
        <f t="shared" si="93"/>
        <v>0</v>
      </c>
      <c r="G90" s="2074">
        <f>SEPTIEMBRE!I90</f>
        <v>0</v>
      </c>
      <c r="H90" s="2077">
        <v>0</v>
      </c>
      <c r="I90" s="2074">
        <f t="shared" si="94"/>
        <v>0</v>
      </c>
      <c r="J90" s="2074">
        <f>SEPTIEMBRE!L90</f>
        <v>0</v>
      </c>
      <c r="K90" s="2077">
        <v>0</v>
      </c>
      <c r="L90" s="2074">
        <f t="shared" si="95"/>
        <v>0</v>
      </c>
      <c r="M90" s="2074">
        <f t="shared" si="96"/>
        <v>0</v>
      </c>
      <c r="N90" s="2075">
        <f t="shared" si="97"/>
        <v>0</v>
      </c>
      <c r="O90" s="2093"/>
      <c r="P90" s="2079">
        <v>0</v>
      </c>
      <c r="Q90" s="2080">
        <v>0</v>
      </c>
      <c r="R90" s="2268"/>
      <c r="S90" s="2130">
        <f>+IF(SEPTIEMBRE!S90=0,"",SEPTIEMBRE!S90)</f>
        <v>1020300</v>
      </c>
      <c r="T90" s="2131" t="str">
        <f>+IF(SEPTIEMBRE!T90=0,"",SEPTIEMBRE!T90)</f>
        <v>Contribuciones Inherentes nómina al Sector Privado</v>
      </c>
      <c r="U90" s="2103">
        <f t="shared" ref="U90:AJ90" si="98">U91+U96+U102</f>
        <v>259627762</v>
      </c>
      <c r="V90" s="2104">
        <f t="shared" si="98"/>
        <v>-77539920</v>
      </c>
      <c r="W90" s="2104">
        <f t="shared" si="98"/>
        <v>292097670</v>
      </c>
      <c r="X90" s="2105">
        <f t="shared" si="98"/>
        <v>474185512</v>
      </c>
      <c r="Y90" s="2106">
        <f t="shared" si="98"/>
        <v>173022182</v>
      </c>
      <c r="Z90" s="2104">
        <f t="shared" si="98"/>
        <v>31332615</v>
      </c>
      <c r="AA90" s="2105">
        <f t="shared" si="98"/>
        <v>204354797</v>
      </c>
      <c r="AB90" s="2106">
        <f t="shared" si="98"/>
        <v>173022182</v>
      </c>
      <c r="AC90" s="2104">
        <f t="shared" si="98"/>
        <v>31332615</v>
      </c>
      <c r="AD90" s="2105">
        <f t="shared" si="98"/>
        <v>204354797</v>
      </c>
      <c r="AE90" s="2106">
        <f t="shared" si="98"/>
        <v>173022182</v>
      </c>
      <c r="AF90" s="2104">
        <f t="shared" si="98"/>
        <v>31332615</v>
      </c>
      <c r="AG90" s="2105">
        <f t="shared" si="98"/>
        <v>204354797</v>
      </c>
      <c r="AH90" s="2106">
        <f t="shared" si="98"/>
        <v>269830715</v>
      </c>
      <c r="AI90" s="2104">
        <f t="shared" si="98"/>
        <v>269830715</v>
      </c>
      <c r="AJ90" s="2107">
        <f t="shared" si="98"/>
        <v>269830715</v>
      </c>
      <c r="AK90" s="1968"/>
      <c r="AL90" s="2106">
        <f>AL91+AL96+AL102</f>
        <v>0</v>
      </c>
      <c r="AM90" s="2107">
        <f>AM91+AM96+AM102</f>
        <v>0</v>
      </c>
      <c r="AN90" s="2268"/>
      <c r="AO90" s="2269"/>
      <c r="AP90" s="2269"/>
      <c r="AQ90" s="2269"/>
      <c r="AR90" s="2269"/>
      <c r="AS90" s="2269"/>
      <c r="AT90" s="2269"/>
      <c r="AU90" s="2269"/>
      <c r="AV90" s="2269"/>
      <c r="AW90" s="2269"/>
      <c r="AX90" s="2269"/>
      <c r="AY90" s="2269"/>
      <c r="AZ90" s="2269"/>
      <c r="BM90" s="2093"/>
      <c r="BN90" s="2093"/>
      <c r="BO90" s="2093"/>
      <c r="BP90" s="2093"/>
      <c r="BQ90" s="2093"/>
      <c r="BR90" s="2093"/>
    </row>
    <row r="91" spans="1:70" s="2257" customFormat="1" ht="24.95" customHeight="1">
      <c r="A91" s="2264">
        <f>+IF(SEPTIEMBRE!A91=0,"",SEPTIEMBRE!A91)</f>
        <v>1130206</v>
      </c>
      <c r="B91" s="2267" t="str">
        <f>+IF(SEPTIEMBRE!B91=0,"",SEPTIEMBRE!B91)</f>
        <v>OTROS CONVENIOS LIGADOS A LA VENTA DE SERVICIOS</v>
      </c>
      <c r="C91" s="2266">
        <f>+ENERO!C91</f>
        <v>0</v>
      </c>
      <c r="D91" s="2074">
        <f>SEPTIEMBRE!D91+OCTUBRE!P91</f>
        <v>0</v>
      </c>
      <c r="E91" s="2074">
        <f>SEPTIEMBRE!E91+OCTUBRE!Q91</f>
        <v>0</v>
      </c>
      <c r="F91" s="2074">
        <f t="shared" si="93"/>
        <v>0</v>
      </c>
      <c r="G91" s="2074">
        <f>SEPTIEMBRE!I91</f>
        <v>0</v>
      </c>
      <c r="H91" s="2077">
        <v>0</v>
      </c>
      <c r="I91" s="2074">
        <f t="shared" si="94"/>
        <v>0</v>
      </c>
      <c r="J91" s="2074">
        <f>SEPTIEMBRE!L91</f>
        <v>0</v>
      </c>
      <c r="K91" s="2077">
        <v>0</v>
      </c>
      <c r="L91" s="2074">
        <f t="shared" si="95"/>
        <v>0</v>
      </c>
      <c r="M91" s="2074">
        <f t="shared" si="96"/>
        <v>0</v>
      </c>
      <c r="N91" s="2075">
        <f t="shared" si="97"/>
        <v>0</v>
      </c>
      <c r="O91" s="2093"/>
      <c r="P91" s="2079">
        <v>0</v>
      </c>
      <c r="Q91" s="2080">
        <v>0</v>
      </c>
      <c r="R91" s="2268"/>
      <c r="S91" s="2138">
        <f>+IF(SEPTIEMBRE!S91=0,"",SEPTIEMBRE!S91)</f>
        <v>1020301</v>
      </c>
      <c r="T91" s="2139" t="str">
        <f>+IF(SEPTIEMBRE!T91=0,"",SEPTIEMBRE!T91)</f>
        <v>Contribuciones - SGP - Aportes Patronales - Cuentas Maestras</v>
      </c>
      <c r="U91" s="2140">
        <f t="shared" ref="U91:AJ91" si="99">SUM(U92:U95)</f>
        <v>0</v>
      </c>
      <c r="V91" s="2091">
        <f t="shared" si="99"/>
        <v>0</v>
      </c>
      <c r="W91" s="2091">
        <f t="shared" si="99"/>
        <v>193557750</v>
      </c>
      <c r="X91" s="2141">
        <f t="shared" si="99"/>
        <v>193557750</v>
      </c>
      <c r="Y91" s="2142">
        <f t="shared" si="99"/>
        <v>48204384</v>
      </c>
      <c r="Z91" s="2170">
        <f t="shared" si="99"/>
        <v>26559313</v>
      </c>
      <c r="AA91" s="2141">
        <f t="shared" si="99"/>
        <v>74763697</v>
      </c>
      <c r="AB91" s="2142">
        <f t="shared" si="99"/>
        <v>48204384</v>
      </c>
      <c r="AC91" s="2170">
        <f t="shared" si="99"/>
        <v>26559313</v>
      </c>
      <c r="AD91" s="2141">
        <f t="shared" si="99"/>
        <v>74763697</v>
      </c>
      <c r="AE91" s="2142">
        <f t="shared" si="99"/>
        <v>48204384</v>
      </c>
      <c r="AF91" s="2170">
        <f t="shared" si="99"/>
        <v>26559313</v>
      </c>
      <c r="AG91" s="2141">
        <f t="shared" si="99"/>
        <v>74763697</v>
      </c>
      <c r="AH91" s="2142">
        <f t="shared" si="99"/>
        <v>118794053</v>
      </c>
      <c r="AI91" s="2091">
        <f t="shared" si="99"/>
        <v>118794053</v>
      </c>
      <c r="AJ91" s="2143">
        <f t="shared" si="99"/>
        <v>118794053</v>
      </c>
      <c r="AK91" s="1968"/>
      <c r="AL91" s="2171">
        <f>SUM(AL92:AL95)</f>
        <v>0</v>
      </c>
      <c r="AM91" s="2172">
        <f>SUM(AM92:AM95)</f>
        <v>0</v>
      </c>
      <c r="AN91" s="2268"/>
      <c r="AO91" s="2269"/>
      <c r="AP91" s="2269"/>
      <c r="AQ91" s="2269"/>
      <c r="AR91" s="2269"/>
      <c r="AS91" s="2269"/>
      <c r="AT91" s="2269"/>
      <c r="AU91" s="2269"/>
      <c r="AV91" s="2269"/>
      <c r="AW91" s="2269"/>
      <c r="AX91" s="2269"/>
      <c r="AY91" s="2269"/>
      <c r="AZ91" s="2269"/>
      <c r="BL91" s="2268"/>
      <c r="BM91" s="2093"/>
      <c r="BN91" s="2093"/>
      <c r="BO91" s="2093"/>
      <c r="BP91" s="2093"/>
      <c r="BQ91" s="2093"/>
      <c r="BR91" s="2093"/>
    </row>
    <row r="92" spans="1:70" s="2257" customFormat="1" ht="24.95" customHeight="1" thickBot="1">
      <c r="A92" s="2264">
        <f>+IF(SEPTIEMBRE!A92=0,"",SEPTIEMBRE!A92)</f>
        <v>1130207</v>
      </c>
      <c r="B92" s="2270" t="str">
        <f>+IF(SEPTIEMBRE!B92=0,"",SEPTIEMBRE!B92)</f>
        <v>Vigencia Anterior</v>
      </c>
      <c r="C92" s="2271">
        <f>+ENERO!C92</f>
        <v>0</v>
      </c>
      <c r="D92" s="2115">
        <f>SEPTIEMBRE!D92+OCTUBRE!P92</f>
        <v>0</v>
      </c>
      <c r="E92" s="2115">
        <f>SEPTIEMBRE!E92+OCTUBRE!Q92</f>
        <v>0</v>
      </c>
      <c r="F92" s="2115">
        <f t="shared" si="93"/>
        <v>0</v>
      </c>
      <c r="G92" s="2115">
        <f>SEPTIEMBRE!I92</f>
        <v>0</v>
      </c>
      <c r="H92" s="2118">
        <v>0</v>
      </c>
      <c r="I92" s="2115">
        <f t="shared" si="94"/>
        <v>0</v>
      </c>
      <c r="J92" s="2115">
        <f>SEPTIEMBRE!L92</f>
        <v>0</v>
      </c>
      <c r="K92" s="2118">
        <v>0</v>
      </c>
      <c r="L92" s="2115">
        <f t="shared" si="95"/>
        <v>0</v>
      </c>
      <c r="M92" s="2115">
        <f t="shared" si="96"/>
        <v>0</v>
      </c>
      <c r="N92" s="2116">
        <f t="shared" si="97"/>
        <v>0</v>
      </c>
      <c r="O92" s="2093"/>
      <c r="P92" s="2079">
        <v>0</v>
      </c>
      <c r="Q92" s="2080">
        <v>0</v>
      </c>
      <c r="R92" s="2268"/>
      <c r="S92" s="2184" t="str">
        <f>+IF(SEPTIEMBRE!S92=0,"",SEPTIEMBRE!S92)</f>
        <v>1020301-1</v>
      </c>
      <c r="T92" s="2185" t="str">
        <f>+IF(SEPTIEMBRE!T92=0,"",SEPTIEMBRE!T92)</f>
        <v>E.P.S. - Aportes cuentas maestras</v>
      </c>
      <c r="U92" s="2140">
        <f>+ENERO!U92</f>
        <v>0</v>
      </c>
      <c r="V92" s="2091">
        <f>SEPTIEMBRE!V92+OCTUBRE!AL92</f>
        <v>0</v>
      </c>
      <c r="W92" s="2091">
        <f>SEPTIEMBRE!W92+OCTUBRE!AM92</f>
        <v>40900445</v>
      </c>
      <c r="X92" s="2141">
        <f>SUM(U92:W92)</f>
        <v>40900445</v>
      </c>
      <c r="Y92" s="2142">
        <f>SEPTIEMBRE!AA92</f>
        <v>18585164</v>
      </c>
      <c r="Z92" s="2077">
        <v>10143266</v>
      </c>
      <c r="AA92" s="2141">
        <f>SUM(Y92:Z92)</f>
        <v>28728430</v>
      </c>
      <c r="AB92" s="2142">
        <f>SEPTIEMBRE!AD92</f>
        <v>18585164</v>
      </c>
      <c r="AC92" s="2077">
        <v>10143266</v>
      </c>
      <c r="AD92" s="2141">
        <f>SUM(AB92:AC92)</f>
        <v>28728430</v>
      </c>
      <c r="AE92" s="2142">
        <f>SEPTIEMBRE!AG92</f>
        <v>18585164</v>
      </c>
      <c r="AF92" s="2077">
        <v>10143266</v>
      </c>
      <c r="AG92" s="2141">
        <f>SUM(AE92:AF92)</f>
        <v>28728430</v>
      </c>
      <c r="AH92" s="2142">
        <f>X92-AA92</f>
        <v>12172015</v>
      </c>
      <c r="AI92" s="2091">
        <f>X92-AD92</f>
        <v>12172015</v>
      </c>
      <c r="AJ92" s="2143">
        <f>X92-AG92</f>
        <v>12172015</v>
      </c>
      <c r="AK92" s="1968"/>
      <c r="AL92" s="2079">
        <v>0</v>
      </c>
      <c r="AM92" s="2080">
        <v>0</v>
      </c>
      <c r="AN92" s="2268"/>
      <c r="AO92" s="2269"/>
      <c r="AP92" s="2269"/>
      <c r="AQ92" s="2269"/>
      <c r="AR92" s="2269"/>
      <c r="AS92" s="2269"/>
      <c r="AT92" s="2269"/>
      <c r="AU92" s="2269"/>
      <c r="AV92" s="2269"/>
      <c r="AW92" s="2269"/>
      <c r="AX92" s="2269"/>
      <c r="AY92" s="2269"/>
      <c r="AZ92" s="2269"/>
      <c r="BL92" s="2268"/>
    </row>
    <row r="93" spans="1:70" s="2257" customFormat="1" ht="24.95" customHeight="1" thickBot="1">
      <c r="A93" s="2255" t="str">
        <f>+IF(SEPTIEMBRE!A93=0,"",SEPTIEMBRE!A93)</f>
        <v/>
      </c>
      <c r="B93" s="2256" t="str">
        <f>+IF(SEPTIEMBRE!B93=0,"",SEPTIEMBRE!B93)</f>
        <v/>
      </c>
      <c r="C93" s="1919"/>
      <c r="D93" s="1919"/>
      <c r="E93" s="1919"/>
      <c r="F93" s="1919"/>
      <c r="G93" s="1919"/>
      <c r="H93" s="1919"/>
      <c r="I93" s="1919"/>
      <c r="J93" s="1919"/>
      <c r="K93" s="1919"/>
      <c r="L93" s="1919"/>
      <c r="M93" s="1919"/>
      <c r="N93" s="2154"/>
      <c r="P93" s="2258"/>
      <c r="Q93" s="2127"/>
      <c r="R93" s="2268"/>
      <c r="S93" s="2184" t="str">
        <f>+IF(SEPTIEMBRE!S93=0,"",SEPTIEMBRE!S93)</f>
        <v>1020301-2</v>
      </c>
      <c r="T93" s="2185" t="str">
        <f>+IF(SEPTIEMBRE!T93=0,"",SEPTIEMBRE!T93)</f>
        <v>Fondos pensionales - Aportes cuentas maestras</v>
      </c>
      <c r="U93" s="2140">
        <f>+ENERO!U93</f>
        <v>0</v>
      </c>
      <c r="V93" s="2091">
        <f>SEPTIEMBRE!V93+OCTUBRE!AL93</f>
        <v>0</v>
      </c>
      <c r="W93" s="2091">
        <f>SEPTIEMBRE!W93+OCTUBRE!AM93</f>
        <v>114718500</v>
      </c>
      <c r="X93" s="2141">
        <f>SUM(U93:W93)</f>
        <v>114718500</v>
      </c>
      <c r="Y93" s="2142">
        <f>SEPTIEMBRE!AA93</f>
        <v>24613201</v>
      </c>
      <c r="Z93" s="2077">
        <v>13516281</v>
      </c>
      <c r="AA93" s="2141">
        <f>SUM(Y93:Z93)</f>
        <v>38129482</v>
      </c>
      <c r="AB93" s="2142">
        <f>SEPTIEMBRE!AD93</f>
        <v>24613201</v>
      </c>
      <c r="AC93" s="2077">
        <v>13516281</v>
      </c>
      <c r="AD93" s="2141">
        <f>SUM(AB93:AC93)</f>
        <v>38129482</v>
      </c>
      <c r="AE93" s="2142">
        <f>SEPTIEMBRE!AG93</f>
        <v>24613201</v>
      </c>
      <c r="AF93" s="2077">
        <v>13516281</v>
      </c>
      <c r="AG93" s="2141">
        <f>SUM(AE93:AF93)</f>
        <v>38129482</v>
      </c>
      <c r="AH93" s="2142">
        <f>X93-AA93</f>
        <v>76589018</v>
      </c>
      <c r="AI93" s="2091">
        <f>X93-AD93</f>
        <v>76589018</v>
      </c>
      <c r="AJ93" s="2143">
        <f>X93-AG93</f>
        <v>76589018</v>
      </c>
      <c r="AK93" s="1968"/>
      <c r="AL93" s="2079">
        <v>0</v>
      </c>
      <c r="AM93" s="2080">
        <v>0</v>
      </c>
      <c r="AN93" s="2268"/>
      <c r="AO93" s="2269"/>
      <c r="AP93" s="2269"/>
      <c r="AQ93" s="2269"/>
      <c r="AR93" s="2269"/>
      <c r="AS93" s="2269"/>
      <c r="AT93" s="2269"/>
      <c r="AU93" s="2269"/>
      <c r="AV93" s="2269"/>
      <c r="AW93" s="2269"/>
      <c r="AX93" s="2269"/>
      <c r="AY93" s="2269"/>
      <c r="AZ93" s="2269"/>
      <c r="BL93" s="2268"/>
    </row>
    <row r="94" spans="1:70" s="2257" customFormat="1" ht="35.25" customHeight="1">
      <c r="A94" s="2272">
        <f>+IF(SEPTIEMBRE!A94=0,"",SEPTIEMBRE!A94)</f>
        <v>11303</v>
      </c>
      <c r="B94" s="2273" t="str">
        <f>+IF(SEPTIEMBRE!B94=0,"",SEPTIEMBRE!B94)</f>
        <v>Aportes (No ligados a la venta de servicios de salud)</v>
      </c>
      <c r="C94" s="2261">
        <f>SUM(C95:C102)</f>
        <v>0</v>
      </c>
      <c r="D94" s="2262">
        <f t="shared" ref="D94:N94" si="100">SUM(D95:D102)</f>
        <v>0</v>
      </c>
      <c r="E94" s="2262">
        <f t="shared" si="100"/>
        <v>298256831</v>
      </c>
      <c r="F94" s="2262">
        <f t="shared" si="100"/>
        <v>298256831</v>
      </c>
      <c r="G94" s="2262">
        <f t="shared" si="100"/>
        <v>298256831</v>
      </c>
      <c r="H94" s="2262">
        <f t="shared" si="100"/>
        <v>0</v>
      </c>
      <c r="I94" s="2262">
        <f t="shared" si="100"/>
        <v>298256831</v>
      </c>
      <c r="J94" s="2262">
        <f t="shared" si="100"/>
        <v>298256831</v>
      </c>
      <c r="K94" s="2262">
        <f t="shared" si="100"/>
        <v>0</v>
      </c>
      <c r="L94" s="2262">
        <f t="shared" si="100"/>
        <v>298256831</v>
      </c>
      <c r="M94" s="2262">
        <f t="shared" si="100"/>
        <v>0</v>
      </c>
      <c r="N94" s="2263">
        <f t="shared" si="100"/>
        <v>0</v>
      </c>
      <c r="O94" s="2093"/>
      <c r="P94" s="2159">
        <f>SUM(P95:P102)</f>
        <v>0</v>
      </c>
      <c r="Q94" s="2160">
        <f>SUM(Q95:Q102)</f>
        <v>121353776</v>
      </c>
      <c r="R94" s="2268"/>
      <c r="S94" s="2184" t="str">
        <f>+IF(SEPTIEMBRE!S94=0,"",SEPTIEMBRE!S94)</f>
        <v>1020301-3</v>
      </c>
      <c r="T94" s="2185" t="str">
        <f>+IF(SEPTIEMBRE!T94=0,"",SEPTIEMBRE!T94)</f>
        <v>Fondos de cesantías - Aportes cuentas maestras</v>
      </c>
      <c r="U94" s="2140">
        <f>+ENERO!U94</f>
        <v>0</v>
      </c>
      <c r="V94" s="2091">
        <f>SEPTIEMBRE!V94+OCTUBRE!AL94</f>
        <v>0</v>
      </c>
      <c r="W94" s="2091">
        <f>SEPTIEMBRE!W94+OCTUBRE!AM94</f>
        <v>28200000</v>
      </c>
      <c r="X94" s="2141">
        <f>SUM(U94:W94)</f>
        <v>28200000</v>
      </c>
      <c r="Y94" s="2142">
        <f>SEPTIEMBRE!AA94</f>
        <v>0</v>
      </c>
      <c r="Z94" s="2077">
        <v>0</v>
      </c>
      <c r="AA94" s="2141">
        <f>SUM(Y94:Z94)</f>
        <v>0</v>
      </c>
      <c r="AB94" s="2142">
        <f>SEPTIEMBRE!AD94</f>
        <v>0</v>
      </c>
      <c r="AC94" s="2077">
        <v>0</v>
      </c>
      <c r="AD94" s="2141">
        <f>SUM(AB94:AC94)</f>
        <v>0</v>
      </c>
      <c r="AE94" s="2142">
        <f>SEPTIEMBRE!AG94</f>
        <v>0</v>
      </c>
      <c r="AF94" s="2077">
        <v>0</v>
      </c>
      <c r="AG94" s="2141">
        <f>SUM(AE94:AF94)</f>
        <v>0</v>
      </c>
      <c r="AH94" s="2142">
        <f>X94-AA94</f>
        <v>28200000</v>
      </c>
      <c r="AI94" s="2091">
        <f>X94-AD94</f>
        <v>28200000</v>
      </c>
      <c r="AJ94" s="2143">
        <f>X94-AG94</f>
        <v>28200000</v>
      </c>
      <c r="AK94" s="1968"/>
      <c r="AL94" s="2079">
        <v>0</v>
      </c>
      <c r="AM94" s="2080">
        <v>0</v>
      </c>
      <c r="AN94" s="2268"/>
      <c r="AO94" s="2269"/>
      <c r="AP94" s="2269"/>
      <c r="AQ94" s="2269"/>
      <c r="AR94" s="2269"/>
      <c r="AS94" s="2269"/>
      <c r="AT94" s="2269"/>
      <c r="AU94" s="2269"/>
      <c r="AV94" s="2269"/>
      <c r="AW94" s="2269"/>
      <c r="AX94" s="2269"/>
      <c r="AY94" s="2269"/>
      <c r="AZ94" s="2269"/>
      <c r="BL94" s="2268"/>
    </row>
    <row r="95" spans="1:70" s="2257" customFormat="1" ht="24.95" customHeight="1">
      <c r="A95" s="2274" t="str">
        <f>+IF(SEPTIEMBRE!A95=0,"",SEPTIEMBRE!A95)</f>
        <v>11303-1</v>
      </c>
      <c r="B95" s="2275" t="str">
        <f>+IF(SEPTIEMBRE!B95=0,"",SEPTIEMBRE!B95)</f>
        <v>CONVENIOS CON LA NACION NO LIGADOS A LA VENTA DE SERVICIOS</v>
      </c>
      <c r="C95" s="2266">
        <f>+ENERO!C95</f>
        <v>0</v>
      </c>
      <c r="D95" s="2074">
        <f>SEPTIEMBRE!D95+OCTUBRE!P95</f>
        <v>0</v>
      </c>
      <c r="E95" s="2074">
        <f>SEPTIEMBRE!E95+OCTUBRE!Q95</f>
        <v>0</v>
      </c>
      <c r="F95" s="2074">
        <f t="shared" ref="F95:F102" si="101">SUM(C95:E95)</f>
        <v>0</v>
      </c>
      <c r="G95" s="2074">
        <f>SEPTIEMBRE!I95</f>
        <v>0</v>
      </c>
      <c r="H95" s="2077">
        <v>0</v>
      </c>
      <c r="I95" s="2074">
        <f t="shared" ref="I95:I102" si="102">SUM(G95:H95)</f>
        <v>0</v>
      </c>
      <c r="J95" s="2074">
        <f>SEPTIEMBRE!L95</f>
        <v>0</v>
      </c>
      <c r="K95" s="2077">
        <v>0</v>
      </c>
      <c r="L95" s="2074">
        <f t="shared" ref="L95:L102" si="103">SUM(J95:K95)</f>
        <v>0</v>
      </c>
      <c r="M95" s="2074">
        <f t="shared" ref="M95:M102" si="104">F95-I95</f>
        <v>0</v>
      </c>
      <c r="N95" s="2075">
        <f t="shared" ref="N95:N102" si="105">F95-L95</f>
        <v>0</v>
      </c>
      <c r="O95" s="2093"/>
      <c r="P95" s="2079">
        <v>0</v>
      </c>
      <c r="Q95" s="2080">
        <v>0</v>
      </c>
      <c r="R95" s="2268"/>
      <c r="S95" s="2184" t="str">
        <f>+IF(SEPTIEMBRE!S95=0,"",SEPTIEMBRE!S95)</f>
        <v>1020301-4</v>
      </c>
      <c r="T95" s="2185" t="str">
        <f>+IF(SEPTIEMBRE!T95=0,"",SEPTIEMBRE!T95)</f>
        <v>Riesgos laborales - Aportes cuentas maestras</v>
      </c>
      <c r="U95" s="2140">
        <f>+ENERO!U95</f>
        <v>0</v>
      </c>
      <c r="V95" s="2091">
        <f>SEPTIEMBRE!V95+OCTUBRE!AL95</f>
        <v>0</v>
      </c>
      <c r="W95" s="2091">
        <f>SEPTIEMBRE!W95+OCTUBRE!AM95</f>
        <v>9738805</v>
      </c>
      <c r="X95" s="2141">
        <f>SUM(U95:W95)</f>
        <v>9738805</v>
      </c>
      <c r="Y95" s="2142">
        <f>SEPTIEMBRE!AA95</f>
        <v>5006019</v>
      </c>
      <c r="Z95" s="2077">
        <v>2899766</v>
      </c>
      <c r="AA95" s="2141">
        <f>SUM(Y95:Z95)</f>
        <v>7905785</v>
      </c>
      <c r="AB95" s="2142">
        <f>SEPTIEMBRE!AD95</f>
        <v>5006019</v>
      </c>
      <c r="AC95" s="2077">
        <v>2899766</v>
      </c>
      <c r="AD95" s="2141">
        <f>SUM(AB95:AC95)</f>
        <v>7905785</v>
      </c>
      <c r="AE95" s="2142">
        <f>SEPTIEMBRE!AG95</f>
        <v>5006019</v>
      </c>
      <c r="AF95" s="2077">
        <v>2899766</v>
      </c>
      <c r="AG95" s="2141">
        <f>SUM(AE95:AF95)</f>
        <v>7905785</v>
      </c>
      <c r="AH95" s="2142">
        <f>X95-AA95</f>
        <v>1833020</v>
      </c>
      <c r="AI95" s="2091">
        <f>X95-AD95</f>
        <v>1833020</v>
      </c>
      <c r="AJ95" s="2143">
        <f>X95-AG95</f>
        <v>1833020</v>
      </c>
      <c r="AK95" s="1968"/>
      <c r="AL95" s="2079">
        <v>0</v>
      </c>
      <c r="AM95" s="2080">
        <v>0</v>
      </c>
      <c r="AN95" s="2268"/>
      <c r="AO95" s="2269"/>
      <c r="AP95" s="2269"/>
      <c r="AQ95" s="2269"/>
      <c r="AR95" s="2269"/>
      <c r="AS95" s="2269"/>
      <c r="AT95" s="2269"/>
      <c r="AU95" s="2269"/>
      <c r="AV95" s="2269"/>
      <c r="AW95" s="2269"/>
      <c r="AX95" s="2269"/>
      <c r="AY95" s="2269"/>
      <c r="AZ95" s="2269"/>
      <c r="BL95" s="2268"/>
    </row>
    <row r="96" spans="1:70" s="2268" customFormat="1" ht="24.95" customHeight="1">
      <c r="A96" s="2274" t="str">
        <f>+IF(SEPTIEMBRE!A96=0,"",SEPTIEMBRE!A96)</f>
        <v>11303-2</v>
      </c>
      <c r="B96" s="2275" t="str">
        <f>+IF(SEPTIEMBRE!B96=0,"",SEPTIEMBRE!B96)</f>
        <v>CONVENIOS CON EL DEPARTAMENTO NO LIGADOS A LA VENTA SERVICIOS</v>
      </c>
      <c r="C96" s="2266">
        <f>+ENERO!C96</f>
        <v>0</v>
      </c>
      <c r="D96" s="2074">
        <f>SEPTIEMBRE!D96+OCTUBRE!P96</f>
        <v>0</v>
      </c>
      <c r="E96" s="2074">
        <f>SEPTIEMBRE!E96+OCTUBRE!Q96</f>
        <v>125236928</v>
      </c>
      <c r="F96" s="2074">
        <f t="shared" si="101"/>
        <v>125236928</v>
      </c>
      <c r="G96" s="2074">
        <f>SEPTIEMBRE!I96</f>
        <v>125236928</v>
      </c>
      <c r="H96" s="2077">
        <v>0</v>
      </c>
      <c r="I96" s="2074">
        <f t="shared" si="102"/>
        <v>125236928</v>
      </c>
      <c r="J96" s="2074">
        <f>SEPTIEMBRE!L96</f>
        <v>125236928</v>
      </c>
      <c r="K96" s="2077">
        <v>0</v>
      </c>
      <c r="L96" s="2074">
        <f t="shared" si="103"/>
        <v>125236928</v>
      </c>
      <c r="M96" s="2074">
        <f t="shared" si="104"/>
        <v>0</v>
      </c>
      <c r="N96" s="2075">
        <f t="shared" si="105"/>
        <v>0</v>
      </c>
      <c r="O96" s="2093"/>
      <c r="P96" s="2079">
        <v>0</v>
      </c>
      <c r="Q96" s="2080">
        <v>0</v>
      </c>
      <c r="S96" s="2138">
        <f>+IF(SEPTIEMBRE!S96=0,"",SEPTIEMBRE!S96)</f>
        <v>1020302</v>
      </c>
      <c r="T96" s="2139" t="str">
        <f>+IF(SEPTIEMBRE!T96=0,"",SEPTIEMBRE!T96)</f>
        <v>Contribuciones - Otros</v>
      </c>
      <c r="U96" s="2140">
        <f t="shared" ref="U96:AJ96" si="106">SUM(U97:U101)</f>
        <v>259627762</v>
      </c>
      <c r="V96" s="2091">
        <f t="shared" si="106"/>
        <v>1000000</v>
      </c>
      <c r="W96" s="2091">
        <f t="shared" si="106"/>
        <v>20000000</v>
      </c>
      <c r="X96" s="2141">
        <f t="shared" si="106"/>
        <v>280627762</v>
      </c>
      <c r="Y96" s="2142">
        <f t="shared" si="106"/>
        <v>124817798</v>
      </c>
      <c r="Z96" s="2170">
        <f t="shared" si="106"/>
        <v>4773302</v>
      </c>
      <c r="AA96" s="2141">
        <f t="shared" si="106"/>
        <v>129591100</v>
      </c>
      <c r="AB96" s="2142">
        <f t="shared" si="106"/>
        <v>124817798</v>
      </c>
      <c r="AC96" s="2170">
        <f t="shared" si="106"/>
        <v>4773302</v>
      </c>
      <c r="AD96" s="2141">
        <f t="shared" si="106"/>
        <v>129591100</v>
      </c>
      <c r="AE96" s="2142">
        <f t="shared" si="106"/>
        <v>124817798</v>
      </c>
      <c r="AF96" s="2170">
        <f t="shared" si="106"/>
        <v>4773302</v>
      </c>
      <c r="AG96" s="2141">
        <f t="shared" si="106"/>
        <v>129591100</v>
      </c>
      <c r="AH96" s="2142">
        <f t="shared" si="106"/>
        <v>151036662</v>
      </c>
      <c r="AI96" s="2091">
        <f t="shared" si="106"/>
        <v>151036662</v>
      </c>
      <c r="AJ96" s="2143">
        <f t="shared" si="106"/>
        <v>151036662</v>
      </c>
      <c r="AL96" s="2276">
        <f>SUM(AL97:AL101)</f>
        <v>0</v>
      </c>
      <c r="AM96" s="2277">
        <f>SUM(AM97:AM101)</f>
        <v>0</v>
      </c>
      <c r="AO96" s="2269"/>
      <c r="AP96" s="2269"/>
      <c r="AQ96" s="2269"/>
      <c r="AR96" s="2269"/>
      <c r="AS96" s="2269"/>
      <c r="AT96" s="2269"/>
      <c r="AU96" s="2269"/>
      <c r="AV96" s="2269"/>
      <c r="AW96" s="2269"/>
      <c r="AX96" s="2269"/>
      <c r="AY96" s="2269"/>
      <c r="AZ96" s="2269"/>
      <c r="BA96" s="2257"/>
      <c r="BC96" s="2257"/>
      <c r="BD96" s="2257"/>
      <c r="BE96" s="2257"/>
      <c r="BL96" s="2257"/>
      <c r="BM96" s="2257"/>
      <c r="BN96" s="2257"/>
      <c r="BO96" s="2257"/>
      <c r="BP96" s="2257"/>
      <c r="BQ96" s="2257"/>
      <c r="BR96" s="2257"/>
    </row>
    <row r="97" spans="1:70" s="2257" customFormat="1" ht="24.95" customHeight="1">
      <c r="A97" s="2274" t="str">
        <f>+IF(SEPTIEMBRE!A97=0,"",SEPTIEMBRE!A97)</f>
        <v>11303-3</v>
      </c>
      <c r="B97" s="2275" t="str">
        <f>+IF(SEPTIEMBRE!B97=0,"",SEPTIEMBRE!B97)</f>
        <v>CONVENIOS CON EL MUNICIPIO NO LIGADOS A LA VENTA DE SERVICIOS</v>
      </c>
      <c r="C97" s="2266">
        <f>+ENERO!C97</f>
        <v>0</v>
      </c>
      <c r="D97" s="2074">
        <f>SEPTIEMBRE!D97+OCTUBRE!P97</f>
        <v>0</v>
      </c>
      <c r="E97" s="2074">
        <f>SEPTIEMBRE!E97+OCTUBRE!Q97</f>
        <v>0</v>
      </c>
      <c r="F97" s="2074">
        <f t="shared" si="101"/>
        <v>0</v>
      </c>
      <c r="G97" s="2074">
        <f>SEPTIEMBRE!I97</f>
        <v>0</v>
      </c>
      <c r="H97" s="2077">
        <v>0</v>
      </c>
      <c r="I97" s="2074">
        <f t="shared" si="102"/>
        <v>0</v>
      </c>
      <c r="J97" s="2074">
        <f>SEPTIEMBRE!L97</f>
        <v>0</v>
      </c>
      <c r="K97" s="2077">
        <v>0</v>
      </c>
      <c r="L97" s="2074">
        <f t="shared" si="103"/>
        <v>0</v>
      </c>
      <c r="M97" s="2074">
        <f t="shared" si="104"/>
        <v>0</v>
      </c>
      <c r="N97" s="2075">
        <f t="shared" si="105"/>
        <v>0</v>
      </c>
      <c r="O97" s="2093"/>
      <c r="P97" s="2079">
        <v>0</v>
      </c>
      <c r="Q97" s="2080">
        <v>0</v>
      </c>
      <c r="R97" s="2268"/>
      <c r="S97" s="2184" t="str">
        <f>+IF(SEPTIEMBRE!S97=0,"",SEPTIEMBRE!S97)</f>
        <v>1020302-1</v>
      </c>
      <c r="T97" s="2185" t="str">
        <f>+IF(SEPTIEMBRE!T97=0,"",SEPTIEMBRE!T97)</f>
        <v>Aportes a E.P.S.- Con sit. Fondos</v>
      </c>
      <c r="U97" s="2140">
        <f>+ENERO!U97</f>
        <v>52772649</v>
      </c>
      <c r="V97" s="2091">
        <f>SEPTIEMBRE!V97+OCTUBRE!AL97</f>
        <v>0</v>
      </c>
      <c r="W97" s="2091">
        <f>SEPTIEMBRE!W97+OCTUBRE!AM97</f>
        <v>0</v>
      </c>
      <c r="X97" s="2141">
        <f t="shared" ref="X97:X102" si="107">SUM(U97:W97)</f>
        <v>52772649</v>
      </c>
      <c r="Y97" s="2142">
        <f>SEPTIEMBRE!AA97</f>
        <v>37010174</v>
      </c>
      <c r="Z97" s="2077">
        <v>0</v>
      </c>
      <c r="AA97" s="2141">
        <f t="shared" ref="AA97:AA102" si="108">SUM(Y97:Z97)</f>
        <v>37010174</v>
      </c>
      <c r="AB97" s="2142">
        <f>SEPTIEMBRE!AD97</f>
        <v>37010174</v>
      </c>
      <c r="AC97" s="2077">
        <v>0</v>
      </c>
      <c r="AD97" s="2141">
        <f t="shared" ref="AD97:AD102" si="109">SUM(AB97:AC97)</f>
        <v>37010174</v>
      </c>
      <c r="AE97" s="2142">
        <f>SEPTIEMBRE!AG97</f>
        <v>37010174</v>
      </c>
      <c r="AF97" s="2077">
        <v>0</v>
      </c>
      <c r="AG97" s="2141">
        <f t="shared" ref="AG97:AG102" si="110">SUM(AE97:AF97)</f>
        <v>37010174</v>
      </c>
      <c r="AH97" s="2142">
        <f t="shared" ref="AH97:AH102" si="111">X97-AA97</f>
        <v>15762475</v>
      </c>
      <c r="AI97" s="2091">
        <f t="shared" ref="AI97:AI102" si="112">X97-AD97</f>
        <v>15762475</v>
      </c>
      <c r="AJ97" s="2143">
        <f t="shared" ref="AJ97:AJ102" si="113">X97-AG97</f>
        <v>15762475</v>
      </c>
      <c r="AK97" s="2268"/>
      <c r="AL97" s="2079">
        <v>0</v>
      </c>
      <c r="AM97" s="2080">
        <v>0</v>
      </c>
      <c r="AN97" s="2268"/>
      <c r="AO97" s="2269"/>
      <c r="AP97" s="2269"/>
      <c r="AQ97" s="2269"/>
      <c r="AR97" s="2269"/>
      <c r="AS97" s="2269"/>
      <c r="AT97" s="2269"/>
      <c r="AU97" s="2269"/>
      <c r="AV97" s="2269"/>
      <c r="AW97" s="2269"/>
      <c r="AX97" s="2269"/>
      <c r="AY97" s="2269"/>
      <c r="AZ97" s="2269"/>
      <c r="BC97" s="2268"/>
      <c r="BD97" s="2268"/>
      <c r="BE97" s="2268"/>
    </row>
    <row r="98" spans="1:70" s="2257" customFormat="1" ht="24.95" customHeight="1">
      <c r="A98" s="2274" t="str">
        <f>+IF(SEPTIEMBRE!A98=0,"",SEPTIEMBRE!A98)</f>
        <v>11303-4</v>
      </c>
      <c r="B98" s="2275" t="str">
        <f>+IF(SEPTIEMBRE!B98=0,"",SEPTIEMBRE!B98)</f>
        <v>OTROS CONVENIOS NO LIGADOS A LA VENTA DE SERVICIOS</v>
      </c>
      <c r="C98" s="2266">
        <f>+ENERO!C98</f>
        <v>0</v>
      </c>
      <c r="D98" s="2074">
        <f>SEPTIEMBRE!D98+OCTUBRE!P98</f>
        <v>0</v>
      </c>
      <c r="E98" s="2074">
        <f>SEPTIEMBRE!E98+OCTUBRE!Q98</f>
        <v>0</v>
      </c>
      <c r="F98" s="2074">
        <f t="shared" si="101"/>
        <v>0</v>
      </c>
      <c r="G98" s="2074">
        <f>SEPTIEMBRE!I98</f>
        <v>0</v>
      </c>
      <c r="H98" s="2077">
        <v>0</v>
      </c>
      <c r="I98" s="2074">
        <f t="shared" si="102"/>
        <v>0</v>
      </c>
      <c r="J98" s="2074">
        <f>SEPTIEMBRE!L98</f>
        <v>0</v>
      </c>
      <c r="K98" s="2077">
        <v>0</v>
      </c>
      <c r="L98" s="2074">
        <f t="shared" si="103"/>
        <v>0</v>
      </c>
      <c r="M98" s="2074">
        <f t="shared" si="104"/>
        <v>0</v>
      </c>
      <c r="N98" s="2075">
        <f t="shared" si="105"/>
        <v>0</v>
      </c>
      <c r="O98" s="2093"/>
      <c r="P98" s="2079">
        <v>0</v>
      </c>
      <c r="Q98" s="2080">
        <v>0</v>
      </c>
      <c r="R98" s="2268"/>
      <c r="S98" s="2184" t="str">
        <f>+IF(SEPTIEMBRE!S98=0,"",SEPTIEMBRE!S98)</f>
        <v>1020302-2</v>
      </c>
      <c r="T98" s="2185" t="str">
        <f>+IF(SEPTIEMBRE!T98=0,"",SEPTIEMBRE!T98)</f>
        <v>Aportes Fondos Pensionales - Con Sit. Fondos</v>
      </c>
      <c r="U98" s="2140">
        <f>+ENERO!U98</f>
        <v>103712246</v>
      </c>
      <c r="V98" s="2091">
        <f>SEPTIEMBRE!V98+OCTUBRE!AL98</f>
        <v>-5000000</v>
      </c>
      <c r="W98" s="2091">
        <f>SEPTIEMBRE!W98+OCTUBRE!AM98</f>
        <v>0</v>
      </c>
      <c r="X98" s="2141">
        <f t="shared" si="107"/>
        <v>98712246</v>
      </c>
      <c r="Y98" s="2142">
        <f>SEPTIEMBRE!AA98</f>
        <v>50124903</v>
      </c>
      <c r="Z98" s="2077">
        <v>0</v>
      </c>
      <c r="AA98" s="2141">
        <f t="shared" si="108"/>
        <v>50124903</v>
      </c>
      <c r="AB98" s="2142">
        <f>SEPTIEMBRE!AD98</f>
        <v>50124903</v>
      </c>
      <c r="AC98" s="2077">
        <v>0</v>
      </c>
      <c r="AD98" s="2141">
        <f t="shared" si="109"/>
        <v>50124903</v>
      </c>
      <c r="AE98" s="2142">
        <f>SEPTIEMBRE!AG98</f>
        <v>50124903</v>
      </c>
      <c r="AF98" s="2077">
        <v>0</v>
      </c>
      <c r="AG98" s="2141">
        <f t="shared" si="110"/>
        <v>50124903</v>
      </c>
      <c r="AH98" s="2142">
        <f t="shared" si="111"/>
        <v>48587343</v>
      </c>
      <c r="AI98" s="2091">
        <f t="shared" si="112"/>
        <v>48587343</v>
      </c>
      <c r="AJ98" s="2143">
        <f t="shared" si="113"/>
        <v>48587343</v>
      </c>
      <c r="AK98" s="2268"/>
      <c r="AL98" s="2079">
        <v>0</v>
      </c>
      <c r="AM98" s="2080">
        <v>0</v>
      </c>
      <c r="AN98" s="2268"/>
      <c r="AO98" s="2269"/>
      <c r="AP98" s="2269"/>
      <c r="AQ98" s="2269"/>
      <c r="AR98" s="2269"/>
      <c r="AS98" s="2269"/>
      <c r="AT98" s="2269"/>
      <c r="AU98" s="2269"/>
      <c r="AV98" s="2269"/>
      <c r="AW98" s="2269"/>
      <c r="AX98" s="2269"/>
      <c r="AY98" s="2269"/>
      <c r="AZ98" s="2269"/>
      <c r="BN98" s="2268"/>
      <c r="BO98" s="2268"/>
      <c r="BP98" s="2268"/>
      <c r="BQ98" s="2268"/>
      <c r="BR98" s="2268"/>
    </row>
    <row r="99" spans="1:70" s="2257" customFormat="1" ht="24.95" customHeight="1">
      <c r="A99" s="2274" t="str">
        <f>+IF(SEPTIEMBRE!A99=0,"",SEPTIEMBRE!A99)</f>
        <v>11303-5</v>
      </c>
      <c r="B99" s="2275" t="str">
        <f>+IF(SEPTIEMBRE!B99=0,"",SEPTIEMBRE!B99)</f>
        <v>APORTES PATRONALES - MUNICIPIO / DEPARTAMENTO</v>
      </c>
      <c r="C99" s="2266">
        <f>+ENERO!C99</f>
        <v>0</v>
      </c>
      <c r="D99" s="2074">
        <f>SEPTIEMBRE!D99+OCTUBRE!P99</f>
        <v>0</v>
      </c>
      <c r="E99" s="2074">
        <f>SEPTIEMBRE!E99+OCTUBRE!Q99</f>
        <v>0</v>
      </c>
      <c r="F99" s="2074">
        <f t="shared" si="101"/>
        <v>0</v>
      </c>
      <c r="G99" s="2074">
        <f>SEPTIEMBRE!I99</f>
        <v>0</v>
      </c>
      <c r="H99" s="2278">
        <v>0</v>
      </c>
      <c r="I99" s="2074">
        <f t="shared" si="102"/>
        <v>0</v>
      </c>
      <c r="J99" s="2074">
        <f>SEPTIEMBRE!L99</f>
        <v>0</v>
      </c>
      <c r="K99" s="2278">
        <v>0</v>
      </c>
      <c r="L99" s="2074">
        <f t="shared" si="103"/>
        <v>0</v>
      </c>
      <c r="M99" s="2074">
        <f t="shared" si="104"/>
        <v>0</v>
      </c>
      <c r="N99" s="2075">
        <f t="shared" si="105"/>
        <v>0</v>
      </c>
      <c r="O99" s="2093"/>
      <c r="P99" s="2073">
        <v>0</v>
      </c>
      <c r="Q99" s="2279">
        <v>0</v>
      </c>
      <c r="R99" s="2268"/>
      <c r="S99" s="2184" t="str">
        <f>+IF(SEPTIEMBRE!S99=0,"",SEPTIEMBRE!S99)</f>
        <v>1020302-3</v>
      </c>
      <c r="T99" s="2185" t="str">
        <f>+IF(SEPTIEMBRE!T99=0,"",SEPTIEMBRE!T99)</f>
        <v xml:space="preserve">Aportes a Fondos de Cesantia - Con Sit. de Fondos </v>
      </c>
      <c r="U99" s="2140">
        <f>+ENERO!U99</f>
        <v>72193404</v>
      </c>
      <c r="V99" s="2091">
        <f>SEPTIEMBRE!V99+OCTUBRE!AL99</f>
        <v>0</v>
      </c>
      <c r="W99" s="2091">
        <f>SEPTIEMBRE!W99+OCTUBRE!AM99</f>
        <v>0</v>
      </c>
      <c r="X99" s="2141">
        <f t="shared" si="107"/>
        <v>72193404</v>
      </c>
      <c r="Y99" s="2142">
        <f>SEPTIEMBRE!AA99</f>
        <v>3390328</v>
      </c>
      <c r="Z99" s="2077">
        <v>0</v>
      </c>
      <c r="AA99" s="2141">
        <f t="shared" si="108"/>
        <v>3390328</v>
      </c>
      <c r="AB99" s="2142">
        <f>SEPTIEMBRE!AD99</f>
        <v>3390328</v>
      </c>
      <c r="AC99" s="2077">
        <v>0</v>
      </c>
      <c r="AD99" s="2141">
        <f t="shared" si="109"/>
        <v>3390328</v>
      </c>
      <c r="AE99" s="2142">
        <f>SEPTIEMBRE!AG99</f>
        <v>3390328</v>
      </c>
      <c r="AF99" s="2077">
        <v>0</v>
      </c>
      <c r="AG99" s="2141">
        <f t="shared" si="110"/>
        <v>3390328</v>
      </c>
      <c r="AH99" s="2142">
        <f t="shared" si="111"/>
        <v>68803076</v>
      </c>
      <c r="AI99" s="2091">
        <f t="shared" si="112"/>
        <v>68803076</v>
      </c>
      <c r="AJ99" s="2143">
        <f t="shared" si="113"/>
        <v>68803076</v>
      </c>
      <c r="AK99" s="2268"/>
      <c r="AL99" s="2079">
        <v>0</v>
      </c>
      <c r="AM99" s="2080">
        <v>0</v>
      </c>
      <c r="AN99" s="2268"/>
      <c r="AO99" s="2269"/>
      <c r="AP99" s="2269"/>
      <c r="AQ99" s="2269"/>
      <c r="AR99" s="2269"/>
      <c r="AS99" s="2269"/>
      <c r="AT99" s="2269"/>
      <c r="AU99" s="2269"/>
      <c r="AV99" s="2269"/>
      <c r="AW99" s="2269"/>
      <c r="AX99" s="2269"/>
      <c r="AY99" s="2269"/>
      <c r="AZ99" s="2269"/>
      <c r="BM99" s="2268"/>
    </row>
    <row r="100" spans="1:70" s="2093" customFormat="1" ht="24.95" customHeight="1">
      <c r="A100" s="2274" t="str">
        <f>+IF(SEPTIEMBRE!A100=0,"",SEPTIEMBRE!A100)</f>
        <v>11303-6</v>
      </c>
      <c r="B100" s="2275" t="str">
        <f>+IF(SEPTIEMBRE!B100=0,"",SEPTIEMBRE!B100)</f>
        <v>RECURSOS PARA PROGRAMA DE SANEAMIENTO FINANCIERO</v>
      </c>
      <c r="C100" s="2266">
        <f>+ENERO!C100</f>
        <v>0</v>
      </c>
      <c r="D100" s="2074">
        <f>SEPTIEMBRE!D100+OCTUBRE!P100</f>
        <v>0</v>
      </c>
      <c r="E100" s="2074">
        <f>SEPTIEMBRE!E100+OCTUBRE!Q100</f>
        <v>0</v>
      </c>
      <c r="F100" s="2074">
        <f t="shared" si="101"/>
        <v>0</v>
      </c>
      <c r="G100" s="2074">
        <f>SEPTIEMBRE!I100</f>
        <v>0</v>
      </c>
      <c r="H100" s="2077">
        <v>0</v>
      </c>
      <c r="I100" s="2074">
        <f t="shared" si="102"/>
        <v>0</v>
      </c>
      <c r="J100" s="2074">
        <f>SEPTIEMBRE!L100</f>
        <v>0</v>
      </c>
      <c r="K100" s="2077">
        <v>0</v>
      </c>
      <c r="L100" s="2074">
        <f t="shared" si="103"/>
        <v>0</v>
      </c>
      <c r="M100" s="2074">
        <f t="shared" si="104"/>
        <v>0</v>
      </c>
      <c r="N100" s="2075">
        <f t="shared" si="105"/>
        <v>0</v>
      </c>
      <c r="P100" s="2079">
        <v>0</v>
      </c>
      <c r="Q100" s="2080">
        <v>0</v>
      </c>
      <c r="R100" s="1968"/>
      <c r="S100" s="2184" t="str">
        <f>+IF(SEPTIEMBRE!S100=0,"",SEPTIEMBRE!S100)</f>
        <v>1020302-4</v>
      </c>
      <c r="T100" s="2185" t="str">
        <f>+IF(SEPTIEMBRE!T100=0,"",SEPTIEMBRE!T100)</f>
        <v>Aporte a ARL. - Con Sit. de Fondos</v>
      </c>
      <c r="U100" s="2140">
        <f>+ENERO!U100</f>
        <v>20885552</v>
      </c>
      <c r="V100" s="2091">
        <f>SEPTIEMBRE!V100+OCTUBRE!AL100</f>
        <v>0</v>
      </c>
      <c r="W100" s="2091">
        <f>SEPTIEMBRE!W100+OCTUBRE!AM100</f>
        <v>0</v>
      </c>
      <c r="X100" s="2141">
        <f t="shared" si="107"/>
        <v>20885552</v>
      </c>
      <c r="Y100" s="2142">
        <f>SEPTIEMBRE!AA100</f>
        <v>9831767</v>
      </c>
      <c r="Z100" s="2077">
        <v>0</v>
      </c>
      <c r="AA100" s="2141">
        <f t="shared" si="108"/>
        <v>9831767</v>
      </c>
      <c r="AB100" s="2142">
        <f>SEPTIEMBRE!AD100</f>
        <v>9831767</v>
      </c>
      <c r="AC100" s="2077">
        <v>0</v>
      </c>
      <c r="AD100" s="2141">
        <f t="shared" si="109"/>
        <v>9831767</v>
      </c>
      <c r="AE100" s="2142">
        <f>SEPTIEMBRE!AG100</f>
        <v>9831767</v>
      </c>
      <c r="AF100" s="2077">
        <v>0</v>
      </c>
      <c r="AG100" s="2141">
        <f t="shared" si="110"/>
        <v>9831767</v>
      </c>
      <c r="AH100" s="2142">
        <f t="shared" si="111"/>
        <v>11053785</v>
      </c>
      <c r="AI100" s="2091">
        <f t="shared" si="112"/>
        <v>11053785</v>
      </c>
      <c r="AJ100" s="2143">
        <f t="shared" si="113"/>
        <v>11053785</v>
      </c>
      <c r="AK100" s="2268"/>
      <c r="AL100" s="2079">
        <v>0</v>
      </c>
      <c r="AM100" s="2080">
        <v>0</v>
      </c>
      <c r="AN100" s="1968"/>
      <c r="AO100" s="1919"/>
      <c r="AP100" s="1919"/>
      <c r="AQ100" s="1919"/>
      <c r="AR100" s="1919"/>
      <c r="AS100" s="1919"/>
      <c r="AT100" s="1919"/>
      <c r="AU100" s="1919"/>
      <c r="AV100" s="1919"/>
      <c r="AW100" s="1919"/>
      <c r="AX100" s="1919"/>
      <c r="AY100" s="1919"/>
      <c r="AZ100" s="1919"/>
      <c r="BM100" s="2257"/>
      <c r="BN100" s="2257"/>
      <c r="BO100" s="2257"/>
      <c r="BP100" s="2257"/>
      <c r="BQ100" s="2257"/>
      <c r="BR100" s="2257"/>
    </row>
    <row r="101" spans="1:70" s="2093" customFormat="1" ht="24.95" customHeight="1">
      <c r="A101" s="2274" t="str">
        <f>+IF(SEPTIEMBRE!A101=0,"",SEPTIEMBRE!A101)</f>
        <v>11303-7</v>
      </c>
      <c r="B101" s="2275" t="str">
        <f>+IF(SEPTIEMBRE!B101=0,"",SEPTIEMBRE!B101)</f>
        <v/>
      </c>
      <c r="C101" s="2266">
        <f>+ENERO!C101</f>
        <v>0</v>
      </c>
      <c r="D101" s="2074">
        <f>SEPTIEMBRE!D101+OCTUBRE!P101</f>
        <v>0</v>
      </c>
      <c r="E101" s="2074">
        <f>SEPTIEMBRE!E101+OCTUBRE!Q101</f>
        <v>0</v>
      </c>
      <c r="F101" s="2074">
        <f t="shared" si="101"/>
        <v>0</v>
      </c>
      <c r="G101" s="2074">
        <f>SEPTIEMBRE!I101</f>
        <v>0</v>
      </c>
      <c r="H101" s="2077">
        <v>0</v>
      </c>
      <c r="I101" s="2074">
        <f t="shared" si="102"/>
        <v>0</v>
      </c>
      <c r="J101" s="2074">
        <f>SEPTIEMBRE!L101</f>
        <v>0</v>
      </c>
      <c r="K101" s="2077">
        <v>0</v>
      </c>
      <c r="L101" s="2074">
        <f t="shared" si="103"/>
        <v>0</v>
      </c>
      <c r="M101" s="2074">
        <f t="shared" si="104"/>
        <v>0</v>
      </c>
      <c r="N101" s="2075">
        <f t="shared" si="105"/>
        <v>0</v>
      </c>
      <c r="P101" s="2079">
        <v>0</v>
      </c>
      <c r="Q101" s="2080">
        <v>0</v>
      </c>
      <c r="R101" s="1968"/>
      <c r="S101" s="2184" t="str">
        <f>+IF(SEPTIEMBRE!S101=0,"",SEPTIEMBRE!S101)</f>
        <v>1020302-5</v>
      </c>
      <c r="T101" s="2185" t="str">
        <f>+IF(SEPTIEMBRE!T101=0,"",SEPTIEMBRE!T101)</f>
        <v>Aporte a Caja Compensación Familiar</v>
      </c>
      <c r="U101" s="2140">
        <f>+ENERO!U101</f>
        <v>10063911</v>
      </c>
      <c r="V101" s="2091">
        <f>SEPTIEMBRE!V101+OCTUBRE!AL101</f>
        <v>6000000</v>
      </c>
      <c r="W101" s="2091">
        <f>SEPTIEMBRE!W101+OCTUBRE!AM101</f>
        <v>20000000</v>
      </c>
      <c r="X101" s="2141">
        <f t="shared" si="107"/>
        <v>36063911</v>
      </c>
      <c r="Y101" s="2142">
        <f>SEPTIEMBRE!AA101</f>
        <v>24460626</v>
      </c>
      <c r="Z101" s="2077">
        <v>4773302</v>
      </c>
      <c r="AA101" s="2141">
        <f t="shared" si="108"/>
        <v>29233928</v>
      </c>
      <c r="AB101" s="2142">
        <f>SEPTIEMBRE!AD101</f>
        <v>24460626</v>
      </c>
      <c r="AC101" s="2077">
        <v>4773302</v>
      </c>
      <c r="AD101" s="2141">
        <f t="shared" si="109"/>
        <v>29233928</v>
      </c>
      <c r="AE101" s="2142">
        <f>SEPTIEMBRE!AG101</f>
        <v>24460626</v>
      </c>
      <c r="AF101" s="2077">
        <v>4773302</v>
      </c>
      <c r="AG101" s="2141">
        <f t="shared" si="110"/>
        <v>29233928</v>
      </c>
      <c r="AH101" s="2142">
        <f t="shared" si="111"/>
        <v>6829983</v>
      </c>
      <c r="AI101" s="2091">
        <f t="shared" si="112"/>
        <v>6829983</v>
      </c>
      <c r="AJ101" s="2143">
        <f t="shared" si="113"/>
        <v>6829983</v>
      </c>
      <c r="AK101" s="2268"/>
      <c r="AL101" s="2079">
        <v>0</v>
      </c>
      <c r="AM101" s="2080">
        <v>0</v>
      </c>
      <c r="AN101" s="1968"/>
      <c r="AO101" s="1919"/>
      <c r="AP101" s="1919"/>
      <c r="AQ101" s="1919"/>
      <c r="AR101" s="1919"/>
      <c r="AS101" s="1919"/>
      <c r="AT101" s="1919"/>
      <c r="AU101" s="1919"/>
      <c r="AV101" s="1919"/>
      <c r="AW101" s="1919"/>
      <c r="AX101" s="1919"/>
      <c r="AY101" s="1919"/>
      <c r="AZ101" s="1919"/>
      <c r="BM101" s="2257"/>
      <c r="BN101" s="2257"/>
      <c r="BO101" s="2257"/>
      <c r="BP101" s="2257"/>
      <c r="BQ101" s="2257"/>
      <c r="BR101" s="2257"/>
    </row>
    <row r="102" spans="1:70" s="2093" customFormat="1" ht="24.95" customHeight="1" thickBot="1">
      <c r="A102" s="2274" t="str">
        <f>+IF(SEPTIEMBRE!A102=0,"",SEPTIEMBRE!A102)</f>
        <v>11303-8</v>
      </c>
      <c r="B102" s="2270" t="str">
        <f>+IF(SEPTIEMBRE!B102=0,"",SEPTIEMBRE!B102)</f>
        <v>Vigencia Anterior</v>
      </c>
      <c r="C102" s="2271">
        <f>+ENERO!C102</f>
        <v>0</v>
      </c>
      <c r="D102" s="2115">
        <f>SEPTIEMBRE!D102+OCTUBRE!P102</f>
        <v>0</v>
      </c>
      <c r="E102" s="2115">
        <f>SEPTIEMBRE!E102+OCTUBRE!Q102</f>
        <v>173019903</v>
      </c>
      <c r="F102" s="2115">
        <f t="shared" si="101"/>
        <v>173019903</v>
      </c>
      <c r="G102" s="2115">
        <f>SEPTIEMBRE!I102</f>
        <v>173019903</v>
      </c>
      <c r="H102" s="2118">
        <v>0</v>
      </c>
      <c r="I102" s="2115">
        <f t="shared" si="102"/>
        <v>173019903</v>
      </c>
      <c r="J102" s="2115">
        <f>SEPTIEMBRE!L102</f>
        <v>173019903</v>
      </c>
      <c r="K102" s="2118">
        <v>0</v>
      </c>
      <c r="L102" s="2115">
        <f t="shared" si="103"/>
        <v>173019903</v>
      </c>
      <c r="M102" s="2115">
        <f t="shared" si="104"/>
        <v>0</v>
      </c>
      <c r="N102" s="2116">
        <f t="shared" si="105"/>
        <v>0</v>
      </c>
      <c r="P102" s="2079">
        <v>0</v>
      </c>
      <c r="Q102" s="2080">
        <f>55317004+66036772</f>
        <v>121353776</v>
      </c>
      <c r="R102" s="1968"/>
      <c r="S102" s="2138">
        <f>+IF(SEPTIEMBRE!S102=0,"",SEPTIEMBRE!S102)</f>
        <v>1020399</v>
      </c>
      <c r="T102" s="2139" t="str">
        <f>+IF(SEPTIEMBRE!T102=0,"",SEPTIEMBRE!T102)</f>
        <v>Vigencias Anteriores</v>
      </c>
      <c r="U102" s="2140">
        <f>+ENERO!U102</f>
        <v>0</v>
      </c>
      <c r="V102" s="2091">
        <f>SEPTIEMBRE!V102+OCTUBRE!AL102</f>
        <v>-78539920</v>
      </c>
      <c r="W102" s="2091">
        <f>SEPTIEMBRE!W102+OCTUBRE!AM102</f>
        <v>78539920</v>
      </c>
      <c r="X102" s="2141">
        <f t="shared" si="107"/>
        <v>0</v>
      </c>
      <c r="Y102" s="2142">
        <f>SEPTIEMBRE!AA102</f>
        <v>0</v>
      </c>
      <c r="Z102" s="2077">
        <v>0</v>
      </c>
      <c r="AA102" s="2141">
        <f t="shared" si="108"/>
        <v>0</v>
      </c>
      <c r="AB102" s="2142">
        <f>SEPTIEMBRE!AD102</f>
        <v>0</v>
      </c>
      <c r="AC102" s="2077">
        <v>0</v>
      </c>
      <c r="AD102" s="2141">
        <f t="shared" si="109"/>
        <v>0</v>
      </c>
      <c r="AE102" s="2142">
        <f>SEPTIEMBRE!AG102</f>
        <v>0</v>
      </c>
      <c r="AF102" s="2077">
        <v>0</v>
      </c>
      <c r="AG102" s="2141">
        <f t="shared" si="110"/>
        <v>0</v>
      </c>
      <c r="AH102" s="2142">
        <f t="shared" si="111"/>
        <v>0</v>
      </c>
      <c r="AI102" s="2091">
        <f t="shared" si="112"/>
        <v>0</v>
      </c>
      <c r="AJ102" s="2143">
        <f t="shared" si="113"/>
        <v>0</v>
      </c>
      <c r="AK102" s="1968"/>
      <c r="AL102" s="2079">
        <v>0</v>
      </c>
      <c r="AM102" s="2080">
        <v>0</v>
      </c>
      <c r="AN102" s="1968"/>
      <c r="AO102" s="1919"/>
      <c r="AP102" s="1919"/>
      <c r="AQ102" s="1919"/>
      <c r="AR102" s="1919"/>
      <c r="AS102" s="1919"/>
      <c r="AT102" s="1919"/>
      <c r="AU102" s="1919"/>
      <c r="AV102" s="1919"/>
      <c r="AW102" s="1919"/>
      <c r="AX102" s="1919"/>
      <c r="AY102" s="1919"/>
      <c r="AZ102" s="1919"/>
    </row>
    <row r="103" spans="1:70" s="2093" customFormat="1" ht="24.95" customHeight="1" thickBot="1">
      <c r="A103" s="2280" t="str">
        <f>+IF(SEPTIEMBRE!A103=0,"",SEPTIEMBRE!A103)</f>
        <v/>
      </c>
      <c r="B103" s="2281" t="str">
        <f>+IF(SEPTIEMBRE!B103=0,"",SEPTIEMBRE!B103)</f>
        <v/>
      </c>
      <c r="C103" s="2282"/>
      <c r="D103" s="2282"/>
      <c r="E103" s="2282"/>
      <c r="F103" s="2282"/>
      <c r="G103" s="2282"/>
      <c r="H103" s="2282"/>
      <c r="I103" s="2282"/>
      <c r="J103" s="2282"/>
      <c r="K103" s="2282"/>
      <c r="L103" s="2282"/>
      <c r="M103" s="2282"/>
      <c r="N103" s="2283"/>
      <c r="P103" s="2284"/>
      <c r="Q103" s="2283"/>
      <c r="R103" s="1968"/>
      <c r="S103" s="2058" t="str">
        <f>+IF(SEPTIEMBRE!S103=0,"",SEPTIEMBRE!S103)</f>
        <v/>
      </c>
      <c r="T103" s="2059" t="str">
        <f>+IF(SEPTIEMBRE!T103=0,"",SEPTIEMBRE!T103)</f>
        <v/>
      </c>
      <c r="U103" s="2060"/>
      <c r="V103" s="2060"/>
      <c r="W103" s="2060"/>
      <c r="X103" s="2060"/>
      <c r="Y103" s="2060"/>
      <c r="Z103" s="2060"/>
      <c r="AA103" s="2060"/>
      <c r="AB103" s="2060"/>
      <c r="AC103" s="2060"/>
      <c r="AD103" s="2060"/>
      <c r="AE103" s="2060"/>
      <c r="AF103" s="2060"/>
      <c r="AG103" s="2060"/>
      <c r="AH103" s="2060"/>
      <c r="AI103" s="2060"/>
      <c r="AJ103" s="2061"/>
      <c r="AK103" s="1968"/>
      <c r="AL103" s="2248"/>
      <c r="AM103" s="2249"/>
      <c r="AN103" s="1968"/>
      <c r="AO103" s="1919"/>
      <c r="AP103" s="1919"/>
      <c r="AQ103" s="1919"/>
      <c r="AR103" s="1919"/>
      <c r="AS103" s="1919"/>
      <c r="AT103" s="1919"/>
      <c r="AU103" s="1919"/>
      <c r="AV103" s="1919"/>
      <c r="AW103" s="1919"/>
      <c r="AX103" s="1919"/>
      <c r="AY103" s="1919"/>
      <c r="AZ103" s="1919"/>
    </row>
    <row r="104" spans="1:70" s="2093" customFormat="1" ht="24.95" customHeight="1">
      <c r="A104" s="2272">
        <f>+IF(SEPTIEMBRE!A104=0,"",SEPTIEMBRE!A104)</f>
        <v>11304</v>
      </c>
      <c r="B104" s="2273" t="str">
        <f>+IF(SEPTIEMBRE!B104=0,"",SEPTIEMBRE!B104)</f>
        <v>Otros ingresos corrientes</v>
      </c>
      <c r="C104" s="2261">
        <f>SUM(C105:C111)</f>
        <v>667440000</v>
      </c>
      <c r="D104" s="2262">
        <f t="shared" ref="D104:N104" si="114">SUM(D105:D111)</f>
        <v>0</v>
      </c>
      <c r="E104" s="2262">
        <f t="shared" si="114"/>
        <v>80764441</v>
      </c>
      <c r="F104" s="2262">
        <f t="shared" si="114"/>
        <v>748204441</v>
      </c>
      <c r="G104" s="2262">
        <f t="shared" si="114"/>
        <v>825678632</v>
      </c>
      <c r="H104" s="2262">
        <f t="shared" si="114"/>
        <v>109209723</v>
      </c>
      <c r="I104" s="2262">
        <f t="shared" si="114"/>
        <v>934888355</v>
      </c>
      <c r="J104" s="2262">
        <f t="shared" si="114"/>
        <v>573219494</v>
      </c>
      <c r="K104" s="2262">
        <f t="shared" si="114"/>
        <v>59484001</v>
      </c>
      <c r="L104" s="2262">
        <f t="shared" si="114"/>
        <v>632703495</v>
      </c>
      <c r="M104" s="2262">
        <f t="shared" si="114"/>
        <v>-186683914</v>
      </c>
      <c r="N104" s="2263">
        <f t="shared" si="114"/>
        <v>115500946</v>
      </c>
      <c r="P104" s="2159">
        <f>SUM(P105:P111)</f>
        <v>0</v>
      </c>
      <c r="Q104" s="2160">
        <f>SUM(Q105:Q111)</f>
        <v>0</v>
      </c>
      <c r="R104" s="1968"/>
      <c r="S104" s="2130">
        <f>+IF(SEPTIEMBRE!S104=0,"",SEPTIEMBRE!S104)</f>
        <v>1020400</v>
      </c>
      <c r="T104" s="2131" t="str">
        <f>+IF(SEPTIEMBRE!T104=0,"",SEPTIEMBRE!T104)</f>
        <v>Contribuciones Inherentes nómina del Sector Publico</v>
      </c>
      <c r="U104" s="2103">
        <f t="shared" ref="U104:AJ104" si="115">U105+U108</f>
        <v>43075476</v>
      </c>
      <c r="V104" s="2104">
        <f t="shared" si="115"/>
        <v>15000000</v>
      </c>
      <c r="W104" s="2104">
        <f t="shared" si="115"/>
        <v>0</v>
      </c>
      <c r="X104" s="2105">
        <f t="shared" si="115"/>
        <v>58075476</v>
      </c>
      <c r="Y104" s="2106">
        <f t="shared" si="115"/>
        <v>32633591</v>
      </c>
      <c r="Z104" s="2104">
        <f t="shared" si="115"/>
        <v>5966627</v>
      </c>
      <c r="AA104" s="2105">
        <f t="shared" si="115"/>
        <v>38600218</v>
      </c>
      <c r="AB104" s="2106">
        <f t="shared" si="115"/>
        <v>32633591</v>
      </c>
      <c r="AC104" s="2104">
        <f t="shared" si="115"/>
        <v>5966627</v>
      </c>
      <c r="AD104" s="2105">
        <f t="shared" si="115"/>
        <v>38600218</v>
      </c>
      <c r="AE104" s="2106">
        <f t="shared" si="115"/>
        <v>32633591</v>
      </c>
      <c r="AF104" s="2104">
        <f t="shared" si="115"/>
        <v>5966627</v>
      </c>
      <c r="AG104" s="2105">
        <f t="shared" si="115"/>
        <v>38600218</v>
      </c>
      <c r="AH104" s="2106">
        <f t="shared" si="115"/>
        <v>19475258</v>
      </c>
      <c r="AI104" s="2104">
        <f t="shared" si="115"/>
        <v>19475258</v>
      </c>
      <c r="AJ104" s="2107">
        <f t="shared" si="115"/>
        <v>19475258</v>
      </c>
      <c r="AK104" s="1968"/>
      <c r="AL104" s="2106">
        <f>AL105+AL108</f>
        <v>10000000</v>
      </c>
      <c r="AM104" s="2107">
        <f>AM105+AM108</f>
        <v>0</v>
      </c>
      <c r="AN104" s="1968"/>
      <c r="AO104" s="1919"/>
      <c r="AP104" s="1919"/>
      <c r="AQ104" s="1919"/>
      <c r="AR104" s="1919"/>
      <c r="AS104" s="1919"/>
      <c r="AT104" s="1919"/>
      <c r="AU104" s="1919"/>
      <c r="AV104" s="1919"/>
      <c r="AW104" s="1919"/>
      <c r="AX104" s="1919"/>
      <c r="AY104" s="1919"/>
      <c r="AZ104" s="1919"/>
    </row>
    <row r="105" spans="1:70" s="2093" customFormat="1" ht="24.95" customHeight="1">
      <c r="A105" s="2274" t="str">
        <f>+IF(SEPTIEMBRE!A105=0,"",SEPTIEMBRE!A105)</f>
        <v>11304-1</v>
      </c>
      <c r="B105" s="2275" t="str">
        <f>+IF(SEPTIEMBRE!B105=0,"",SEPTIEMBRE!B105)</f>
        <v>ARRENDAMIENTO Y ALQUILER DE BIENES MUEBLES E INMUEBLES</v>
      </c>
      <c r="C105" s="2266">
        <f>+ENERO!C105</f>
        <v>667440000</v>
      </c>
      <c r="D105" s="2074">
        <f>SEPTIEMBRE!D105+OCTUBRE!P105</f>
        <v>0</v>
      </c>
      <c r="E105" s="2074">
        <f>SEPTIEMBRE!E105+OCTUBRE!Q105</f>
        <v>0</v>
      </c>
      <c r="F105" s="2074">
        <f t="shared" ref="F105:F111" si="116">SUM(C105:E105)</f>
        <v>667440000</v>
      </c>
      <c r="G105" s="2074">
        <f>SEPTIEMBRE!I105</f>
        <v>650731341</v>
      </c>
      <c r="H105" s="2077">
        <v>67640159</v>
      </c>
      <c r="I105" s="2074">
        <f t="shared" ref="I105:I111" si="117">SUM(G105:H105)</f>
        <v>718371500</v>
      </c>
      <c r="J105" s="2074">
        <f>SEPTIEMBRE!L105</f>
        <v>437904418</v>
      </c>
      <c r="K105" s="2077">
        <v>56864659</v>
      </c>
      <c r="L105" s="2074">
        <f t="shared" ref="L105:L111" si="118">SUM(J105:K105)</f>
        <v>494769077</v>
      </c>
      <c r="M105" s="2074">
        <f t="shared" ref="M105:M111" si="119">F105-I105</f>
        <v>-50931500</v>
      </c>
      <c r="N105" s="2075">
        <f t="shared" ref="N105:N111" si="120">F105-L105</f>
        <v>172670923</v>
      </c>
      <c r="P105" s="2079">
        <v>0</v>
      </c>
      <c r="Q105" s="2080">
        <v>0</v>
      </c>
      <c r="R105" s="1968"/>
      <c r="S105" s="2138">
        <f>+IF(SEPTIEMBRE!S105=0,"",SEPTIEMBRE!S105)</f>
        <v>1020402</v>
      </c>
      <c r="T105" s="2139" t="str">
        <f>+IF(SEPTIEMBRE!T105=0,"",SEPTIEMBRE!T105)</f>
        <v>Contribuciones - Otros</v>
      </c>
      <c r="U105" s="2140">
        <f t="shared" ref="U105:AJ105" si="121">SUM(U106:U107)</f>
        <v>43075476</v>
      </c>
      <c r="V105" s="2091">
        <f t="shared" si="121"/>
        <v>15000000</v>
      </c>
      <c r="W105" s="2091">
        <f t="shared" si="121"/>
        <v>0</v>
      </c>
      <c r="X105" s="2141">
        <f t="shared" si="121"/>
        <v>58075476</v>
      </c>
      <c r="Y105" s="2142">
        <f t="shared" si="121"/>
        <v>32633591</v>
      </c>
      <c r="Z105" s="2170">
        <f t="shared" si="121"/>
        <v>5966627</v>
      </c>
      <c r="AA105" s="2141">
        <f t="shared" si="121"/>
        <v>38600218</v>
      </c>
      <c r="AB105" s="2142">
        <f t="shared" si="121"/>
        <v>32633591</v>
      </c>
      <c r="AC105" s="2170">
        <f t="shared" si="121"/>
        <v>5966627</v>
      </c>
      <c r="AD105" s="2141">
        <f t="shared" si="121"/>
        <v>38600218</v>
      </c>
      <c r="AE105" s="2142">
        <f t="shared" si="121"/>
        <v>32633591</v>
      </c>
      <c r="AF105" s="2170">
        <f t="shared" si="121"/>
        <v>5966627</v>
      </c>
      <c r="AG105" s="2141">
        <f t="shared" si="121"/>
        <v>38600218</v>
      </c>
      <c r="AH105" s="2142">
        <f t="shared" si="121"/>
        <v>19475258</v>
      </c>
      <c r="AI105" s="2091">
        <f t="shared" si="121"/>
        <v>19475258</v>
      </c>
      <c r="AJ105" s="2143">
        <f t="shared" si="121"/>
        <v>19475258</v>
      </c>
      <c r="AK105" s="2086"/>
      <c r="AL105" s="2171">
        <f>SUM(AL106:AL107)</f>
        <v>10000000</v>
      </c>
      <c r="AM105" s="2172">
        <f>SUM(AM106:AM107)</f>
        <v>0</v>
      </c>
      <c r="AN105" s="1968"/>
      <c r="AO105" s="1919"/>
      <c r="AP105" s="1919"/>
      <c r="AQ105" s="1919"/>
      <c r="AR105" s="1919"/>
      <c r="AS105" s="1919"/>
      <c r="AT105" s="1919"/>
      <c r="AU105" s="1919"/>
      <c r="AV105" s="1919"/>
      <c r="AW105" s="1919"/>
      <c r="AX105" s="1919"/>
      <c r="AY105" s="1919"/>
      <c r="AZ105" s="1919"/>
    </row>
    <row r="106" spans="1:70" s="2093" customFormat="1" ht="24.95" customHeight="1">
      <c r="A106" s="2274" t="str">
        <f>+IF(SEPTIEMBRE!A106=0,"",SEPTIEMBRE!A106)</f>
        <v>11304-2</v>
      </c>
      <c r="B106" s="2285" t="str">
        <f>+IF(SEPTIEMBRE!B106=0,"",SEPTIEMBRE!B106)</f>
        <v>COMERCIALIZACIÓN DE MERCANCÍAS</v>
      </c>
      <c r="C106" s="2266">
        <f>+ENERO!C106</f>
        <v>0</v>
      </c>
      <c r="D106" s="2074">
        <f>SEPTIEMBRE!D106+OCTUBRE!P106</f>
        <v>0</v>
      </c>
      <c r="E106" s="2074">
        <f>SEPTIEMBRE!E106+OCTUBRE!Q106</f>
        <v>0</v>
      </c>
      <c r="F106" s="2074">
        <f t="shared" si="116"/>
        <v>0</v>
      </c>
      <c r="G106" s="2074">
        <f>SEPTIEMBRE!I106</f>
        <v>0</v>
      </c>
      <c r="H106" s="2077">
        <v>0</v>
      </c>
      <c r="I106" s="2074">
        <f t="shared" si="117"/>
        <v>0</v>
      </c>
      <c r="J106" s="2074">
        <f>SEPTIEMBRE!L106</f>
        <v>0</v>
      </c>
      <c r="K106" s="2077">
        <v>0</v>
      </c>
      <c r="L106" s="2074">
        <f t="shared" si="118"/>
        <v>0</v>
      </c>
      <c r="M106" s="2074">
        <f t="shared" si="119"/>
        <v>0</v>
      </c>
      <c r="N106" s="2075">
        <f t="shared" si="120"/>
        <v>0</v>
      </c>
      <c r="P106" s="2079">
        <v>0</v>
      </c>
      <c r="Q106" s="2080">
        <v>0</v>
      </c>
      <c r="R106" s="1968"/>
      <c r="S106" s="2184" t="str">
        <f>+IF(SEPTIEMBRE!S106=0,"",SEPTIEMBRE!S106)</f>
        <v>1020402-1</v>
      </c>
      <c r="T106" s="2185" t="str">
        <f>+IF(SEPTIEMBRE!T106=0,"",SEPTIEMBRE!T106)</f>
        <v>S.E.N.A.</v>
      </c>
      <c r="U106" s="2140">
        <f>+ENERO!U106</f>
        <v>25928061</v>
      </c>
      <c r="V106" s="2091">
        <f>SEPTIEMBRE!V106+OCTUBRE!AL106</f>
        <v>0</v>
      </c>
      <c r="W106" s="2091">
        <f>SEPTIEMBRE!W106+OCTUBRE!AM106</f>
        <v>0</v>
      </c>
      <c r="X106" s="2141">
        <f>SUM(U106:W106)</f>
        <v>25928061</v>
      </c>
      <c r="Y106" s="2142">
        <f>SEPTIEMBRE!AA106</f>
        <v>13222222</v>
      </c>
      <c r="Z106" s="2077">
        <v>2386651</v>
      </c>
      <c r="AA106" s="2141">
        <f>SUM(Y106:Z106)</f>
        <v>15608873</v>
      </c>
      <c r="AB106" s="2142">
        <f>SEPTIEMBRE!AD106</f>
        <v>13222222</v>
      </c>
      <c r="AC106" s="2077">
        <v>2386651</v>
      </c>
      <c r="AD106" s="2141">
        <f>SUM(AB106:AC106)</f>
        <v>15608873</v>
      </c>
      <c r="AE106" s="2142">
        <f>SEPTIEMBRE!AG106</f>
        <v>13222222</v>
      </c>
      <c r="AF106" s="2077">
        <v>2386651</v>
      </c>
      <c r="AG106" s="2141">
        <f>SUM(AE106:AF106)</f>
        <v>15608873</v>
      </c>
      <c r="AH106" s="2142">
        <f>X106-AA106</f>
        <v>10319188</v>
      </c>
      <c r="AI106" s="2091">
        <f>X106-AD106</f>
        <v>10319188</v>
      </c>
      <c r="AJ106" s="2143">
        <f>X106-AG106</f>
        <v>10319188</v>
      </c>
      <c r="AK106" s="1968"/>
      <c r="AL106" s="2079">
        <v>0</v>
      </c>
      <c r="AM106" s="2080">
        <v>0</v>
      </c>
      <c r="AN106" s="1968"/>
      <c r="AO106" s="1919"/>
      <c r="AP106" s="1919"/>
      <c r="AQ106" s="1919"/>
      <c r="AR106" s="1919"/>
      <c r="AS106" s="1919"/>
      <c r="AT106" s="1919"/>
      <c r="AU106" s="1919"/>
      <c r="AV106" s="1919"/>
      <c r="AW106" s="1919"/>
      <c r="AX106" s="1919"/>
      <c r="AY106" s="1919"/>
      <c r="AZ106" s="1919"/>
    </row>
    <row r="107" spans="1:70" s="2093" customFormat="1" ht="24.95" customHeight="1">
      <c r="A107" s="2274" t="str">
        <f>+IF(SEPTIEMBRE!A107=0,"",SEPTIEMBRE!A107)</f>
        <v>11304-3</v>
      </c>
      <c r="B107" s="2275" t="str">
        <f>+IF(SEPTIEMBRE!B107=0,"",SEPTIEMBRE!B107)</f>
        <v>Bienestar Social</v>
      </c>
      <c r="C107" s="2266">
        <f>+ENERO!C107</f>
        <v>0</v>
      </c>
      <c r="D107" s="2074">
        <f>SEPTIEMBRE!D107+OCTUBRE!P107</f>
        <v>0</v>
      </c>
      <c r="E107" s="2074">
        <f>SEPTIEMBRE!E107+OCTUBRE!Q107</f>
        <v>0</v>
      </c>
      <c r="F107" s="2074">
        <f t="shared" si="116"/>
        <v>0</v>
      </c>
      <c r="G107" s="2074">
        <f>SEPTIEMBRE!I107</f>
        <v>445983</v>
      </c>
      <c r="H107" s="2077">
        <v>0</v>
      </c>
      <c r="I107" s="2074">
        <f t="shared" si="117"/>
        <v>445983</v>
      </c>
      <c r="J107" s="2074">
        <f>SEPTIEMBRE!L107</f>
        <v>445983</v>
      </c>
      <c r="K107" s="2077">
        <v>0</v>
      </c>
      <c r="L107" s="2074">
        <f t="shared" si="118"/>
        <v>445983</v>
      </c>
      <c r="M107" s="2074">
        <f t="shared" si="119"/>
        <v>-445983</v>
      </c>
      <c r="N107" s="2075">
        <f t="shared" si="120"/>
        <v>-445983</v>
      </c>
      <c r="P107" s="2079">
        <v>0</v>
      </c>
      <c r="Q107" s="2080">
        <v>0</v>
      </c>
      <c r="R107" s="1968"/>
      <c r="S107" s="2184" t="str">
        <f>+IF(SEPTIEMBRE!S107=0,"",SEPTIEMBRE!S107)</f>
        <v>1020402-2</v>
      </c>
      <c r="T107" s="2185" t="str">
        <f>+IF(SEPTIEMBRE!T107=0,"",SEPTIEMBRE!T107)</f>
        <v>I.C.B.F.</v>
      </c>
      <c r="U107" s="2140">
        <f>+ENERO!U107</f>
        <v>17147415</v>
      </c>
      <c r="V107" s="2091">
        <f>SEPTIEMBRE!V107+OCTUBRE!AL107</f>
        <v>15000000</v>
      </c>
      <c r="W107" s="2091">
        <f>SEPTIEMBRE!W107+OCTUBRE!AM107</f>
        <v>0</v>
      </c>
      <c r="X107" s="2141">
        <f>SUM(U107:W107)</f>
        <v>32147415</v>
      </c>
      <c r="Y107" s="2142">
        <f>SEPTIEMBRE!AA107</f>
        <v>19411369</v>
      </c>
      <c r="Z107" s="2077">
        <v>3579976</v>
      </c>
      <c r="AA107" s="2141">
        <f>SUM(Y107:Z107)</f>
        <v>22991345</v>
      </c>
      <c r="AB107" s="2142">
        <f>SEPTIEMBRE!AD107</f>
        <v>19411369</v>
      </c>
      <c r="AC107" s="2077">
        <v>3579976</v>
      </c>
      <c r="AD107" s="2141">
        <f>SUM(AB107:AC107)</f>
        <v>22991345</v>
      </c>
      <c r="AE107" s="2142">
        <f>SEPTIEMBRE!AG107</f>
        <v>19411369</v>
      </c>
      <c r="AF107" s="2077">
        <v>3579976</v>
      </c>
      <c r="AG107" s="2141">
        <f>SUM(AE107:AF107)</f>
        <v>22991345</v>
      </c>
      <c r="AH107" s="2142">
        <f>X107-AA107</f>
        <v>9156070</v>
      </c>
      <c r="AI107" s="2091">
        <f>X107-AD107</f>
        <v>9156070</v>
      </c>
      <c r="AJ107" s="2143">
        <f>X107-AG107</f>
        <v>9156070</v>
      </c>
      <c r="AK107" s="1968"/>
      <c r="AL107" s="2079">
        <v>10000000</v>
      </c>
      <c r="AM107" s="2080">
        <v>0</v>
      </c>
      <c r="AN107" s="1968"/>
      <c r="AO107" s="1919"/>
      <c r="AP107" s="1919"/>
      <c r="AQ107" s="1919"/>
      <c r="AR107" s="1919"/>
      <c r="AS107" s="1919"/>
      <c r="AT107" s="1919"/>
      <c r="AU107" s="1919"/>
      <c r="AV107" s="1919"/>
      <c r="AW107" s="1919"/>
      <c r="AX107" s="1919"/>
      <c r="AY107" s="1919"/>
      <c r="AZ107" s="1919"/>
    </row>
    <row r="108" spans="1:70" s="2093" customFormat="1" ht="24.95" customHeight="1">
      <c r="A108" s="2274" t="str">
        <f>+IF(SEPTIEMBRE!A108=0,"",SEPTIEMBRE!A108)</f>
        <v>11304-4</v>
      </c>
      <c r="B108" s="2275" t="str">
        <f>+IF(SEPTIEMBRE!B108=0,"",SEPTIEMBRE!B108)</f>
        <v>Fondo de la Vivienda</v>
      </c>
      <c r="C108" s="2266">
        <f>+ENERO!C108</f>
        <v>0</v>
      </c>
      <c r="D108" s="2074">
        <f>SEPTIEMBRE!D108+OCTUBRE!P108</f>
        <v>0</v>
      </c>
      <c r="E108" s="2074">
        <f>SEPTIEMBRE!E108+OCTUBRE!Q108</f>
        <v>0</v>
      </c>
      <c r="F108" s="2074">
        <f t="shared" si="116"/>
        <v>0</v>
      </c>
      <c r="G108" s="2074">
        <f>SEPTIEMBRE!I108</f>
        <v>24861592</v>
      </c>
      <c r="H108" s="2077">
        <v>1638565</v>
      </c>
      <c r="I108" s="2074">
        <f t="shared" si="117"/>
        <v>26500157</v>
      </c>
      <c r="J108" s="2074">
        <f>SEPTIEMBRE!L108</f>
        <v>24861592</v>
      </c>
      <c r="K108" s="2077">
        <v>1638565</v>
      </c>
      <c r="L108" s="2074">
        <f t="shared" si="118"/>
        <v>26500157</v>
      </c>
      <c r="M108" s="2074">
        <f t="shared" si="119"/>
        <v>-26500157</v>
      </c>
      <c r="N108" s="2075">
        <f t="shared" si="120"/>
        <v>-26500157</v>
      </c>
      <c r="P108" s="2079">
        <v>0</v>
      </c>
      <c r="Q108" s="2080">
        <v>0</v>
      </c>
      <c r="R108" s="1968"/>
      <c r="S108" s="2138">
        <f>+IF(SEPTIEMBRE!S108=0,"",SEPTIEMBRE!S108)</f>
        <v>1020499</v>
      </c>
      <c r="T108" s="2139" t="str">
        <f>+IF(SEPTIEMBRE!T108=0,"",SEPTIEMBRE!T108)</f>
        <v>Vigencias Anteriores</v>
      </c>
      <c r="U108" s="2140">
        <f>+ENERO!U108</f>
        <v>0</v>
      </c>
      <c r="V108" s="2091">
        <f>SEPTIEMBRE!V108+OCTUBRE!AL108</f>
        <v>0</v>
      </c>
      <c r="W108" s="2091">
        <f>SEPTIEMBRE!W108+OCTUBRE!AM108</f>
        <v>0</v>
      </c>
      <c r="X108" s="2141">
        <f>SUM(U108:W108)</f>
        <v>0</v>
      </c>
      <c r="Y108" s="2142">
        <f>SEPTIEMBRE!AA108</f>
        <v>0</v>
      </c>
      <c r="Z108" s="2077">
        <v>0</v>
      </c>
      <c r="AA108" s="2141">
        <f>SUM(Y108:Z108)</f>
        <v>0</v>
      </c>
      <c r="AB108" s="2142">
        <f>SEPTIEMBRE!AD108</f>
        <v>0</v>
      </c>
      <c r="AC108" s="2077">
        <v>0</v>
      </c>
      <c r="AD108" s="2141">
        <f>SUM(AB108:AC108)</f>
        <v>0</v>
      </c>
      <c r="AE108" s="2142">
        <f>SEPTIEMBRE!AG108</f>
        <v>0</v>
      </c>
      <c r="AF108" s="2077">
        <v>0</v>
      </c>
      <c r="AG108" s="2141">
        <f>SUM(AE108:AF108)</f>
        <v>0</v>
      </c>
      <c r="AH108" s="2142">
        <f>X108-AA108</f>
        <v>0</v>
      </c>
      <c r="AI108" s="2091">
        <f>X108-AD108</f>
        <v>0</v>
      </c>
      <c r="AJ108" s="2143">
        <f>X108-AG108</f>
        <v>0</v>
      </c>
      <c r="AK108" s="1968"/>
      <c r="AL108" s="2079">
        <v>0</v>
      </c>
      <c r="AM108" s="2080">
        <v>0</v>
      </c>
      <c r="AN108" s="1968"/>
      <c r="AO108" s="1919"/>
      <c r="AP108" s="1919"/>
      <c r="AQ108" s="1919"/>
      <c r="AR108" s="1919"/>
      <c r="AS108" s="1919"/>
      <c r="AT108" s="1919"/>
      <c r="AU108" s="1919"/>
      <c r="AV108" s="1919"/>
      <c r="AW108" s="1919"/>
      <c r="AX108" s="1919"/>
      <c r="AY108" s="1919"/>
      <c r="AZ108" s="1919"/>
    </row>
    <row r="109" spans="1:70" s="2093" customFormat="1" ht="24.95" customHeight="1">
      <c r="A109" s="2274" t="str">
        <f>+IF(SEPTIEMBRE!A109=0,"",SEPTIEMBRE!A109)</f>
        <v>11304-5</v>
      </c>
      <c r="B109" s="2275" t="str">
        <f>+IF(SEPTIEMBRE!B109=0,"",SEPTIEMBRE!B109)</f>
        <v xml:space="preserve">Aprovechamientos </v>
      </c>
      <c r="C109" s="2266">
        <f>+ENERO!C109</f>
        <v>0</v>
      </c>
      <c r="D109" s="2074">
        <f>SEPTIEMBRE!D109+OCTUBRE!P109</f>
        <v>0</v>
      </c>
      <c r="E109" s="2074">
        <f>SEPTIEMBRE!E109+OCTUBRE!Q109</f>
        <v>0</v>
      </c>
      <c r="F109" s="2074">
        <f t="shared" si="116"/>
        <v>0</v>
      </c>
      <c r="G109" s="2074">
        <f>SEPTIEMBRE!I109</f>
        <v>0</v>
      </c>
      <c r="H109" s="2077">
        <v>0</v>
      </c>
      <c r="I109" s="2074">
        <f t="shared" si="117"/>
        <v>0</v>
      </c>
      <c r="J109" s="2074">
        <f>SEPTIEMBRE!L109</f>
        <v>0</v>
      </c>
      <c r="K109" s="2077">
        <v>0</v>
      </c>
      <c r="L109" s="2074">
        <f t="shared" si="118"/>
        <v>0</v>
      </c>
      <c r="M109" s="2074">
        <f t="shared" si="119"/>
        <v>0</v>
      </c>
      <c r="N109" s="2075">
        <f t="shared" si="120"/>
        <v>0</v>
      </c>
      <c r="P109" s="2079">
        <v>0</v>
      </c>
      <c r="Q109" s="2080">
        <v>0</v>
      </c>
      <c r="R109" s="1968"/>
      <c r="S109" s="2058" t="str">
        <f>+IF(SEPTIEMBRE!S109=0,"",SEPTIEMBRE!S109)</f>
        <v/>
      </c>
      <c r="T109" s="2059" t="str">
        <f>+IF(SEPTIEMBRE!T109=0,"",SEPTIEMBRE!T109)</f>
        <v/>
      </c>
      <c r="U109" s="2060"/>
      <c r="V109" s="2060"/>
      <c r="W109" s="2060"/>
      <c r="X109" s="2060"/>
      <c r="Y109" s="2060"/>
      <c r="Z109" s="2060"/>
      <c r="AA109" s="2060"/>
      <c r="AB109" s="2060"/>
      <c r="AC109" s="2060"/>
      <c r="AD109" s="2060"/>
      <c r="AE109" s="2060"/>
      <c r="AF109" s="2060"/>
      <c r="AG109" s="2060"/>
      <c r="AH109" s="2060"/>
      <c r="AI109" s="2060"/>
      <c r="AJ109" s="2061"/>
      <c r="AK109" s="2086"/>
      <c r="AL109" s="2248"/>
      <c r="AM109" s="2249"/>
      <c r="AN109" s="1968"/>
      <c r="AO109" s="1919"/>
      <c r="AP109" s="1919"/>
      <c r="AQ109" s="1919"/>
      <c r="AR109" s="1919"/>
      <c r="AS109" s="1919"/>
      <c r="AT109" s="1919"/>
      <c r="AU109" s="1919"/>
      <c r="AV109" s="1919"/>
      <c r="AW109" s="1919"/>
      <c r="AX109" s="1919"/>
      <c r="AY109" s="1919"/>
      <c r="AZ109" s="1919"/>
    </row>
    <row r="110" spans="1:70" s="2093" customFormat="1" ht="24.95" customHeight="1">
      <c r="A110" s="2274" t="str">
        <f>+IF(SEPTIEMBRE!A110=0,"",SEPTIEMBRE!A110)</f>
        <v>11304-6</v>
      </c>
      <c r="B110" s="2275" t="str">
        <f>+IF(SEPTIEMBRE!B110=0,"",SEPTIEMBRE!B110)</f>
        <v>Otros</v>
      </c>
      <c r="C110" s="2266">
        <f>+ENERO!C110</f>
        <v>0</v>
      </c>
      <c r="D110" s="2074">
        <f>SEPTIEMBRE!D110+OCTUBRE!P110</f>
        <v>0</v>
      </c>
      <c r="E110" s="2074">
        <f>SEPTIEMBRE!E110+OCTUBRE!Q110</f>
        <v>80764441</v>
      </c>
      <c r="F110" s="2074">
        <f t="shared" si="116"/>
        <v>80764441</v>
      </c>
      <c r="G110" s="2074">
        <f>SEPTIEMBRE!I110</f>
        <v>149639716</v>
      </c>
      <c r="H110" s="2077">
        <v>39930999</v>
      </c>
      <c r="I110" s="2074">
        <f t="shared" si="117"/>
        <v>189570715</v>
      </c>
      <c r="J110" s="2074">
        <f>SEPTIEMBRE!L110</f>
        <v>110007501</v>
      </c>
      <c r="K110" s="2077">
        <v>980777</v>
      </c>
      <c r="L110" s="2074">
        <f t="shared" si="118"/>
        <v>110988278</v>
      </c>
      <c r="M110" s="2074">
        <f t="shared" si="119"/>
        <v>-108806274</v>
      </c>
      <c r="N110" s="2075">
        <f t="shared" si="120"/>
        <v>-30223837</v>
      </c>
      <c r="P110" s="2079">
        <v>0</v>
      </c>
      <c r="Q110" s="2080">
        <v>0</v>
      </c>
      <c r="R110" s="1968"/>
      <c r="S110" s="2101">
        <f>+IF(SEPTIEMBRE!S110=0,"",SEPTIEMBRE!S110)</f>
        <v>2000000</v>
      </c>
      <c r="T110" s="2286" t="str">
        <f>+IF(SEPTIEMBRE!T110=0,"",SEPTIEMBRE!T110)</f>
        <v>GASTOS GENERALES</v>
      </c>
      <c r="U110" s="2287">
        <f t="shared" ref="U110:AJ110" si="122">U112+U145</f>
        <v>7574161274</v>
      </c>
      <c r="V110" s="2288">
        <f t="shared" si="122"/>
        <v>-277712192</v>
      </c>
      <c r="W110" s="2288">
        <f t="shared" si="122"/>
        <v>3478156707</v>
      </c>
      <c r="X110" s="2289">
        <f t="shared" si="122"/>
        <v>10774605789</v>
      </c>
      <c r="Y110" s="2087">
        <f t="shared" si="122"/>
        <v>8376441174</v>
      </c>
      <c r="Z110" s="2288">
        <f t="shared" si="122"/>
        <v>377169945</v>
      </c>
      <c r="AA110" s="2289">
        <f t="shared" si="122"/>
        <v>8753611119</v>
      </c>
      <c r="AB110" s="2087">
        <f t="shared" si="122"/>
        <v>6974163673</v>
      </c>
      <c r="AC110" s="2288">
        <f t="shared" si="122"/>
        <v>618390875</v>
      </c>
      <c r="AD110" s="2289">
        <f t="shared" si="122"/>
        <v>7592554548</v>
      </c>
      <c r="AE110" s="2087">
        <f t="shared" si="122"/>
        <v>4368822907</v>
      </c>
      <c r="AF110" s="2288">
        <f t="shared" si="122"/>
        <v>392010327</v>
      </c>
      <c r="AG110" s="2289">
        <f t="shared" si="122"/>
        <v>4760833234</v>
      </c>
      <c r="AH110" s="2087">
        <f t="shared" si="122"/>
        <v>2020994670</v>
      </c>
      <c r="AI110" s="2288">
        <f t="shared" si="122"/>
        <v>3182051241</v>
      </c>
      <c r="AJ110" s="2088">
        <f t="shared" si="122"/>
        <v>6013772555</v>
      </c>
      <c r="AK110" s="2086"/>
      <c r="AL110" s="2106">
        <f>AL112+AL145</f>
        <v>56294060</v>
      </c>
      <c r="AM110" s="2107">
        <f>AM112+AM145</f>
        <v>0</v>
      </c>
      <c r="AN110" s="1968"/>
      <c r="AO110" s="1919"/>
      <c r="AP110" s="1919"/>
      <c r="AQ110" s="1919"/>
      <c r="AR110" s="1919"/>
      <c r="AS110" s="1919"/>
      <c r="AT110" s="1919"/>
      <c r="AU110" s="1919"/>
      <c r="AV110" s="1919"/>
      <c r="AW110" s="1919"/>
      <c r="AX110" s="1919"/>
      <c r="AY110" s="1919"/>
      <c r="AZ110" s="1919"/>
    </row>
    <row r="111" spans="1:70" s="2093" customFormat="1" ht="24.95" customHeight="1" thickBot="1">
      <c r="A111" s="2274" t="str">
        <f>+IF(SEPTIEMBRE!A111=0,"",SEPTIEMBRE!A111)</f>
        <v>11304-7</v>
      </c>
      <c r="B111" s="2290" t="str">
        <f>+IF(SEPTIEMBRE!B111=0,"",SEPTIEMBRE!B111)</f>
        <v>Vigencia Anterior</v>
      </c>
      <c r="C111" s="2271">
        <f>+ENERO!C111</f>
        <v>0</v>
      </c>
      <c r="D111" s="2115">
        <f>SEPTIEMBRE!D111+OCTUBRE!P111</f>
        <v>0</v>
      </c>
      <c r="E111" s="2115">
        <f>SEPTIEMBRE!E111+OCTUBRE!Q111</f>
        <v>0</v>
      </c>
      <c r="F111" s="2115">
        <f t="shared" si="116"/>
        <v>0</v>
      </c>
      <c r="G111" s="2115">
        <f>SEPTIEMBRE!I111</f>
        <v>0</v>
      </c>
      <c r="H111" s="2118">
        <v>0</v>
      </c>
      <c r="I111" s="2115">
        <f t="shared" si="117"/>
        <v>0</v>
      </c>
      <c r="J111" s="2115">
        <f>SEPTIEMBRE!L111</f>
        <v>0</v>
      </c>
      <c r="K111" s="2118">
        <v>0</v>
      </c>
      <c r="L111" s="2115">
        <f t="shared" si="118"/>
        <v>0</v>
      </c>
      <c r="M111" s="2115">
        <f t="shared" si="119"/>
        <v>0</v>
      </c>
      <c r="N111" s="2116">
        <f t="shared" si="120"/>
        <v>0</v>
      </c>
      <c r="P111" s="2079">
        <v>0</v>
      </c>
      <c r="Q111" s="2080">
        <v>0</v>
      </c>
      <c r="R111" s="1968"/>
      <c r="S111" s="2058" t="str">
        <f>+IF(SEPTIEMBRE!S111=0,"",SEPTIEMBRE!S111)</f>
        <v/>
      </c>
      <c r="T111" s="2059" t="str">
        <f>+IF(SEPTIEMBRE!T111=0,"",SEPTIEMBRE!T111)</f>
        <v/>
      </c>
      <c r="U111" s="2060"/>
      <c r="V111" s="2060"/>
      <c r="W111" s="2060"/>
      <c r="X111" s="2060"/>
      <c r="Y111" s="2060"/>
      <c r="Z111" s="2060"/>
      <c r="AA111" s="2060"/>
      <c r="AB111" s="2060"/>
      <c r="AC111" s="2060"/>
      <c r="AD111" s="2060"/>
      <c r="AE111" s="2060"/>
      <c r="AF111" s="2060"/>
      <c r="AG111" s="2060"/>
      <c r="AH111" s="2060"/>
      <c r="AI111" s="2060"/>
      <c r="AJ111" s="2061"/>
      <c r="AK111" s="1968"/>
      <c r="AL111" s="2062"/>
      <c r="AM111" s="2063"/>
      <c r="AN111" s="1968"/>
      <c r="AO111" s="1919"/>
      <c r="AP111" s="1919"/>
      <c r="AQ111" s="1919"/>
      <c r="AR111" s="1919"/>
      <c r="AS111" s="1919"/>
      <c r="AT111" s="1919"/>
      <c r="AU111" s="1919"/>
      <c r="AV111" s="1919"/>
      <c r="AW111" s="1919"/>
      <c r="AX111" s="1919"/>
      <c r="AY111" s="1919"/>
      <c r="AZ111" s="1919"/>
    </row>
    <row r="112" spans="1:70" s="2093" customFormat="1" ht="24.95" customHeight="1" thickBot="1">
      <c r="A112" s="2280" t="str">
        <f>+IF(SEPTIEMBRE!A112=0,"",SEPTIEMBRE!A112)</f>
        <v/>
      </c>
      <c r="B112" s="2281" t="str">
        <f>+IF(SEPTIEMBRE!B112=0,"",SEPTIEMBRE!B112)</f>
        <v/>
      </c>
      <c r="C112" s="2282"/>
      <c r="D112" s="2282"/>
      <c r="E112" s="2282"/>
      <c r="F112" s="2282"/>
      <c r="G112" s="2282"/>
      <c r="H112" s="2282"/>
      <c r="I112" s="2282"/>
      <c r="J112" s="2282"/>
      <c r="K112" s="2282"/>
      <c r="L112" s="2282"/>
      <c r="M112" s="2282"/>
      <c r="N112" s="2283"/>
      <c r="P112" s="2284"/>
      <c r="Q112" s="2283"/>
      <c r="R112" s="1968"/>
      <c r="S112" s="2101">
        <f>+IF(SEPTIEMBRE!S112=0,"",SEPTIEMBRE!S112)</f>
        <v>2010000</v>
      </c>
      <c r="T112" s="2102" t="str">
        <f>+IF(SEPTIEMBRE!T112=0,"",SEPTIEMBRE!T112)</f>
        <v>Gastos de Administración</v>
      </c>
      <c r="U112" s="2103">
        <f t="shared" ref="U112:AJ112" si="123">U114+U123+U141</f>
        <v>4915028612</v>
      </c>
      <c r="V112" s="2104">
        <f t="shared" si="123"/>
        <v>787512594</v>
      </c>
      <c r="W112" s="2104">
        <f t="shared" si="123"/>
        <v>1828156707</v>
      </c>
      <c r="X112" s="2105">
        <f t="shared" si="123"/>
        <v>7530697913</v>
      </c>
      <c r="Y112" s="2106">
        <f t="shared" si="123"/>
        <v>6067422982</v>
      </c>
      <c r="Z112" s="2104">
        <f t="shared" si="123"/>
        <v>329460985</v>
      </c>
      <c r="AA112" s="2105">
        <f t="shared" si="123"/>
        <v>6396883967</v>
      </c>
      <c r="AB112" s="2106">
        <f t="shared" si="123"/>
        <v>5145150587</v>
      </c>
      <c r="AC112" s="2104">
        <f t="shared" si="123"/>
        <v>516820623</v>
      </c>
      <c r="AD112" s="2105">
        <f t="shared" si="123"/>
        <v>5661971210</v>
      </c>
      <c r="AE112" s="2106">
        <f t="shared" si="123"/>
        <v>3460684623</v>
      </c>
      <c r="AF112" s="2104">
        <f t="shared" si="123"/>
        <v>326372836</v>
      </c>
      <c r="AG112" s="2105">
        <f t="shared" si="123"/>
        <v>3787057459</v>
      </c>
      <c r="AH112" s="2106">
        <f t="shared" si="123"/>
        <v>1133813946</v>
      </c>
      <c r="AI112" s="2104">
        <f t="shared" si="123"/>
        <v>1868726703</v>
      </c>
      <c r="AJ112" s="2107">
        <f t="shared" si="123"/>
        <v>3743640454</v>
      </c>
      <c r="AK112" s="1968"/>
      <c r="AL112" s="2106">
        <f>AL114+AL123+AL141</f>
        <v>36000000</v>
      </c>
      <c r="AM112" s="2107">
        <f>AM114+AM123+AM141</f>
        <v>0</v>
      </c>
      <c r="AN112" s="1968"/>
      <c r="AO112" s="1919"/>
      <c r="AP112" s="1919"/>
      <c r="AQ112" s="1919"/>
      <c r="AR112" s="1919"/>
      <c r="AS112" s="1919"/>
      <c r="AT112" s="1919"/>
      <c r="AU112" s="1919"/>
      <c r="AV112" s="1919"/>
      <c r="AW112" s="1919"/>
      <c r="AX112" s="1919"/>
      <c r="AY112" s="1919"/>
      <c r="AZ112" s="1919"/>
    </row>
    <row r="113" spans="1:52" s="2093" customFormat="1" ht="24.95" customHeight="1" thickBot="1">
      <c r="A113" s="1989">
        <f>+IF(SEPTIEMBRE!A113=0,"",SEPTIEMBRE!A113)</f>
        <v>2000</v>
      </c>
      <c r="B113" s="2137" t="str">
        <f>+IF(SEPTIEMBRE!B113=0,"",SEPTIEMBRE!B113)</f>
        <v>INGRESOS DE CAPITAL</v>
      </c>
      <c r="C113" s="2291">
        <f>SUM(C115:C124)</f>
        <v>9052927194</v>
      </c>
      <c r="D113" s="2292">
        <f>SUM(D115:D124)</f>
        <v>0</v>
      </c>
      <c r="E113" s="2292">
        <f t="shared" ref="E113:N113" si="124">SUM(E115:E124)</f>
        <v>3516381</v>
      </c>
      <c r="F113" s="2292">
        <f t="shared" si="124"/>
        <v>9056443575</v>
      </c>
      <c r="G113" s="2292">
        <f t="shared" si="124"/>
        <v>107771968</v>
      </c>
      <c r="H113" s="2292">
        <f t="shared" si="124"/>
        <v>78837917</v>
      </c>
      <c r="I113" s="2292">
        <f t="shared" si="124"/>
        <v>186609885</v>
      </c>
      <c r="J113" s="2292">
        <f t="shared" si="124"/>
        <v>107771968</v>
      </c>
      <c r="K113" s="2292">
        <f t="shared" si="124"/>
        <v>78837917</v>
      </c>
      <c r="L113" s="2292">
        <f t="shared" si="124"/>
        <v>186609885</v>
      </c>
      <c r="M113" s="2292">
        <f t="shared" si="124"/>
        <v>8869833690</v>
      </c>
      <c r="N113" s="2293">
        <f t="shared" si="124"/>
        <v>8869833690</v>
      </c>
      <c r="O113" s="2257"/>
      <c r="P113" s="2039">
        <f>SUM(P115:P124)</f>
        <v>0</v>
      </c>
      <c r="Q113" s="2041">
        <f>SUM(Q115:Q124)</f>
        <v>0</v>
      </c>
      <c r="R113" s="1968"/>
      <c r="S113" s="2058" t="str">
        <f>+IF(SEPTIEMBRE!S113=0,"",SEPTIEMBRE!S113)</f>
        <v/>
      </c>
      <c r="T113" s="2059" t="str">
        <f>+IF(SEPTIEMBRE!T113=0,"",SEPTIEMBRE!T113)</f>
        <v/>
      </c>
      <c r="U113" s="2060"/>
      <c r="V113" s="2060"/>
      <c r="W113" s="2060"/>
      <c r="X113" s="2060"/>
      <c r="Y113" s="2060"/>
      <c r="Z113" s="2060"/>
      <c r="AA113" s="2060"/>
      <c r="AB113" s="2060"/>
      <c r="AC113" s="2060"/>
      <c r="AD113" s="2060"/>
      <c r="AE113" s="2060"/>
      <c r="AF113" s="2060"/>
      <c r="AG113" s="2060"/>
      <c r="AH113" s="2060"/>
      <c r="AI113" s="2060"/>
      <c r="AJ113" s="2061"/>
      <c r="AK113" s="1968"/>
      <c r="AL113" s="2062"/>
      <c r="AM113" s="2063"/>
      <c r="AN113" s="1968"/>
      <c r="AO113" s="1919"/>
      <c r="AP113" s="1919"/>
      <c r="AQ113" s="1919"/>
      <c r="AR113" s="1919"/>
      <c r="AS113" s="1919"/>
      <c r="AT113" s="1919"/>
      <c r="AU113" s="1919"/>
      <c r="AV113" s="1919"/>
      <c r="AW113" s="1919"/>
      <c r="AX113" s="1919"/>
      <c r="AY113" s="1919"/>
      <c r="AZ113" s="1919"/>
    </row>
    <row r="114" spans="1:52" s="2093" customFormat="1" ht="24.95" customHeight="1" thickBot="1">
      <c r="A114" s="2280" t="str">
        <f>+IF(SEPTIEMBRE!A114=0,"",SEPTIEMBRE!A114)</f>
        <v/>
      </c>
      <c r="B114" s="2281" t="str">
        <f>+IF(SEPTIEMBRE!B114=0,"",SEPTIEMBRE!B114)</f>
        <v/>
      </c>
      <c r="C114" s="2282"/>
      <c r="D114" s="2282"/>
      <c r="E114" s="2282"/>
      <c r="F114" s="2282"/>
      <c r="G114" s="2282"/>
      <c r="H114" s="2282"/>
      <c r="I114" s="2282"/>
      <c r="J114" s="2282"/>
      <c r="K114" s="2282"/>
      <c r="L114" s="2282"/>
      <c r="M114" s="2282"/>
      <c r="N114" s="2283"/>
      <c r="P114" s="2284"/>
      <c r="Q114" s="2283"/>
      <c r="R114" s="1968"/>
      <c r="S114" s="2130">
        <f>+IF(SEPTIEMBRE!S114=0,"",SEPTIEMBRE!S114)</f>
        <v>2010100</v>
      </c>
      <c r="T114" s="2131" t="str">
        <f>+IF(SEPTIEMBRE!T114=0,"",SEPTIEMBRE!T114)</f>
        <v>Adquisición de bienes</v>
      </c>
      <c r="U114" s="2103">
        <f t="shared" ref="U114:AJ114" si="125">SUM(U115:U121)</f>
        <v>256200000</v>
      </c>
      <c r="V114" s="2104">
        <f t="shared" si="125"/>
        <v>640959419</v>
      </c>
      <c r="W114" s="2104">
        <f t="shared" si="125"/>
        <v>330000000</v>
      </c>
      <c r="X114" s="2105">
        <f t="shared" si="125"/>
        <v>1227159419</v>
      </c>
      <c r="Y114" s="2106">
        <f t="shared" si="125"/>
        <v>286560791</v>
      </c>
      <c r="Z114" s="2104">
        <f t="shared" si="125"/>
        <v>3862986</v>
      </c>
      <c r="AA114" s="2105">
        <f t="shared" si="125"/>
        <v>290423777</v>
      </c>
      <c r="AB114" s="2106">
        <f t="shared" si="125"/>
        <v>257443035</v>
      </c>
      <c r="AC114" s="2104">
        <f t="shared" si="125"/>
        <v>17488790</v>
      </c>
      <c r="AD114" s="2105">
        <f t="shared" si="125"/>
        <v>274931825</v>
      </c>
      <c r="AE114" s="2106">
        <f t="shared" si="125"/>
        <v>205281561</v>
      </c>
      <c r="AF114" s="2104">
        <f t="shared" si="125"/>
        <v>15585970</v>
      </c>
      <c r="AG114" s="2105">
        <f t="shared" si="125"/>
        <v>220867531</v>
      </c>
      <c r="AH114" s="2106">
        <f t="shared" si="125"/>
        <v>936735642</v>
      </c>
      <c r="AI114" s="2104">
        <f t="shared" si="125"/>
        <v>952227594</v>
      </c>
      <c r="AJ114" s="2107">
        <f t="shared" si="125"/>
        <v>1006291888</v>
      </c>
      <c r="AK114" s="1968"/>
      <c r="AL114" s="2106">
        <f>SUM(AL115:AL121)</f>
        <v>0</v>
      </c>
      <c r="AM114" s="2107">
        <f>SUM(AM115:AM121)</f>
        <v>0</v>
      </c>
      <c r="AN114" s="1968"/>
      <c r="AO114" s="1919"/>
      <c r="AP114" s="1919"/>
      <c r="AQ114" s="1919"/>
      <c r="AR114" s="1919"/>
      <c r="AS114" s="1919"/>
      <c r="AT114" s="1919"/>
      <c r="AU114" s="1919"/>
      <c r="AV114" s="1919"/>
      <c r="AW114" s="1919"/>
      <c r="AX114" s="1919"/>
      <c r="AY114" s="1919"/>
      <c r="AZ114" s="1919"/>
    </row>
    <row r="115" spans="1:52" s="2093" customFormat="1" ht="24.95" customHeight="1">
      <c r="A115" s="2294">
        <f>+IF(SEPTIEMBRE!A115=0,"",SEPTIEMBRE!A115)</f>
        <v>2100</v>
      </c>
      <c r="B115" s="2265" t="str">
        <f>+IF(SEPTIEMBRE!B115=0,"",SEPTIEMBRE!B115)</f>
        <v>CREDITO INTERNO</v>
      </c>
      <c r="C115" s="2073">
        <f>+ENERO!C115</f>
        <v>0</v>
      </c>
      <c r="D115" s="2295">
        <f>SEPTIEMBRE!D115+OCTUBRE!P115</f>
        <v>0</v>
      </c>
      <c r="E115" s="2295">
        <f>SEPTIEMBRE!E115+OCTUBRE!Q115</f>
        <v>0</v>
      </c>
      <c r="F115" s="2296">
        <f t="shared" ref="F115:F124" si="126">SUM(C115:E115)</f>
        <v>0</v>
      </c>
      <c r="G115" s="2297">
        <f>SEPTIEMBRE!I115</f>
        <v>0</v>
      </c>
      <c r="H115" s="2077">
        <v>0</v>
      </c>
      <c r="I115" s="2296">
        <f t="shared" ref="I115:I124" si="127">SUM(G115:H115)</f>
        <v>0</v>
      </c>
      <c r="J115" s="2297">
        <f>SEPTIEMBRE!L115</f>
        <v>0</v>
      </c>
      <c r="K115" s="2077">
        <v>0</v>
      </c>
      <c r="L115" s="2298">
        <f t="shared" ref="L115:L124" si="128">SUM(J115:K115)</f>
        <v>0</v>
      </c>
      <c r="M115" s="2299">
        <f t="shared" ref="M115:M124" si="129">F115-I115</f>
        <v>0</v>
      </c>
      <c r="N115" s="2298">
        <f t="shared" ref="N115:N124" si="130">F115-L115</f>
        <v>0</v>
      </c>
      <c r="O115" s="2257"/>
      <c r="P115" s="2079">
        <v>0</v>
      </c>
      <c r="Q115" s="2080">
        <v>0</v>
      </c>
      <c r="R115" s="1968"/>
      <c r="S115" s="2138" t="str">
        <f>+IF(SEPTIEMBRE!S115=0,"",SEPTIEMBRE!S115)</f>
        <v>2010100-1</v>
      </c>
      <c r="T115" s="2139" t="str">
        <f>+IF(SEPTIEMBRE!T115=0,"",SEPTIEMBRE!T115)</f>
        <v>Compra de Equipos</v>
      </c>
      <c r="U115" s="2140">
        <f>+ENERO!U115</f>
        <v>175000000</v>
      </c>
      <c r="V115" s="2091">
        <f>SEPTIEMBRE!V115+OCTUBRE!AL115</f>
        <v>740000000</v>
      </c>
      <c r="W115" s="2091">
        <f>SEPTIEMBRE!W115+OCTUBRE!AM115</f>
        <v>0</v>
      </c>
      <c r="X115" s="2141">
        <f t="shared" ref="X115:X121" si="131">SUM(U115:W115)</f>
        <v>915000000</v>
      </c>
      <c r="Y115" s="2142">
        <f>SEPTIEMBRE!AA115</f>
        <v>69243858</v>
      </c>
      <c r="Z115" s="2077">
        <v>-2284205</v>
      </c>
      <c r="AA115" s="2141">
        <f t="shared" ref="AA115:AA121" si="132">SUM(Y115:Z115)</f>
        <v>66959653</v>
      </c>
      <c r="AB115" s="2142">
        <f>SEPTIEMBRE!AD115</f>
        <v>66757359</v>
      </c>
      <c r="AC115" s="2077">
        <v>0</v>
      </c>
      <c r="AD115" s="2141">
        <f t="shared" ref="AD115:AD121" si="133">SUM(AB115:AC115)</f>
        <v>66757359</v>
      </c>
      <c r="AE115" s="2142">
        <f>SEPTIEMBRE!AG115</f>
        <v>54083722</v>
      </c>
      <c r="AF115" s="2077">
        <v>449854</v>
      </c>
      <c r="AG115" s="2141">
        <f t="shared" ref="AG115:AG121" si="134">SUM(AE115:AF115)</f>
        <v>54533576</v>
      </c>
      <c r="AH115" s="2142">
        <f t="shared" ref="AH115:AH121" si="135">X115-AA115</f>
        <v>848040347</v>
      </c>
      <c r="AI115" s="2091">
        <f t="shared" ref="AI115:AI121" si="136">X115-AD115</f>
        <v>848242641</v>
      </c>
      <c r="AJ115" s="2143">
        <f t="shared" ref="AJ115:AJ121" si="137">X115-AG115</f>
        <v>860466424</v>
      </c>
      <c r="AK115" s="1968"/>
      <c r="AL115" s="2079">
        <v>0</v>
      </c>
      <c r="AM115" s="2080">
        <v>0</v>
      </c>
      <c r="AN115" s="1968"/>
      <c r="AO115" s="1919"/>
      <c r="AP115" s="1919"/>
      <c r="AQ115" s="1919"/>
      <c r="AR115" s="1919"/>
      <c r="AS115" s="1919"/>
      <c r="AT115" s="1919"/>
      <c r="AU115" s="1919"/>
      <c r="AV115" s="1919"/>
      <c r="AW115" s="1919"/>
      <c r="AX115" s="1919"/>
      <c r="AY115" s="1919"/>
      <c r="AZ115" s="1919"/>
    </row>
    <row r="116" spans="1:52" s="2093" customFormat="1" ht="24.95" customHeight="1">
      <c r="A116" s="2294" t="str">
        <f>+IF(SEPTIEMBRE!A116=0,"",SEPTIEMBRE!A116)</f>
        <v>2100-1</v>
      </c>
      <c r="B116" s="2267" t="str">
        <f>+IF(SEPTIEMBRE!B116=0,"",SEPTIEMBRE!B116)</f>
        <v>Vigencia Anterior</v>
      </c>
      <c r="C116" s="2073">
        <f>+ENERO!C116</f>
        <v>0</v>
      </c>
      <c r="D116" s="2295">
        <f>SEPTIEMBRE!D116+OCTUBRE!P116</f>
        <v>0</v>
      </c>
      <c r="E116" s="2295">
        <f>SEPTIEMBRE!E116+OCTUBRE!Q116</f>
        <v>0</v>
      </c>
      <c r="F116" s="2296">
        <f t="shared" si="126"/>
        <v>0</v>
      </c>
      <c r="G116" s="2297">
        <f>SEPTIEMBRE!I116</f>
        <v>0</v>
      </c>
      <c r="H116" s="2077">
        <v>0</v>
      </c>
      <c r="I116" s="2296">
        <f t="shared" si="127"/>
        <v>0</v>
      </c>
      <c r="J116" s="2297">
        <f>SEPTIEMBRE!L116</f>
        <v>0</v>
      </c>
      <c r="K116" s="2077">
        <v>0</v>
      </c>
      <c r="L116" s="2298">
        <f t="shared" si="128"/>
        <v>0</v>
      </c>
      <c r="M116" s="2299">
        <f t="shared" si="129"/>
        <v>0</v>
      </c>
      <c r="N116" s="2298">
        <f t="shared" si="130"/>
        <v>0</v>
      </c>
      <c r="O116" s="2257"/>
      <c r="P116" s="2079">
        <v>0</v>
      </c>
      <c r="Q116" s="2080">
        <v>0</v>
      </c>
      <c r="R116" s="1968"/>
      <c r="S116" s="2138" t="str">
        <f>+IF(SEPTIEMBRE!S116=0,"",SEPTIEMBRE!S116)</f>
        <v>2010100-2</v>
      </c>
      <c r="T116" s="2139" t="str">
        <f>+IF(SEPTIEMBRE!T116=0,"",SEPTIEMBRE!T116)</f>
        <v>Materiales</v>
      </c>
      <c r="U116" s="2140">
        <f>+ENERO!U116</f>
        <v>76200000</v>
      </c>
      <c r="V116" s="2091">
        <f>SEPTIEMBRE!V116+OCTUBRE!AL116</f>
        <v>-10000000</v>
      </c>
      <c r="W116" s="2091">
        <f>SEPTIEMBRE!W116+OCTUBRE!AM116</f>
        <v>130000000</v>
      </c>
      <c r="X116" s="2141">
        <f t="shared" si="131"/>
        <v>196200000</v>
      </c>
      <c r="Y116" s="2142">
        <f>SEPTIEMBRE!AA116</f>
        <v>104126469</v>
      </c>
      <c r="Z116" s="2077">
        <v>6147191</v>
      </c>
      <c r="AA116" s="2141">
        <f t="shared" si="132"/>
        <v>110273660</v>
      </c>
      <c r="AB116" s="2142">
        <f>SEPTIEMBRE!AD116</f>
        <v>77495212</v>
      </c>
      <c r="AC116" s="2077">
        <v>17488790</v>
      </c>
      <c r="AD116" s="2141">
        <f t="shared" si="133"/>
        <v>94984002</v>
      </c>
      <c r="AE116" s="2142">
        <f>SEPTIEMBRE!AG116</f>
        <v>40163275</v>
      </c>
      <c r="AF116" s="2077">
        <v>15136116</v>
      </c>
      <c r="AG116" s="2141">
        <f t="shared" si="134"/>
        <v>55299391</v>
      </c>
      <c r="AH116" s="2142">
        <f t="shared" si="135"/>
        <v>85926340</v>
      </c>
      <c r="AI116" s="2091">
        <f t="shared" si="136"/>
        <v>101215998</v>
      </c>
      <c r="AJ116" s="2143">
        <f t="shared" si="137"/>
        <v>140900609</v>
      </c>
      <c r="AK116" s="1968"/>
      <c r="AL116" s="2079">
        <v>0</v>
      </c>
      <c r="AM116" s="2080">
        <v>0</v>
      </c>
      <c r="AN116" s="1968"/>
      <c r="AO116" s="1919"/>
      <c r="AP116" s="1919"/>
      <c r="AQ116" s="1919"/>
      <c r="AR116" s="1919"/>
      <c r="AS116" s="1919"/>
      <c r="AT116" s="1919"/>
      <c r="AU116" s="1919"/>
      <c r="AV116" s="1919"/>
      <c r="AW116" s="1919"/>
      <c r="AX116" s="1919"/>
      <c r="AY116" s="1919"/>
      <c r="AZ116" s="1919"/>
    </row>
    <row r="117" spans="1:52" s="2093" customFormat="1" ht="24.95" customHeight="1">
      <c r="A117" s="2294">
        <f>+IF(SEPTIEMBRE!A117=0,"",SEPTIEMBRE!A117)</f>
        <v>2200</v>
      </c>
      <c r="B117" s="2265" t="str">
        <f>+IF(SEPTIEMBRE!B117=0,"",SEPTIEMBRE!B117)</f>
        <v>CREDITO EXTERNO</v>
      </c>
      <c r="C117" s="2073">
        <f>+ENERO!C117</f>
        <v>0</v>
      </c>
      <c r="D117" s="2295">
        <f>SEPTIEMBRE!D117+OCTUBRE!P117</f>
        <v>0</v>
      </c>
      <c r="E117" s="2295">
        <f>SEPTIEMBRE!E117+OCTUBRE!Q117</f>
        <v>0</v>
      </c>
      <c r="F117" s="2296">
        <f t="shared" si="126"/>
        <v>0</v>
      </c>
      <c r="G117" s="2297">
        <f>SEPTIEMBRE!I117</f>
        <v>0</v>
      </c>
      <c r="H117" s="2077">
        <v>0</v>
      </c>
      <c r="I117" s="2296">
        <f t="shared" si="127"/>
        <v>0</v>
      </c>
      <c r="J117" s="2297">
        <f>SEPTIEMBRE!L117</f>
        <v>0</v>
      </c>
      <c r="K117" s="2077">
        <v>0</v>
      </c>
      <c r="L117" s="2298">
        <f t="shared" si="128"/>
        <v>0</v>
      </c>
      <c r="M117" s="2299">
        <f t="shared" si="129"/>
        <v>0</v>
      </c>
      <c r="N117" s="2298">
        <f t="shared" si="130"/>
        <v>0</v>
      </c>
      <c r="O117" s="2257"/>
      <c r="P117" s="2079">
        <v>0</v>
      </c>
      <c r="Q117" s="2080">
        <v>0</v>
      </c>
      <c r="R117" s="1968"/>
      <c r="S117" s="2138" t="str">
        <f>+IF(SEPTIEMBRE!S117=0,"",SEPTIEMBRE!S117)</f>
        <v>2010100-3</v>
      </c>
      <c r="T117" s="2139" t="str">
        <f>+IF(SEPTIEMBRE!T117=0,"",SEPTIEMBRE!T117)</f>
        <v>Salud Ocupacional</v>
      </c>
      <c r="U117" s="2140">
        <f>+ENERO!U117</f>
        <v>5000000</v>
      </c>
      <c r="V117" s="2091">
        <f>SEPTIEMBRE!V117+OCTUBRE!AL117</f>
        <v>0</v>
      </c>
      <c r="W117" s="2091">
        <f>SEPTIEMBRE!W117+OCTUBRE!AM117</f>
        <v>0</v>
      </c>
      <c r="X117" s="2141">
        <f t="shared" si="131"/>
        <v>5000000</v>
      </c>
      <c r="Y117" s="2142">
        <f>SEPTIEMBRE!AA117</f>
        <v>2231045</v>
      </c>
      <c r="Z117" s="2077">
        <v>0</v>
      </c>
      <c r="AA117" s="2141">
        <f t="shared" si="132"/>
        <v>2231045</v>
      </c>
      <c r="AB117" s="2142">
        <f>SEPTIEMBRE!AD117</f>
        <v>2231045</v>
      </c>
      <c r="AC117" s="2077">
        <v>0</v>
      </c>
      <c r="AD117" s="2141">
        <f t="shared" si="133"/>
        <v>2231045</v>
      </c>
      <c r="AE117" s="2142">
        <f>SEPTIEMBRE!AG117</f>
        <v>75145</v>
      </c>
      <c r="AF117" s="2077">
        <v>0</v>
      </c>
      <c r="AG117" s="2141">
        <f t="shared" si="134"/>
        <v>75145</v>
      </c>
      <c r="AH117" s="2142">
        <f t="shared" si="135"/>
        <v>2768955</v>
      </c>
      <c r="AI117" s="2091">
        <f t="shared" si="136"/>
        <v>2768955</v>
      </c>
      <c r="AJ117" s="2143">
        <f t="shared" si="137"/>
        <v>4924855</v>
      </c>
      <c r="AK117" s="1968"/>
      <c r="AL117" s="2079">
        <v>0</v>
      </c>
      <c r="AM117" s="2080">
        <v>0</v>
      </c>
      <c r="AN117" s="1968"/>
      <c r="AO117" s="1919"/>
      <c r="AP117" s="1919"/>
      <c r="AQ117" s="1919"/>
      <c r="AR117" s="1919"/>
      <c r="AS117" s="1919"/>
      <c r="AT117" s="1919"/>
      <c r="AU117" s="1919"/>
      <c r="AV117" s="1919"/>
      <c r="AW117" s="1919"/>
      <c r="AX117" s="1919"/>
      <c r="AY117" s="1919"/>
      <c r="AZ117" s="1919"/>
    </row>
    <row r="118" spans="1:52" s="2093" customFormat="1" ht="24.95" customHeight="1">
      <c r="A118" s="2300" t="str">
        <f>+IF(SEPTIEMBRE!A118=0,"",SEPTIEMBRE!A118)</f>
        <v>2200-1</v>
      </c>
      <c r="B118" s="2267" t="str">
        <f>+IF(SEPTIEMBRE!B118=0,"",SEPTIEMBRE!B118)</f>
        <v>Vigencia Anterior</v>
      </c>
      <c r="C118" s="2073">
        <f>+ENERO!C118</f>
        <v>0</v>
      </c>
      <c r="D118" s="2295">
        <f>SEPTIEMBRE!D118+OCTUBRE!P118</f>
        <v>0</v>
      </c>
      <c r="E118" s="2295">
        <f>SEPTIEMBRE!E118+OCTUBRE!Q118</f>
        <v>0</v>
      </c>
      <c r="F118" s="2296">
        <f t="shared" si="126"/>
        <v>0</v>
      </c>
      <c r="G118" s="2297">
        <f>SEPTIEMBRE!I118</f>
        <v>0</v>
      </c>
      <c r="H118" s="2077">
        <v>0</v>
      </c>
      <c r="I118" s="2296">
        <f t="shared" si="127"/>
        <v>0</v>
      </c>
      <c r="J118" s="2297">
        <f>SEPTIEMBRE!L118</f>
        <v>0</v>
      </c>
      <c r="K118" s="2077">
        <v>0</v>
      </c>
      <c r="L118" s="2298">
        <f t="shared" si="128"/>
        <v>0</v>
      </c>
      <c r="M118" s="2299">
        <f t="shared" si="129"/>
        <v>0</v>
      </c>
      <c r="N118" s="2298">
        <f t="shared" si="130"/>
        <v>0</v>
      </c>
      <c r="O118" s="2257"/>
      <c r="P118" s="2079">
        <v>0</v>
      </c>
      <c r="Q118" s="2080">
        <v>0</v>
      </c>
      <c r="R118" s="1968"/>
      <c r="S118" s="2138" t="str">
        <f>+IF(SEPTIEMBRE!S118=0,"",SEPTIEMBRE!S118)</f>
        <v>2010100-4</v>
      </c>
      <c r="T118" s="2139" t="str">
        <f>+IF(SEPTIEMBRE!T118=0,"",SEPTIEMBRE!T118)</f>
        <v/>
      </c>
      <c r="U118" s="2140">
        <f>+ENERO!U118</f>
        <v>0</v>
      </c>
      <c r="V118" s="2091">
        <f>SEPTIEMBRE!V118+OCTUBRE!AL118</f>
        <v>0</v>
      </c>
      <c r="W118" s="2091">
        <f>SEPTIEMBRE!W118+OCTUBRE!AM118</f>
        <v>0</v>
      </c>
      <c r="X118" s="2141">
        <f t="shared" si="131"/>
        <v>0</v>
      </c>
      <c r="Y118" s="2142">
        <f>SEPTIEMBRE!AA118</f>
        <v>0</v>
      </c>
      <c r="Z118" s="2077">
        <v>0</v>
      </c>
      <c r="AA118" s="2141">
        <f t="shared" si="132"/>
        <v>0</v>
      </c>
      <c r="AB118" s="2142">
        <f>SEPTIEMBRE!AD118</f>
        <v>0</v>
      </c>
      <c r="AC118" s="2077">
        <v>0</v>
      </c>
      <c r="AD118" s="2141">
        <f t="shared" si="133"/>
        <v>0</v>
      </c>
      <c r="AE118" s="2142">
        <f>SEPTIEMBRE!AG118</f>
        <v>0</v>
      </c>
      <c r="AF118" s="2077">
        <v>0</v>
      </c>
      <c r="AG118" s="2141">
        <f t="shared" si="134"/>
        <v>0</v>
      </c>
      <c r="AH118" s="2142">
        <f t="shared" si="135"/>
        <v>0</v>
      </c>
      <c r="AI118" s="2091">
        <f t="shared" si="136"/>
        <v>0</v>
      </c>
      <c r="AJ118" s="2143">
        <f t="shared" si="137"/>
        <v>0</v>
      </c>
      <c r="AK118" s="1968"/>
      <c r="AL118" s="2079">
        <v>0</v>
      </c>
      <c r="AM118" s="2080">
        <v>0</v>
      </c>
      <c r="AN118" s="1968"/>
      <c r="AO118" s="1919"/>
      <c r="AP118" s="1919"/>
      <c r="AQ118" s="1919"/>
      <c r="AR118" s="1919"/>
      <c r="AS118" s="1919"/>
      <c r="AT118" s="1919"/>
      <c r="AU118" s="1919"/>
      <c r="AV118" s="1919"/>
      <c r="AW118" s="1919"/>
      <c r="AX118" s="1919"/>
      <c r="AY118" s="1919"/>
      <c r="AZ118" s="1919"/>
    </row>
    <row r="119" spans="1:52" s="2093" customFormat="1" ht="24.95" customHeight="1">
      <c r="A119" s="2294">
        <f>+IF(SEPTIEMBRE!A119=0,"",SEPTIEMBRE!A119)</f>
        <v>2300</v>
      </c>
      <c r="B119" s="2265" t="str">
        <f>+IF(SEPTIEMBRE!B119=0,"",SEPTIEMBRE!B119)</f>
        <v>RENDIMIENTOS FINANCIEROS</v>
      </c>
      <c r="C119" s="2073">
        <f>+ENERO!C119</f>
        <v>0</v>
      </c>
      <c r="D119" s="2295">
        <f>SEPTIEMBRE!D119+OCTUBRE!P119</f>
        <v>0</v>
      </c>
      <c r="E119" s="2295">
        <f>SEPTIEMBRE!E119+OCTUBRE!Q119</f>
        <v>3516381</v>
      </c>
      <c r="F119" s="2296">
        <f t="shared" si="126"/>
        <v>3516381</v>
      </c>
      <c r="G119" s="2076">
        <f>SEPTIEMBRE!I119</f>
        <v>4591434</v>
      </c>
      <c r="H119" s="2077">
        <v>274181</v>
      </c>
      <c r="I119" s="2301">
        <f t="shared" si="127"/>
        <v>4865615</v>
      </c>
      <c r="J119" s="2076">
        <f>SEPTIEMBRE!L119</f>
        <v>4591434</v>
      </c>
      <c r="K119" s="2077">
        <v>274181</v>
      </c>
      <c r="L119" s="2075">
        <f t="shared" si="128"/>
        <v>4865615</v>
      </c>
      <c r="M119" s="2209">
        <f t="shared" si="129"/>
        <v>-1349234</v>
      </c>
      <c r="N119" s="2075">
        <f t="shared" si="130"/>
        <v>-1349234</v>
      </c>
      <c r="O119" s="2257"/>
      <c r="P119" s="2079">
        <v>0</v>
      </c>
      <c r="Q119" s="2080">
        <v>0</v>
      </c>
      <c r="R119" s="1968"/>
      <c r="S119" s="2138" t="str">
        <f>+IF(SEPTIEMBRE!S119=0,"",SEPTIEMBRE!S119)</f>
        <v>2010100-5</v>
      </c>
      <c r="T119" s="2139" t="str">
        <f>+IF(SEPTIEMBRE!T119=0,"",SEPTIEMBRE!T119)</f>
        <v/>
      </c>
      <c r="U119" s="2140">
        <f>+ENERO!U119</f>
        <v>0</v>
      </c>
      <c r="V119" s="2091">
        <f>SEPTIEMBRE!V119+OCTUBRE!AL119</f>
        <v>0</v>
      </c>
      <c r="W119" s="2091">
        <f>SEPTIEMBRE!W119+OCTUBRE!AM119</f>
        <v>0</v>
      </c>
      <c r="X119" s="2141">
        <f t="shared" si="131"/>
        <v>0</v>
      </c>
      <c r="Y119" s="2142">
        <f>SEPTIEMBRE!AA119</f>
        <v>0</v>
      </c>
      <c r="Z119" s="2077">
        <v>0</v>
      </c>
      <c r="AA119" s="2141">
        <f t="shared" si="132"/>
        <v>0</v>
      </c>
      <c r="AB119" s="2142">
        <f>SEPTIEMBRE!AD119</f>
        <v>0</v>
      </c>
      <c r="AC119" s="2077">
        <v>0</v>
      </c>
      <c r="AD119" s="2141">
        <f t="shared" si="133"/>
        <v>0</v>
      </c>
      <c r="AE119" s="2142">
        <f>SEPTIEMBRE!AG119</f>
        <v>0</v>
      </c>
      <c r="AF119" s="2077">
        <v>0</v>
      </c>
      <c r="AG119" s="2141">
        <f t="shared" si="134"/>
        <v>0</v>
      </c>
      <c r="AH119" s="2142">
        <f t="shared" si="135"/>
        <v>0</v>
      </c>
      <c r="AI119" s="2091">
        <f t="shared" si="136"/>
        <v>0</v>
      </c>
      <c r="AJ119" s="2143">
        <f t="shared" si="137"/>
        <v>0</v>
      </c>
      <c r="AK119" s="1968"/>
      <c r="AL119" s="2079">
        <v>0</v>
      </c>
      <c r="AM119" s="2080">
        <v>0</v>
      </c>
      <c r="AN119" s="1968"/>
      <c r="AO119" s="1919"/>
      <c r="AP119" s="1919"/>
      <c r="AQ119" s="1919"/>
      <c r="AR119" s="1919"/>
      <c r="AS119" s="1919"/>
      <c r="AT119" s="1919"/>
      <c r="AU119" s="1919"/>
      <c r="AV119" s="1919"/>
      <c r="AW119" s="1919"/>
      <c r="AX119" s="1919"/>
      <c r="AY119" s="1919"/>
      <c r="AZ119" s="1919"/>
    </row>
    <row r="120" spans="1:52" s="2093" customFormat="1" ht="24.95" customHeight="1">
      <c r="A120" s="2302">
        <f>+IF(SEPTIEMBRE!A120=0,"",SEPTIEMBRE!A120)</f>
        <v>2400</v>
      </c>
      <c r="B120" s="2267" t="str">
        <f>+IF(SEPTIEMBRE!B120=0,"",SEPTIEMBRE!B120)</f>
        <v>VENTA DE ACTIVOS</v>
      </c>
      <c r="C120" s="2073">
        <f>+ENERO!C120</f>
        <v>0</v>
      </c>
      <c r="D120" s="2295">
        <f>SEPTIEMBRE!D120+OCTUBRE!P120</f>
        <v>0</v>
      </c>
      <c r="E120" s="2295">
        <f>SEPTIEMBRE!E120+OCTUBRE!Q120</f>
        <v>0</v>
      </c>
      <c r="F120" s="2296">
        <f t="shared" si="126"/>
        <v>0</v>
      </c>
      <c r="G120" s="2076">
        <f>SEPTIEMBRE!I120</f>
        <v>0</v>
      </c>
      <c r="H120" s="2077">
        <v>0</v>
      </c>
      <c r="I120" s="2301">
        <f t="shared" si="127"/>
        <v>0</v>
      </c>
      <c r="J120" s="2076">
        <f>SEPTIEMBRE!L120</f>
        <v>0</v>
      </c>
      <c r="K120" s="2077">
        <v>0</v>
      </c>
      <c r="L120" s="2075">
        <f t="shared" si="128"/>
        <v>0</v>
      </c>
      <c r="M120" s="2209">
        <f t="shared" si="129"/>
        <v>0</v>
      </c>
      <c r="N120" s="2075">
        <f t="shared" si="130"/>
        <v>0</v>
      </c>
      <c r="P120" s="2079">
        <v>0</v>
      </c>
      <c r="Q120" s="2080">
        <v>0</v>
      </c>
      <c r="R120" s="1968"/>
      <c r="S120" s="2138" t="str">
        <f>+IF(SEPTIEMBRE!S120=0,"",SEPTIEMBRE!S120)</f>
        <v>2010100-6</v>
      </c>
      <c r="T120" s="2139" t="str">
        <f>+IF(SEPTIEMBRE!T120=0,"",SEPTIEMBRE!T120)</f>
        <v/>
      </c>
      <c r="U120" s="2140">
        <f>+ENERO!U120</f>
        <v>0</v>
      </c>
      <c r="V120" s="2091">
        <f>SEPTIEMBRE!V120+OCTUBRE!AL120</f>
        <v>0</v>
      </c>
      <c r="W120" s="2091">
        <f>SEPTIEMBRE!W120+OCTUBRE!AM120</f>
        <v>0</v>
      </c>
      <c r="X120" s="2141">
        <f t="shared" si="131"/>
        <v>0</v>
      </c>
      <c r="Y120" s="2142">
        <f>SEPTIEMBRE!AA120</f>
        <v>0</v>
      </c>
      <c r="Z120" s="2077">
        <v>0</v>
      </c>
      <c r="AA120" s="2141">
        <f t="shared" si="132"/>
        <v>0</v>
      </c>
      <c r="AB120" s="2142">
        <f>SEPTIEMBRE!AD120</f>
        <v>0</v>
      </c>
      <c r="AC120" s="2077">
        <v>0</v>
      </c>
      <c r="AD120" s="2141">
        <f t="shared" si="133"/>
        <v>0</v>
      </c>
      <c r="AE120" s="2142">
        <f>SEPTIEMBRE!AG120</f>
        <v>0</v>
      </c>
      <c r="AF120" s="2077">
        <v>0</v>
      </c>
      <c r="AG120" s="2141">
        <f t="shared" si="134"/>
        <v>0</v>
      </c>
      <c r="AH120" s="2142">
        <f t="shared" si="135"/>
        <v>0</v>
      </c>
      <c r="AI120" s="2091">
        <f t="shared" si="136"/>
        <v>0</v>
      </c>
      <c r="AJ120" s="2143">
        <f t="shared" si="137"/>
        <v>0</v>
      </c>
      <c r="AK120" s="1968"/>
      <c r="AL120" s="2079">
        <v>0</v>
      </c>
      <c r="AM120" s="2080">
        <v>0</v>
      </c>
      <c r="AN120" s="1968"/>
      <c r="AO120" s="1919"/>
      <c r="AP120" s="1919"/>
      <c r="AQ120" s="1919"/>
      <c r="AR120" s="1919"/>
      <c r="AS120" s="1919"/>
      <c r="AT120" s="1919"/>
      <c r="AU120" s="1919"/>
      <c r="AV120" s="1919"/>
      <c r="AW120" s="1919"/>
      <c r="AX120" s="1919"/>
      <c r="AY120" s="1919"/>
      <c r="AZ120" s="1919"/>
    </row>
    <row r="121" spans="1:52" s="2093" customFormat="1" ht="24.95" customHeight="1">
      <c r="A121" s="2302">
        <f>+IF(SEPTIEMBRE!A121=0,"",SEPTIEMBRE!A121)</f>
        <v>2500</v>
      </c>
      <c r="B121" s="2267" t="str">
        <f>+IF(SEPTIEMBRE!B121=0,"",SEPTIEMBRE!B121)</f>
        <v>DONACIONES</v>
      </c>
      <c r="C121" s="2073">
        <f>+ENERO!C121</f>
        <v>0</v>
      </c>
      <c r="D121" s="2295">
        <f>SEPTIEMBRE!D121+OCTUBRE!P121</f>
        <v>0</v>
      </c>
      <c r="E121" s="2295">
        <f>SEPTIEMBRE!E121+OCTUBRE!Q121</f>
        <v>0</v>
      </c>
      <c r="F121" s="2296">
        <f t="shared" si="126"/>
        <v>0</v>
      </c>
      <c r="G121" s="2076">
        <f>SEPTIEMBRE!I121</f>
        <v>0</v>
      </c>
      <c r="H121" s="2077">
        <v>0</v>
      </c>
      <c r="I121" s="2301">
        <f t="shared" si="127"/>
        <v>0</v>
      </c>
      <c r="J121" s="2076">
        <f>SEPTIEMBRE!L121</f>
        <v>0</v>
      </c>
      <c r="K121" s="2077">
        <v>0</v>
      </c>
      <c r="L121" s="2075">
        <f t="shared" si="128"/>
        <v>0</v>
      </c>
      <c r="M121" s="2209">
        <f t="shared" si="129"/>
        <v>0</v>
      </c>
      <c r="N121" s="2075">
        <f t="shared" si="130"/>
        <v>0</v>
      </c>
      <c r="P121" s="2079">
        <v>0</v>
      </c>
      <c r="Q121" s="2080">
        <v>0</v>
      </c>
      <c r="R121" s="1968"/>
      <c r="S121" s="2138">
        <f>+IF(SEPTIEMBRE!S121=0,"",SEPTIEMBRE!S121)</f>
        <v>2010199</v>
      </c>
      <c r="T121" s="2139" t="str">
        <f>+IF(SEPTIEMBRE!T121=0,"",SEPTIEMBRE!T121)</f>
        <v>Vigencias Anteriores</v>
      </c>
      <c r="U121" s="2140">
        <f>+ENERO!U121</f>
        <v>0</v>
      </c>
      <c r="V121" s="2091">
        <f>SEPTIEMBRE!V121+OCTUBRE!AL121</f>
        <v>-89040581</v>
      </c>
      <c r="W121" s="2091">
        <f>SEPTIEMBRE!W121+OCTUBRE!AM121</f>
        <v>200000000</v>
      </c>
      <c r="X121" s="2141">
        <f t="shared" si="131"/>
        <v>110959419</v>
      </c>
      <c r="Y121" s="2142">
        <f>SEPTIEMBRE!AA121</f>
        <v>110959419</v>
      </c>
      <c r="Z121" s="2077">
        <v>0</v>
      </c>
      <c r="AA121" s="2141">
        <f t="shared" si="132"/>
        <v>110959419</v>
      </c>
      <c r="AB121" s="2142">
        <f>SEPTIEMBRE!AD121</f>
        <v>110959419</v>
      </c>
      <c r="AC121" s="2077">
        <v>0</v>
      </c>
      <c r="AD121" s="2141">
        <f t="shared" si="133"/>
        <v>110959419</v>
      </c>
      <c r="AE121" s="2142">
        <f>SEPTIEMBRE!AG121</f>
        <v>110959419</v>
      </c>
      <c r="AF121" s="2077">
        <v>0</v>
      </c>
      <c r="AG121" s="2141">
        <f t="shared" si="134"/>
        <v>110959419</v>
      </c>
      <c r="AH121" s="2142">
        <f t="shared" si="135"/>
        <v>0</v>
      </c>
      <c r="AI121" s="2091">
        <f t="shared" si="136"/>
        <v>0</v>
      </c>
      <c r="AJ121" s="2143">
        <f t="shared" si="137"/>
        <v>0</v>
      </c>
      <c r="AK121" s="1968"/>
      <c r="AL121" s="2079">
        <v>0</v>
      </c>
      <c r="AM121" s="2080">
        <v>0</v>
      </c>
      <c r="AN121" s="1968"/>
      <c r="AO121" s="1919"/>
      <c r="AP121" s="1919"/>
      <c r="AQ121" s="1919"/>
      <c r="AR121" s="1919"/>
      <c r="AS121" s="1919"/>
      <c r="AT121" s="1919"/>
      <c r="AU121" s="1919"/>
      <c r="AV121" s="1919"/>
      <c r="AW121" s="1919"/>
      <c r="AX121" s="1919"/>
      <c r="AY121" s="1919"/>
      <c r="AZ121" s="1919"/>
    </row>
    <row r="122" spans="1:52" s="2093" customFormat="1" ht="24.95" customHeight="1">
      <c r="A122" s="2302">
        <f>+IF(SEPTIEMBRE!A122=0,"",SEPTIEMBRE!A122)</f>
        <v>2600</v>
      </c>
      <c r="B122" s="2267" t="str">
        <f>+IF(SEPTIEMBRE!B122=0,"",SEPTIEMBRE!B122)</f>
        <v>RECUPERACIÓN DE CARTERA (AÑO 2015 Y ANTERIORES)</v>
      </c>
      <c r="C122" s="2073">
        <f>+ENERO!C122</f>
        <v>9052927194</v>
      </c>
      <c r="D122" s="2295">
        <f>SEPTIEMBRE!D122+OCTUBRE!P122</f>
        <v>0</v>
      </c>
      <c r="E122" s="2295">
        <f>SEPTIEMBRE!E122+OCTUBRE!Q122</f>
        <v>0</v>
      </c>
      <c r="F122" s="2296">
        <f t="shared" si="126"/>
        <v>9052927194</v>
      </c>
      <c r="G122" s="2076">
        <f>SEPTIEMBRE!I122</f>
        <v>103180534</v>
      </c>
      <c r="H122" s="2077">
        <v>78563736</v>
      </c>
      <c r="I122" s="2301">
        <f t="shared" si="127"/>
        <v>181744270</v>
      </c>
      <c r="J122" s="2076">
        <f>SEPTIEMBRE!L122</f>
        <v>103180534</v>
      </c>
      <c r="K122" s="2077">
        <v>78563736</v>
      </c>
      <c r="L122" s="2075">
        <f t="shared" si="128"/>
        <v>181744270</v>
      </c>
      <c r="M122" s="2209">
        <f t="shared" si="129"/>
        <v>8871182924</v>
      </c>
      <c r="N122" s="2075">
        <f t="shared" si="130"/>
        <v>8871182924</v>
      </c>
      <c r="P122" s="2079">
        <v>0</v>
      </c>
      <c r="Q122" s="2080">
        <v>0</v>
      </c>
      <c r="R122" s="1968"/>
      <c r="S122" s="2058" t="str">
        <f>+IF(SEPTIEMBRE!S122=0,"",SEPTIEMBRE!S122)</f>
        <v/>
      </c>
      <c r="T122" s="2059" t="str">
        <f>+IF(SEPTIEMBRE!T122=0,"",SEPTIEMBRE!T122)</f>
        <v/>
      </c>
      <c r="U122" s="2060"/>
      <c r="V122" s="2060"/>
      <c r="W122" s="2060"/>
      <c r="X122" s="2060"/>
      <c r="Y122" s="2060"/>
      <c r="Z122" s="2060"/>
      <c r="AA122" s="2060"/>
      <c r="AB122" s="2060"/>
      <c r="AC122" s="2060"/>
      <c r="AD122" s="2060"/>
      <c r="AE122" s="2060"/>
      <c r="AF122" s="2060"/>
      <c r="AG122" s="2060"/>
      <c r="AH122" s="2060"/>
      <c r="AI122" s="2060"/>
      <c r="AJ122" s="2061"/>
      <c r="AK122" s="1968"/>
      <c r="AL122" s="2248"/>
      <c r="AM122" s="2249"/>
      <c r="AN122" s="1968"/>
      <c r="AO122" s="1919"/>
      <c r="AP122" s="1919"/>
      <c r="AQ122" s="1919"/>
      <c r="AR122" s="1919"/>
      <c r="AS122" s="1919"/>
      <c r="AT122" s="1919"/>
      <c r="AU122" s="1919"/>
      <c r="AV122" s="1919"/>
      <c r="AW122" s="1919"/>
      <c r="AX122" s="1919"/>
      <c r="AY122" s="1919"/>
      <c r="AZ122" s="1919"/>
    </row>
    <row r="123" spans="1:52" s="2093" customFormat="1" ht="24.95" customHeight="1">
      <c r="A123" s="2303">
        <f>+IF(SEPTIEMBRE!A123=0,"",SEPTIEMBRE!A123)</f>
        <v>2700</v>
      </c>
      <c r="B123" s="2267" t="str">
        <f>+IF(SEPTIEMBRE!B123=0,"",SEPTIEMBRE!B123)</f>
        <v>OTROS INGRESOS DE CAPITAL</v>
      </c>
      <c r="C123" s="2073">
        <f>+ENERO!C123</f>
        <v>0</v>
      </c>
      <c r="D123" s="2295">
        <f>SEPTIEMBRE!D123+OCTUBRE!P123</f>
        <v>0</v>
      </c>
      <c r="E123" s="2295">
        <f>SEPTIEMBRE!E123+OCTUBRE!Q123</f>
        <v>0</v>
      </c>
      <c r="F123" s="2296">
        <f t="shared" si="126"/>
        <v>0</v>
      </c>
      <c r="G123" s="2076">
        <f>SEPTIEMBRE!I123</f>
        <v>0</v>
      </c>
      <c r="H123" s="2077">
        <v>0</v>
      </c>
      <c r="I123" s="2301">
        <f t="shared" si="127"/>
        <v>0</v>
      </c>
      <c r="J123" s="2076">
        <f>SEPTIEMBRE!L123</f>
        <v>0</v>
      </c>
      <c r="K123" s="2077">
        <v>0</v>
      </c>
      <c r="L123" s="2075">
        <f t="shared" si="128"/>
        <v>0</v>
      </c>
      <c r="M123" s="2209">
        <f t="shared" si="129"/>
        <v>0</v>
      </c>
      <c r="N123" s="2075">
        <f t="shared" si="130"/>
        <v>0</v>
      </c>
      <c r="P123" s="2079">
        <v>0</v>
      </c>
      <c r="Q123" s="2080">
        <v>0</v>
      </c>
      <c r="R123" s="1968"/>
      <c r="S123" s="2130">
        <f>+IF(SEPTIEMBRE!S123=0,"",SEPTIEMBRE!S123)</f>
        <v>2010200</v>
      </c>
      <c r="T123" s="2131" t="str">
        <f>+IF(SEPTIEMBRE!T123=0,"",SEPTIEMBRE!T123)</f>
        <v>Adquisición de Servicios</v>
      </c>
      <c r="U123" s="2103">
        <f t="shared" ref="U123:AJ123" si="138">SUM(U124:U139)</f>
        <v>4658828612</v>
      </c>
      <c r="V123" s="2104">
        <f t="shared" si="138"/>
        <v>143660997</v>
      </c>
      <c r="W123" s="2104">
        <f t="shared" si="138"/>
        <v>1498156707</v>
      </c>
      <c r="X123" s="2105">
        <f t="shared" si="138"/>
        <v>6300646316</v>
      </c>
      <c r="Y123" s="2106">
        <f t="shared" si="138"/>
        <v>5777970013</v>
      </c>
      <c r="Z123" s="2104">
        <f t="shared" si="138"/>
        <v>325597999</v>
      </c>
      <c r="AA123" s="2105">
        <f t="shared" si="138"/>
        <v>6103568012</v>
      </c>
      <c r="AB123" s="2106">
        <f t="shared" si="138"/>
        <v>4884815374</v>
      </c>
      <c r="AC123" s="2104">
        <f t="shared" si="138"/>
        <v>499331833</v>
      </c>
      <c r="AD123" s="2105">
        <f t="shared" si="138"/>
        <v>5384147207</v>
      </c>
      <c r="AE123" s="2106">
        <f t="shared" si="138"/>
        <v>3252510884</v>
      </c>
      <c r="AF123" s="2104">
        <f t="shared" si="138"/>
        <v>310786866</v>
      </c>
      <c r="AG123" s="2105">
        <f t="shared" si="138"/>
        <v>3563297750</v>
      </c>
      <c r="AH123" s="2106">
        <f t="shared" si="138"/>
        <v>197078304</v>
      </c>
      <c r="AI123" s="2104">
        <f t="shared" si="138"/>
        <v>916499109</v>
      </c>
      <c r="AJ123" s="2107">
        <f t="shared" si="138"/>
        <v>2737348566</v>
      </c>
      <c r="AK123" s="1968"/>
      <c r="AL123" s="2106">
        <f>SUM(AL124:AL139)</f>
        <v>36000000</v>
      </c>
      <c r="AM123" s="2107">
        <f>SUM(AM124:AM139)</f>
        <v>0</v>
      </c>
      <c r="AN123" s="1968"/>
      <c r="AO123" s="1919"/>
      <c r="AP123" s="1919"/>
      <c r="AQ123" s="1919"/>
      <c r="AR123" s="1919"/>
      <c r="AS123" s="1919"/>
      <c r="AT123" s="1919"/>
      <c r="AU123" s="1919"/>
      <c r="AV123" s="1919"/>
      <c r="AW123" s="1919"/>
      <c r="AX123" s="1919"/>
      <c r="AY123" s="1919"/>
      <c r="AZ123" s="1919"/>
    </row>
    <row r="124" spans="1:52" s="2093" customFormat="1" ht="24.95" customHeight="1" thickBot="1">
      <c r="A124" s="2304">
        <f>+IF(SEPTIEMBRE!A124=0,"",SEPTIEMBRE!A124)</f>
        <v>2800</v>
      </c>
      <c r="B124" s="2305" t="str">
        <f>+IF(SEPTIEMBRE!B124=0,"",SEPTIEMBRE!B124)</f>
        <v/>
      </c>
      <c r="C124" s="2114">
        <f>+ENERO!C124</f>
        <v>0</v>
      </c>
      <c r="D124" s="2306">
        <f>SEPTIEMBRE!D124+OCTUBRE!P124</f>
        <v>0</v>
      </c>
      <c r="E124" s="2306">
        <f>SEPTIEMBRE!E124+OCTUBRE!Q124</f>
        <v>0</v>
      </c>
      <c r="F124" s="2307">
        <f t="shared" si="126"/>
        <v>0</v>
      </c>
      <c r="G124" s="2117">
        <f>SEPTIEMBRE!I124</f>
        <v>0</v>
      </c>
      <c r="H124" s="2118">
        <v>0</v>
      </c>
      <c r="I124" s="2308">
        <f t="shared" si="127"/>
        <v>0</v>
      </c>
      <c r="J124" s="2117">
        <f>SEPTIEMBRE!L124</f>
        <v>0</v>
      </c>
      <c r="K124" s="2118">
        <v>0</v>
      </c>
      <c r="L124" s="2116">
        <f t="shared" si="128"/>
        <v>0</v>
      </c>
      <c r="M124" s="2309">
        <f t="shared" si="129"/>
        <v>0</v>
      </c>
      <c r="N124" s="2116">
        <f t="shared" si="130"/>
        <v>0</v>
      </c>
      <c r="P124" s="2120">
        <v>0</v>
      </c>
      <c r="Q124" s="2121">
        <v>0</v>
      </c>
      <c r="R124" s="1968"/>
      <c r="S124" s="2138" t="str">
        <f>+IF(SEPTIEMBRE!S124=0,"",SEPTIEMBRE!S124)</f>
        <v>2010200-1</v>
      </c>
      <c r="T124" s="2139" t="str">
        <f>+IF(SEPTIEMBRE!T124=0,"",SEPTIEMBRE!T124)</f>
        <v>Seguros</v>
      </c>
      <c r="U124" s="2140">
        <f>+ENERO!U124</f>
        <v>350000000</v>
      </c>
      <c r="V124" s="2091">
        <f>SEPTIEMBRE!V124+OCTUBRE!AL124</f>
        <v>109168059</v>
      </c>
      <c r="W124" s="2091">
        <f>SEPTIEMBRE!W124+OCTUBRE!AM124</f>
        <v>0</v>
      </c>
      <c r="X124" s="2141">
        <f t="shared" ref="X124:X139" si="139">SUM(U124:W124)</f>
        <v>459168059</v>
      </c>
      <c r="Y124" s="2142">
        <f>SEPTIEMBRE!AA124</f>
        <v>371663274</v>
      </c>
      <c r="Z124" s="2077">
        <v>87207250</v>
      </c>
      <c r="AA124" s="2141">
        <f t="shared" ref="AA124:AA139" si="140">SUM(Y124:Z124)</f>
        <v>458870524</v>
      </c>
      <c r="AB124" s="2142">
        <f>SEPTIEMBRE!AD124</f>
        <v>371628417</v>
      </c>
      <c r="AC124" s="2077">
        <v>87207250</v>
      </c>
      <c r="AD124" s="2141">
        <f t="shared" ref="AD124:AD139" si="141">SUM(AB124:AC124)</f>
        <v>458835667</v>
      </c>
      <c r="AE124" s="2142">
        <f>SEPTIEMBRE!AG124</f>
        <v>368928583</v>
      </c>
      <c r="AF124" s="2077">
        <v>0</v>
      </c>
      <c r="AG124" s="2141">
        <f t="shared" ref="AG124:AG139" si="142">SUM(AE124:AF124)</f>
        <v>368928583</v>
      </c>
      <c r="AH124" s="2142">
        <f t="shared" ref="AH124:AH139" si="143">X124-AA124</f>
        <v>297535</v>
      </c>
      <c r="AI124" s="2091">
        <f t="shared" ref="AI124:AI139" si="144">X124-AD124</f>
        <v>332392</v>
      </c>
      <c r="AJ124" s="2143">
        <f t="shared" ref="AJ124:AJ139" si="145">X124-AG124</f>
        <v>90239476</v>
      </c>
      <c r="AK124" s="1968"/>
      <c r="AL124" s="2079">
        <v>0</v>
      </c>
      <c r="AM124" s="2080">
        <v>0</v>
      </c>
      <c r="AN124" s="1968"/>
      <c r="AO124" s="1919"/>
      <c r="AP124" s="1919"/>
      <c r="AQ124" s="1919"/>
      <c r="AR124" s="1919"/>
      <c r="AS124" s="1919"/>
      <c r="AT124" s="1919"/>
      <c r="AU124" s="1919"/>
      <c r="AV124" s="1919"/>
      <c r="AW124" s="1919"/>
      <c r="AX124" s="1919"/>
      <c r="AY124" s="1919"/>
      <c r="AZ124" s="1919"/>
    </row>
    <row r="125" spans="1:52" s="2093" customFormat="1" ht="24.95" customHeight="1" thickBot="1">
      <c r="A125" s="2280"/>
      <c r="B125" s="2281"/>
      <c r="C125" s="2282"/>
      <c r="D125" s="2282"/>
      <c r="E125" s="2282"/>
      <c r="F125" s="2282"/>
      <c r="G125" s="2282"/>
      <c r="H125" s="2282"/>
      <c r="I125" s="2282"/>
      <c r="J125" s="2282"/>
      <c r="K125" s="2282"/>
      <c r="L125" s="2282"/>
      <c r="M125" s="2282"/>
      <c r="N125" s="2283"/>
      <c r="P125" s="2284"/>
      <c r="Q125" s="2283"/>
      <c r="R125" s="1968"/>
      <c r="S125" s="2138" t="str">
        <f>+IF(SEPTIEMBRE!S125=0,"",SEPTIEMBRE!S125)</f>
        <v>2010200-2</v>
      </c>
      <c r="T125" s="2139" t="str">
        <f>+IF(SEPTIEMBRE!T125=0,"",SEPTIEMBRE!T125)</f>
        <v>Impresos y Publicaciones</v>
      </c>
      <c r="U125" s="2140">
        <f>+ENERO!U125</f>
        <v>60000000</v>
      </c>
      <c r="V125" s="2091">
        <f>SEPTIEMBRE!V125+OCTUBRE!AL125</f>
        <v>27994312</v>
      </c>
      <c r="W125" s="2091">
        <f>SEPTIEMBRE!W125+OCTUBRE!AM125</f>
        <v>0</v>
      </c>
      <c r="X125" s="2141">
        <f t="shared" si="139"/>
        <v>87994312</v>
      </c>
      <c r="Y125" s="2142">
        <f>SEPTIEMBRE!AA125</f>
        <v>81581777</v>
      </c>
      <c r="Z125" s="2077">
        <v>0</v>
      </c>
      <c r="AA125" s="2141">
        <f t="shared" si="140"/>
        <v>81581777</v>
      </c>
      <c r="AB125" s="2142">
        <f>SEPTIEMBRE!AD125</f>
        <v>56831777</v>
      </c>
      <c r="AC125" s="2077">
        <v>0</v>
      </c>
      <c r="AD125" s="2141">
        <f t="shared" si="141"/>
        <v>56831777</v>
      </c>
      <c r="AE125" s="2142">
        <f>SEPTIEMBRE!AG125</f>
        <v>34981771</v>
      </c>
      <c r="AF125" s="2077">
        <v>0</v>
      </c>
      <c r="AG125" s="2141">
        <f t="shared" si="142"/>
        <v>34981771</v>
      </c>
      <c r="AH125" s="2142">
        <f t="shared" si="143"/>
        <v>6412535</v>
      </c>
      <c r="AI125" s="2091">
        <f t="shared" si="144"/>
        <v>31162535</v>
      </c>
      <c r="AJ125" s="2143">
        <f t="shared" si="145"/>
        <v>53012541</v>
      </c>
      <c r="AK125" s="1968"/>
      <c r="AL125" s="2079">
        <v>0</v>
      </c>
      <c r="AM125" s="2080">
        <v>0</v>
      </c>
      <c r="AN125" s="1968"/>
      <c r="AO125" s="1919"/>
      <c r="AP125" s="1919"/>
      <c r="AQ125" s="1919"/>
      <c r="AR125" s="1919"/>
      <c r="AS125" s="1919"/>
      <c r="AT125" s="1919"/>
      <c r="AU125" s="1919"/>
      <c r="AV125" s="1919"/>
      <c r="AW125" s="1919"/>
      <c r="AX125" s="1919"/>
      <c r="AY125" s="1919"/>
      <c r="AZ125" s="1919"/>
    </row>
    <row r="126" spans="1:52" s="2093" customFormat="1" ht="24.95" customHeight="1" thickBot="1">
      <c r="A126" s="2310" t="s">
        <v>246</v>
      </c>
      <c r="B126" s="2311"/>
      <c r="C126" s="2312">
        <f t="shared" ref="C126:N126" si="146">C8-C128</f>
        <v>41169250887</v>
      </c>
      <c r="D126" s="2312">
        <f t="shared" si="146"/>
        <v>0</v>
      </c>
      <c r="E126" s="2312">
        <f t="shared" si="146"/>
        <v>1086980446</v>
      </c>
      <c r="F126" s="2312">
        <f t="shared" si="146"/>
        <v>42256231333</v>
      </c>
      <c r="G126" s="2312">
        <f t="shared" si="146"/>
        <v>35442295741</v>
      </c>
      <c r="H126" s="2312">
        <f t="shared" si="146"/>
        <v>5146859865</v>
      </c>
      <c r="I126" s="2312">
        <f t="shared" si="146"/>
        <v>40589155606</v>
      </c>
      <c r="J126" s="2312">
        <f t="shared" si="146"/>
        <v>12660799162</v>
      </c>
      <c r="K126" s="2312">
        <f t="shared" si="146"/>
        <v>3106188829</v>
      </c>
      <c r="L126" s="2312">
        <f t="shared" si="146"/>
        <v>15663807457</v>
      </c>
      <c r="M126" s="2312">
        <f t="shared" si="146"/>
        <v>10538258651</v>
      </c>
      <c r="N126" s="2313">
        <f t="shared" si="146"/>
        <v>26592423876</v>
      </c>
      <c r="P126" s="2314">
        <f>P8-P128</f>
        <v>0</v>
      </c>
      <c r="Q126" s="2315">
        <f>Q8-Q128</f>
        <v>0</v>
      </c>
      <c r="R126" s="1968"/>
      <c r="S126" s="2138" t="str">
        <f>+IF(SEPTIEMBRE!S126=0,"",SEPTIEMBRE!S126)</f>
        <v>2010200-3</v>
      </c>
      <c r="T126" s="2139" t="str">
        <f>+IF(SEPTIEMBRE!T126=0,"",SEPTIEMBRE!T126)</f>
        <v xml:space="preserve">Servicios Públicos </v>
      </c>
      <c r="U126" s="2140">
        <f>+ENERO!U126</f>
        <v>904500000</v>
      </c>
      <c r="V126" s="2091">
        <f>SEPTIEMBRE!V126+OCTUBRE!AL126</f>
        <v>0</v>
      </c>
      <c r="W126" s="2091">
        <f>SEPTIEMBRE!W126+OCTUBRE!AM126</f>
        <v>0</v>
      </c>
      <c r="X126" s="2141">
        <f t="shared" si="139"/>
        <v>904500000</v>
      </c>
      <c r="Y126" s="2142">
        <f>SEPTIEMBRE!AA126</f>
        <v>820809091</v>
      </c>
      <c r="Z126" s="2077">
        <v>72602035</v>
      </c>
      <c r="AA126" s="2141">
        <f t="shared" si="140"/>
        <v>893411126</v>
      </c>
      <c r="AB126" s="2142">
        <f>SEPTIEMBRE!AD126</f>
        <v>820740806</v>
      </c>
      <c r="AC126" s="2077">
        <v>72602035</v>
      </c>
      <c r="AD126" s="2141">
        <f t="shared" si="141"/>
        <v>893342841</v>
      </c>
      <c r="AE126" s="2142">
        <f>SEPTIEMBRE!AG126</f>
        <v>748020987</v>
      </c>
      <c r="AF126" s="2077">
        <v>117171876</v>
      </c>
      <c r="AG126" s="2141">
        <f t="shared" si="142"/>
        <v>865192863</v>
      </c>
      <c r="AH126" s="2142">
        <f t="shared" si="143"/>
        <v>11088874</v>
      </c>
      <c r="AI126" s="2091">
        <f t="shared" si="144"/>
        <v>11157159</v>
      </c>
      <c r="AJ126" s="2143">
        <f t="shared" si="145"/>
        <v>39307137</v>
      </c>
      <c r="AK126" s="1968"/>
      <c r="AL126" s="2079">
        <v>0</v>
      </c>
      <c r="AM126" s="2080">
        <v>0</v>
      </c>
      <c r="AN126" s="1968"/>
      <c r="AO126" s="1919"/>
      <c r="AP126" s="1919"/>
      <c r="AQ126" s="1919"/>
      <c r="AR126" s="1919"/>
      <c r="AS126" s="1919"/>
      <c r="AT126" s="1919"/>
      <c r="AU126" s="1919"/>
      <c r="AV126" s="1919"/>
      <c r="AW126" s="1919"/>
      <c r="AX126" s="1919"/>
      <c r="AY126" s="1919"/>
      <c r="AZ126" s="1919"/>
    </row>
    <row r="127" spans="1:52" s="2093" customFormat="1" ht="24.95" customHeight="1" thickBot="1">
      <c r="A127" s="2316"/>
      <c r="B127" s="2281"/>
      <c r="C127" s="2282"/>
      <c r="D127" s="2282"/>
      <c r="E127" s="2282"/>
      <c r="F127" s="2282"/>
      <c r="G127" s="2282"/>
      <c r="H127" s="2282"/>
      <c r="I127" s="2282"/>
      <c r="J127" s="2282"/>
      <c r="K127" s="2282"/>
      <c r="L127" s="2282"/>
      <c r="M127" s="2282"/>
      <c r="N127" s="2283"/>
      <c r="P127" s="2284"/>
      <c r="Q127" s="2283"/>
      <c r="R127" s="1968"/>
      <c r="S127" s="2138" t="str">
        <f>+IF(SEPTIEMBRE!S127=0,"",SEPTIEMBRE!S127)</f>
        <v>2010200-4</v>
      </c>
      <c r="T127" s="2139" t="str">
        <f>+IF(SEPTIEMBRE!T127=0,"",SEPTIEMBRE!T127)</f>
        <v>Comunicaciones y Transportes</v>
      </c>
      <c r="U127" s="2140">
        <f>+ENERO!U127</f>
        <v>35257108</v>
      </c>
      <c r="V127" s="2091">
        <f>SEPTIEMBRE!V127+OCTUBRE!AL127</f>
        <v>2000000</v>
      </c>
      <c r="W127" s="2091">
        <f>SEPTIEMBRE!W127+OCTUBRE!AM127</f>
        <v>0</v>
      </c>
      <c r="X127" s="2141">
        <f t="shared" si="139"/>
        <v>37257108</v>
      </c>
      <c r="Y127" s="2142">
        <f>SEPTIEMBRE!AA127</f>
        <v>35668008</v>
      </c>
      <c r="Z127" s="2077">
        <v>812700</v>
      </c>
      <c r="AA127" s="2141">
        <f t="shared" si="140"/>
        <v>36480708</v>
      </c>
      <c r="AB127" s="2142">
        <f>SEPTIEMBRE!AD127</f>
        <v>35668008</v>
      </c>
      <c r="AC127" s="2077">
        <v>812700</v>
      </c>
      <c r="AD127" s="2141">
        <f t="shared" si="141"/>
        <v>36480708</v>
      </c>
      <c r="AE127" s="2142">
        <f>SEPTIEMBRE!AG127</f>
        <v>21984382</v>
      </c>
      <c r="AF127" s="2077">
        <v>5633614</v>
      </c>
      <c r="AG127" s="2141">
        <f t="shared" si="142"/>
        <v>27617996</v>
      </c>
      <c r="AH127" s="2142">
        <f t="shared" si="143"/>
        <v>776400</v>
      </c>
      <c r="AI127" s="2091">
        <f t="shared" si="144"/>
        <v>776400</v>
      </c>
      <c r="AJ127" s="2143">
        <f t="shared" si="145"/>
        <v>9639112</v>
      </c>
      <c r="AK127" s="1968"/>
      <c r="AL127" s="2079">
        <v>0</v>
      </c>
      <c r="AM127" s="2080">
        <v>0</v>
      </c>
      <c r="AN127" s="1968"/>
      <c r="AO127" s="1919"/>
      <c r="AP127" s="1919"/>
      <c r="AQ127" s="1919"/>
      <c r="AR127" s="1919"/>
      <c r="AS127" s="1919"/>
      <c r="AT127" s="1919"/>
      <c r="AU127" s="1919"/>
      <c r="AV127" s="1919"/>
      <c r="AW127" s="1919"/>
      <c r="AX127" s="1919"/>
      <c r="AY127" s="1919"/>
      <c r="AZ127" s="1919"/>
    </row>
    <row r="128" spans="1:52" s="2093" customFormat="1" ht="24.95" customHeight="1" thickBot="1">
      <c r="A128" s="2317" t="s">
        <v>249</v>
      </c>
      <c r="B128" s="2318"/>
      <c r="C128" s="2319">
        <f>SUMIF($B8:$B$122,$B$24,C8:C122)+C122</f>
        <v>9052927194</v>
      </c>
      <c r="D128" s="2319">
        <f>SUMIF($B8:$B$122,$B$24,D8:D122)+D122</f>
        <v>0</v>
      </c>
      <c r="E128" s="2319">
        <f>SUMIF($B8:$B$122,$B$24,E8:E122)+E122</f>
        <v>15690529363</v>
      </c>
      <c r="F128" s="2319">
        <f>SUMIF($B8:$B$122,$B$24,F8:F122)+F122</f>
        <v>24743456557</v>
      </c>
      <c r="G128" s="2319">
        <f>SUMIF($B8:$B$122,$B$24,G8:G122)+G122</f>
        <v>17727605015</v>
      </c>
      <c r="H128" s="2319">
        <f>SUMIF($B8:$B$122,$B$24,H8:H122)+H122</f>
        <v>285746025</v>
      </c>
      <c r="I128" s="2319">
        <f>SUMIF($B8:$B$122,$B$24,I8:I122)+I122</f>
        <v>18013351040</v>
      </c>
      <c r="J128" s="2319">
        <f>SUMIF($B8:$B$122,$B$24,J8:J122)+J1212</f>
        <v>17624424481</v>
      </c>
      <c r="K128" s="2319">
        <f>SUMIF($B8:$B$122,$B$24,K8:K122)+K122</f>
        <v>285746025</v>
      </c>
      <c r="L128" s="2319">
        <f>SUMIF($B8:$B$122,$B$24,L8:L122)+L122</f>
        <v>18013351040</v>
      </c>
      <c r="M128" s="2319">
        <f>SUMIF($B8:$B$122,$B$24,M8:M122)+M12</f>
        <v>-2141077407</v>
      </c>
      <c r="N128" s="2320">
        <f>SUMIF($B8:$B$122,$B$24,N8:N122)+N122</f>
        <v>6730105517</v>
      </c>
      <c r="O128" s="2257"/>
      <c r="P128" s="2319">
        <f>SUMIF($B8:$B$122,$B$24,P8:P122)+P122</f>
        <v>0</v>
      </c>
      <c r="Q128" s="2321">
        <f>SUMIF($B8:$B$122,$B$24,Q8:Q122)+Q122</f>
        <v>121353776</v>
      </c>
      <c r="R128" s="1968"/>
      <c r="S128" s="2138" t="str">
        <f>+IF(SEPTIEMBRE!S128=0,"",SEPTIEMBRE!S128)</f>
        <v>2010200-5</v>
      </c>
      <c r="T128" s="2139" t="str">
        <f>+IF(SEPTIEMBRE!T128=0,"",SEPTIEMBRE!T128)</f>
        <v>Viáticos y Gastos de Viaje</v>
      </c>
      <c r="U128" s="2140">
        <f>+ENERO!U128</f>
        <v>12609000</v>
      </c>
      <c r="V128" s="2091">
        <f>SEPTIEMBRE!V128+OCTUBRE!AL128</f>
        <v>0</v>
      </c>
      <c r="W128" s="2091">
        <f>SEPTIEMBRE!W128+OCTUBRE!AM128</f>
        <v>0</v>
      </c>
      <c r="X128" s="2141">
        <f t="shared" si="139"/>
        <v>12609000</v>
      </c>
      <c r="Y128" s="2142">
        <f>SEPTIEMBRE!AA128</f>
        <v>3169537</v>
      </c>
      <c r="Z128" s="2077">
        <v>0</v>
      </c>
      <c r="AA128" s="2141">
        <f t="shared" si="140"/>
        <v>3169537</v>
      </c>
      <c r="AB128" s="2142">
        <f>SEPTIEMBRE!AD128</f>
        <v>3169537</v>
      </c>
      <c r="AC128" s="2077">
        <v>0</v>
      </c>
      <c r="AD128" s="2141">
        <f t="shared" si="141"/>
        <v>3169537</v>
      </c>
      <c r="AE128" s="2142">
        <f>SEPTIEMBRE!AG128</f>
        <v>2851926</v>
      </c>
      <c r="AF128" s="2077">
        <v>0</v>
      </c>
      <c r="AG128" s="2141">
        <f t="shared" si="142"/>
        <v>2851926</v>
      </c>
      <c r="AH128" s="2142">
        <f t="shared" si="143"/>
        <v>9439463</v>
      </c>
      <c r="AI128" s="2091">
        <f t="shared" si="144"/>
        <v>9439463</v>
      </c>
      <c r="AJ128" s="2143">
        <f t="shared" si="145"/>
        <v>9757074</v>
      </c>
      <c r="AK128" s="1968"/>
      <c r="AL128" s="2079">
        <v>0</v>
      </c>
      <c r="AM128" s="2080">
        <v>0</v>
      </c>
      <c r="AN128" s="1968"/>
      <c r="AO128" s="1919"/>
      <c r="AP128" s="1919"/>
      <c r="AQ128" s="1919"/>
      <c r="AR128" s="1919"/>
      <c r="AS128" s="1919"/>
      <c r="AT128" s="1919"/>
      <c r="AU128" s="1919"/>
      <c r="AV128" s="1919"/>
      <c r="AW128" s="1919"/>
      <c r="AX128" s="1919"/>
      <c r="AY128" s="1919"/>
      <c r="AZ128" s="1919"/>
    </row>
    <row r="129" spans="1:52" s="2093" customFormat="1" ht="24.95" customHeight="1" thickBot="1">
      <c r="A129" s="2316"/>
      <c r="B129" s="2281"/>
      <c r="C129" s="2282"/>
      <c r="D129" s="2282"/>
      <c r="E129" s="2282"/>
      <c r="F129" s="2282"/>
      <c r="G129" s="2282"/>
      <c r="H129" s="2282"/>
      <c r="I129" s="2282"/>
      <c r="J129" s="2282"/>
      <c r="K129" s="2282"/>
      <c r="L129" s="2282"/>
      <c r="M129" s="2282"/>
      <c r="N129" s="2283"/>
      <c r="P129" s="2284"/>
      <c r="Q129" s="2283"/>
      <c r="R129" s="1968"/>
      <c r="S129" s="2138" t="str">
        <f>+IF(SEPTIEMBRE!S129=0,"",SEPTIEMBRE!S129)</f>
        <v>2010200-6</v>
      </c>
      <c r="T129" s="2139" t="str">
        <f>+IF(SEPTIEMBRE!T129=0,"",SEPTIEMBRE!T129)</f>
        <v>Arrendamientos</v>
      </c>
      <c r="U129" s="2140">
        <f>+ENERO!U129</f>
        <v>1100000000</v>
      </c>
      <c r="V129" s="2091">
        <f>SEPTIEMBRE!V129+OCTUBRE!AL129</f>
        <v>1195817483</v>
      </c>
      <c r="W129" s="2091">
        <f>SEPTIEMBRE!W129+OCTUBRE!AM129</f>
        <v>110000000</v>
      </c>
      <c r="X129" s="2141">
        <f t="shared" si="139"/>
        <v>2405817483</v>
      </c>
      <c r="Y129" s="2142">
        <f>SEPTIEMBRE!AA129</f>
        <v>2405672976</v>
      </c>
      <c r="Z129" s="2077">
        <v>0</v>
      </c>
      <c r="AA129" s="2141">
        <f t="shared" si="140"/>
        <v>2405672976</v>
      </c>
      <c r="AB129" s="2142">
        <f>SEPTIEMBRE!AD129</f>
        <v>1825122693</v>
      </c>
      <c r="AC129" s="2077">
        <v>154956900</v>
      </c>
      <c r="AD129" s="2141">
        <f t="shared" si="141"/>
        <v>1980079593</v>
      </c>
      <c r="AE129" s="2142">
        <f>SEPTIEMBRE!AG129</f>
        <v>1120971444</v>
      </c>
      <c r="AF129" s="2077">
        <v>75537957</v>
      </c>
      <c r="AG129" s="2141">
        <f t="shared" si="142"/>
        <v>1196509401</v>
      </c>
      <c r="AH129" s="2142">
        <f t="shared" si="143"/>
        <v>144507</v>
      </c>
      <c r="AI129" s="2091">
        <f t="shared" si="144"/>
        <v>425737890</v>
      </c>
      <c r="AJ129" s="2143">
        <f t="shared" si="145"/>
        <v>1209308082</v>
      </c>
      <c r="AK129" s="1968"/>
      <c r="AL129" s="2079">
        <v>0</v>
      </c>
      <c r="AM129" s="2080">
        <v>0</v>
      </c>
      <c r="AN129" s="1968"/>
      <c r="AO129" s="1919"/>
      <c r="AP129" s="1919"/>
      <c r="AQ129" s="1919"/>
      <c r="AR129" s="1919"/>
      <c r="AS129" s="1919"/>
      <c r="AT129" s="1919"/>
      <c r="AU129" s="1919"/>
      <c r="AV129" s="1919"/>
      <c r="AW129" s="1919"/>
      <c r="AX129" s="1919"/>
      <c r="AY129" s="1919"/>
      <c r="AZ129" s="1919"/>
    </row>
    <row r="130" spans="1:52" s="2093" customFormat="1" ht="24.95" customHeight="1" thickBot="1">
      <c r="A130" s="2322" t="s">
        <v>252</v>
      </c>
      <c r="B130" s="2323"/>
      <c r="C130" s="2324">
        <f t="shared" ref="C130:N130" si="147">C128+C126</f>
        <v>50222178081</v>
      </c>
      <c r="D130" s="2325">
        <f t="shared" si="147"/>
        <v>0</v>
      </c>
      <c r="E130" s="2325">
        <f t="shared" si="147"/>
        <v>16777509809</v>
      </c>
      <c r="F130" s="2326">
        <f t="shared" si="147"/>
        <v>66999687890</v>
      </c>
      <c r="G130" s="2324">
        <f t="shared" si="147"/>
        <v>53169900756</v>
      </c>
      <c r="H130" s="2325">
        <f t="shared" si="147"/>
        <v>5432605890</v>
      </c>
      <c r="I130" s="2326">
        <f t="shared" si="147"/>
        <v>58602506646</v>
      </c>
      <c r="J130" s="2324">
        <f t="shared" si="147"/>
        <v>30285223643</v>
      </c>
      <c r="K130" s="2325">
        <f t="shared" si="147"/>
        <v>3391934854</v>
      </c>
      <c r="L130" s="2326">
        <f t="shared" si="147"/>
        <v>33677158497</v>
      </c>
      <c r="M130" s="2324">
        <f t="shared" si="147"/>
        <v>8397181244</v>
      </c>
      <c r="N130" s="2326">
        <f t="shared" si="147"/>
        <v>33322529393</v>
      </c>
      <c r="P130" s="2314">
        <f>P128+P126</f>
        <v>0</v>
      </c>
      <c r="Q130" s="2315">
        <f>Q128+Q126</f>
        <v>121353776</v>
      </c>
      <c r="R130" s="1968"/>
      <c r="S130" s="2138" t="str">
        <f>+IF(SEPTIEMBRE!S130=0,"",SEPTIEMBRE!S130)</f>
        <v>2010200-7</v>
      </c>
      <c r="T130" s="2139" t="str">
        <f>+IF(SEPTIEMBRE!T130=0,"",SEPTIEMBRE!T130)</f>
        <v>Vigilancia y Aseo</v>
      </c>
      <c r="U130" s="2140">
        <f>+ENERO!U130</f>
        <v>2121073970</v>
      </c>
      <c r="V130" s="2091">
        <f>SEPTIEMBRE!V130+OCTUBRE!AL130</f>
        <v>-552319027</v>
      </c>
      <c r="W130" s="2091">
        <f>SEPTIEMBRE!W130+OCTUBRE!AM130</f>
        <v>220000000</v>
      </c>
      <c r="X130" s="2141">
        <f t="shared" si="139"/>
        <v>1788754943</v>
      </c>
      <c r="Y130" s="2142">
        <f>SEPTIEMBRE!AA130</f>
        <v>1580167123</v>
      </c>
      <c r="Z130" s="2077">
        <v>116413875</v>
      </c>
      <c r="AA130" s="2141">
        <f t="shared" si="140"/>
        <v>1696580998</v>
      </c>
      <c r="AB130" s="2142">
        <f>SEPTIEMBRE!AD130</f>
        <v>1293460232</v>
      </c>
      <c r="AC130" s="2077">
        <v>135851759</v>
      </c>
      <c r="AD130" s="2141">
        <f t="shared" si="141"/>
        <v>1429311991</v>
      </c>
      <c r="AE130" s="2142">
        <f>SEPTIEMBRE!AG130</f>
        <v>481247032</v>
      </c>
      <c r="AF130" s="2077">
        <v>75922099</v>
      </c>
      <c r="AG130" s="2141">
        <f t="shared" si="142"/>
        <v>557169131</v>
      </c>
      <c r="AH130" s="2142">
        <f t="shared" si="143"/>
        <v>92173945</v>
      </c>
      <c r="AI130" s="2091">
        <f t="shared" si="144"/>
        <v>359442952</v>
      </c>
      <c r="AJ130" s="2143">
        <f t="shared" si="145"/>
        <v>1231585812</v>
      </c>
      <c r="AK130" s="1968"/>
      <c r="AL130" s="2079">
        <v>0</v>
      </c>
      <c r="AM130" s="2080">
        <v>0</v>
      </c>
      <c r="AN130" s="1968"/>
      <c r="AO130" s="1919"/>
      <c r="AP130" s="1919"/>
      <c r="AQ130" s="1919"/>
      <c r="AR130" s="1919"/>
      <c r="AS130" s="1919"/>
      <c r="AT130" s="1919"/>
      <c r="AU130" s="1919"/>
      <c r="AV130" s="1919"/>
      <c r="AW130" s="1919"/>
      <c r="AX130" s="1919"/>
      <c r="AY130" s="1919"/>
      <c r="AZ130" s="1919"/>
    </row>
    <row r="131" spans="1:52" s="2093" customFormat="1" ht="24.95" customHeight="1">
      <c r="A131" s="2327"/>
      <c r="B131" s="2328"/>
      <c r="N131" s="1968"/>
      <c r="R131" s="1968"/>
      <c r="S131" s="2138" t="str">
        <f>+IF(SEPTIEMBRE!S131=0,"",SEPTIEMBRE!S131)</f>
        <v>2010200-8</v>
      </c>
      <c r="T131" s="2139" t="str">
        <f>+IF(SEPTIEMBRE!T131=0,"",SEPTIEMBRE!T131)</f>
        <v>Bienestar Social</v>
      </c>
      <c r="U131" s="2140">
        <f>+ENERO!U131</f>
        <v>45388534</v>
      </c>
      <c r="V131" s="2091">
        <f>SEPTIEMBRE!V131+OCTUBRE!AL131</f>
        <v>0</v>
      </c>
      <c r="W131" s="2091">
        <f>SEPTIEMBRE!W131+OCTUBRE!AM131</f>
        <v>26156707</v>
      </c>
      <c r="X131" s="2141">
        <f t="shared" si="139"/>
        <v>71545241</v>
      </c>
      <c r="Y131" s="2142">
        <f>SEPTIEMBRE!AA131</f>
        <v>21776353</v>
      </c>
      <c r="Z131" s="2077">
        <v>12024478</v>
      </c>
      <c r="AA131" s="2141">
        <f t="shared" si="140"/>
        <v>33800831</v>
      </c>
      <c r="AB131" s="2142">
        <f>SEPTIEMBRE!AD131</f>
        <v>20732030</v>
      </c>
      <c r="AC131" s="2077">
        <v>11363528</v>
      </c>
      <c r="AD131" s="2141">
        <f t="shared" si="141"/>
        <v>32095558</v>
      </c>
      <c r="AE131" s="2142">
        <f>SEPTIEMBRE!AG131</f>
        <v>18033163</v>
      </c>
      <c r="AF131" s="2077">
        <v>320000</v>
      </c>
      <c r="AG131" s="2141">
        <f t="shared" si="142"/>
        <v>18353163</v>
      </c>
      <c r="AH131" s="2142">
        <f t="shared" si="143"/>
        <v>37744410</v>
      </c>
      <c r="AI131" s="2091">
        <f t="shared" si="144"/>
        <v>39449683</v>
      </c>
      <c r="AJ131" s="2143">
        <f t="shared" si="145"/>
        <v>53192078</v>
      </c>
      <c r="AK131" s="1968"/>
      <c r="AL131" s="2079">
        <v>0</v>
      </c>
      <c r="AM131" s="2080">
        <v>0</v>
      </c>
      <c r="AN131" s="1968"/>
      <c r="AO131" s="1919"/>
      <c r="AP131" s="1919"/>
      <c r="AQ131" s="1919"/>
      <c r="AR131" s="1919"/>
      <c r="AS131" s="1919"/>
      <c r="AT131" s="1919"/>
      <c r="AU131" s="1919"/>
      <c r="AV131" s="1919"/>
      <c r="AW131" s="1919"/>
      <c r="AX131" s="1919"/>
      <c r="AY131" s="1919"/>
      <c r="AZ131" s="1919"/>
    </row>
    <row r="132" spans="1:52" s="2093" customFormat="1" ht="24.95" customHeight="1">
      <c r="A132" s="2327"/>
      <c r="B132" s="2328"/>
      <c r="N132" s="1968"/>
      <c r="R132" s="1968"/>
      <c r="S132" s="2138" t="str">
        <f>+IF(SEPTIEMBRE!S132=0,"",SEPTIEMBRE!S132)</f>
        <v>2010200-9</v>
      </c>
      <c r="T132" s="2139" t="str">
        <f>+IF(SEPTIEMBRE!T132=0,"",SEPTIEMBRE!T132)</f>
        <v>Capacitación, estimulos, incentivos, programa de calidad</v>
      </c>
      <c r="U132" s="2140">
        <f>+ENERO!U132</f>
        <v>15000000</v>
      </c>
      <c r="V132" s="2091">
        <f>SEPTIEMBRE!V132+OCTUBRE!AL132</f>
        <v>0</v>
      </c>
      <c r="W132" s="2091">
        <f>SEPTIEMBRE!W132+OCTUBRE!AM132</f>
        <v>0</v>
      </c>
      <c r="X132" s="2141">
        <f t="shared" si="139"/>
        <v>15000000</v>
      </c>
      <c r="Y132" s="2142">
        <f>SEPTIEMBRE!AA132</f>
        <v>2139400</v>
      </c>
      <c r="Z132" s="2077">
        <v>0</v>
      </c>
      <c r="AA132" s="2141">
        <f t="shared" si="140"/>
        <v>2139400</v>
      </c>
      <c r="AB132" s="2142">
        <f>SEPTIEMBRE!AD132</f>
        <v>2139400</v>
      </c>
      <c r="AC132" s="2077">
        <v>0</v>
      </c>
      <c r="AD132" s="2141">
        <f t="shared" si="141"/>
        <v>2139400</v>
      </c>
      <c r="AE132" s="2142">
        <f>SEPTIEMBRE!AG132</f>
        <v>640000</v>
      </c>
      <c r="AF132" s="2077">
        <v>0</v>
      </c>
      <c r="AG132" s="2141">
        <f t="shared" si="142"/>
        <v>640000</v>
      </c>
      <c r="AH132" s="2142">
        <f t="shared" si="143"/>
        <v>12860600</v>
      </c>
      <c r="AI132" s="2091">
        <f t="shared" si="144"/>
        <v>12860600</v>
      </c>
      <c r="AJ132" s="2143">
        <f t="shared" si="145"/>
        <v>14360000</v>
      </c>
      <c r="AK132" s="1968"/>
      <c r="AL132" s="2079">
        <v>0</v>
      </c>
      <c r="AM132" s="2080">
        <v>0</v>
      </c>
      <c r="AN132" s="1968"/>
      <c r="AO132" s="1919"/>
      <c r="AP132" s="1919"/>
      <c r="AQ132" s="1919"/>
      <c r="AR132" s="1919"/>
      <c r="AS132" s="1919"/>
      <c r="AT132" s="1919"/>
      <c r="AU132" s="1919"/>
      <c r="AV132" s="1919"/>
      <c r="AW132" s="1919"/>
      <c r="AX132" s="1919"/>
      <c r="AY132" s="1919"/>
      <c r="AZ132" s="1919"/>
    </row>
    <row r="133" spans="1:52" s="2093" customFormat="1" ht="24.95" customHeight="1">
      <c r="A133" s="2327"/>
      <c r="B133" s="2328"/>
      <c r="N133" s="1968"/>
      <c r="R133" s="1968"/>
      <c r="S133" s="2138" t="str">
        <f>+IF(SEPTIEMBRE!S133=0,"",SEPTIEMBRE!S133)</f>
        <v>2010200-10</v>
      </c>
      <c r="T133" s="2139" t="str">
        <f>+IF(SEPTIEMBRE!T133=0,"",SEPTIEMBRE!T133)</f>
        <v>Pagos otras IPS</v>
      </c>
      <c r="U133" s="2140">
        <f>+ENERO!U133</f>
        <v>5000000</v>
      </c>
      <c r="V133" s="2091">
        <f>SEPTIEMBRE!V133+OCTUBRE!AL133</f>
        <v>0</v>
      </c>
      <c r="W133" s="2091">
        <f>SEPTIEMBRE!W133+OCTUBRE!AM133</f>
        <v>0</v>
      </c>
      <c r="X133" s="2141">
        <f t="shared" si="139"/>
        <v>5000000</v>
      </c>
      <c r="Y133" s="2142">
        <f>SEPTIEMBRE!AA133</f>
        <v>0</v>
      </c>
      <c r="Z133" s="2077">
        <v>0</v>
      </c>
      <c r="AA133" s="2141">
        <f t="shared" si="140"/>
        <v>0</v>
      </c>
      <c r="AB133" s="2142">
        <f>SEPTIEMBRE!AD133</f>
        <v>0</v>
      </c>
      <c r="AC133" s="2077">
        <v>0</v>
      </c>
      <c r="AD133" s="2141">
        <f t="shared" si="141"/>
        <v>0</v>
      </c>
      <c r="AE133" s="2142">
        <f>SEPTIEMBRE!AG133</f>
        <v>0</v>
      </c>
      <c r="AF133" s="2077">
        <v>0</v>
      </c>
      <c r="AG133" s="2141">
        <f t="shared" si="142"/>
        <v>0</v>
      </c>
      <c r="AH133" s="2142">
        <f t="shared" si="143"/>
        <v>5000000</v>
      </c>
      <c r="AI133" s="2091">
        <f t="shared" si="144"/>
        <v>5000000</v>
      </c>
      <c r="AJ133" s="2143">
        <f t="shared" si="145"/>
        <v>5000000</v>
      </c>
      <c r="AK133" s="1968"/>
      <c r="AL133" s="2079">
        <v>0</v>
      </c>
      <c r="AM133" s="2080">
        <v>0</v>
      </c>
      <c r="AN133" s="1968"/>
      <c r="AO133" s="1919"/>
      <c r="AP133" s="1919"/>
      <c r="AQ133" s="1919"/>
      <c r="AR133" s="1919"/>
      <c r="AS133" s="1919"/>
      <c r="AT133" s="1919"/>
      <c r="AU133" s="1919"/>
      <c r="AV133" s="1919"/>
      <c r="AW133" s="1919"/>
      <c r="AX133" s="1919"/>
      <c r="AY133" s="1919"/>
      <c r="AZ133" s="1919"/>
    </row>
    <row r="134" spans="1:52" s="2093" customFormat="1" ht="24.95" customHeight="1">
      <c r="A134" s="2327"/>
      <c r="B134" s="2328"/>
      <c r="N134" s="1968"/>
      <c r="R134" s="1968"/>
      <c r="S134" s="2138" t="str">
        <f>+IF(SEPTIEMBRE!S134=0,"",SEPTIEMBRE!S134)</f>
        <v>2010200-11</v>
      </c>
      <c r="T134" s="2139" t="str">
        <f>+IF(SEPTIEMBRE!T134=0,"",SEPTIEMBRE!T134)</f>
        <v>Gastos financieros</v>
      </c>
      <c r="U134" s="2140">
        <f>+ENERO!U134</f>
        <v>10000000</v>
      </c>
      <c r="V134" s="2091">
        <f>SEPTIEMBRE!V134+OCTUBRE!AL134</f>
        <v>14000000</v>
      </c>
      <c r="W134" s="2091">
        <f>SEPTIEMBRE!W134+OCTUBRE!AM134</f>
        <v>22000000</v>
      </c>
      <c r="X134" s="2141">
        <f t="shared" si="139"/>
        <v>46000000</v>
      </c>
      <c r="Y134" s="2142">
        <f>SEPTIEMBRE!AA134</f>
        <v>25250292</v>
      </c>
      <c r="Z134" s="2077">
        <v>336341</v>
      </c>
      <c r="AA134" s="2141">
        <f t="shared" si="140"/>
        <v>25586633</v>
      </c>
      <c r="AB134" s="2142">
        <f>SEPTIEMBRE!AD134</f>
        <v>25250292</v>
      </c>
      <c r="AC134" s="2077">
        <v>336341</v>
      </c>
      <c r="AD134" s="2141">
        <f t="shared" si="141"/>
        <v>25586633</v>
      </c>
      <c r="AE134" s="2142">
        <f>SEPTIEMBRE!AG134</f>
        <v>24779414</v>
      </c>
      <c r="AF134" s="2077">
        <v>0</v>
      </c>
      <c r="AG134" s="2141">
        <f t="shared" si="142"/>
        <v>24779414</v>
      </c>
      <c r="AH134" s="2142">
        <f t="shared" si="143"/>
        <v>20413367</v>
      </c>
      <c r="AI134" s="2091">
        <f t="shared" si="144"/>
        <v>20413367</v>
      </c>
      <c r="AJ134" s="2143">
        <f t="shared" si="145"/>
        <v>21220586</v>
      </c>
      <c r="AK134" s="1968"/>
      <c r="AL134" s="2079">
        <v>0</v>
      </c>
      <c r="AM134" s="2080">
        <v>0</v>
      </c>
      <c r="AN134" s="1968"/>
      <c r="AO134" s="1919"/>
      <c r="AP134" s="1919"/>
      <c r="AQ134" s="1919"/>
      <c r="AR134" s="1919"/>
      <c r="AS134" s="1919"/>
      <c r="AT134" s="1919"/>
      <c r="AU134" s="1919"/>
      <c r="AV134" s="1919"/>
      <c r="AW134" s="1919"/>
      <c r="AX134" s="1919"/>
      <c r="AY134" s="1919"/>
      <c r="AZ134" s="1919"/>
    </row>
    <row r="135" spans="1:52" s="2093" customFormat="1" ht="24.95" customHeight="1">
      <c r="A135" s="2327"/>
      <c r="B135" s="2328"/>
      <c r="N135" s="1968"/>
      <c r="R135" s="1968"/>
      <c r="S135" s="2138" t="str">
        <f>+IF(SEPTIEMBRE!S135=0,"",SEPTIEMBRE!S135)</f>
        <v>2010200-12</v>
      </c>
      <c r="T135" s="2139" t="str">
        <f>+IF(SEPTIEMBRE!T135=0,"",SEPTIEMBRE!T135)</f>
        <v/>
      </c>
      <c r="U135" s="2140">
        <f>+ENERO!U135</f>
        <v>0</v>
      </c>
      <c r="V135" s="2091">
        <f>SEPTIEMBRE!V135+OCTUBRE!AL135</f>
        <v>0</v>
      </c>
      <c r="W135" s="2091">
        <f>SEPTIEMBRE!W135+OCTUBRE!AM135</f>
        <v>0</v>
      </c>
      <c r="X135" s="2141">
        <f t="shared" si="139"/>
        <v>0</v>
      </c>
      <c r="Y135" s="2142">
        <f>SEPTIEMBRE!AA135</f>
        <v>0</v>
      </c>
      <c r="Z135" s="2077">
        <v>0</v>
      </c>
      <c r="AA135" s="2141">
        <f t="shared" si="140"/>
        <v>0</v>
      </c>
      <c r="AB135" s="2142">
        <f>SEPTIEMBRE!AD135</f>
        <v>0</v>
      </c>
      <c r="AC135" s="2077">
        <v>0</v>
      </c>
      <c r="AD135" s="2141">
        <f t="shared" si="141"/>
        <v>0</v>
      </c>
      <c r="AE135" s="2142">
        <f>SEPTIEMBRE!AG135</f>
        <v>0</v>
      </c>
      <c r="AF135" s="2077">
        <v>0</v>
      </c>
      <c r="AG135" s="2141">
        <f t="shared" si="142"/>
        <v>0</v>
      </c>
      <c r="AH135" s="2142">
        <f t="shared" si="143"/>
        <v>0</v>
      </c>
      <c r="AI135" s="2091">
        <f t="shared" si="144"/>
        <v>0</v>
      </c>
      <c r="AJ135" s="2143">
        <f t="shared" si="145"/>
        <v>0</v>
      </c>
      <c r="AK135" s="1968"/>
      <c r="AL135" s="2079">
        <v>0</v>
      </c>
      <c r="AM135" s="2080">
        <v>0</v>
      </c>
      <c r="AN135" s="1968"/>
      <c r="AO135" s="1919"/>
      <c r="AP135" s="1919"/>
      <c r="AQ135" s="1919"/>
      <c r="AR135" s="1919"/>
      <c r="AS135" s="1919"/>
      <c r="AT135" s="1919"/>
      <c r="AU135" s="1919"/>
      <c r="AV135" s="1919"/>
      <c r="AW135" s="1919"/>
      <c r="AX135" s="1919"/>
      <c r="AY135" s="1919"/>
      <c r="AZ135" s="1919"/>
    </row>
    <row r="136" spans="1:52" s="2093" customFormat="1" ht="24.95" customHeight="1">
      <c r="A136" s="2327"/>
      <c r="B136" s="2328"/>
      <c r="N136" s="1968"/>
      <c r="R136" s="1968"/>
      <c r="S136" s="2138" t="str">
        <f>+IF(SEPTIEMBRE!S136=0,"",SEPTIEMBRE!S136)</f>
        <v>2010200-13</v>
      </c>
      <c r="T136" s="2139" t="str">
        <f>+IF(SEPTIEMBRE!T136=0,"",SEPTIEMBRE!T136)</f>
        <v/>
      </c>
      <c r="U136" s="2140">
        <f>+ENERO!U136</f>
        <v>0</v>
      </c>
      <c r="V136" s="2091">
        <f>SEPTIEMBRE!V136+OCTUBRE!AL136</f>
        <v>0</v>
      </c>
      <c r="W136" s="2091">
        <f>SEPTIEMBRE!W136+OCTUBRE!AM136</f>
        <v>0</v>
      </c>
      <c r="X136" s="2141">
        <f t="shared" si="139"/>
        <v>0</v>
      </c>
      <c r="Y136" s="2142">
        <f>SEPTIEMBRE!AA136</f>
        <v>0</v>
      </c>
      <c r="Z136" s="2077">
        <v>0</v>
      </c>
      <c r="AA136" s="2141">
        <f t="shared" si="140"/>
        <v>0</v>
      </c>
      <c r="AB136" s="2142">
        <f>SEPTIEMBRE!AD136</f>
        <v>0</v>
      </c>
      <c r="AC136" s="2077">
        <v>0</v>
      </c>
      <c r="AD136" s="2141">
        <f t="shared" si="141"/>
        <v>0</v>
      </c>
      <c r="AE136" s="2142">
        <f>SEPTIEMBRE!AG136</f>
        <v>0</v>
      </c>
      <c r="AF136" s="2077">
        <v>0</v>
      </c>
      <c r="AG136" s="2141">
        <f t="shared" si="142"/>
        <v>0</v>
      </c>
      <c r="AH136" s="2142">
        <f t="shared" si="143"/>
        <v>0</v>
      </c>
      <c r="AI136" s="2091">
        <f t="shared" si="144"/>
        <v>0</v>
      </c>
      <c r="AJ136" s="2143">
        <f t="shared" si="145"/>
        <v>0</v>
      </c>
      <c r="AK136" s="1968"/>
      <c r="AL136" s="2079">
        <v>0</v>
      </c>
      <c r="AM136" s="2080">
        <v>0</v>
      </c>
      <c r="AN136" s="1968"/>
      <c r="AO136" s="1919"/>
      <c r="AP136" s="1919"/>
      <c r="AQ136" s="1919"/>
      <c r="AR136" s="1919"/>
      <c r="AS136" s="1919"/>
      <c r="AT136" s="1919"/>
      <c r="AU136" s="1919"/>
      <c r="AV136" s="1919"/>
      <c r="AW136" s="1919"/>
      <c r="AX136" s="1919"/>
      <c r="AY136" s="1919"/>
      <c r="AZ136" s="1919"/>
    </row>
    <row r="137" spans="1:52" s="2093" customFormat="1" ht="24.95" customHeight="1">
      <c r="A137" s="2327"/>
      <c r="B137" s="2328"/>
      <c r="N137" s="1968"/>
      <c r="R137" s="1968"/>
      <c r="S137" s="2138" t="str">
        <f>+IF(SEPTIEMBRE!S137=0,"",SEPTIEMBRE!S137)</f>
        <v>2010020-14</v>
      </c>
      <c r="T137" s="2139" t="str">
        <f>+IF(SEPTIEMBRE!T137=0,"",SEPTIEMBRE!T137)</f>
        <v/>
      </c>
      <c r="U137" s="2140">
        <f>+ENERO!U137</f>
        <v>0</v>
      </c>
      <c r="V137" s="2091">
        <f>SEPTIEMBRE!V137+OCTUBRE!AL137</f>
        <v>0</v>
      </c>
      <c r="W137" s="2091">
        <f>SEPTIEMBRE!W137+OCTUBRE!AM137</f>
        <v>0</v>
      </c>
      <c r="X137" s="2141">
        <f t="shared" si="139"/>
        <v>0</v>
      </c>
      <c r="Y137" s="2142">
        <f>SEPTIEMBRE!AA137</f>
        <v>0</v>
      </c>
      <c r="Z137" s="2077">
        <v>0</v>
      </c>
      <c r="AA137" s="2141">
        <f t="shared" si="140"/>
        <v>0</v>
      </c>
      <c r="AB137" s="2142">
        <f>SEPTIEMBRE!AD137</f>
        <v>0</v>
      </c>
      <c r="AC137" s="2077">
        <v>0</v>
      </c>
      <c r="AD137" s="2141">
        <f t="shared" si="141"/>
        <v>0</v>
      </c>
      <c r="AE137" s="2142">
        <f>SEPTIEMBRE!AG137</f>
        <v>0</v>
      </c>
      <c r="AF137" s="2077">
        <v>0</v>
      </c>
      <c r="AG137" s="2141">
        <f t="shared" si="142"/>
        <v>0</v>
      </c>
      <c r="AH137" s="2142">
        <f t="shared" si="143"/>
        <v>0</v>
      </c>
      <c r="AI137" s="2091">
        <f t="shared" si="144"/>
        <v>0</v>
      </c>
      <c r="AJ137" s="2143">
        <f t="shared" si="145"/>
        <v>0</v>
      </c>
      <c r="AK137" s="1968"/>
      <c r="AL137" s="2079">
        <v>0</v>
      </c>
      <c r="AM137" s="2080">
        <v>0</v>
      </c>
      <c r="AN137" s="1968"/>
      <c r="AO137" s="1919"/>
      <c r="AP137" s="1919"/>
      <c r="AQ137" s="1919"/>
      <c r="AR137" s="1919"/>
      <c r="AS137" s="1919"/>
      <c r="AT137" s="1919"/>
      <c r="AU137" s="1919"/>
      <c r="AV137" s="1919"/>
      <c r="AW137" s="1919"/>
      <c r="AX137" s="1919"/>
      <c r="AY137" s="1919"/>
      <c r="AZ137" s="1919"/>
    </row>
    <row r="138" spans="1:52" s="2093" customFormat="1" ht="24.95" customHeight="1">
      <c r="A138" s="2327"/>
      <c r="B138" s="2328"/>
      <c r="N138" s="1968"/>
      <c r="R138" s="1968"/>
      <c r="S138" s="2138" t="str">
        <f>+IF(SEPTIEMBRE!S138=0,"",SEPTIEMBRE!S138)</f>
        <v>2010200-15</v>
      </c>
      <c r="T138" s="2139" t="str">
        <f>+IF(SEPTIEMBRE!T138=0,"",SEPTIEMBRE!T138)</f>
        <v/>
      </c>
      <c r="U138" s="2140">
        <f>+ENERO!U138</f>
        <v>0</v>
      </c>
      <c r="V138" s="2091">
        <f>SEPTIEMBRE!V138+OCTUBRE!AL138</f>
        <v>0</v>
      </c>
      <c r="W138" s="2091">
        <f>SEPTIEMBRE!W138+OCTUBRE!AM138</f>
        <v>0</v>
      </c>
      <c r="X138" s="2141">
        <f t="shared" si="139"/>
        <v>0</v>
      </c>
      <c r="Y138" s="2142">
        <f>SEPTIEMBRE!AA138</f>
        <v>0</v>
      </c>
      <c r="Z138" s="2077">
        <v>0</v>
      </c>
      <c r="AA138" s="2141">
        <f t="shared" si="140"/>
        <v>0</v>
      </c>
      <c r="AB138" s="2142">
        <f>SEPTIEMBRE!AD138</f>
        <v>0</v>
      </c>
      <c r="AC138" s="2077">
        <v>0</v>
      </c>
      <c r="AD138" s="2141">
        <f t="shared" si="141"/>
        <v>0</v>
      </c>
      <c r="AE138" s="2142">
        <f>SEPTIEMBRE!AG138</f>
        <v>0</v>
      </c>
      <c r="AF138" s="2077">
        <v>0</v>
      </c>
      <c r="AG138" s="2141">
        <f t="shared" si="142"/>
        <v>0</v>
      </c>
      <c r="AH138" s="2142">
        <f t="shared" si="143"/>
        <v>0</v>
      </c>
      <c r="AI138" s="2091">
        <f t="shared" si="144"/>
        <v>0</v>
      </c>
      <c r="AJ138" s="2143">
        <f t="shared" si="145"/>
        <v>0</v>
      </c>
      <c r="AK138" s="1968"/>
      <c r="AL138" s="2079">
        <v>0</v>
      </c>
      <c r="AM138" s="2080">
        <v>0</v>
      </c>
      <c r="AN138" s="1968"/>
      <c r="AO138" s="1919"/>
      <c r="AP138" s="1919"/>
      <c r="AQ138" s="1919"/>
      <c r="AR138" s="1919"/>
      <c r="AS138" s="1919"/>
      <c r="AT138" s="1919"/>
      <c r="AU138" s="1919"/>
      <c r="AV138" s="1919"/>
      <c r="AW138" s="1919"/>
      <c r="AX138" s="1919"/>
      <c r="AY138" s="1919"/>
      <c r="AZ138" s="1919"/>
    </row>
    <row r="139" spans="1:52" s="2093" customFormat="1" ht="24.95" customHeight="1">
      <c r="A139" s="2327"/>
      <c r="B139" s="2328"/>
      <c r="N139" s="1968"/>
      <c r="R139" s="1968"/>
      <c r="S139" s="2138">
        <f>+IF(SEPTIEMBRE!S139=0,"",SEPTIEMBRE!S139)</f>
        <v>2010299</v>
      </c>
      <c r="T139" s="2139" t="str">
        <f>+IF(SEPTIEMBRE!T139=0,"",SEPTIEMBRE!T139)</f>
        <v>Vigencias Anteriores</v>
      </c>
      <c r="U139" s="2140">
        <f>+ENERO!U139</f>
        <v>0</v>
      </c>
      <c r="V139" s="2091">
        <f>SEPTIEMBRE!V139+OCTUBRE!AL139</f>
        <v>-652999830</v>
      </c>
      <c r="W139" s="2091">
        <f>SEPTIEMBRE!W139+OCTUBRE!AM139</f>
        <v>1120000000</v>
      </c>
      <c r="X139" s="2141">
        <f t="shared" si="139"/>
        <v>467000170</v>
      </c>
      <c r="Y139" s="2142">
        <f>SEPTIEMBRE!AA139</f>
        <v>430072182</v>
      </c>
      <c r="Z139" s="2077">
        <v>36201320</v>
      </c>
      <c r="AA139" s="2141">
        <f t="shared" si="140"/>
        <v>466273502</v>
      </c>
      <c r="AB139" s="2142">
        <f>SEPTIEMBRE!AD139</f>
        <v>430072182</v>
      </c>
      <c r="AC139" s="2077">
        <v>36201320</v>
      </c>
      <c r="AD139" s="2141">
        <f t="shared" si="141"/>
        <v>466273502</v>
      </c>
      <c r="AE139" s="2142">
        <f>SEPTIEMBRE!AG139</f>
        <v>430072182</v>
      </c>
      <c r="AF139" s="2077">
        <v>36201320</v>
      </c>
      <c r="AG139" s="2141">
        <f t="shared" si="142"/>
        <v>466273502</v>
      </c>
      <c r="AH139" s="2142">
        <f t="shared" si="143"/>
        <v>726668</v>
      </c>
      <c r="AI139" s="2091">
        <f t="shared" si="144"/>
        <v>726668</v>
      </c>
      <c r="AJ139" s="2143">
        <f t="shared" si="145"/>
        <v>726668</v>
      </c>
      <c r="AK139" s="1968"/>
      <c r="AL139" s="2079">
        <v>36000000</v>
      </c>
      <c r="AM139" s="2080">
        <v>0</v>
      </c>
      <c r="AN139" s="1968"/>
      <c r="AO139" s="1919"/>
      <c r="AP139" s="1919"/>
      <c r="AQ139" s="1919"/>
    </row>
    <row r="140" spans="1:52" s="2093" customFormat="1" ht="24.95" customHeight="1">
      <c r="A140" s="2327"/>
      <c r="B140" s="2328"/>
      <c r="N140" s="1968"/>
      <c r="R140" s="1968"/>
      <c r="S140" s="2058" t="str">
        <f>+IF(SEPTIEMBRE!S140=0,"",SEPTIEMBRE!S140)</f>
        <v/>
      </c>
      <c r="T140" s="2059" t="str">
        <f>+IF(SEPTIEMBRE!T140=0,"",SEPTIEMBRE!T140)</f>
        <v/>
      </c>
      <c r="U140" s="2060"/>
      <c r="V140" s="2060"/>
      <c r="W140" s="2060"/>
      <c r="X140" s="2060"/>
      <c r="Y140" s="2060"/>
      <c r="Z140" s="2060"/>
      <c r="AA140" s="2060"/>
      <c r="AB140" s="2060"/>
      <c r="AC140" s="2060"/>
      <c r="AD140" s="2060"/>
      <c r="AE140" s="2060"/>
      <c r="AF140" s="2060"/>
      <c r="AG140" s="2060"/>
      <c r="AH140" s="2060"/>
      <c r="AI140" s="2060"/>
      <c r="AJ140" s="2061"/>
      <c r="AK140" s="2086"/>
      <c r="AL140" s="2248"/>
      <c r="AM140" s="2249"/>
      <c r="AN140" s="1968"/>
    </row>
    <row r="141" spans="1:52" s="2093" customFormat="1" ht="24.95" customHeight="1">
      <c r="A141" s="2327"/>
      <c r="B141" s="2328"/>
      <c r="N141" s="1968"/>
      <c r="R141" s="1968"/>
      <c r="S141" s="2130">
        <f>+IF(SEPTIEMBRE!S141=0,"",SEPTIEMBRE!S141)</f>
        <v>2010300</v>
      </c>
      <c r="T141" s="2131" t="str">
        <f>+IF(SEPTIEMBRE!T141=0,"",SEPTIEMBRE!T141)</f>
        <v>Impuestos y Multas</v>
      </c>
      <c r="U141" s="2103">
        <f t="shared" ref="U141:AJ141" si="148">U142+U143</f>
        <v>0</v>
      </c>
      <c r="V141" s="2104">
        <f t="shared" si="148"/>
        <v>2892178</v>
      </c>
      <c r="W141" s="2104">
        <f t="shared" si="148"/>
        <v>0</v>
      </c>
      <c r="X141" s="2105">
        <f t="shared" si="148"/>
        <v>2892178</v>
      </c>
      <c r="Y141" s="2106">
        <f t="shared" si="148"/>
        <v>2892178</v>
      </c>
      <c r="Z141" s="2104">
        <f t="shared" si="148"/>
        <v>0</v>
      </c>
      <c r="AA141" s="2105">
        <f t="shared" si="148"/>
        <v>2892178</v>
      </c>
      <c r="AB141" s="2106">
        <f t="shared" si="148"/>
        <v>2892178</v>
      </c>
      <c r="AC141" s="2104">
        <f t="shared" si="148"/>
        <v>0</v>
      </c>
      <c r="AD141" s="2105">
        <f t="shared" si="148"/>
        <v>2892178</v>
      </c>
      <c r="AE141" s="2106">
        <f t="shared" si="148"/>
        <v>2892178</v>
      </c>
      <c r="AF141" s="2104">
        <f t="shared" si="148"/>
        <v>0</v>
      </c>
      <c r="AG141" s="2105">
        <f t="shared" si="148"/>
        <v>2892178</v>
      </c>
      <c r="AH141" s="2106">
        <f t="shared" si="148"/>
        <v>0</v>
      </c>
      <c r="AI141" s="2104">
        <f t="shared" si="148"/>
        <v>0</v>
      </c>
      <c r="AJ141" s="2107">
        <f t="shared" si="148"/>
        <v>0</v>
      </c>
      <c r="AK141" s="2086"/>
      <c r="AL141" s="2106">
        <f>AL142+AL143</f>
        <v>0</v>
      </c>
      <c r="AM141" s="2107">
        <f>AM142+AM143</f>
        <v>0</v>
      </c>
      <c r="AN141" s="1968"/>
    </row>
    <row r="142" spans="1:52" s="2093" customFormat="1" ht="24.95" customHeight="1">
      <c r="A142" s="2327"/>
      <c r="B142" s="2328"/>
      <c r="N142" s="1968"/>
      <c r="R142" s="1968"/>
      <c r="S142" s="2138" t="str">
        <f>+IF(SEPTIEMBRE!S142=0,"",SEPTIEMBRE!S142)</f>
        <v>2010300-1</v>
      </c>
      <c r="T142" s="2139" t="str">
        <f>+IF(SEPTIEMBRE!T142=0,"",SEPTIEMBRE!T142)</f>
        <v>Impuestos (Predial, Vehiculos, Otros)</v>
      </c>
      <c r="U142" s="2140">
        <f>+ENERO!U142</f>
        <v>0</v>
      </c>
      <c r="V142" s="2091">
        <f>SEPTIEMBRE!V142+OCTUBRE!AL142</f>
        <v>2892178</v>
      </c>
      <c r="W142" s="2091">
        <f>SEPTIEMBRE!W142+OCTUBRE!AM142</f>
        <v>0</v>
      </c>
      <c r="X142" s="2141">
        <f>SUM(U142:W142)</f>
        <v>2892178</v>
      </c>
      <c r="Y142" s="2142">
        <f>SEPTIEMBRE!AA142</f>
        <v>2892178</v>
      </c>
      <c r="Z142" s="2077">
        <v>0</v>
      </c>
      <c r="AA142" s="2141">
        <f>SUM(Y142:Z142)</f>
        <v>2892178</v>
      </c>
      <c r="AB142" s="2142">
        <f>SEPTIEMBRE!AD142</f>
        <v>2892178</v>
      </c>
      <c r="AC142" s="2077">
        <v>0</v>
      </c>
      <c r="AD142" s="2141">
        <f>SUM(AB142:AC142)</f>
        <v>2892178</v>
      </c>
      <c r="AE142" s="2142">
        <f>SEPTIEMBRE!AG142</f>
        <v>2892178</v>
      </c>
      <c r="AF142" s="2077">
        <v>0</v>
      </c>
      <c r="AG142" s="2141">
        <f>SUM(AE142:AF142)</f>
        <v>2892178</v>
      </c>
      <c r="AH142" s="2142">
        <f>X142-AA142</f>
        <v>0</v>
      </c>
      <c r="AI142" s="2091">
        <f>X142-AD142</f>
        <v>0</v>
      </c>
      <c r="AJ142" s="2143">
        <f>X142-AG142</f>
        <v>0</v>
      </c>
      <c r="AK142" s="1968"/>
      <c r="AL142" s="2079">
        <v>0</v>
      </c>
      <c r="AM142" s="2080">
        <v>0</v>
      </c>
      <c r="AN142" s="1968"/>
    </row>
    <row r="143" spans="1:52" s="2093" customFormat="1" ht="24.95" customHeight="1">
      <c r="A143" s="2327"/>
      <c r="B143" s="2328"/>
      <c r="N143" s="1968"/>
      <c r="R143" s="1968"/>
      <c r="S143" s="2138">
        <f>+IF(SEPTIEMBRE!S143=0,"",SEPTIEMBRE!S143)</f>
        <v>2010399</v>
      </c>
      <c r="T143" s="2139" t="str">
        <f>+IF(SEPTIEMBRE!T143=0,"",SEPTIEMBRE!T143)</f>
        <v>Vigencias Anteriores</v>
      </c>
      <c r="U143" s="2140">
        <f>+ENERO!U143</f>
        <v>0</v>
      </c>
      <c r="V143" s="2091">
        <f>SEPTIEMBRE!V143+OCTUBRE!AL143</f>
        <v>0</v>
      </c>
      <c r="W143" s="2091">
        <f>SEPTIEMBRE!W143+OCTUBRE!AM143</f>
        <v>0</v>
      </c>
      <c r="X143" s="2141">
        <f>SUM(U143:W143)</f>
        <v>0</v>
      </c>
      <c r="Y143" s="2142">
        <f>SEPTIEMBRE!AA143</f>
        <v>0</v>
      </c>
      <c r="Z143" s="2077">
        <v>0</v>
      </c>
      <c r="AA143" s="2141">
        <f>SUM(Y143:Z143)</f>
        <v>0</v>
      </c>
      <c r="AB143" s="2142">
        <f>SEPTIEMBRE!AD143</f>
        <v>0</v>
      </c>
      <c r="AC143" s="2077">
        <v>0</v>
      </c>
      <c r="AD143" s="2141">
        <f>SUM(AB143:AC143)</f>
        <v>0</v>
      </c>
      <c r="AE143" s="2142">
        <f>SEPTIEMBRE!AG143</f>
        <v>0</v>
      </c>
      <c r="AF143" s="2077">
        <v>0</v>
      </c>
      <c r="AG143" s="2141">
        <f>SUM(AE143:AF143)</f>
        <v>0</v>
      </c>
      <c r="AH143" s="2142">
        <f>X143-AA143</f>
        <v>0</v>
      </c>
      <c r="AI143" s="2091">
        <f>X143-AD143</f>
        <v>0</v>
      </c>
      <c r="AJ143" s="2143">
        <f>X143-AG143</f>
        <v>0</v>
      </c>
      <c r="AK143" s="1968"/>
      <c r="AL143" s="2079">
        <v>0</v>
      </c>
      <c r="AM143" s="2080">
        <v>0</v>
      </c>
      <c r="AN143" s="1968"/>
    </row>
    <row r="144" spans="1:52" s="2093" customFormat="1" ht="24.95" customHeight="1">
      <c r="A144" s="2327"/>
      <c r="B144" s="2328"/>
      <c r="N144" s="1968"/>
      <c r="R144" s="1968"/>
      <c r="S144" s="2058" t="str">
        <f>+IF(SEPTIEMBRE!S144=0,"",SEPTIEMBRE!S144)</f>
        <v/>
      </c>
      <c r="T144" s="2059" t="str">
        <f>+IF(SEPTIEMBRE!T144=0,"",SEPTIEMBRE!T144)</f>
        <v/>
      </c>
      <c r="U144" s="2060"/>
      <c r="V144" s="2060"/>
      <c r="W144" s="2060"/>
      <c r="X144" s="2060"/>
      <c r="Y144" s="2060"/>
      <c r="Z144" s="2060"/>
      <c r="AA144" s="2060"/>
      <c r="AB144" s="2060"/>
      <c r="AC144" s="2060"/>
      <c r="AD144" s="2060"/>
      <c r="AE144" s="2060"/>
      <c r="AF144" s="2060"/>
      <c r="AG144" s="2060"/>
      <c r="AH144" s="2060"/>
      <c r="AI144" s="2060"/>
      <c r="AJ144" s="2061"/>
      <c r="AK144" s="1968"/>
      <c r="AL144" s="2248"/>
      <c r="AM144" s="2249"/>
      <c r="AN144" s="1968"/>
    </row>
    <row r="145" spans="1:40" s="2093" customFormat="1" ht="24.95" customHeight="1">
      <c r="A145" s="2327"/>
      <c r="B145" s="2328"/>
      <c r="N145" s="1968"/>
      <c r="R145" s="1968"/>
      <c r="S145" s="2101">
        <f>+IF(SEPTIEMBRE!S145=0,"",SEPTIEMBRE!S145)</f>
        <v>2020010</v>
      </c>
      <c r="T145" s="2102" t="str">
        <f>+IF(SEPTIEMBRE!T145=0,"",SEPTIEMBRE!T145)</f>
        <v>Gastos de Operación</v>
      </c>
      <c r="U145" s="2103">
        <f t="shared" ref="U145:AJ145" si="149">U147+U155</f>
        <v>2659132662</v>
      </c>
      <c r="V145" s="2104">
        <f t="shared" si="149"/>
        <v>-1065224786</v>
      </c>
      <c r="W145" s="2104">
        <f t="shared" si="149"/>
        <v>1650000000</v>
      </c>
      <c r="X145" s="2105">
        <f t="shared" si="149"/>
        <v>3243907876</v>
      </c>
      <c r="Y145" s="2106">
        <f t="shared" si="149"/>
        <v>2309018192</v>
      </c>
      <c r="Z145" s="2104">
        <f t="shared" si="149"/>
        <v>47708960</v>
      </c>
      <c r="AA145" s="2105">
        <f t="shared" si="149"/>
        <v>2356727152</v>
      </c>
      <c r="AB145" s="2106">
        <f t="shared" si="149"/>
        <v>1829013086</v>
      </c>
      <c r="AC145" s="2104">
        <f t="shared" si="149"/>
        <v>101570252</v>
      </c>
      <c r="AD145" s="2105">
        <f t="shared" si="149"/>
        <v>1930583338</v>
      </c>
      <c r="AE145" s="2106">
        <f t="shared" si="149"/>
        <v>908138284</v>
      </c>
      <c r="AF145" s="2104">
        <f t="shared" si="149"/>
        <v>65637491</v>
      </c>
      <c r="AG145" s="2105">
        <f t="shared" si="149"/>
        <v>973775775</v>
      </c>
      <c r="AH145" s="2106">
        <f t="shared" si="149"/>
        <v>887180724</v>
      </c>
      <c r="AI145" s="2104">
        <f t="shared" si="149"/>
        <v>1313324538</v>
      </c>
      <c r="AJ145" s="2107">
        <f t="shared" si="149"/>
        <v>2270132101</v>
      </c>
      <c r="AK145" s="2086"/>
      <c r="AL145" s="2106">
        <f>AL147+AL155</f>
        <v>20294060</v>
      </c>
      <c r="AM145" s="2107">
        <f>AM147+AM155</f>
        <v>0</v>
      </c>
      <c r="AN145" s="1968"/>
    </row>
    <row r="146" spans="1:40" s="2093" customFormat="1" ht="24.95" customHeight="1">
      <c r="A146" s="2327"/>
      <c r="B146" s="2328"/>
      <c r="N146" s="1968"/>
      <c r="R146" s="1968"/>
      <c r="S146" s="2184" t="str">
        <f>+IF(SEPTIEMBRE!S146=0,"",SEPTIEMBRE!S146)</f>
        <v/>
      </c>
      <c r="T146" s="2185" t="str">
        <f>+IF(SEPTIEMBRE!T146=0,"",SEPTIEMBRE!T146)</f>
        <v/>
      </c>
      <c r="U146" s="2329"/>
      <c r="V146" s="2091"/>
      <c r="W146" s="2091"/>
      <c r="X146" s="2141"/>
      <c r="Y146" s="2142"/>
      <c r="Z146" s="2091"/>
      <c r="AA146" s="2141"/>
      <c r="AB146" s="2142"/>
      <c r="AC146" s="2091"/>
      <c r="AD146" s="2141"/>
      <c r="AE146" s="2142"/>
      <c r="AF146" s="2091"/>
      <c r="AG146" s="2141"/>
      <c r="AH146" s="2142"/>
      <c r="AI146" s="2091"/>
      <c r="AJ146" s="2143"/>
      <c r="AK146" s="1968"/>
      <c r="AL146" s="2248"/>
      <c r="AM146" s="2249"/>
      <c r="AN146" s="1968"/>
    </row>
    <row r="147" spans="1:40" s="2093" customFormat="1" ht="24.95" customHeight="1">
      <c r="A147" s="2327"/>
      <c r="B147" s="2328"/>
      <c r="N147" s="1968"/>
      <c r="R147" s="1968"/>
      <c r="S147" s="2130">
        <f>+IF(SEPTIEMBRE!S147=0,"",SEPTIEMBRE!S147)</f>
        <v>2020100</v>
      </c>
      <c r="T147" s="2131" t="str">
        <f>+IF(SEPTIEMBRE!T147=0,"",SEPTIEMBRE!T147)</f>
        <v>Adquisición de bienes</v>
      </c>
      <c r="U147" s="2103">
        <f t="shared" ref="U147:AJ147" si="150">SUM(U148:U149)+U153</f>
        <v>1878602056</v>
      </c>
      <c r="V147" s="2104">
        <f t="shared" si="150"/>
        <v>-450379469</v>
      </c>
      <c r="W147" s="2104">
        <f t="shared" si="150"/>
        <v>550000000</v>
      </c>
      <c r="X147" s="2105">
        <f t="shared" si="150"/>
        <v>1978222587</v>
      </c>
      <c r="Y147" s="2106">
        <f t="shared" si="150"/>
        <v>1191749165</v>
      </c>
      <c r="Z147" s="2104">
        <f t="shared" si="150"/>
        <v>42908616</v>
      </c>
      <c r="AA147" s="2105">
        <f t="shared" si="150"/>
        <v>1234657781</v>
      </c>
      <c r="AB147" s="2106">
        <f t="shared" si="150"/>
        <v>1039755148</v>
      </c>
      <c r="AC147" s="2104">
        <f t="shared" si="150"/>
        <v>56069930</v>
      </c>
      <c r="AD147" s="2105">
        <f t="shared" si="150"/>
        <v>1095825078</v>
      </c>
      <c r="AE147" s="2106">
        <f t="shared" si="150"/>
        <v>604004895</v>
      </c>
      <c r="AF147" s="2104">
        <f t="shared" si="150"/>
        <v>54153735</v>
      </c>
      <c r="AG147" s="2105">
        <f t="shared" si="150"/>
        <v>658158630</v>
      </c>
      <c r="AH147" s="2106">
        <f t="shared" si="150"/>
        <v>743564806</v>
      </c>
      <c r="AI147" s="2104">
        <f t="shared" si="150"/>
        <v>882397509</v>
      </c>
      <c r="AJ147" s="2107">
        <f t="shared" si="150"/>
        <v>1320063957</v>
      </c>
      <c r="AK147" s="1968"/>
      <c r="AL147" s="2106">
        <f>SUM(AL148:AL149)+AL153</f>
        <v>20294060</v>
      </c>
      <c r="AM147" s="2107">
        <f>SUM(AM148:AM149)+AM153</f>
        <v>0</v>
      </c>
      <c r="AN147" s="1968"/>
    </row>
    <row r="148" spans="1:40" s="2093" customFormat="1" ht="24.95" customHeight="1">
      <c r="A148" s="2327"/>
      <c r="B148" s="2328"/>
      <c r="N148" s="1968"/>
      <c r="R148" s="1968"/>
      <c r="S148" s="2138">
        <f>+IF(SEPTIEMBRE!S148=0,"",SEPTIEMBRE!S148)</f>
        <v>2020101</v>
      </c>
      <c r="T148" s="2139" t="str">
        <f>+IF(SEPTIEMBRE!T148=0,"",SEPTIEMBRE!T148)</f>
        <v>Mantenimiento Hospitalario</v>
      </c>
      <c r="U148" s="2140">
        <f>+ENERO!U148</f>
        <v>780530606</v>
      </c>
      <c r="V148" s="2091">
        <f>SEPTIEMBRE!V148+OCTUBRE!AL148</f>
        <v>148700666</v>
      </c>
      <c r="W148" s="2091">
        <f>SEPTIEMBRE!W148+OCTUBRE!AM148</f>
        <v>0</v>
      </c>
      <c r="X148" s="2141">
        <f>SUM(U148:W148)</f>
        <v>929231272</v>
      </c>
      <c r="Y148" s="2142">
        <f>SEPTIEMBRE!AA148</f>
        <v>253125686</v>
      </c>
      <c r="Z148" s="2077">
        <v>5687104</v>
      </c>
      <c r="AA148" s="2141">
        <f>SUM(Y148:Z148)</f>
        <v>258812790</v>
      </c>
      <c r="AB148" s="2142">
        <f>SEPTIEMBRE!AD148</f>
        <v>152557080</v>
      </c>
      <c r="AC148" s="2077">
        <v>8021700</v>
      </c>
      <c r="AD148" s="2141">
        <f>SUM(AB148:AC148)</f>
        <v>160578780</v>
      </c>
      <c r="AE148" s="2142">
        <f>SEPTIEMBRE!AG148</f>
        <v>99470560</v>
      </c>
      <c r="AF148" s="2077">
        <v>7594600</v>
      </c>
      <c r="AG148" s="2141">
        <f>SUM(AE148:AF148)</f>
        <v>107065160</v>
      </c>
      <c r="AH148" s="2142">
        <f>X148-AA148</f>
        <v>670418482</v>
      </c>
      <c r="AI148" s="2091">
        <f>X148-AD148</f>
        <v>768652492</v>
      </c>
      <c r="AJ148" s="2143">
        <f>X148-AG148</f>
        <v>822166112</v>
      </c>
      <c r="AK148" s="1968"/>
      <c r="AL148" s="2079">
        <v>0</v>
      </c>
      <c r="AM148" s="2080">
        <v>0</v>
      </c>
      <c r="AN148" s="1968"/>
    </row>
    <row r="149" spans="1:40" s="2093" customFormat="1" ht="24.95" customHeight="1">
      <c r="A149" s="2327"/>
      <c r="B149" s="2328"/>
      <c r="N149" s="1968"/>
      <c r="R149" s="1968"/>
      <c r="S149" s="2138">
        <f>+IF(SEPTIEMBRE!S149=0,"",SEPTIEMBRE!S149)</f>
        <v>2020102</v>
      </c>
      <c r="T149" s="2139" t="str">
        <f>+IF(SEPTIEMBRE!T149=0,"",SEPTIEMBRE!T149)</f>
        <v>Otros</v>
      </c>
      <c r="U149" s="2140">
        <f t="shared" ref="U149:AJ149" si="151">SUM(U150:U152)</f>
        <v>1098071450</v>
      </c>
      <c r="V149" s="2091">
        <f t="shared" si="151"/>
        <v>-372912662</v>
      </c>
      <c r="W149" s="2091">
        <f t="shared" si="151"/>
        <v>0</v>
      </c>
      <c r="X149" s="2141">
        <f t="shared" si="151"/>
        <v>725158788</v>
      </c>
      <c r="Y149" s="2142">
        <f t="shared" si="151"/>
        <v>635085012</v>
      </c>
      <c r="Z149" s="2170">
        <f t="shared" si="151"/>
        <v>18113756</v>
      </c>
      <c r="AA149" s="2141">
        <f t="shared" si="151"/>
        <v>653198768</v>
      </c>
      <c r="AB149" s="2142">
        <f t="shared" si="151"/>
        <v>583659601</v>
      </c>
      <c r="AC149" s="2170">
        <f t="shared" si="151"/>
        <v>28940474</v>
      </c>
      <c r="AD149" s="2141">
        <f t="shared" si="151"/>
        <v>612600075</v>
      </c>
      <c r="AE149" s="2142">
        <f t="shared" si="151"/>
        <v>200995868</v>
      </c>
      <c r="AF149" s="2170">
        <f t="shared" si="151"/>
        <v>27451379</v>
      </c>
      <c r="AG149" s="2141">
        <f t="shared" si="151"/>
        <v>228447247</v>
      </c>
      <c r="AH149" s="2142">
        <f t="shared" si="151"/>
        <v>71960020</v>
      </c>
      <c r="AI149" s="2091">
        <f t="shared" si="151"/>
        <v>112558713</v>
      </c>
      <c r="AJ149" s="2143">
        <f t="shared" si="151"/>
        <v>496711541</v>
      </c>
      <c r="AK149" s="1968"/>
      <c r="AL149" s="2171">
        <f>SUM(AL150:AL152)</f>
        <v>0</v>
      </c>
      <c r="AM149" s="2172">
        <f>SUM(AM150:AM152)</f>
        <v>0</v>
      </c>
      <c r="AN149" s="1968"/>
    </row>
    <row r="150" spans="1:40" s="2093" customFormat="1" ht="24.95" customHeight="1">
      <c r="A150" s="2327"/>
      <c r="B150" s="2328"/>
      <c r="N150" s="1968"/>
      <c r="R150" s="1968"/>
      <c r="S150" s="2184" t="str">
        <f>+IF(SEPTIEMBRE!S150=0,"",SEPTIEMBRE!S150)</f>
        <v>2020102-1</v>
      </c>
      <c r="T150" s="2139" t="str">
        <f>+IF(SEPTIEMBRE!T150=0,"",SEPTIEMBRE!T150)</f>
        <v>Compra de Equipo e Instr. Mco. y Laborat.</v>
      </c>
      <c r="U150" s="2140">
        <f>+ENERO!U150</f>
        <v>514625084</v>
      </c>
      <c r="V150" s="2091">
        <f>SEPTIEMBRE!V150+OCTUBRE!AL150</f>
        <v>-347050000</v>
      </c>
      <c r="W150" s="2091">
        <f>SEPTIEMBRE!W150+OCTUBRE!AM150</f>
        <v>0</v>
      </c>
      <c r="X150" s="2141">
        <f>SUM(U150:W150)</f>
        <v>167575084</v>
      </c>
      <c r="Y150" s="2142">
        <f>SEPTIEMBRE!AA150</f>
        <v>98800347</v>
      </c>
      <c r="Z150" s="2077">
        <v>-2689400</v>
      </c>
      <c r="AA150" s="2141">
        <f>SUM(Y150:Z150)</f>
        <v>96110947</v>
      </c>
      <c r="AB150" s="2142">
        <f>SEPTIEMBRE!AD150</f>
        <v>61546217</v>
      </c>
      <c r="AC150" s="2077">
        <v>1099560</v>
      </c>
      <c r="AD150" s="2141">
        <f>SUM(AB150:AC150)</f>
        <v>62645777</v>
      </c>
      <c r="AE150" s="2142">
        <f>SEPTIEMBRE!AG150</f>
        <v>28448151</v>
      </c>
      <c r="AF150" s="2077">
        <v>6074177</v>
      </c>
      <c r="AG150" s="2141">
        <f>SUM(AE150:AF150)</f>
        <v>34522328</v>
      </c>
      <c r="AH150" s="2142">
        <f>X150-AA150</f>
        <v>71464137</v>
      </c>
      <c r="AI150" s="2091">
        <f>X150-AD150</f>
        <v>104929307</v>
      </c>
      <c r="AJ150" s="2143">
        <f>X150-AG150</f>
        <v>133052756</v>
      </c>
      <c r="AK150" s="1968"/>
      <c r="AL150" s="2079">
        <v>0</v>
      </c>
      <c r="AM150" s="2080">
        <v>0</v>
      </c>
      <c r="AN150" s="1968"/>
    </row>
    <row r="151" spans="1:40" s="2093" customFormat="1" ht="24.95" customHeight="1">
      <c r="A151" s="2327"/>
      <c r="B151" s="2328"/>
      <c r="N151" s="1968"/>
      <c r="R151" s="1968"/>
      <c r="S151" s="2184" t="str">
        <f>+IF(SEPTIEMBRE!S151=0,"",SEPTIEMBRE!S151)</f>
        <v>2020102-2</v>
      </c>
      <c r="T151" s="2139" t="str">
        <f>+IF(SEPTIEMBRE!T151=0,"",SEPTIEMBRE!T151)</f>
        <v>Materiales</v>
      </c>
      <c r="U151" s="2140">
        <f>+ENERO!U151</f>
        <v>583446366</v>
      </c>
      <c r="V151" s="2091">
        <f>SEPTIEMBRE!V151+OCTUBRE!AL151</f>
        <v>-25862662</v>
      </c>
      <c r="W151" s="2091">
        <f>SEPTIEMBRE!W151+OCTUBRE!AM151</f>
        <v>0</v>
      </c>
      <c r="X151" s="2141">
        <f>SUM(U151:W151)</f>
        <v>557583704</v>
      </c>
      <c r="Y151" s="2142">
        <f>SEPTIEMBRE!AA151</f>
        <v>536284665</v>
      </c>
      <c r="Z151" s="2077">
        <v>20803156</v>
      </c>
      <c r="AA151" s="2141">
        <f>SUM(Y151:Z151)</f>
        <v>557087821</v>
      </c>
      <c r="AB151" s="2142">
        <f>SEPTIEMBRE!AD151</f>
        <v>522113384</v>
      </c>
      <c r="AC151" s="2077">
        <v>27840914</v>
      </c>
      <c r="AD151" s="2141">
        <f>SUM(AB151:AC151)</f>
        <v>549954298</v>
      </c>
      <c r="AE151" s="2142">
        <f>SEPTIEMBRE!AG151</f>
        <v>172547717</v>
      </c>
      <c r="AF151" s="2077">
        <v>21377202</v>
      </c>
      <c r="AG151" s="2141">
        <f>SUM(AE151:AF151)</f>
        <v>193924919</v>
      </c>
      <c r="AH151" s="2142">
        <f>X151-AA151</f>
        <v>495883</v>
      </c>
      <c r="AI151" s="2091">
        <f>X151-AD151</f>
        <v>7629406</v>
      </c>
      <c r="AJ151" s="2143">
        <f>X151-AG151</f>
        <v>363658785</v>
      </c>
      <c r="AK151" s="1968"/>
      <c r="AL151" s="2079">
        <v>0</v>
      </c>
      <c r="AM151" s="2080">
        <v>0</v>
      </c>
      <c r="AN151" s="1968"/>
    </row>
    <row r="152" spans="1:40" s="2093" customFormat="1" ht="24.95" customHeight="1">
      <c r="A152" s="2327"/>
      <c r="B152" s="2328"/>
      <c r="N152" s="1968"/>
      <c r="R152" s="1968"/>
      <c r="S152" s="2184" t="str">
        <f>+IF(SEPTIEMBRE!S152=0,"",SEPTIEMBRE!S152)</f>
        <v>2020102-3</v>
      </c>
      <c r="T152" s="2139" t="str">
        <f>+IF(SEPTIEMBRE!T152=0,"",SEPTIEMBRE!T152)</f>
        <v/>
      </c>
      <c r="U152" s="2140">
        <f>+ENERO!U152</f>
        <v>0</v>
      </c>
      <c r="V152" s="2091">
        <f>SEPTIEMBRE!V152+OCTUBRE!AL152</f>
        <v>0</v>
      </c>
      <c r="W152" s="2091">
        <f>SEPTIEMBRE!W152+OCTUBRE!AM152</f>
        <v>0</v>
      </c>
      <c r="X152" s="2141">
        <f>SUM(U152:W152)</f>
        <v>0</v>
      </c>
      <c r="Y152" s="2142">
        <f>SEPTIEMBRE!AA152</f>
        <v>0</v>
      </c>
      <c r="Z152" s="2077">
        <v>0</v>
      </c>
      <c r="AA152" s="2141">
        <f>SUM(Y152:Z152)</f>
        <v>0</v>
      </c>
      <c r="AB152" s="2142">
        <f>SEPTIEMBRE!AD152</f>
        <v>0</v>
      </c>
      <c r="AC152" s="2077">
        <v>0</v>
      </c>
      <c r="AD152" s="2141">
        <f>SUM(AB152:AC152)</f>
        <v>0</v>
      </c>
      <c r="AE152" s="2142">
        <f>SEPTIEMBRE!AG152</f>
        <v>0</v>
      </c>
      <c r="AF152" s="2077">
        <v>0</v>
      </c>
      <c r="AG152" s="2141">
        <f>SUM(AE152:AF152)</f>
        <v>0</v>
      </c>
      <c r="AH152" s="2142">
        <f>X152-AA152</f>
        <v>0</v>
      </c>
      <c r="AI152" s="2091">
        <f>X152-AD152</f>
        <v>0</v>
      </c>
      <c r="AJ152" s="2143">
        <f>X152-AG152</f>
        <v>0</v>
      </c>
      <c r="AK152" s="1968"/>
      <c r="AL152" s="2079">
        <v>0</v>
      </c>
      <c r="AM152" s="2080">
        <v>0</v>
      </c>
      <c r="AN152" s="1968"/>
    </row>
    <row r="153" spans="1:40" s="2093" customFormat="1" ht="24.95" customHeight="1">
      <c r="A153" s="2327"/>
      <c r="B153" s="2328"/>
      <c r="N153" s="1968"/>
      <c r="R153" s="1968"/>
      <c r="S153" s="2138">
        <f>+IF(SEPTIEMBRE!S153=0,"",SEPTIEMBRE!S153)</f>
        <v>2020199</v>
      </c>
      <c r="T153" s="2139" t="str">
        <f>+IF(SEPTIEMBRE!T153=0,"",SEPTIEMBRE!T153)</f>
        <v>Vigencias Anteriores</v>
      </c>
      <c r="U153" s="2140">
        <f>+ENERO!U153</f>
        <v>0</v>
      </c>
      <c r="V153" s="2091">
        <f>SEPTIEMBRE!V153+OCTUBRE!AL153</f>
        <v>-226167473</v>
      </c>
      <c r="W153" s="2091">
        <f>SEPTIEMBRE!W153+OCTUBRE!AM153</f>
        <v>550000000</v>
      </c>
      <c r="X153" s="2141">
        <f>SUM(U153:W153)</f>
        <v>323832527</v>
      </c>
      <c r="Y153" s="2142">
        <f>SEPTIEMBRE!AA153</f>
        <v>303538467</v>
      </c>
      <c r="Z153" s="2077">
        <v>19107756</v>
      </c>
      <c r="AA153" s="2141">
        <f>SUM(Y153:Z153)</f>
        <v>322646223</v>
      </c>
      <c r="AB153" s="2142">
        <f>SEPTIEMBRE!AD153</f>
        <v>303538467</v>
      </c>
      <c r="AC153" s="2077">
        <v>19107756</v>
      </c>
      <c r="AD153" s="2141">
        <f>SUM(AB153:AC153)</f>
        <v>322646223</v>
      </c>
      <c r="AE153" s="2142">
        <f>SEPTIEMBRE!AG153</f>
        <v>303538467</v>
      </c>
      <c r="AF153" s="2077">
        <v>19107756</v>
      </c>
      <c r="AG153" s="2141">
        <f>SUM(AE153:AF153)</f>
        <v>322646223</v>
      </c>
      <c r="AH153" s="2142">
        <f>X153-AA153</f>
        <v>1186304</v>
      </c>
      <c r="AI153" s="2091">
        <f>X153-AD153</f>
        <v>1186304</v>
      </c>
      <c r="AJ153" s="2143">
        <f>X153-AG153</f>
        <v>1186304</v>
      </c>
      <c r="AK153" s="1968"/>
      <c r="AL153" s="2079">
        <v>20294060</v>
      </c>
      <c r="AM153" s="2080">
        <v>0</v>
      </c>
      <c r="AN153" s="1968"/>
    </row>
    <row r="154" spans="1:40" s="2093" customFormat="1" ht="24.95" customHeight="1">
      <c r="A154" s="2327"/>
      <c r="B154" s="2328"/>
      <c r="N154" s="1968"/>
      <c r="R154" s="1968"/>
      <c r="S154" s="2058" t="str">
        <f>+IF(SEPTIEMBRE!S154=0,"",SEPTIEMBRE!S154)</f>
        <v/>
      </c>
      <c r="T154" s="2059" t="str">
        <f>+IF(SEPTIEMBRE!T154=0,"",SEPTIEMBRE!T154)</f>
        <v/>
      </c>
      <c r="U154" s="2060"/>
      <c r="V154" s="2060"/>
      <c r="W154" s="2060"/>
      <c r="X154" s="2060"/>
      <c r="Y154" s="2060"/>
      <c r="Z154" s="2060"/>
      <c r="AA154" s="2060"/>
      <c r="AB154" s="2060"/>
      <c r="AC154" s="2060"/>
      <c r="AD154" s="2060"/>
      <c r="AE154" s="2060"/>
      <c r="AF154" s="2060"/>
      <c r="AG154" s="2060"/>
      <c r="AH154" s="2060"/>
      <c r="AI154" s="2060"/>
      <c r="AJ154" s="2061"/>
      <c r="AK154" s="1968"/>
      <c r="AL154" s="2248"/>
      <c r="AM154" s="2249"/>
      <c r="AN154" s="1968"/>
    </row>
    <row r="155" spans="1:40" s="2093" customFormat="1" ht="24.95" customHeight="1">
      <c r="A155" s="2327"/>
      <c r="B155" s="2328"/>
      <c r="N155" s="1968"/>
      <c r="R155" s="1968"/>
      <c r="S155" s="2130">
        <f>+IF(SEPTIEMBRE!S155=0,"",SEPTIEMBRE!S155)</f>
        <v>2020200</v>
      </c>
      <c r="T155" s="2131" t="str">
        <f>+IF(SEPTIEMBRE!T155=0,"",SEPTIEMBRE!T155)</f>
        <v>Adquisición de Servicios</v>
      </c>
      <c r="U155" s="2103">
        <f t="shared" ref="U155:AJ155" si="152">SUM(U156:U157)+U168</f>
        <v>780530606</v>
      </c>
      <c r="V155" s="2104">
        <f t="shared" si="152"/>
        <v>-614845317</v>
      </c>
      <c r="W155" s="2104">
        <f t="shared" si="152"/>
        <v>1100000000</v>
      </c>
      <c r="X155" s="2105">
        <f t="shared" si="152"/>
        <v>1265685289</v>
      </c>
      <c r="Y155" s="2106">
        <f t="shared" si="152"/>
        <v>1117269027</v>
      </c>
      <c r="Z155" s="2104">
        <f t="shared" si="152"/>
        <v>4800344</v>
      </c>
      <c r="AA155" s="2105">
        <f t="shared" si="152"/>
        <v>1122069371</v>
      </c>
      <c r="AB155" s="2106">
        <f t="shared" si="152"/>
        <v>789257938</v>
      </c>
      <c r="AC155" s="2104">
        <f t="shared" si="152"/>
        <v>45500322</v>
      </c>
      <c r="AD155" s="2105">
        <f t="shared" si="152"/>
        <v>834758260</v>
      </c>
      <c r="AE155" s="2106">
        <f t="shared" si="152"/>
        <v>304133389</v>
      </c>
      <c r="AF155" s="2104">
        <f t="shared" si="152"/>
        <v>11483756</v>
      </c>
      <c r="AG155" s="2105">
        <f t="shared" si="152"/>
        <v>315617145</v>
      </c>
      <c r="AH155" s="2106">
        <f t="shared" si="152"/>
        <v>143615918</v>
      </c>
      <c r="AI155" s="2104">
        <f t="shared" si="152"/>
        <v>430927029</v>
      </c>
      <c r="AJ155" s="2107">
        <f t="shared" si="152"/>
        <v>950068144</v>
      </c>
      <c r="AK155" s="1968"/>
      <c r="AL155" s="2106">
        <f>SUM(AL156:AL157)+AL168</f>
        <v>0</v>
      </c>
      <c r="AM155" s="2107">
        <f>SUM(AM156:AM157)+AM168</f>
        <v>0</v>
      </c>
      <c r="AN155" s="1968"/>
    </row>
    <row r="156" spans="1:40" s="2093" customFormat="1" ht="24.95" customHeight="1">
      <c r="A156" s="2327"/>
      <c r="B156" s="2328"/>
      <c r="N156" s="1968"/>
      <c r="P156" s="1968"/>
      <c r="Q156" s="1968"/>
      <c r="R156" s="1968"/>
      <c r="S156" s="2138">
        <f>+IF(SEPTIEMBRE!S156=0,"",SEPTIEMBRE!S156)</f>
        <v>2020201</v>
      </c>
      <c r="T156" s="2139" t="str">
        <f>+IF(SEPTIEMBRE!T156=0,"",SEPTIEMBRE!T156)</f>
        <v>Mantenimiento Hospitalario</v>
      </c>
      <c r="U156" s="2140">
        <f>+ENERO!U156</f>
        <v>780530606</v>
      </c>
      <c r="V156" s="2091">
        <f>SEPTIEMBRE!V156+OCTUBRE!AL156</f>
        <v>348700666</v>
      </c>
      <c r="W156" s="2091">
        <f>SEPTIEMBRE!W156+OCTUBRE!AM156</f>
        <v>0</v>
      </c>
      <c r="X156" s="2141">
        <f>SUM(U156:W156)</f>
        <v>1129231272</v>
      </c>
      <c r="Y156" s="2142">
        <f>SEPTIEMBRE!AA156</f>
        <v>980815010</v>
      </c>
      <c r="Z156" s="2077">
        <v>4800344</v>
      </c>
      <c r="AA156" s="2141">
        <f>SUM(Y156:Z156)</f>
        <v>985615354</v>
      </c>
      <c r="AB156" s="2142">
        <f>SEPTIEMBRE!AD156</f>
        <v>652803921</v>
      </c>
      <c r="AC156" s="2077">
        <v>45500322</v>
      </c>
      <c r="AD156" s="2141">
        <f>SUM(AB156:AC156)</f>
        <v>698304243</v>
      </c>
      <c r="AE156" s="2142">
        <f>SEPTIEMBRE!AG156</f>
        <v>167679372</v>
      </c>
      <c r="AF156" s="2077">
        <v>11483756</v>
      </c>
      <c r="AG156" s="2141">
        <f>SUM(AE156:AF156)</f>
        <v>179163128</v>
      </c>
      <c r="AH156" s="2142">
        <f>X156-AA156</f>
        <v>143615918</v>
      </c>
      <c r="AI156" s="2091">
        <f>X156-AD156</f>
        <v>430927029</v>
      </c>
      <c r="AJ156" s="2143">
        <f>X156-AG156</f>
        <v>950068144</v>
      </c>
      <c r="AK156" s="1968"/>
      <c r="AL156" s="2079">
        <v>0</v>
      </c>
      <c r="AM156" s="2080">
        <v>0</v>
      </c>
      <c r="AN156" s="1968"/>
    </row>
    <row r="157" spans="1:40" s="2093" customFormat="1" ht="24.95" customHeight="1">
      <c r="A157" s="2327"/>
      <c r="B157" s="2328"/>
      <c r="N157" s="1968"/>
      <c r="P157" s="1968"/>
      <c r="Q157" s="1968"/>
      <c r="R157" s="1968"/>
      <c r="S157" s="2138">
        <f>+IF(SEPTIEMBRE!S157=0,"",SEPTIEMBRE!S157)</f>
        <v>2020202</v>
      </c>
      <c r="T157" s="2139" t="str">
        <f>+IF(SEPTIEMBRE!T157=0,"",SEPTIEMBRE!T157)</f>
        <v>Otros</v>
      </c>
      <c r="U157" s="2140">
        <f t="shared" ref="U157:AJ157" si="153">SUM(U158:U167)</f>
        <v>0</v>
      </c>
      <c r="V157" s="2091">
        <f t="shared" si="153"/>
        <v>0</v>
      </c>
      <c r="W157" s="2091">
        <f t="shared" si="153"/>
        <v>0</v>
      </c>
      <c r="X157" s="2141">
        <f t="shared" si="153"/>
        <v>0</v>
      </c>
      <c r="Y157" s="2142">
        <f t="shared" si="153"/>
        <v>0</v>
      </c>
      <c r="Z157" s="2170">
        <f t="shared" si="153"/>
        <v>0</v>
      </c>
      <c r="AA157" s="2141">
        <f t="shared" si="153"/>
        <v>0</v>
      </c>
      <c r="AB157" s="2142">
        <f t="shared" si="153"/>
        <v>0</v>
      </c>
      <c r="AC157" s="2170">
        <f t="shared" si="153"/>
        <v>0</v>
      </c>
      <c r="AD157" s="2141">
        <f t="shared" si="153"/>
        <v>0</v>
      </c>
      <c r="AE157" s="2142">
        <f t="shared" si="153"/>
        <v>0</v>
      </c>
      <c r="AF157" s="2170">
        <f t="shared" si="153"/>
        <v>0</v>
      </c>
      <c r="AG157" s="2141">
        <f t="shared" si="153"/>
        <v>0</v>
      </c>
      <c r="AH157" s="2142">
        <f t="shared" si="153"/>
        <v>0</v>
      </c>
      <c r="AI157" s="2091">
        <f t="shared" si="153"/>
        <v>0</v>
      </c>
      <c r="AJ157" s="2143">
        <f t="shared" si="153"/>
        <v>0</v>
      </c>
      <c r="AK157" s="2086"/>
      <c r="AL157" s="2171">
        <f>SUM(AL158:AL167)</f>
        <v>0</v>
      </c>
      <c r="AM157" s="2172">
        <f>SUM(AM158:AM167)</f>
        <v>0</v>
      </c>
      <c r="AN157" s="1968"/>
    </row>
    <row r="158" spans="1:40" s="2093" customFormat="1" ht="24.95" customHeight="1">
      <c r="A158" s="2327"/>
      <c r="B158" s="2328"/>
      <c r="N158" s="1968"/>
      <c r="P158" s="1968"/>
      <c r="Q158" s="1968"/>
      <c r="R158" s="1968"/>
      <c r="S158" s="2184" t="str">
        <f>+IF(SEPTIEMBRE!S158=0,"",SEPTIEMBRE!S158)</f>
        <v>2020202-1</v>
      </c>
      <c r="T158" s="2185" t="str">
        <f>+IF(SEPTIEMBRE!T158=0,"",SEPTIEMBRE!T158)</f>
        <v>Seguros</v>
      </c>
      <c r="U158" s="2140">
        <f>+ENERO!U158</f>
        <v>0</v>
      </c>
      <c r="V158" s="2091">
        <f>SEPTIEMBRE!V158+OCTUBRE!AL158</f>
        <v>0</v>
      </c>
      <c r="W158" s="2091">
        <f>SEPTIEMBRE!W158+OCTUBRE!AM158</f>
        <v>0</v>
      </c>
      <c r="X158" s="2141">
        <f t="shared" ref="X158:X168" si="154">SUM(U158:W158)</f>
        <v>0</v>
      </c>
      <c r="Y158" s="2142">
        <f>SEPTIEMBRE!AA158</f>
        <v>0</v>
      </c>
      <c r="Z158" s="2077">
        <v>0</v>
      </c>
      <c r="AA158" s="2141">
        <f t="shared" ref="AA158:AA168" si="155">SUM(Y158:Z158)</f>
        <v>0</v>
      </c>
      <c r="AB158" s="2142">
        <f>SEPTIEMBRE!AD158</f>
        <v>0</v>
      </c>
      <c r="AC158" s="2077">
        <v>0</v>
      </c>
      <c r="AD158" s="2141">
        <f t="shared" ref="AD158:AD168" si="156">SUM(AB158:AC158)</f>
        <v>0</v>
      </c>
      <c r="AE158" s="2142">
        <f>SEPTIEMBRE!AG158</f>
        <v>0</v>
      </c>
      <c r="AF158" s="2077">
        <v>0</v>
      </c>
      <c r="AG158" s="2141">
        <f t="shared" ref="AG158:AG168" si="157">SUM(AE158:AF158)</f>
        <v>0</v>
      </c>
      <c r="AH158" s="2142">
        <f t="shared" ref="AH158:AH168" si="158">X158-AA158</f>
        <v>0</v>
      </c>
      <c r="AI158" s="2091">
        <f t="shared" ref="AI158:AI168" si="159">X158-AD158</f>
        <v>0</v>
      </c>
      <c r="AJ158" s="2143">
        <f t="shared" ref="AJ158:AJ168" si="160">X158-AG158</f>
        <v>0</v>
      </c>
      <c r="AK158" s="1968"/>
      <c r="AL158" s="2079">
        <v>0</v>
      </c>
      <c r="AM158" s="2080">
        <v>0</v>
      </c>
      <c r="AN158" s="1968"/>
    </row>
    <row r="159" spans="1:40" s="2093" customFormat="1" ht="24.95" customHeight="1">
      <c r="A159" s="2327"/>
      <c r="B159" s="2328"/>
      <c r="N159" s="1968"/>
      <c r="P159" s="1968"/>
      <c r="Q159" s="1968"/>
      <c r="R159" s="1968"/>
      <c r="S159" s="2184" t="str">
        <f>+IF(SEPTIEMBRE!S159=0,"",SEPTIEMBRE!S159)</f>
        <v>2020202-2</v>
      </c>
      <c r="T159" s="2185" t="str">
        <f>+IF(SEPTIEMBRE!T159=0,"",SEPTIEMBRE!T159)</f>
        <v>Impresos y Publicaciones</v>
      </c>
      <c r="U159" s="2140">
        <f>+ENERO!U159</f>
        <v>0</v>
      </c>
      <c r="V159" s="2091">
        <f>SEPTIEMBRE!V159+OCTUBRE!AL159</f>
        <v>0</v>
      </c>
      <c r="W159" s="2091">
        <f>SEPTIEMBRE!W159+OCTUBRE!AM159</f>
        <v>0</v>
      </c>
      <c r="X159" s="2141">
        <f t="shared" si="154"/>
        <v>0</v>
      </c>
      <c r="Y159" s="2142">
        <f>SEPTIEMBRE!AA159</f>
        <v>0</v>
      </c>
      <c r="Z159" s="2077">
        <v>0</v>
      </c>
      <c r="AA159" s="2141">
        <f t="shared" si="155"/>
        <v>0</v>
      </c>
      <c r="AB159" s="2142">
        <f>SEPTIEMBRE!AD159</f>
        <v>0</v>
      </c>
      <c r="AC159" s="2077">
        <v>0</v>
      </c>
      <c r="AD159" s="2141">
        <f t="shared" si="156"/>
        <v>0</v>
      </c>
      <c r="AE159" s="2142">
        <f>SEPTIEMBRE!AG159</f>
        <v>0</v>
      </c>
      <c r="AF159" s="2077">
        <v>0</v>
      </c>
      <c r="AG159" s="2141">
        <f t="shared" si="157"/>
        <v>0</v>
      </c>
      <c r="AH159" s="2142">
        <f t="shared" si="158"/>
        <v>0</v>
      </c>
      <c r="AI159" s="2091">
        <f t="shared" si="159"/>
        <v>0</v>
      </c>
      <c r="AJ159" s="2143">
        <f t="shared" si="160"/>
        <v>0</v>
      </c>
      <c r="AK159" s="1968"/>
      <c r="AL159" s="2079">
        <v>0</v>
      </c>
      <c r="AM159" s="2080">
        <v>0</v>
      </c>
      <c r="AN159" s="1968"/>
    </row>
    <row r="160" spans="1:40" s="2093" customFormat="1" ht="24.95" customHeight="1">
      <c r="A160" s="2327"/>
      <c r="B160" s="2328"/>
      <c r="N160" s="1968"/>
      <c r="P160" s="1968"/>
      <c r="Q160" s="1968"/>
      <c r="R160" s="1968"/>
      <c r="S160" s="2184" t="str">
        <f>+IF(SEPTIEMBRE!S160=0,"",SEPTIEMBRE!S160)</f>
        <v>2020202-3</v>
      </c>
      <c r="T160" s="2185" t="str">
        <f>+IF(SEPTIEMBRE!T160=0,"",SEPTIEMBRE!T160)</f>
        <v>Pago a otras IPS</v>
      </c>
      <c r="U160" s="2140">
        <f>+ENERO!U160</f>
        <v>0</v>
      </c>
      <c r="V160" s="2091">
        <f>SEPTIEMBRE!V160+OCTUBRE!AL160</f>
        <v>0</v>
      </c>
      <c r="W160" s="2091">
        <f>SEPTIEMBRE!W160+OCTUBRE!AM160</f>
        <v>0</v>
      </c>
      <c r="X160" s="2141">
        <f t="shared" si="154"/>
        <v>0</v>
      </c>
      <c r="Y160" s="2142">
        <f>SEPTIEMBRE!AA160</f>
        <v>0</v>
      </c>
      <c r="Z160" s="2077">
        <v>0</v>
      </c>
      <c r="AA160" s="2141">
        <f t="shared" si="155"/>
        <v>0</v>
      </c>
      <c r="AB160" s="2142">
        <f>SEPTIEMBRE!AD160</f>
        <v>0</v>
      </c>
      <c r="AC160" s="2077">
        <v>0</v>
      </c>
      <c r="AD160" s="2141">
        <f t="shared" si="156"/>
        <v>0</v>
      </c>
      <c r="AE160" s="2142">
        <f>SEPTIEMBRE!AG160</f>
        <v>0</v>
      </c>
      <c r="AF160" s="2077">
        <v>0</v>
      </c>
      <c r="AG160" s="2141">
        <f t="shared" si="157"/>
        <v>0</v>
      </c>
      <c r="AH160" s="2142">
        <f t="shared" si="158"/>
        <v>0</v>
      </c>
      <c r="AI160" s="2091">
        <f t="shared" si="159"/>
        <v>0</v>
      </c>
      <c r="AJ160" s="2143">
        <f t="shared" si="160"/>
        <v>0</v>
      </c>
      <c r="AK160" s="1968"/>
      <c r="AL160" s="2079">
        <v>0</v>
      </c>
      <c r="AM160" s="2080">
        <v>0</v>
      </c>
      <c r="AN160" s="1968"/>
    </row>
    <row r="161" spans="1:40" s="2093" customFormat="1" ht="24.95" customHeight="1">
      <c r="A161" s="2327"/>
      <c r="B161" s="2328"/>
      <c r="N161" s="1968"/>
      <c r="P161" s="1968"/>
      <c r="Q161" s="1968"/>
      <c r="R161" s="1968"/>
      <c r="S161" s="2184" t="str">
        <f>+IF(SEPTIEMBRE!S161=0,"",SEPTIEMBRE!S161)</f>
        <v>2020202-4</v>
      </c>
      <c r="T161" s="2185" t="str">
        <f>+IF(SEPTIEMBRE!T161=0,"",SEPTIEMBRE!T161)</f>
        <v>Comunicaciones y Transportes</v>
      </c>
      <c r="U161" s="2140">
        <f>+ENERO!U161</f>
        <v>0</v>
      </c>
      <c r="V161" s="2091">
        <f>SEPTIEMBRE!V161+OCTUBRE!AL161</f>
        <v>0</v>
      </c>
      <c r="W161" s="2091">
        <f>SEPTIEMBRE!W161+OCTUBRE!AM161</f>
        <v>0</v>
      </c>
      <c r="X161" s="2141">
        <f t="shared" si="154"/>
        <v>0</v>
      </c>
      <c r="Y161" s="2142">
        <f>SEPTIEMBRE!AA161</f>
        <v>0</v>
      </c>
      <c r="Z161" s="2077">
        <v>0</v>
      </c>
      <c r="AA161" s="2141">
        <f t="shared" si="155"/>
        <v>0</v>
      </c>
      <c r="AB161" s="2142">
        <f>SEPTIEMBRE!AD161</f>
        <v>0</v>
      </c>
      <c r="AC161" s="2077">
        <v>0</v>
      </c>
      <c r="AD161" s="2141">
        <f t="shared" si="156"/>
        <v>0</v>
      </c>
      <c r="AE161" s="2142">
        <f>SEPTIEMBRE!AG161</f>
        <v>0</v>
      </c>
      <c r="AF161" s="2077">
        <v>0</v>
      </c>
      <c r="AG161" s="2141">
        <f t="shared" si="157"/>
        <v>0</v>
      </c>
      <c r="AH161" s="2142">
        <f t="shared" si="158"/>
        <v>0</v>
      </c>
      <c r="AI161" s="2091">
        <f t="shared" si="159"/>
        <v>0</v>
      </c>
      <c r="AJ161" s="2143">
        <f t="shared" si="160"/>
        <v>0</v>
      </c>
      <c r="AK161" s="1968"/>
      <c r="AL161" s="2079">
        <v>0</v>
      </c>
      <c r="AM161" s="2080">
        <v>0</v>
      </c>
      <c r="AN161" s="1968"/>
    </row>
    <row r="162" spans="1:40" s="2093" customFormat="1" ht="24.95" customHeight="1">
      <c r="A162" s="2327"/>
      <c r="B162" s="2328"/>
      <c r="N162" s="1968"/>
      <c r="P162" s="1968"/>
      <c r="Q162" s="1968"/>
      <c r="R162" s="1968"/>
      <c r="S162" s="2184" t="str">
        <f>+IF(SEPTIEMBRE!S162=0,"",SEPTIEMBRE!S162)</f>
        <v>2020202-5</v>
      </c>
      <c r="T162" s="2185" t="str">
        <f>+IF(SEPTIEMBRE!T162=0,"",SEPTIEMBRE!T162)</f>
        <v>Viáticos y Gastos de Viaje</v>
      </c>
      <c r="U162" s="2140">
        <f>+ENERO!U162</f>
        <v>0</v>
      </c>
      <c r="V162" s="2091">
        <f>SEPTIEMBRE!V162+OCTUBRE!AL162</f>
        <v>0</v>
      </c>
      <c r="W162" s="2091">
        <f>SEPTIEMBRE!W162+OCTUBRE!AM162</f>
        <v>0</v>
      </c>
      <c r="X162" s="2141">
        <f t="shared" si="154"/>
        <v>0</v>
      </c>
      <c r="Y162" s="2142">
        <f>SEPTIEMBRE!AA162</f>
        <v>0</v>
      </c>
      <c r="Z162" s="2077">
        <v>0</v>
      </c>
      <c r="AA162" s="2141">
        <f t="shared" si="155"/>
        <v>0</v>
      </c>
      <c r="AB162" s="2142">
        <f>SEPTIEMBRE!AD162</f>
        <v>0</v>
      </c>
      <c r="AC162" s="2077">
        <v>0</v>
      </c>
      <c r="AD162" s="2141">
        <f t="shared" si="156"/>
        <v>0</v>
      </c>
      <c r="AE162" s="2142">
        <f>SEPTIEMBRE!AG162</f>
        <v>0</v>
      </c>
      <c r="AF162" s="2077">
        <v>0</v>
      </c>
      <c r="AG162" s="2141">
        <f t="shared" si="157"/>
        <v>0</v>
      </c>
      <c r="AH162" s="2142">
        <f t="shared" si="158"/>
        <v>0</v>
      </c>
      <c r="AI162" s="2091">
        <f t="shared" si="159"/>
        <v>0</v>
      </c>
      <c r="AJ162" s="2143">
        <f t="shared" si="160"/>
        <v>0</v>
      </c>
      <c r="AK162" s="1968"/>
      <c r="AL162" s="2079">
        <v>0</v>
      </c>
      <c r="AM162" s="2080">
        <v>0</v>
      </c>
      <c r="AN162" s="1968"/>
    </row>
    <row r="163" spans="1:40" s="2093" customFormat="1" ht="24.95" customHeight="1">
      <c r="A163" s="2327"/>
      <c r="B163" s="2328"/>
      <c r="N163" s="1968"/>
      <c r="P163" s="1968"/>
      <c r="Q163" s="1968"/>
      <c r="R163" s="1968"/>
      <c r="S163" s="2184" t="str">
        <f>+IF(SEPTIEMBRE!S163=0,"",SEPTIEMBRE!S163)</f>
        <v>2020202-6</v>
      </c>
      <c r="T163" s="2185" t="str">
        <f>+IF(SEPTIEMBRE!T163=0,"",SEPTIEMBRE!T163)</f>
        <v>Plan Integral de Manejo de Residuos Sólidos Hospitalarios</v>
      </c>
      <c r="U163" s="2140">
        <f>+ENERO!U163</f>
        <v>0</v>
      </c>
      <c r="V163" s="2091">
        <f>SEPTIEMBRE!V163+OCTUBRE!AL163</f>
        <v>0</v>
      </c>
      <c r="W163" s="2091">
        <f>SEPTIEMBRE!W163+OCTUBRE!AM163</f>
        <v>0</v>
      </c>
      <c r="X163" s="2141">
        <f t="shared" si="154"/>
        <v>0</v>
      </c>
      <c r="Y163" s="2142">
        <f>SEPTIEMBRE!AA163</f>
        <v>0</v>
      </c>
      <c r="Z163" s="2077">
        <v>0</v>
      </c>
      <c r="AA163" s="2141">
        <f t="shared" si="155"/>
        <v>0</v>
      </c>
      <c r="AB163" s="2142">
        <f>SEPTIEMBRE!AD163</f>
        <v>0</v>
      </c>
      <c r="AC163" s="2077">
        <v>0</v>
      </c>
      <c r="AD163" s="2141">
        <f t="shared" si="156"/>
        <v>0</v>
      </c>
      <c r="AE163" s="2142">
        <f>SEPTIEMBRE!AG163</f>
        <v>0</v>
      </c>
      <c r="AF163" s="2077">
        <v>0</v>
      </c>
      <c r="AG163" s="2141">
        <f t="shared" si="157"/>
        <v>0</v>
      </c>
      <c r="AH163" s="2142">
        <f t="shared" si="158"/>
        <v>0</v>
      </c>
      <c r="AI163" s="2091">
        <f t="shared" si="159"/>
        <v>0</v>
      </c>
      <c r="AJ163" s="2143">
        <f t="shared" si="160"/>
        <v>0</v>
      </c>
      <c r="AK163" s="1968"/>
      <c r="AL163" s="2079">
        <v>0</v>
      </c>
      <c r="AM163" s="2080">
        <v>0</v>
      </c>
      <c r="AN163" s="1968"/>
    </row>
    <row r="164" spans="1:40" s="2093" customFormat="1" ht="24.95" customHeight="1">
      <c r="A164" s="2327"/>
      <c r="B164" s="2328"/>
      <c r="N164" s="1968"/>
      <c r="P164" s="1968"/>
      <c r="Q164" s="1968"/>
      <c r="R164" s="1968"/>
      <c r="S164" s="2184" t="str">
        <f>+IF(SEPTIEMBRE!S164=0,"",SEPTIEMBRE!S164)</f>
        <v>2020202-7</v>
      </c>
      <c r="T164" s="2185" t="str">
        <f>+IF(SEPTIEMBRE!T164=0,"",SEPTIEMBRE!T164)</f>
        <v>Servicios de Laboratorio contratados con terceros</v>
      </c>
      <c r="U164" s="2140">
        <f>+ENERO!U164</f>
        <v>0</v>
      </c>
      <c r="V164" s="2091">
        <f>SEPTIEMBRE!V164+OCTUBRE!AL164</f>
        <v>0</v>
      </c>
      <c r="W164" s="2091">
        <f>SEPTIEMBRE!W164+OCTUBRE!AM164</f>
        <v>0</v>
      </c>
      <c r="X164" s="2141">
        <f t="shared" si="154"/>
        <v>0</v>
      </c>
      <c r="Y164" s="2142">
        <f>SEPTIEMBRE!AA164</f>
        <v>0</v>
      </c>
      <c r="Z164" s="2077">
        <v>0</v>
      </c>
      <c r="AA164" s="2141">
        <f t="shared" si="155"/>
        <v>0</v>
      </c>
      <c r="AB164" s="2142">
        <f>SEPTIEMBRE!AD164</f>
        <v>0</v>
      </c>
      <c r="AC164" s="2077">
        <v>0</v>
      </c>
      <c r="AD164" s="2141">
        <f t="shared" si="156"/>
        <v>0</v>
      </c>
      <c r="AE164" s="2142">
        <f>SEPTIEMBRE!AG164</f>
        <v>0</v>
      </c>
      <c r="AF164" s="2077">
        <v>0</v>
      </c>
      <c r="AG164" s="2141">
        <f t="shared" si="157"/>
        <v>0</v>
      </c>
      <c r="AH164" s="2142">
        <f t="shared" si="158"/>
        <v>0</v>
      </c>
      <c r="AI164" s="2091">
        <f t="shared" si="159"/>
        <v>0</v>
      </c>
      <c r="AJ164" s="2143">
        <f t="shared" si="160"/>
        <v>0</v>
      </c>
      <c r="AK164" s="1968"/>
      <c r="AL164" s="2079">
        <v>0</v>
      </c>
      <c r="AM164" s="2080">
        <v>0</v>
      </c>
      <c r="AN164" s="1968"/>
    </row>
    <row r="165" spans="1:40" s="2093" customFormat="1" ht="24.95" customHeight="1">
      <c r="A165" s="2327"/>
      <c r="B165" s="2328"/>
      <c r="N165" s="1968"/>
      <c r="P165" s="1968"/>
      <c r="Q165" s="1968"/>
      <c r="R165" s="1968"/>
      <c r="S165" s="2184" t="str">
        <f>+IF(SEPTIEMBRE!S165=0,"",SEPTIEMBRE!S165)</f>
        <v>2020202-8</v>
      </c>
      <c r="T165" s="2185" t="str">
        <f>+IF(SEPTIEMBRE!T165=0,"",SEPTIEMBRE!T165)</f>
        <v>Servicios de Rayos X e Imaginología contratado con terceros</v>
      </c>
      <c r="U165" s="2140">
        <f>+ENERO!U165</f>
        <v>0</v>
      </c>
      <c r="V165" s="2091">
        <f>SEPTIEMBRE!V165+OCTUBRE!AL165</f>
        <v>0</v>
      </c>
      <c r="W165" s="2091">
        <f>SEPTIEMBRE!W165+OCTUBRE!AM165</f>
        <v>0</v>
      </c>
      <c r="X165" s="2141">
        <f t="shared" si="154"/>
        <v>0</v>
      </c>
      <c r="Y165" s="2142">
        <f>SEPTIEMBRE!AA165</f>
        <v>0</v>
      </c>
      <c r="Z165" s="2077">
        <v>0</v>
      </c>
      <c r="AA165" s="2141">
        <f t="shared" si="155"/>
        <v>0</v>
      </c>
      <c r="AB165" s="2142">
        <f>SEPTIEMBRE!AD165</f>
        <v>0</v>
      </c>
      <c r="AC165" s="2077">
        <v>0</v>
      </c>
      <c r="AD165" s="2141">
        <f t="shared" si="156"/>
        <v>0</v>
      </c>
      <c r="AE165" s="2142">
        <f>SEPTIEMBRE!AG165</f>
        <v>0</v>
      </c>
      <c r="AF165" s="2077">
        <v>0</v>
      </c>
      <c r="AG165" s="2141">
        <f t="shared" si="157"/>
        <v>0</v>
      </c>
      <c r="AH165" s="2142">
        <f t="shared" si="158"/>
        <v>0</v>
      </c>
      <c r="AI165" s="2091">
        <f t="shared" si="159"/>
        <v>0</v>
      </c>
      <c r="AJ165" s="2143">
        <f t="shared" si="160"/>
        <v>0</v>
      </c>
      <c r="AK165" s="1968"/>
      <c r="AL165" s="2079">
        <v>0</v>
      </c>
      <c r="AM165" s="2080">
        <v>0</v>
      </c>
      <c r="AN165" s="1968"/>
    </row>
    <row r="166" spans="1:40" s="2093" customFormat="1" ht="24.95" customHeight="1">
      <c r="A166" s="2327"/>
      <c r="B166" s="2328"/>
      <c r="N166" s="1968"/>
      <c r="P166" s="1968"/>
      <c r="Q166" s="1968"/>
      <c r="R166" s="1968"/>
      <c r="S166" s="2184" t="str">
        <f>+IF(SEPTIEMBRE!S166=0,"",SEPTIEMBRE!S166)</f>
        <v>2020202-9</v>
      </c>
      <c r="T166" s="2185" t="str">
        <f>+IF(SEPTIEMBRE!T166=0,"",SEPTIEMBRE!T166)</f>
        <v>Arrendamientos</v>
      </c>
      <c r="U166" s="2140">
        <f>+ENERO!U166</f>
        <v>0</v>
      </c>
      <c r="V166" s="2091">
        <f>SEPTIEMBRE!V166+OCTUBRE!AL166</f>
        <v>0</v>
      </c>
      <c r="W166" s="2091">
        <f>SEPTIEMBRE!W166+OCTUBRE!AM166</f>
        <v>0</v>
      </c>
      <c r="X166" s="2141">
        <f t="shared" si="154"/>
        <v>0</v>
      </c>
      <c r="Y166" s="2142">
        <f>SEPTIEMBRE!AA166</f>
        <v>0</v>
      </c>
      <c r="Z166" s="2077">
        <v>0</v>
      </c>
      <c r="AA166" s="2141">
        <f t="shared" si="155"/>
        <v>0</v>
      </c>
      <c r="AB166" s="2142">
        <f>SEPTIEMBRE!AD166</f>
        <v>0</v>
      </c>
      <c r="AC166" s="2077">
        <v>0</v>
      </c>
      <c r="AD166" s="2141">
        <f t="shared" si="156"/>
        <v>0</v>
      </c>
      <c r="AE166" s="2142">
        <f>SEPTIEMBRE!AG166</f>
        <v>0</v>
      </c>
      <c r="AF166" s="2077">
        <v>0</v>
      </c>
      <c r="AG166" s="2141">
        <f t="shared" si="157"/>
        <v>0</v>
      </c>
      <c r="AH166" s="2142">
        <f t="shared" si="158"/>
        <v>0</v>
      </c>
      <c r="AI166" s="2091">
        <f t="shared" si="159"/>
        <v>0</v>
      </c>
      <c r="AJ166" s="2143">
        <f t="shared" si="160"/>
        <v>0</v>
      </c>
      <c r="AK166" s="1968"/>
      <c r="AL166" s="2079">
        <v>0</v>
      </c>
      <c r="AM166" s="2080">
        <v>0</v>
      </c>
      <c r="AN166" s="1968"/>
    </row>
    <row r="167" spans="1:40" s="2093" customFormat="1" ht="24.95" customHeight="1">
      <c r="A167" s="2327"/>
      <c r="B167" s="2328"/>
      <c r="N167" s="1968"/>
      <c r="P167" s="1968"/>
      <c r="Q167" s="1968"/>
      <c r="R167" s="1968"/>
      <c r="S167" s="2184" t="str">
        <f>+IF(SEPTIEMBRE!S167=0,"",SEPTIEMBRE!S167)</f>
        <v>2020202-10</v>
      </c>
      <c r="T167" s="2185" t="str">
        <f>+IF(SEPTIEMBRE!T167=0,"",SEPTIEMBRE!T167)</f>
        <v>Servicios Públicos</v>
      </c>
      <c r="U167" s="2140">
        <f>+ENERO!U167</f>
        <v>0</v>
      </c>
      <c r="V167" s="2091">
        <f>SEPTIEMBRE!V167+OCTUBRE!AL167</f>
        <v>0</v>
      </c>
      <c r="W167" s="2091">
        <f>SEPTIEMBRE!W167+OCTUBRE!AM167</f>
        <v>0</v>
      </c>
      <c r="X167" s="2141">
        <f>SUM(U167:W167)</f>
        <v>0</v>
      </c>
      <c r="Y167" s="2142">
        <f>SEPTIEMBRE!AA167</f>
        <v>0</v>
      </c>
      <c r="Z167" s="2077">
        <v>0</v>
      </c>
      <c r="AA167" s="2141">
        <f>SUM(Y167:Z167)</f>
        <v>0</v>
      </c>
      <c r="AB167" s="2142">
        <f>SEPTIEMBRE!AD167</f>
        <v>0</v>
      </c>
      <c r="AC167" s="2077">
        <v>0</v>
      </c>
      <c r="AD167" s="2141">
        <f>SUM(AB167:AC167)</f>
        <v>0</v>
      </c>
      <c r="AE167" s="2142">
        <f>SEPTIEMBRE!AG167</f>
        <v>0</v>
      </c>
      <c r="AF167" s="2077">
        <v>0</v>
      </c>
      <c r="AG167" s="2141">
        <f>SUM(AE167:AF167)</f>
        <v>0</v>
      </c>
      <c r="AH167" s="2142">
        <f>X167-AA167</f>
        <v>0</v>
      </c>
      <c r="AI167" s="2091">
        <f>X167-AD167</f>
        <v>0</v>
      </c>
      <c r="AJ167" s="2143">
        <f>X167-AG167</f>
        <v>0</v>
      </c>
      <c r="AK167" s="1968"/>
      <c r="AL167" s="2079">
        <v>0</v>
      </c>
      <c r="AM167" s="2080">
        <v>0</v>
      </c>
      <c r="AN167" s="1968"/>
    </row>
    <row r="168" spans="1:40" s="2093" customFormat="1" ht="24.95" customHeight="1">
      <c r="A168" s="2327"/>
      <c r="B168" s="2328"/>
      <c r="N168" s="1968"/>
      <c r="P168" s="1968"/>
      <c r="Q168" s="1968"/>
      <c r="R168" s="1968"/>
      <c r="S168" s="2138">
        <f>+IF(SEPTIEMBRE!S168=0,"",SEPTIEMBRE!S168)</f>
        <v>2020299</v>
      </c>
      <c r="T168" s="2139" t="str">
        <f>+IF(SEPTIEMBRE!T168=0,"",SEPTIEMBRE!T168)</f>
        <v>Vigencias Anteriores</v>
      </c>
      <c r="U168" s="2140">
        <f>+ENERO!U168</f>
        <v>0</v>
      </c>
      <c r="V168" s="2091">
        <f>SEPTIEMBRE!V168+OCTUBRE!AL168</f>
        <v>-963545983</v>
      </c>
      <c r="W168" s="2091">
        <f>SEPTIEMBRE!W168+OCTUBRE!AM168</f>
        <v>1100000000</v>
      </c>
      <c r="X168" s="2141">
        <f t="shared" si="154"/>
        <v>136454017</v>
      </c>
      <c r="Y168" s="2142">
        <f>SEPTIEMBRE!AA168</f>
        <v>136454017</v>
      </c>
      <c r="Z168" s="2077">
        <v>0</v>
      </c>
      <c r="AA168" s="2141">
        <f t="shared" si="155"/>
        <v>136454017</v>
      </c>
      <c r="AB168" s="2142">
        <f>SEPTIEMBRE!AD168</f>
        <v>136454017</v>
      </c>
      <c r="AC168" s="2077">
        <v>0</v>
      </c>
      <c r="AD168" s="2141">
        <f t="shared" si="156"/>
        <v>136454017</v>
      </c>
      <c r="AE168" s="2142">
        <f>SEPTIEMBRE!AG168</f>
        <v>136454017</v>
      </c>
      <c r="AF168" s="2077">
        <v>0</v>
      </c>
      <c r="AG168" s="2141">
        <f t="shared" si="157"/>
        <v>136454017</v>
      </c>
      <c r="AH168" s="2142">
        <f t="shared" si="158"/>
        <v>0</v>
      </c>
      <c r="AI168" s="2091">
        <f t="shared" si="159"/>
        <v>0</v>
      </c>
      <c r="AJ168" s="2143">
        <f t="shared" si="160"/>
        <v>0</v>
      </c>
      <c r="AK168" s="1968"/>
      <c r="AL168" s="2079">
        <v>0</v>
      </c>
      <c r="AM168" s="2080">
        <v>0</v>
      </c>
      <c r="AN168" s="1968"/>
    </row>
    <row r="169" spans="1:40" s="2093" customFormat="1" ht="24.95" customHeight="1">
      <c r="A169" s="2327"/>
      <c r="B169" s="2328"/>
      <c r="N169" s="1968"/>
      <c r="P169" s="1968"/>
      <c r="Q169" s="1968"/>
      <c r="R169" s="1968"/>
      <c r="S169" s="2058" t="str">
        <f>+IF(SEPTIEMBRE!S169=0,"",SEPTIEMBRE!S169)</f>
        <v/>
      </c>
      <c r="T169" s="2059" t="str">
        <f>+IF(SEPTIEMBRE!T169=0,"",SEPTIEMBRE!T169)</f>
        <v/>
      </c>
      <c r="U169" s="2060"/>
      <c r="V169" s="2060"/>
      <c r="W169" s="2060"/>
      <c r="X169" s="2060"/>
      <c r="Y169" s="2060"/>
      <c r="Z169" s="2060"/>
      <c r="AA169" s="2060"/>
      <c r="AB169" s="2060"/>
      <c r="AC169" s="2060"/>
      <c r="AD169" s="2060"/>
      <c r="AE169" s="2060"/>
      <c r="AF169" s="2060">
        <v>0</v>
      </c>
      <c r="AG169" s="2060"/>
      <c r="AH169" s="2060"/>
      <c r="AI169" s="2060"/>
      <c r="AJ169" s="2061"/>
      <c r="AK169" s="1968"/>
      <c r="AL169" s="2248"/>
      <c r="AM169" s="2249"/>
      <c r="AN169" s="1968"/>
    </row>
    <row r="170" spans="1:40" s="2093" customFormat="1" ht="24.95" customHeight="1">
      <c r="A170" s="2327"/>
      <c r="B170" s="2328"/>
      <c r="N170" s="1968"/>
      <c r="P170" s="1968"/>
      <c r="Q170" s="1968"/>
      <c r="R170" s="1968"/>
      <c r="S170" s="2101">
        <f>+IF(SEPTIEMBRE!S170=0,"",SEPTIEMBRE!S170)</f>
        <v>3000000</v>
      </c>
      <c r="T170" s="2286" t="str">
        <f>+IF(SEPTIEMBRE!T170=0,"",SEPTIEMBRE!T170)</f>
        <v>TRANSFERENCIAS CORRIENTES</v>
      </c>
      <c r="U170" s="2287">
        <f t="shared" ref="U170:AJ170" si="161">U172+U176+U185</f>
        <v>139736565</v>
      </c>
      <c r="V170" s="2288">
        <f t="shared" si="161"/>
        <v>-657430</v>
      </c>
      <c r="W170" s="2288">
        <f t="shared" si="161"/>
        <v>24450868</v>
      </c>
      <c r="X170" s="2289">
        <f t="shared" si="161"/>
        <v>163530003</v>
      </c>
      <c r="Y170" s="2087">
        <f t="shared" si="161"/>
        <v>96943850</v>
      </c>
      <c r="Z170" s="2288">
        <f t="shared" si="161"/>
        <v>695374</v>
      </c>
      <c r="AA170" s="2289">
        <f t="shared" si="161"/>
        <v>97639224</v>
      </c>
      <c r="AB170" s="2087">
        <f t="shared" si="161"/>
        <v>86068721</v>
      </c>
      <c r="AC170" s="2288">
        <f t="shared" si="161"/>
        <v>695374</v>
      </c>
      <c r="AD170" s="2289">
        <f t="shared" si="161"/>
        <v>86764095</v>
      </c>
      <c r="AE170" s="2087">
        <f t="shared" si="161"/>
        <v>81885928</v>
      </c>
      <c r="AF170" s="2288">
        <f t="shared" si="161"/>
        <v>493376</v>
      </c>
      <c r="AG170" s="2289">
        <f t="shared" si="161"/>
        <v>82379304</v>
      </c>
      <c r="AH170" s="2087">
        <f t="shared" si="161"/>
        <v>65890779</v>
      </c>
      <c r="AI170" s="2288">
        <f t="shared" si="161"/>
        <v>76765908</v>
      </c>
      <c r="AJ170" s="2088">
        <f t="shared" si="161"/>
        <v>81150699</v>
      </c>
      <c r="AK170" s="1968"/>
      <c r="AL170" s="2106">
        <f>AL172+AL176+AL185</f>
        <v>0</v>
      </c>
      <c r="AM170" s="2107">
        <f>AM172+AM176+AM185</f>
        <v>0</v>
      </c>
      <c r="AN170" s="1968"/>
    </row>
    <row r="171" spans="1:40" s="2093" customFormat="1" ht="24.95" customHeight="1">
      <c r="A171" s="2327"/>
      <c r="B171" s="2328"/>
      <c r="N171" s="1968"/>
      <c r="P171" s="1968"/>
      <c r="Q171" s="1968"/>
      <c r="R171" s="1968"/>
      <c r="S171" s="2058" t="str">
        <f>+IF(SEPTIEMBRE!S171=0,"",SEPTIEMBRE!S171)</f>
        <v/>
      </c>
      <c r="T171" s="2059" t="str">
        <f>+IF(SEPTIEMBRE!T171=0,"",SEPTIEMBRE!T171)</f>
        <v/>
      </c>
      <c r="U171" s="2060"/>
      <c r="V171" s="2060"/>
      <c r="W171" s="2060"/>
      <c r="X171" s="2060"/>
      <c r="Y171" s="2060"/>
      <c r="Z171" s="2060"/>
      <c r="AA171" s="2060"/>
      <c r="AB171" s="2060"/>
      <c r="AC171" s="2060"/>
      <c r="AD171" s="2060"/>
      <c r="AE171" s="2060"/>
      <c r="AF171" s="2060"/>
      <c r="AG171" s="2060"/>
      <c r="AH171" s="2060"/>
      <c r="AI171" s="2060"/>
      <c r="AJ171" s="2061"/>
      <c r="AK171" s="1968"/>
      <c r="AL171" s="2248"/>
      <c r="AM171" s="2249"/>
      <c r="AN171" s="1968"/>
    </row>
    <row r="172" spans="1:40" s="2093" customFormat="1" ht="24.95" customHeight="1">
      <c r="A172" s="2327"/>
      <c r="B172" s="2328"/>
      <c r="N172" s="1968"/>
      <c r="P172" s="1968"/>
      <c r="Q172" s="1968"/>
      <c r="R172" s="1968"/>
      <c r="S172" s="2130">
        <f>+IF(SEPTIEMBRE!S172=0,"",SEPTIEMBRE!S172)</f>
        <v>3100000</v>
      </c>
      <c r="T172" s="2131" t="str">
        <f>+IF(SEPTIEMBRE!T172=0,"",SEPTIEMBRE!T172)</f>
        <v>Transferencias al Sector Público</v>
      </c>
      <c r="U172" s="2103">
        <f t="shared" ref="U172:AJ172" si="162">SUM(U173:U174)</f>
        <v>39651901</v>
      </c>
      <c r="V172" s="2104">
        <f t="shared" si="162"/>
        <v>-357430</v>
      </c>
      <c r="W172" s="2104">
        <f t="shared" si="162"/>
        <v>21500000</v>
      </c>
      <c r="X172" s="2105">
        <f t="shared" si="162"/>
        <v>60794471</v>
      </c>
      <c r="Y172" s="2106">
        <f t="shared" si="162"/>
        <v>60010788</v>
      </c>
      <c r="Z172" s="2104">
        <f t="shared" si="162"/>
        <v>201998</v>
      </c>
      <c r="AA172" s="2105">
        <f t="shared" si="162"/>
        <v>60212786</v>
      </c>
      <c r="AB172" s="2106">
        <f t="shared" si="162"/>
        <v>49430746</v>
      </c>
      <c r="AC172" s="2104">
        <f t="shared" si="162"/>
        <v>201998</v>
      </c>
      <c r="AD172" s="2105">
        <f t="shared" si="162"/>
        <v>49632744</v>
      </c>
      <c r="AE172" s="2106">
        <f t="shared" si="162"/>
        <v>49232746</v>
      </c>
      <c r="AF172" s="2104">
        <f t="shared" si="162"/>
        <v>0</v>
      </c>
      <c r="AG172" s="2105">
        <f t="shared" si="162"/>
        <v>49232746</v>
      </c>
      <c r="AH172" s="2106">
        <f t="shared" si="162"/>
        <v>581685</v>
      </c>
      <c r="AI172" s="2104">
        <f t="shared" si="162"/>
        <v>11161727</v>
      </c>
      <c r="AJ172" s="2107">
        <f t="shared" si="162"/>
        <v>11561725</v>
      </c>
      <c r="AK172" s="1968"/>
      <c r="AL172" s="2106">
        <f>SUM(AL173:AL174)</f>
        <v>0</v>
      </c>
      <c r="AM172" s="2107">
        <f>SUM(AM173:AM174)</f>
        <v>0</v>
      </c>
      <c r="AN172" s="1968"/>
    </row>
    <row r="173" spans="1:40" s="2093" customFormat="1" ht="24.95" customHeight="1">
      <c r="A173" s="2327"/>
      <c r="B173" s="2328"/>
      <c r="N173" s="1968"/>
      <c r="P173" s="1968"/>
      <c r="Q173" s="1968"/>
      <c r="R173" s="1968"/>
      <c r="S173" s="2138">
        <f>+IF(SEPTIEMBRE!S173=0,"",SEPTIEMBRE!S173)</f>
        <v>3100003</v>
      </c>
      <c r="T173" s="2139" t="str">
        <f>+IF(SEPTIEMBRE!T173=0,"",SEPTIEMBRE!T173)</f>
        <v>Entidades Públicas (Contraloria, Supersalud,…)</v>
      </c>
      <c r="U173" s="2140">
        <f>+ENERO!U173</f>
        <v>39651901</v>
      </c>
      <c r="V173" s="2091">
        <f>SEPTIEMBRE!V173+OCTUBRE!AL173</f>
        <v>-357430</v>
      </c>
      <c r="W173" s="2091">
        <f>SEPTIEMBRE!W173+OCTUBRE!AM173</f>
        <v>21500000</v>
      </c>
      <c r="X173" s="2141">
        <f>SUM(U173:W173)</f>
        <v>60794471</v>
      </c>
      <c r="Y173" s="2142">
        <f>SEPTIEMBRE!AA173</f>
        <v>60010788</v>
      </c>
      <c r="Z173" s="2077">
        <v>201998</v>
      </c>
      <c r="AA173" s="2141">
        <f>SUM(Y173:Z173)</f>
        <v>60212786</v>
      </c>
      <c r="AB173" s="2142">
        <f>SEPTIEMBRE!AD173</f>
        <v>49430746</v>
      </c>
      <c r="AC173" s="2077">
        <v>201998</v>
      </c>
      <c r="AD173" s="2141">
        <f>SUM(AB173:AC173)</f>
        <v>49632744</v>
      </c>
      <c r="AE173" s="2142">
        <f>SEPTIEMBRE!AG173</f>
        <v>49232746</v>
      </c>
      <c r="AF173" s="2077">
        <v>0</v>
      </c>
      <c r="AG173" s="2141">
        <f>SUM(AE173:AF173)</f>
        <v>49232746</v>
      </c>
      <c r="AH173" s="2142">
        <f>X173-AA173</f>
        <v>581685</v>
      </c>
      <c r="AI173" s="2091">
        <f>X173-AD173</f>
        <v>11161727</v>
      </c>
      <c r="AJ173" s="2143">
        <f>X173-AG173</f>
        <v>11561725</v>
      </c>
      <c r="AK173" s="1968"/>
      <c r="AL173" s="2079">
        <v>0</v>
      </c>
      <c r="AM173" s="2080">
        <v>0</v>
      </c>
      <c r="AN173" s="1968"/>
    </row>
    <row r="174" spans="1:40" s="2093" customFormat="1" ht="24.95" customHeight="1">
      <c r="A174" s="2327"/>
      <c r="B174" s="2328"/>
      <c r="N174" s="1968"/>
      <c r="P174" s="1968"/>
      <c r="Q174" s="1968"/>
      <c r="R174" s="1968"/>
      <c r="S174" s="2138">
        <f>+IF(SEPTIEMBRE!S174=0,"",SEPTIEMBRE!S174)</f>
        <v>3199999</v>
      </c>
      <c r="T174" s="2139" t="str">
        <f>+IF(SEPTIEMBRE!T174=0,"",SEPTIEMBRE!T174)</f>
        <v>Vigencias Anteriores</v>
      </c>
      <c r="U174" s="2140">
        <f>+ENERO!U174</f>
        <v>0</v>
      </c>
      <c r="V174" s="2091">
        <f>SEPTIEMBRE!V174+OCTUBRE!AL174</f>
        <v>0</v>
      </c>
      <c r="W174" s="2091">
        <f>SEPTIEMBRE!W174+OCTUBRE!AM174</f>
        <v>0</v>
      </c>
      <c r="X174" s="2141">
        <f>SUM(U174:W174)</f>
        <v>0</v>
      </c>
      <c r="Y174" s="2142">
        <f>SEPTIEMBRE!AA174</f>
        <v>0</v>
      </c>
      <c r="Z174" s="2077">
        <v>0</v>
      </c>
      <c r="AA174" s="2141">
        <f>SUM(Y174:Z174)</f>
        <v>0</v>
      </c>
      <c r="AB174" s="2142">
        <f>SEPTIEMBRE!AD174</f>
        <v>0</v>
      </c>
      <c r="AC174" s="2077">
        <v>0</v>
      </c>
      <c r="AD174" s="2141">
        <f>SUM(AB174:AC174)</f>
        <v>0</v>
      </c>
      <c r="AE174" s="2142">
        <f>SEPTIEMBRE!AG174</f>
        <v>0</v>
      </c>
      <c r="AF174" s="2077">
        <v>0</v>
      </c>
      <c r="AG174" s="2141">
        <f>SUM(AE174:AF174)</f>
        <v>0</v>
      </c>
      <c r="AH174" s="2142">
        <f>X174-AA174</f>
        <v>0</v>
      </c>
      <c r="AI174" s="2091">
        <f>X174-AD174</f>
        <v>0</v>
      </c>
      <c r="AJ174" s="2143">
        <f>X174-AG174</f>
        <v>0</v>
      </c>
      <c r="AK174" s="1968"/>
      <c r="AL174" s="2079">
        <v>0</v>
      </c>
      <c r="AM174" s="2080">
        <v>0</v>
      </c>
      <c r="AN174" s="1968"/>
    </row>
    <row r="175" spans="1:40" s="2093" customFormat="1" ht="24.95" customHeight="1">
      <c r="A175" s="2327"/>
      <c r="B175" s="2328"/>
      <c r="N175" s="1968"/>
      <c r="P175" s="1968"/>
      <c r="Q175" s="1968"/>
      <c r="R175" s="1968"/>
      <c r="S175" s="2058" t="str">
        <f>+IF(SEPTIEMBRE!S175=0,"",SEPTIEMBRE!S175)</f>
        <v/>
      </c>
      <c r="T175" s="2059" t="str">
        <f>+IF(SEPTIEMBRE!T175=0,"",SEPTIEMBRE!T175)</f>
        <v/>
      </c>
      <c r="U175" s="2060"/>
      <c r="V175" s="2060"/>
      <c r="W175" s="2060"/>
      <c r="X175" s="2060"/>
      <c r="Y175" s="2060"/>
      <c r="Z175" s="2060"/>
      <c r="AA175" s="2060"/>
      <c r="AB175" s="2060"/>
      <c r="AC175" s="2060"/>
      <c r="AD175" s="2060"/>
      <c r="AE175" s="2060"/>
      <c r="AF175" s="2060"/>
      <c r="AG175" s="2060"/>
      <c r="AH175" s="2060"/>
      <c r="AI175" s="2060"/>
      <c r="AJ175" s="2061"/>
      <c r="AK175" s="2086"/>
      <c r="AL175" s="2248"/>
      <c r="AM175" s="2249"/>
      <c r="AN175" s="1968"/>
    </row>
    <row r="176" spans="1:40" s="2093" customFormat="1" ht="24.95" customHeight="1">
      <c r="A176" s="2327"/>
      <c r="B176" s="2328"/>
      <c r="N176" s="1968"/>
      <c r="P176" s="1968"/>
      <c r="Q176" s="1968"/>
      <c r="R176" s="1968"/>
      <c r="S176" s="2130">
        <f>+IF(SEPTIEMBRE!S176=0,"",SEPTIEMBRE!S176)</f>
        <v>320000</v>
      </c>
      <c r="T176" s="2131" t="str">
        <f>+IF(SEPTIEMBRE!T176=0,"",SEPTIEMBRE!T176)</f>
        <v>Transf. Previsión y Seguridad Social</v>
      </c>
      <c r="U176" s="2103">
        <f t="shared" ref="U176:AJ176" si="163">SUM(U177:U183)</f>
        <v>50084664</v>
      </c>
      <c r="V176" s="2104">
        <f t="shared" si="163"/>
        <v>0</v>
      </c>
      <c r="W176" s="2104">
        <f t="shared" si="163"/>
        <v>0</v>
      </c>
      <c r="X176" s="2105">
        <f t="shared" si="163"/>
        <v>50084664</v>
      </c>
      <c r="Y176" s="2106">
        <f t="shared" si="163"/>
        <v>24683440</v>
      </c>
      <c r="Z176" s="2104">
        <f t="shared" si="163"/>
        <v>493376</v>
      </c>
      <c r="AA176" s="2105">
        <f t="shared" si="163"/>
        <v>25176816</v>
      </c>
      <c r="AB176" s="2106">
        <f t="shared" si="163"/>
        <v>24683440</v>
      </c>
      <c r="AC176" s="2104">
        <f t="shared" si="163"/>
        <v>493376</v>
      </c>
      <c r="AD176" s="2105">
        <f t="shared" si="163"/>
        <v>25176816</v>
      </c>
      <c r="AE176" s="2106">
        <f t="shared" si="163"/>
        <v>23792315</v>
      </c>
      <c r="AF176" s="2104">
        <f t="shared" si="163"/>
        <v>493376</v>
      </c>
      <c r="AG176" s="2105">
        <f t="shared" si="163"/>
        <v>24285691</v>
      </c>
      <c r="AH176" s="2106">
        <f t="shared" si="163"/>
        <v>24907848</v>
      </c>
      <c r="AI176" s="2104">
        <f t="shared" si="163"/>
        <v>24907848</v>
      </c>
      <c r="AJ176" s="2107">
        <f t="shared" si="163"/>
        <v>25798973</v>
      </c>
      <c r="AK176" s="1968"/>
      <c r="AL176" s="2106">
        <f>SUM(AL177:AL183)</f>
        <v>0</v>
      </c>
      <c r="AM176" s="2107">
        <f>SUM(AM177:AM183)</f>
        <v>0</v>
      </c>
      <c r="AN176" s="1968"/>
    </row>
    <row r="177" spans="1:40" s="2093" customFormat="1" ht="24.95" customHeight="1">
      <c r="A177" s="2327"/>
      <c r="B177" s="2328"/>
      <c r="N177" s="1968"/>
      <c r="P177" s="1968"/>
      <c r="Q177" s="1968"/>
      <c r="R177" s="1968"/>
      <c r="S177" s="2138">
        <f>+IF(SEPTIEMBRE!S177=0,"",SEPTIEMBRE!S177)</f>
        <v>3200100</v>
      </c>
      <c r="T177" s="2139" t="str">
        <f>+IF(SEPTIEMBRE!T177=0,"",SEPTIEMBRE!T177)</f>
        <v>Pensiones y Jubilaciones (Pago Directo)</v>
      </c>
      <c r="U177" s="2140">
        <f>+ENERO!U177</f>
        <v>18619412</v>
      </c>
      <c r="V177" s="2091">
        <f>SEPTIEMBRE!V177+OCTUBRE!AL177</f>
        <v>0</v>
      </c>
      <c r="W177" s="2091">
        <f>SEPTIEMBRE!W177+OCTUBRE!AM177</f>
        <v>0</v>
      </c>
      <c r="X177" s="2141">
        <f t="shared" ref="X177:X183" si="164">SUM(U177:W177)</f>
        <v>18619412</v>
      </c>
      <c r="Y177" s="2142">
        <f>SEPTIEMBRE!AA177</f>
        <v>10614568</v>
      </c>
      <c r="Z177" s="2077">
        <v>493376</v>
      </c>
      <c r="AA177" s="2141">
        <f t="shared" ref="AA177:AA183" si="165">SUM(Y177:Z177)</f>
        <v>11107944</v>
      </c>
      <c r="AB177" s="2142">
        <f>SEPTIEMBRE!AD177</f>
        <v>10614568</v>
      </c>
      <c r="AC177" s="2077">
        <v>493376</v>
      </c>
      <c r="AD177" s="2141">
        <f t="shared" ref="AD177:AD183" si="166">SUM(AB177:AC177)</f>
        <v>11107944</v>
      </c>
      <c r="AE177" s="2142">
        <f>SEPTIEMBRE!AG177</f>
        <v>10614568</v>
      </c>
      <c r="AF177" s="2077">
        <v>493376</v>
      </c>
      <c r="AG177" s="2141">
        <f t="shared" ref="AG177:AG183" si="167">SUM(AE177:AF177)</f>
        <v>11107944</v>
      </c>
      <c r="AH177" s="2142">
        <f t="shared" ref="AH177:AH183" si="168">X177-AA177</f>
        <v>7511468</v>
      </c>
      <c r="AI177" s="2091">
        <f t="shared" ref="AI177:AI183" si="169">X177-AD177</f>
        <v>7511468</v>
      </c>
      <c r="AJ177" s="2143">
        <f t="shared" ref="AJ177:AJ183" si="170">X177-AG177</f>
        <v>7511468</v>
      </c>
      <c r="AK177" s="1968"/>
      <c r="AL177" s="2079">
        <v>0</v>
      </c>
      <c r="AM177" s="2080">
        <v>0</v>
      </c>
      <c r="AN177" s="1968"/>
    </row>
    <row r="178" spans="1:40" s="2093" customFormat="1" ht="24.95" customHeight="1">
      <c r="A178" s="2327"/>
      <c r="B178" s="2328"/>
      <c r="N178" s="1968"/>
      <c r="P178" s="1968"/>
      <c r="Q178" s="1968"/>
      <c r="R178" s="1968"/>
      <c r="S178" s="2138">
        <f>+IF(SEPTIEMBRE!S178=0,"",SEPTIEMBRE!S178)</f>
        <v>3200200</v>
      </c>
      <c r="T178" s="2139" t="str">
        <f>+IF(SEPTIEMBRE!T178=0,"",SEPTIEMBRE!T178)</f>
        <v>Cesantías Pago Directo (Pago Directo)</v>
      </c>
      <c r="U178" s="2140">
        <f>+ENERO!U178</f>
        <v>14936566</v>
      </c>
      <c r="V178" s="2091">
        <f>SEPTIEMBRE!V178+OCTUBRE!AL178</f>
        <v>0</v>
      </c>
      <c r="W178" s="2091">
        <f>SEPTIEMBRE!W178+OCTUBRE!AM178</f>
        <v>0</v>
      </c>
      <c r="X178" s="2141">
        <f t="shared" si="164"/>
        <v>14936566</v>
      </c>
      <c r="Y178" s="2142">
        <f>SEPTIEMBRE!AA178</f>
        <v>331170</v>
      </c>
      <c r="Z178" s="2077">
        <v>0</v>
      </c>
      <c r="AA178" s="2141">
        <f t="shared" si="165"/>
        <v>331170</v>
      </c>
      <c r="AB178" s="2142">
        <f>SEPTIEMBRE!AD178</f>
        <v>331170</v>
      </c>
      <c r="AC178" s="2077">
        <v>0</v>
      </c>
      <c r="AD178" s="2141">
        <f t="shared" si="166"/>
        <v>331170</v>
      </c>
      <c r="AE178" s="2142">
        <f>SEPTIEMBRE!AG178</f>
        <v>331170</v>
      </c>
      <c r="AF178" s="2077">
        <v>0</v>
      </c>
      <c r="AG178" s="2141">
        <f t="shared" si="167"/>
        <v>331170</v>
      </c>
      <c r="AH178" s="2142">
        <f t="shared" si="168"/>
        <v>14605396</v>
      </c>
      <c r="AI178" s="2091">
        <f t="shared" si="169"/>
        <v>14605396</v>
      </c>
      <c r="AJ178" s="2143">
        <f t="shared" si="170"/>
        <v>14605396</v>
      </c>
      <c r="AK178" s="1968"/>
      <c r="AL178" s="2079">
        <v>0</v>
      </c>
      <c r="AM178" s="2080">
        <v>0</v>
      </c>
      <c r="AN178" s="1968"/>
    </row>
    <row r="179" spans="1:40" s="2093" customFormat="1" ht="24.95" customHeight="1">
      <c r="A179" s="2327"/>
      <c r="B179" s="2328"/>
      <c r="N179" s="1968"/>
      <c r="P179" s="1968"/>
      <c r="Q179" s="1968"/>
      <c r="R179" s="1968"/>
      <c r="S179" s="2138">
        <f>+IF(SEPTIEMBRE!S179=0,"",SEPTIEMBRE!S179)</f>
        <v>3200300</v>
      </c>
      <c r="T179" s="2139" t="str">
        <f>+IF(SEPTIEMBRE!T179=0,"",SEPTIEMBRE!T179)</f>
        <v>Bonos, Cuotas de Bonos y cuotas partes jubilatorias</v>
      </c>
      <c r="U179" s="2140">
        <f>+ENERO!U179</f>
        <v>0</v>
      </c>
      <c r="V179" s="2091">
        <f>SEPTIEMBRE!V179+OCTUBRE!AL179</f>
        <v>4000000</v>
      </c>
      <c r="W179" s="2091">
        <f>SEPTIEMBRE!W179+OCTUBRE!AM179</f>
        <v>0</v>
      </c>
      <c r="X179" s="2141">
        <f t="shared" si="164"/>
        <v>4000000</v>
      </c>
      <c r="Y179" s="2142">
        <f>SEPTIEMBRE!AA179</f>
        <v>1960260</v>
      </c>
      <c r="Z179" s="2077">
        <v>0</v>
      </c>
      <c r="AA179" s="2141">
        <f t="shared" si="165"/>
        <v>1960260</v>
      </c>
      <c r="AB179" s="2142">
        <f>SEPTIEMBRE!AD179</f>
        <v>1960260</v>
      </c>
      <c r="AC179" s="2077">
        <v>0</v>
      </c>
      <c r="AD179" s="2141">
        <f t="shared" si="166"/>
        <v>1960260</v>
      </c>
      <c r="AE179" s="2142">
        <f>SEPTIEMBRE!AG179</f>
        <v>1069135</v>
      </c>
      <c r="AF179" s="2077">
        <v>0</v>
      </c>
      <c r="AG179" s="2141">
        <f t="shared" si="167"/>
        <v>1069135</v>
      </c>
      <c r="AH179" s="2142">
        <f t="shared" si="168"/>
        <v>2039740</v>
      </c>
      <c r="AI179" s="2091">
        <f t="shared" si="169"/>
        <v>2039740</v>
      </c>
      <c r="AJ179" s="2143">
        <f t="shared" si="170"/>
        <v>2930865</v>
      </c>
      <c r="AK179" s="1968"/>
      <c r="AL179" s="2079">
        <v>0</v>
      </c>
      <c r="AM179" s="2080">
        <v>0</v>
      </c>
      <c r="AN179" s="1968"/>
    </row>
    <row r="180" spans="1:40" s="2093" customFormat="1" ht="24.95" customHeight="1">
      <c r="A180" s="2327"/>
      <c r="B180" s="2328"/>
      <c r="N180" s="1968"/>
      <c r="P180" s="1968"/>
      <c r="Q180" s="1968"/>
      <c r="R180" s="1968"/>
      <c r="S180" s="2138">
        <f>+IF(SEPTIEMBRE!S180=0,"",SEPTIEMBRE!S180)</f>
        <v>3200400</v>
      </c>
      <c r="T180" s="2139" t="str">
        <f>+IF(SEPTIEMBRE!T180=0,"",SEPTIEMBRE!T180)</f>
        <v>Intereses a las cesantias</v>
      </c>
      <c r="U180" s="2140">
        <f>+ENERO!U180</f>
        <v>16528686</v>
      </c>
      <c r="V180" s="2091">
        <f>SEPTIEMBRE!V180+OCTUBRE!AL180</f>
        <v>-4000000</v>
      </c>
      <c r="W180" s="2091">
        <f>SEPTIEMBRE!W180+OCTUBRE!AM180</f>
        <v>0</v>
      </c>
      <c r="X180" s="2141">
        <f t="shared" si="164"/>
        <v>12528686</v>
      </c>
      <c r="Y180" s="2142">
        <f>SEPTIEMBRE!AA180</f>
        <v>11777442</v>
      </c>
      <c r="Z180" s="2077">
        <v>0</v>
      </c>
      <c r="AA180" s="2141">
        <f t="shared" si="165"/>
        <v>11777442</v>
      </c>
      <c r="AB180" s="2142">
        <f>SEPTIEMBRE!AD180</f>
        <v>11777442</v>
      </c>
      <c r="AC180" s="2077">
        <v>0</v>
      </c>
      <c r="AD180" s="2141">
        <f t="shared" si="166"/>
        <v>11777442</v>
      </c>
      <c r="AE180" s="2142">
        <f>SEPTIEMBRE!AG180</f>
        <v>11777442</v>
      </c>
      <c r="AF180" s="2077">
        <v>0</v>
      </c>
      <c r="AG180" s="2141">
        <f t="shared" si="167"/>
        <v>11777442</v>
      </c>
      <c r="AH180" s="2142">
        <f t="shared" si="168"/>
        <v>751244</v>
      </c>
      <c r="AI180" s="2091">
        <f t="shared" si="169"/>
        <v>751244</v>
      </c>
      <c r="AJ180" s="2143">
        <f t="shared" si="170"/>
        <v>751244</v>
      </c>
      <c r="AK180" s="1968"/>
      <c r="AL180" s="2079">
        <v>0</v>
      </c>
      <c r="AM180" s="2080">
        <v>0</v>
      </c>
      <c r="AN180" s="1968"/>
    </row>
    <row r="181" spans="1:40" s="2093" customFormat="1" ht="24.95" customHeight="1">
      <c r="A181" s="2327"/>
      <c r="B181" s="2328"/>
      <c r="N181" s="1968"/>
      <c r="P181" s="1968"/>
      <c r="Q181" s="1968"/>
      <c r="R181" s="1968"/>
      <c r="S181" s="2138" t="str">
        <f>+IF(SEPTIEMBRE!S181=0,"",SEPTIEMBRE!S181)</f>
        <v/>
      </c>
      <c r="T181" s="2139" t="str">
        <f>+IF(SEPTIEMBRE!T181=0,"",SEPTIEMBRE!T181)</f>
        <v/>
      </c>
      <c r="U181" s="2140">
        <f>+ENERO!U181</f>
        <v>0</v>
      </c>
      <c r="V181" s="2091">
        <f>SEPTIEMBRE!V181+OCTUBRE!AL181</f>
        <v>0</v>
      </c>
      <c r="W181" s="2091">
        <f>SEPTIEMBRE!W181+OCTUBRE!AM181</f>
        <v>0</v>
      </c>
      <c r="X181" s="2141">
        <f t="shared" si="164"/>
        <v>0</v>
      </c>
      <c r="Y181" s="2142">
        <f>SEPTIEMBRE!AA181</f>
        <v>0</v>
      </c>
      <c r="Z181" s="2077">
        <v>0</v>
      </c>
      <c r="AA181" s="2141">
        <f t="shared" si="165"/>
        <v>0</v>
      </c>
      <c r="AB181" s="2142">
        <f>SEPTIEMBRE!AD181</f>
        <v>0</v>
      </c>
      <c r="AC181" s="2077">
        <v>0</v>
      </c>
      <c r="AD181" s="2141">
        <f t="shared" si="166"/>
        <v>0</v>
      </c>
      <c r="AE181" s="2142">
        <f>SEPTIEMBRE!AG181</f>
        <v>0</v>
      </c>
      <c r="AF181" s="2077">
        <v>0</v>
      </c>
      <c r="AG181" s="2141">
        <f t="shared" si="167"/>
        <v>0</v>
      </c>
      <c r="AH181" s="2142">
        <f t="shared" si="168"/>
        <v>0</v>
      </c>
      <c r="AI181" s="2091">
        <f t="shared" si="169"/>
        <v>0</v>
      </c>
      <c r="AJ181" s="2143">
        <f t="shared" si="170"/>
        <v>0</v>
      </c>
      <c r="AK181" s="1968"/>
      <c r="AL181" s="2079">
        <v>0</v>
      </c>
      <c r="AM181" s="2080">
        <v>0</v>
      </c>
      <c r="AN181" s="1968"/>
    </row>
    <row r="182" spans="1:40" s="2093" customFormat="1" ht="24.95" customHeight="1">
      <c r="A182" s="2327"/>
      <c r="B182" s="2328"/>
      <c r="N182" s="1968"/>
      <c r="P182" s="1968"/>
      <c r="Q182" s="1968"/>
      <c r="R182" s="1968"/>
      <c r="S182" s="2138" t="str">
        <f>+IF(SEPTIEMBRE!S182=0,"",SEPTIEMBRE!S182)</f>
        <v/>
      </c>
      <c r="T182" s="2139" t="str">
        <f>+IF(SEPTIEMBRE!T182=0,"",SEPTIEMBRE!T182)</f>
        <v/>
      </c>
      <c r="U182" s="2140">
        <f>+ENERO!U182</f>
        <v>0</v>
      </c>
      <c r="V182" s="2091">
        <f>SEPTIEMBRE!V182+OCTUBRE!AL182</f>
        <v>0</v>
      </c>
      <c r="W182" s="2091">
        <f>SEPTIEMBRE!W182+OCTUBRE!AM182</f>
        <v>0</v>
      </c>
      <c r="X182" s="2141">
        <f t="shared" si="164"/>
        <v>0</v>
      </c>
      <c r="Y182" s="2142">
        <f>SEPTIEMBRE!AA182</f>
        <v>0</v>
      </c>
      <c r="Z182" s="2077">
        <v>0</v>
      </c>
      <c r="AA182" s="2141">
        <f t="shared" si="165"/>
        <v>0</v>
      </c>
      <c r="AB182" s="2142">
        <f>SEPTIEMBRE!AD182</f>
        <v>0</v>
      </c>
      <c r="AC182" s="2077">
        <v>0</v>
      </c>
      <c r="AD182" s="2141">
        <f t="shared" si="166"/>
        <v>0</v>
      </c>
      <c r="AE182" s="2142">
        <f>SEPTIEMBRE!AG182</f>
        <v>0</v>
      </c>
      <c r="AF182" s="2077">
        <v>0</v>
      </c>
      <c r="AG182" s="2141">
        <f t="shared" si="167"/>
        <v>0</v>
      </c>
      <c r="AH182" s="2142">
        <f t="shared" si="168"/>
        <v>0</v>
      </c>
      <c r="AI182" s="2091">
        <f t="shared" si="169"/>
        <v>0</v>
      </c>
      <c r="AJ182" s="2143">
        <f t="shared" si="170"/>
        <v>0</v>
      </c>
      <c r="AK182" s="1968"/>
      <c r="AL182" s="2079">
        <v>0</v>
      </c>
      <c r="AM182" s="2080">
        <v>0</v>
      </c>
      <c r="AN182" s="1968"/>
    </row>
    <row r="183" spans="1:40" s="2093" customFormat="1" ht="24.95" customHeight="1">
      <c r="A183" s="2327"/>
      <c r="B183" s="2328"/>
      <c r="N183" s="1968"/>
      <c r="P183" s="1968"/>
      <c r="Q183" s="1968"/>
      <c r="R183" s="1968"/>
      <c r="S183" s="2138">
        <f>+IF(SEPTIEMBRE!S183=0,"",SEPTIEMBRE!S183)</f>
        <v>3299999</v>
      </c>
      <c r="T183" s="2139" t="str">
        <f>+IF(SEPTIEMBRE!T183=0,"",SEPTIEMBRE!T183)</f>
        <v>Vigencias Anteriores</v>
      </c>
      <c r="U183" s="2140">
        <f>+ENERO!U183</f>
        <v>0</v>
      </c>
      <c r="V183" s="2091">
        <f>SEPTIEMBRE!V183+OCTUBRE!AL183</f>
        <v>0</v>
      </c>
      <c r="W183" s="2091">
        <f>SEPTIEMBRE!W183+OCTUBRE!AM183</f>
        <v>0</v>
      </c>
      <c r="X183" s="2141">
        <f t="shared" si="164"/>
        <v>0</v>
      </c>
      <c r="Y183" s="2142">
        <f>SEPTIEMBRE!AA183</f>
        <v>0</v>
      </c>
      <c r="Z183" s="2077">
        <v>0</v>
      </c>
      <c r="AA183" s="2141">
        <f t="shared" si="165"/>
        <v>0</v>
      </c>
      <c r="AB183" s="2142">
        <f>SEPTIEMBRE!AD183</f>
        <v>0</v>
      </c>
      <c r="AC183" s="2077">
        <v>0</v>
      </c>
      <c r="AD183" s="2141">
        <f t="shared" si="166"/>
        <v>0</v>
      </c>
      <c r="AE183" s="2142">
        <f>SEPTIEMBRE!AG183</f>
        <v>0</v>
      </c>
      <c r="AF183" s="2077">
        <v>0</v>
      </c>
      <c r="AG183" s="2141">
        <f t="shared" si="167"/>
        <v>0</v>
      </c>
      <c r="AH183" s="2142">
        <f t="shared" si="168"/>
        <v>0</v>
      </c>
      <c r="AI183" s="2091">
        <f t="shared" si="169"/>
        <v>0</v>
      </c>
      <c r="AJ183" s="2143">
        <f t="shared" si="170"/>
        <v>0</v>
      </c>
      <c r="AK183" s="1968"/>
      <c r="AL183" s="2079">
        <v>0</v>
      </c>
      <c r="AM183" s="2080">
        <v>0</v>
      </c>
      <c r="AN183" s="1968"/>
    </row>
    <row r="184" spans="1:40" s="2093" customFormat="1" ht="24.95" customHeight="1">
      <c r="A184" s="2327"/>
      <c r="B184" s="2328"/>
      <c r="N184" s="1968"/>
      <c r="P184" s="1968"/>
      <c r="Q184" s="1968"/>
      <c r="R184" s="1968"/>
      <c r="S184" s="2058" t="str">
        <f>+IF(SEPTIEMBRE!S184=0,"",SEPTIEMBRE!S184)</f>
        <v/>
      </c>
      <c r="T184" s="2059" t="str">
        <f>+IF(SEPTIEMBRE!T184=0,"",SEPTIEMBRE!T184)</f>
        <v/>
      </c>
      <c r="U184" s="2060"/>
      <c r="V184" s="2060"/>
      <c r="W184" s="2060"/>
      <c r="X184" s="2060"/>
      <c r="Y184" s="2060"/>
      <c r="Z184" s="2060"/>
      <c r="AA184" s="2060"/>
      <c r="AB184" s="2060"/>
      <c r="AC184" s="2060"/>
      <c r="AD184" s="2060"/>
      <c r="AE184" s="2060"/>
      <c r="AF184" s="2060"/>
      <c r="AG184" s="2060"/>
      <c r="AH184" s="2060"/>
      <c r="AI184" s="2060"/>
      <c r="AJ184" s="2061"/>
      <c r="AK184" s="1968"/>
      <c r="AL184" s="2248"/>
      <c r="AM184" s="2249"/>
      <c r="AN184" s="1968"/>
    </row>
    <row r="185" spans="1:40" s="2093" customFormat="1" ht="24.95" customHeight="1">
      <c r="A185" s="2327"/>
      <c r="B185" s="2328"/>
      <c r="N185" s="1968"/>
      <c r="P185" s="1968"/>
      <c r="Q185" s="1968"/>
      <c r="R185" s="1968"/>
      <c r="S185" s="2130">
        <f>+IF(SEPTIEMBRE!S185=0,"",SEPTIEMBRE!S185)</f>
        <v>3300000</v>
      </c>
      <c r="T185" s="2131" t="str">
        <f>+IF(SEPTIEMBRE!T185=0,"",SEPTIEMBRE!T185)</f>
        <v>Otras Transferencias</v>
      </c>
      <c r="U185" s="2103">
        <f t="shared" ref="U185:AJ185" si="171">U186+U187+U191</f>
        <v>50000000</v>
      </c>
      <c r="V185" s="2104">
        <f t="shared" si="171"/>
        <v>-300000</v>
      </c>
      <c r="W185" s="2104">
        <f t="shared" si="171"/>
        <v>2950868</v>
      </c>
      <c r="X185" s="2105">
        <f t="shared" si="171"/>
        <v>52650868</v>
      </c>
      <c r="Y185" s="2106">
        <f t="shared" si="171"/>
        <v>12249622</v>
      </c>
      <c r="Z185" s="2104">
        <f t="shared" si="171"/>
        <v>0</v>
      </c>
      <c r="AA185" s="2105">
        <f t="shared" si="171"/>
        <v>12249622</v>
      </c>
      <c r="AB185" s="2106">
        <f t="shared" si="171"/>
        <v>11954535</v>
      </c>
      <c r="AC185" s="2104">
        <f t="shared" si="171"/>
        <v>0</v>
      </c>
      <c r="AD185" s="2105">
        <f t="shared" si="171"/>
        <v>11954535</v>
      </c>
      <c r="AE185" s="2106">
        <f t="shared" si="171"/>
        <v>8860867</v>
      </c>
      <c r="AF185" s="2104">
        <f t="shared" si="171"/>
        <v>0</v>
      </c>
      <c r="AG185" s="2105">
        <f t="shared" si="171"/>
        <v>8860867</v>
      </c>
      <c r="AH185" s="2106">
        <f t="shared" si="171"/>
        <v>40401246</v>
      </c>
      <c r="AI185" s="2104">
        <f t="shared" si="171"/>
        <v>40696333</v>
      </c>
      <c r="AJ185" s="2107">
        <f t="shared" si="171"/>
        <v>43790001</v>
      </c>
      <c r="AK185" s="1968"/>
      <c r="AL185" s="2106">
        <f>AL186+AL187+AL191</f>
        <v>0</v>
      </c>
      <c r="AM185" s="2107">
        <f>AM186+AM187+AM191</f>
        <v>0</v>
      </c>
      <c r="AN185" s="1968"/>
    </row>
    <row r="186" spans="1:40" s="2093" customFormat="1" ht="24.95" customHeight="1">
      <c r="A186" s="2327"/>
      <c r="B186" s="2328"/>
      <c r="N186" s="1968"/>
      <c r="P186" s="1968"/>
      <c r="Q186" s="1968"/>
      <c r="R186" s="1968"/>
      <c r="S186" s="2138">
        <f>+IF(SEPTIEMBRE!S186=0,"",SEPTIEMBRE!S186)</f>
        <v>3300100</v>
      </c>
      <c r="T186" s="2139" t="str">
        <f>+IF(SEPTIEMBRE!T186=0,"",SEPTIEMBRE!T186)</f>
        <v>Sentencias y Conciliaciones</v>
      </c>
      <c r="U186" s="2140">
        <f>+ENERO!U186</f>
        <v>50000000</v>
      </c>
      <c r="V186" s="2091">
        <f>SEPTIEMBRE!V186+OCTUBRE!AL186</f>
        <v>-3393668</v>
      </c>
      <c r="W186" s="2091">
        <f>SEPTIEMBRE!W186+OCTUBRE!AM186</f>
        <v>0</v>
      </c>
      <c r="X186" s="2141">
        <f>SUM(U186:W186)</f>
        <v>46606332</v>
      </c>
      <c r="Y186" s="2142">
        <f>SEPTIEMBRE!AA186</f>
        <v>6205086</v>
      </c>
      <c r="Z186" s="2077">
        <v>0</v>
      </c>
      <c r="AA186" s="2141">
        <f>SUM(Y186:Z186)</f>
        <v>6205086</v>
      </c>
      <c r="AB186" s="2142">
        <f>SEPTIEMBRE!AD186</f>
        <v>6205086</v>
      </c>
      <c r="AC186" s="2077">
        <v>0</v>
      </c>
      <c r="AD186" s="2141">
        <f>SUM(AB186:AC186)</f>
        <v>6205086</v>
      </c>
      <c r="AE186" s="2142">
        <f>SEPTIEMBRE!AG186</f>
        <v>6205086</v>
      </c>
      <c r="AF186" s="2077">
        <v>0</v>
      </c>
      <c r="AG186" s="2141">
        <f>SUM(AE186:AF186)</f>
        <v>6205086</v>
      </c>
      <c r="AH186" s="2142">
        <f>X186-AA186</f>
        <v>40401246</v>
      </c>
      <c r="AI186" s="2091">
        <f>X186-AD186</f>
        <v>40401246</v>
      </c>
      <c r="AJ186" s="2143">
        <f>X186-AG186</f>
        <v>40401246</v>
      </c>
      <c r="AK186" s="1968"/>
      <c r="AL186" s="2079">
        <v>0</v>
      </c>
      <c r="AM186" s="2080">
        <v>0</v>
      </c>
      <c r="AN186" s="1968"/>
    </row>
    <row r="187" spans="1:40" s="2093" customFormat="1" ht="24.95" customHeight="1">
      <c r="A187" s="2327"/>
      <c r="B187" s="2328"/>
      <c r="N187" s="1968"/>
      <c r="P187" s="1968"/>
      <c r="Q187" s="1968"/>
      <c r="R187" s="1968"/>
      <c r="S187" s="2138">
        <f>+IF(SEPTIEMBRE!S187=0,"",SEPTIEMBRE!S187)</f>
        <v>3300200</v>
      </c>
      <c r="T187" s="2139" t="str">
        <f>+IF(SEPTIEMBRE!T187=0,"",SEPTIEMBRE!T187)</f>
        <v>Destinatarios de otras transferencias</v>
      </c>
      <c r="U187" s="2140">
        <f t="shared" ref="U187:AM187" si="172">SUM(U188:U190)</f>
        <v>0</v>
      </c>
      <c r="V187" s="2091">
        <f t="shared" si="172"/>
        <v>3093668</v>
      </c>
      <c r="W187" s="2091">
        <f t="shared" si="172"/>
        <v>2950868</v>
      </c>
      <c r="X187" s="2141">
        <f t="shared" si="172"/>
        <v>6044536</v>
      </c>
      <c r="Y187" s="2142">
        <f t="shared" si="172"/>
        <v>6044536</v>
      </c>
      <c r="Z187" s="2170">
        <f t="shared" si="172"/>
        <v>0</v>
      </c>
      <c r="AA187" s="2141">
        <f t="shared" si="172"/>
        <v>6044536</v>
      </c>
      <c r="AB187" s="2142">
        <f t="shared" si="172"/>
        <v>5749449</v>
      </c>
      <c r="AC187" s="2170">
        <f t="shared" si="172"/>
        <v>0</v>
      </c>
      <c r="AD187" s="2141">
        <f t="shared" si="172"/>
        <v>5749449</v>
      </c>
      <c r="AE187" s="2142">
        <f t="shared" si="172"/>
        <v>2655781</v>
      </c>
      <c r="AF187" s="2170">
        <f t="shared" si="172"/>
        <v>0</v>
      </c>
      <c r="AG187" s="2141">
        <f t="shared" si="172"/>
        <v>2655781</v>
      </c>
      <c r="AH187" s="2142">
        <f t="shared" si="172"/>
        <v>0</v>
      </c>
      <c r="AI187" s="2091">
        <f t="shared" si="172"/>
        <v>295087</v>
      </c>
      <c r="AJ187" s="2143">
        <f t="shared" si="172"/>
        <v>3388755</v>
      </c>
      <c r="AK187" s="1968"/>
      <c r="AL187" s="2171">
        <f t="shared" si="172"/>
        <v>0</v>
      </c>
      <c r="AM187" s="2172">
        <f t="shared" si="172"/>
        <v>0</v>
      </c>
      <c r="AN187" s="1968"/>
    </row>
    <row r="188" spans="1:40" s="2093" customFormat="1" ht="24.95" customHeight="1">
      <c r="A188" s="2327"/>
      <c r="B188" s="2330"/>
      <c r="N188" s="1968"/>
      <c r="P188" s="1968"/>
      <c r="Q188" s="1968"/>
      <c r="R188" s="1968"/>
      <c r="S188" s="2184" t="str">
        <f>+IF(SEPTIEMBRE!S188=0,"",SEPTIEMBRE!S188)</f>
        <v>3300200-1</v>
      </c>
      <c r="T188" s="2139" t="str">
        <f>+IF(SEPTIEMBRE!T188=0,"",SEPTIEMBRE!T188)</f>
        <v>COHAN</v>
      </c>
      <c r="U188" s="2140">
        <f>+ENERO!U188</f>
        <v>0</v>
      </c>
      <c r="V188" s="2091">
        <f>SEPTIEMBRE!V188+OCTUBRE!AL188</f>
        <v>3093668</v>
      </c>
      <c r="W188" s="2091">
        <f>SEPTIEMBRE!W188+OCTUBRE!AM188</f>
        <v>0</v>
      </c>
      <c r="X188" s="2141">
        <f>SUM(U188:W188)</f>
        <v>3093668</v>
      </c>
      <c r="Y188" s="2142">
        <f>SEPTIEMBRE!AA188</f>
        <v>3093668</v>
      </c>
      <c r="Z188" s="2077">
        <v>0</v>
      </c>
      <c r="AA188" s="2141">
        <f>SUM(Y188:Z188)</f>
        <v>3093668</v>
      </c>
      <c r="AB188" s="2142">
        <f>SEPTIEMBRE!AD188</f>
        <v>3093668</v>
      </c>
      <c r="AC188" s="2077">
        <v>0</v>
      </c>
      <c r="AD188" s="2141">
        <f>SUM(AB188:AC188)</f>
        <v>3093668</v>
      </c>
      <c r="AE188" s="2142">
        <f>SEPTIEMBRE!AG188</f>
        <v>0</v>
      </c>
      <c r="AF188" s="2077">
        <v>0</v>
      </c>
      <c r="AG188" s="2141">
        <f>SUM(AE188:AF188)</f>
        <v>0</v>
      </c>
      <c r="AH188" s="2142">
        <f>X188-AA188</f>
        <v>0</v>
      </c>
      <c r="AI188" s="2091">
        <f>X188-AD188</f>
        <v>0</v>
      </c>
      <c r="AJ188" s="2143">
        <f>X188-AG188</f>
        <v>3093668</v>
      </c>
      <c r="AK188" s="1968"/>
      <c r="AL188" s="2079">
        <v>0</v>
      </c>
      <c r="AM188" s="2080">
        <v>0</v>
      </c>
      <c r="AN188" s="1968"/>
    </row>
    <row r="189" spans="1:40" s="2093" customFormat="1" ht="24.95" customHeight="1">
      <c r="A189" s="2327"/>
      <c r="B189" s="2330"/>
      <c r="N189" s="1968"/>
      <c r="P189" s="1968"/>
      <c r="Q189" s="1968"/>
      <c r="R189" s="1968"/>
      <c r="S189" s="2184" t="str">
        <f>+IF(SEPTIEMBRE!S189=0,"",SEPTIEMBRE!S189)</f>
        <v>3300200-2</v>
      </c>
      <c r="T189" s="2139" t="str">
        <f>+IF(SEPTIEMBRE!T189=0,"",SEPTIEMBRE!T189)</f>
        <v>AESA</v>
      </c>
      <c r="U189" s="2140">
        <f>+ENERO!U189</f>
        <v>0</v>
      </c>
      <c r="V189" s="2091">
        <f>SEPTIEMBRE!V189+OCTUBRE!AL189</f>
        <v>0</v>
      </c>
      <c r="W189" s="2091">
        <f>SEPTIEMBRE!W189+OCTUBRE!AM189</f>
        <v>2950868</v>
      </c>
      <c r="X189" s="2141">
        <f>SUM(U189:W189)</f>
        <v>2950868</v>
      </c>
      <c r="Y189" s="2142">
        <f>SEPTIEMBRE!AA189</f>
        <v>2950868</v>
      </c>
      <c r="Z189" s="2077">
        <v>0</v>
      </c>
      <c r="AA189" s="2141">
        <f>SUM(Y189:Z189)</f>
        <v>2950868</v>
      </c>
      <c r="AB189" s="2142">
        <f>SEPTIEMBRE!AD189</f>
        <v>2655781</v>
      </c>
      <c r="AC189" s="2077">
        <v>0</v>
      </c>
      <c r="AD189" s="2141">
        <f>SUM(AB189:AC189)</f>
        <v>2655781</v>
      </c>
      <c r="AE189" s="2142">
        <f>SEPTIEMBRE!AG189</f>
        <v>2655781</v>
      </c>
      <c r="AF189" s="2077">
        <v>0</v>
      </c>
      <c r="AG189" s="2141">
        <f>SUM(AE189:AF189)</f>
        <v>2655781</v>
      </c>
      <c r="AH189" s="2142">
        <f>X189-AA189</f>
        <v>0</v>
      </c>
      <c r="AI189" s="2091">
        <f>X189-AD189</f>
        <v>295087</v>
      </c>
      <c r="AJ189" s="2143">
        <f>X189-AG189</f>
        <v>295087</v>
      </c>
      <c r="AK189" s="1968"/>
      <c r="AL189" s="2079">
        <v>0</v>
      </c>
      <c r="AM189" s="2080">
        <v>0</v>
      </c>
      <c r="AN189" s="1968"/>
    </row>
    <row r="190" spans="1:40" s="2093" customFormat="1" ht="24.95" customHeight="1">
      <c r="A190" s="2327"/>
      <c r="B190" s="2330"/>
      <c r="N190" s="1968"/>
      <c r="P190" s="1968"/>
      <c r="Q190" s="1968"/>
      <c r="R190" s="1968"/>
      <c r="S190" s="2184" t="str">
        <f>+IF(SEPTIEMBRE!S190=0,"",SEPTIEMBRE!S190)</f>
        <v>3300200-3</v>
      </c>
      <c r="T190" s="2139" t="str">
        <f>+IF(SEPTIEMBRE!T190=0,"",SEPTIEMBRE!T190)</f>
        <v xml:space="preserve">OTRAS </v>
      </c>
      <c r="U190" s="2140">
        <f>+ENERO!U190</f>
        <v>0</v>
      </c>
      <c r="V190" s="2091">
        <f>SEPTIEMBRE!V190+OCTUBRE!AL190</f>
        <v>0</v>
      </c>
      <c r="W190" s="2091">
        <f>SEPTIEMBRE!W190+OCTUBRE!AM190</f>
        <v>0</v>
      </c>
      <c r="X190" s="2141">
        <f>SUM(U190:W190)</f>
        <v>0</v>
      </c>
      <c r="Y190" s="2142">
        <f>SEPTIEMBRE!AA190</f>
        <v>0</v>
      </c>
      <c r="Z190" s="2077">
        <v>0</v>
      </c>
      <c r="AA190" s="2141">
        <f>SUM(Y190:Z190)</f>
        <v>0</v>
      </c>
      <c r="AB190" s="2142">
        <f>SEPTIEMBRE!AD190</f>
        <v>0</v>
      </c>
      <c r="AC190" s="2077">
        <v>0</v>
      </c>
      <c r="AD190" s="2141">
        <f>SUM(AB190:AC190)</f>
        <v>0</v>
      </c>
      <c r="AE190" s="2142">
        <f>SEPTIEMBRE!AG190</f>
        <v>0</v>
      </c>
      <c r="AF190" s="2077">
        <v>0</v>
      </c>
      <c r="AG190" s="2141">
        <f>SUM(AE190:AF190)</f>
        <v>0</v>
      </c>
      <c r="AH190" s="2142">
        <f>X190-AA190</f>
        <v>0</v>
      </c>
      <c r="AI190" s="2091">
        <f>X190-AD190</f>
        <v>0</v>
      </c>
      <c r="AJ190" s="2143">
        <f>X190-AG190</f>
        <v>0</v>
      </c>
      <c r="AK190" s="1968"/>
      <c r="AL190" s="2079">
        <v>0</v>
      </c>
      <c r="AM190" s="2080">
        <v>0</v>
      </c>
      <c r="AN190" s="1968"/>
    </row>
    <row r="191" spans="1:40" s="2093" customFormat="1" ht="24.95" customHeight="1">
      <c r="A191" s="2327"/>
      <c r="B191" s="2330"/>
      <c r="N191" s="1968"/>
      <c r="P191" s="1968"/>
      <c r="Q191" s="1968"/>
      <c r="R191" s="1968"/>
      <c r="S191" s="2138">
        <f>+IF(SEPTIEMBRE!S191=0,"",SEPTIEMBRE!S191)</f>
        <v>3399999</v>
      </c>
      <c r="T191" s="2139" t="str">
        <f>+IF(SEPTIEMBRE!T191=0,"",SEPTIEMBRE!T191)</f>
        <v>Vigencias Anteriores</v>
      </c>
      <c r="U191" s="2140">
        <f>+ENERO!U191</f>
        <v>0</v>
      </c>
      <c r="V191" s="2091">
        <f>SEPTIEMBRE!V191+OCTUBRE!AL191</f>
        <v>0</v>
      </c>
      <c r="W191" s="2091">
        <f>SEPTIEMBRE!W191+OCTUBRE!AM191</f>
        <v>0</v>
      </c>
      <c r="X191" s="2141">
        <f>SUM(U191:W191)</f>
        <v>0</v>
      </c>
      <c r="Y191" s="2142">
        <f>SEPTIEMBRE!AA191</f>
        <v>0</v>
      </c>
      <c r="Z191" s="2077">
        <v>0</v>
      </c>
      <c r="AA191" s="2141">
        <f>SUM(Y191:Z191)</f>
        <v>0</v>
      </c>
      <c r="AB191" s="2142">
        <f>SEPTIEMBRE!AD191</f>
        <v>0</v>
      </c>
      <c r="AC191" s="2077">
        <v>0</v>
      </c>
      <c r="AD191" s="2141">
        <f>SUM(AB191:AC191)</f>
        <v>0</v>
      </c>
      <c r="AE191" s="2142">
        <f>SEPTIEMBRE!AG191</f>
        <v>0</v>
      </c>
      <c r="AF191" s="2077">
        <v>0</v>
      </c>
      <c r="AG191" s="2141">
        <f>SUM(AE191:AF191)</f>
        <v>0</v>
      </c>
      <c r="AH191" s="2142">
        <f>X191-AA191</f>
        <v>0</v>
      </c>
      <c r="AI191" s="2091">
        <f>X191-AD191</f>
        <v>0</v>
      </c>
      <c r="AJ191" s="2143">
        <f>X191-AG191</f>
        <v>0</v>
      </c>
      <c r="AK191" s="1968"/>
      <c r="AL191" s="2079">
        <v>0</v>
      </c>
      <c r="AM191" s="2080">
        <v>0</v>
      </c>
      <c r="AN191" s="1968"/>
    </row>
    <row r="192" spans="1:40" s="2093" customFormat="1" ht="24.95" customHeight="1">
      <c r="A192" s="2327"/>
      <c r="B192" s="2330"/>
      <c r="N192" s="1968"/>
      <c r="P192" s="1968"/>
      <c r="Q192" s="1968"/>
      <c r="R192" s="1968"/>
      <c r="S192" s="2331"/>
      <c r="T192" s="2332"/>
      <c r="U192" s="2333"/>
      <c r="V192" s="2334"/>
      <c r="W192" s="2334"/>
      <c r="X192" s="2334"/>
      <c r="Y192" s="2334"/>
      <c r="Z192" s="2335"/>
      <c r="AA192" s="2334"/>
      <c r="AB192" s="2334"/>
      <c r="AC192" s="2335"/>
      <c r="AD192" s="2334"/>
      <c r="AE192" s="2334"/>
      <c r="AF192" s="2335"/>
      <c r="AG192" s="2334"/>
      <c r="AH192" s="2334"/>
      <c r="AI192" s="2334"/>
      <c r="AJ192" s="2249"/>
      <c r="AK192" s="1968"/>
      <c r="AL192" s="2336"/>
      <c r="AM192" s="2337"/>
      <c r="AN192" s="1968"/>
    </row>
    <row r="193" spans="1:40" s="2093" customFormat="1" ht="43.5" customHeight="1">
      <c r="A193" s="2327"/>
      <c r="B193" s="2330"/>
      <c r="N193" s="1968"/>
      <c r="P193" s="1968"/>
      <c r="Q193" s="1968"/>
      <c r="R193" s="1968"/>
      <c r="S193" s="2338" t="s">
        <v>325</v>
      </c>
      <c r="T193" s="2339" t="s">
        <v>581</v>
      </c>
      <c r="U193" s="2287">
        <f>U195+U209</f>
        <v>14750406346</v>
      </c>
      <c r="V193" s="2288">
        <f t="shared" ref="V193:AJ193" si="173">V195+V209</f>
        <v>-1624478382</v>
      </c>
      <c r="W193" s="2288">
        <f t="shared" si="173"/>
        <v>3133980076</v>
      </c>
      <c r="X193" s="2088">
        <f t="shared" si="173"/>
        <v>16259908040</v>
      </c>
      <c r="Y193" s="2087">
        <f t="shared" si="173"/>
        <v>13426347854</v>
      </c>
      <c r="Z193" s="2340">
        <f t="shared" si="173"/>
        <v>966930146</v>
      </c>
      <c r="AA193" s="2088">
        <f t="shared" si="173"/>
        <v>14393278000</v>
      </c>
      <c r="AB193" s="2287">
        <f t="shared" si="173"/>
        <v>11819666400</v>
      </c>
      <c r="AC193" s="2340">
        <f t="shared" si="173"/>
        <v>926657121</v>
      </c>
      <c r="AD193" s="2289">
        <f t="shared" si="173"/>
        <v>12746323521</v>
      </c>
      <c r="AE193" s="2087">
        <f t="shared" si="173"/>
        <v>6166719989</v>
      </c>
      <c r="AF193" s="2340">
        <f t="shared" si="173"/>
        <v>774892565</v>
      </c>
      <c r="AG193" s="2088">
        <f t="shared" si="173"/>
        <v>6941612554</v>
      </c>
      <c r="AH193" s="2087">
        <f t="shared" si="173"/>
        <v>1866630040</v>
      </c>
      <c r="AI193" s="2288">
        <f t="shared" si="173"/>
        <v>3513584519</v>
      </c>
      <c r="AJ193" s="2088">
        <f t="shared" si="173"/>
        <v>9318295486</v>
      </c>
      <c r="AK193" s="1968"/>
      <c r="AL193" s="2087">
        <f t="shared" ref="AL193:AM193" si="174">AL195+AL209</f>
        <v>-36294060</v>
      </c>
      <c r="AM193" s="2088">
        <f t="shared" si="174"/>
        <v>0</v>
      </c>
      <c r="AN193" s="1968"/>
    </row>
    <row r="194" spans="1:40" s="2093" customFormat="1" ht="24.95" customHeight="1">
      <c r="A194" s="2327"/>
      <c r="B194" s="2330"/>
      <c r="N194" s="1968"/>
      <c r="P194" s="1968"/>
      <c r="Q194" s="1968"/>
      <c r="R194" s="1968"/>
      <c r="S194" s="2058" t="str">
        <f>+IF(SEPTIEMBRE!S194=0,"",SEPTIEMBRE!S194)</f>
        <v/>
      </c>
      <c r="T194" s="2059" t="str">
        <f>+IF(SEPTIEMBRE!T194=0,"",SEPTIEMBRE!T194)</f>
        <v/>
      </c>
      <c r="U194" s="2060"/>
      <c r="V194" s="2060"/>
      <c r="W194" s="2060"/>
      <c r="X194" s="2060"/>
      <c r="Y194" s="2060"/>
      <c r="Z194" s="2060"/>
      <c r="AA194" s="2060"/>
      <c r="AB194" s="2060"/>
      <c r="AC194" s="2060"/>
      <c r="AD194" s="2060"/>
      <c r="AE194" s="2060"/>
      <c r="AF194" s="2060"/>
      <c r="AG194" s="2060"/>
      <c r="AH194" s="2060"/>
      <c r="AI194" s="2060"/>
      <c r="AJ194" s="2061"/>
      <c r="AK194" s="1968"/>
      <c r="AL194" s="2248"/>
      <c r="AM194" s="2249"/>
      <c r="AN194" s="1968"/>
    </row>
    <row r="195" spans="1:40" s="2093" customFormat="1" ht="24.95" customHeight="1">
      <c r="A195" s="2327"/>
      <c r="B195" s="2330"/>
      <c r="N195" s="1968"/>
      <c r="P195" s="1968"/>
      <c r="Q195" s="1968"/>
      <c r="R195" s="1968"/>
      <c r="S195" s="2101">
        <f>+IF(SEPTIEMBRE!S195=0,"",SEPTIEMBRE!S195)</f>
        <v>4000000</v>
      </c>
      <c r="T195" s="2286" t="str">
        <f>+IF(SEPTIEMBRE!T195=0,"",SEPTIEMBRE!T195)</f>
        <v>GASTOS  DE PRESTACION DE SERVICIOS</v>
      </c>
      <c r="U195" s="2287">
        <f t="shared" ref="U195:AJ195" si="175">U196</f>
        <v>14750406346</v>
      </c>
      <c r="V195" s="2288">
        <f t="shared" si="175"/>
        <v>-1624478382</v>
      </c>
      <c r="W195" s="2288">
        <f t="shared" si="175"/>
        <v>3133980076</v>
      </c>
      <c r="X195" s="2289">
        <f t="shared" si="175"/>
        <v>16259908040</v>
      </c>
      <c r="Y195" s="2087">
        <f t="shared" si="175"/>
        <v>13426347854</v>
      </c>
      <c r="Z195" s="2288">
        <f t="shared" si="175"/>
        <v>966930146</v>
      </c>
      <c r="AA195" s="2289">
        <f t="shared" si="175"/>
        <v>14393278000</v>
      </c>
      <c r="AB195" s="2087">
        <f t="shared" si="175"/>
        <v>11819666400</v>
      </c>
      <c r="AC195" s="2288">
        <f t="shared" si="175"/>
        <v>926657121</v>
      </c>
      <c r="AD195" s="2289">
        <f t="shared" si="175"/>
        <v>12746323521</v>
      </c>
      <c r="AE195" s="2087">
        <f t="shared" si="175"/>
        <v>6166719989</v>
      </c>
      <c r="AF195" s="2288">
        <f t="shared" si="175"/>
        <v>774892565</v>
      </c>
      <c r="AG195" s="2289">
        <f t="shared" si="175"/>
        <v>6941612554</v>
      </c>
      <c r="AH195" s="2087">
        <f t="shared" si="175"/>
        <v>1866630040</v>
      </c>
      <c r="AI195" s="2288">
        <f t="shared" si="175"/>
        <v>3513584519</v>
      </c>
      <c r="AJ195" s="2088">
        <f t="shared" si="175"/>
        <v>9318295486</v>
      </c>
      <c r="AK195" s="1968"/>
      <c r="AL195" s="2106">
        <f>AL196</f>
        <v>-36294060</v>
      </c>
      <c r="AM195" s="2107">
        <f>AM196</f>
        <v>0</v>
      </c>
      <c r="AN195" s="1968"/>
    </row>
    <row r="196" spans="1:40" s="2093" customFormat="1" ht="24.95" customHeight="1">
      <c r="A196" s="2327"/>
      <c r="B196" s="2330"/>
      <c r="N196" s="1968"/>
      <c r="P196" s="1968"/>
      <c r="Q196" s="1968"/>
      <c r="R196" s="1968"/>
      <c r="S196" s="2130">
        <f>+IF(SEPTIEMBRE!S196=0,"",SEPTIEMBRE!S196)</f>
        <v>4100000</v>
      </c>
      <c r="T196" s="2131" t="str">
        <f>+IF(SEPTIEMBRE!T196=0,"",SEPTIEMBRE!T196)</f>
        <v>Insumos y Suministros Hospitalarios</v>
      </c>
      <c r="U196" s="2103">
        <f t="shared" ref="U196:AJ196" si="176">U197+U205+U207</f>
        <v>14750406346</v>
      </c>
      <c r="V196" s="2104">
        <f t="shared" si="176"/>
        <v>-1624478382</v>
      </c>
      <c r="W196" s="2104">
        <f t="shared" si="176"/>
        <v>3133980076</v>
      </c>
      <c r="X196" s="2105">
        <f t="shared" si="176"/>
        <v>16259908040</v>
      </c>
      <c r="Y196" s="2106">
        <f t="shared" si="176"/>
        <v>13426347854</v>
      </c>
      <c r="Z196" s="2104">
        <f t="shared" si="176"/>
        <v>966930146</v>
      </c>
      <c r="AA196" s="2105">
        <f t="shared" si="176"/>
        <v>14393278000</v>
      </c>
      <c r="AB196" s="2106">
        <f t="shared" si="176"/>
        <v>11819666400</v>
      </c>
      <c r="AC196" s="2104">
        <f t="shared" si="176"/>
        <v>926657121</v>
      </c>
      <c r="AD196" s="2105">
        <f t="shared" si="176"/>
        <v>12746323521</v>
      </c>
      <c r="AE196" s="2106">
        <f t="shared" si="176"/>
        <v>6166719989</v>
      </c>
      <c r="AF196" s="2104">
        <f t="shared" si="176"/>
        <v>774892565</v>
      </c>
      <c r="AG196" s="2105">
        <f t="shared" si="176"/>
        <v>6941612554</v>
      </c>
      <c r="AH196" s="2106">
        <f t="shared" si="176"/>
        <v>1866630040</v>
      </c>
      <c r="AI196" s="2104">
        <f t="shared" si="176"/>
        <v>3513584519</v>
      </c>
      <c r="AJ196" s="2107">
        <f t="shared" si="176"/>
        <v>9318295486</v>
      </c>
      <c r="AK196" s="2086"/>
      <c r="AL196" s="2106">
        <f>AL197+AL205+AL207</f>
        <v>-36294060</v>
      </c>
      <c r="AM196" s="2107">
        <f>AM197+AM205+AM207</f>
        <v>0</v>
      </c>
      <c r="AN196" s="1968"/>
    </row>
    <row r="197" spans="1:40" s="2093" customFormat="1" ht="24.95" customHeight="1">
      <c r="A197" s="2327"/>
      <c r="B197" s="2330"/>
      <c r="N197" s="1968"/>
      <c r="P197" s="1968"/>
      <c r="Q197" s="1968"/>
      <c r="R197" s="1968"/>
      <c r="S197" s="2138">
        <f>+IF(SEPTIEMBRE!S197=0,"",SEPTIEMBRE!S197)</f>
        <v>4100100</v>
      </c>
      <c r="T197" s="2139" t="str">
        <f>+IF(SEPTIEMBRE!T197=0,"",SEPTIEMBRE!T197)</f>
        <v>Compra de Bienes para la Prestacion de servicios</v>
      </c>
      <c r="U197" s="2140">
        <f t="shared" ref="U197:AJ197" si="177">SUM(U198:U204)</f>
        <v>13250406346</v>
      </c>
      <c r="V197" s="2091">
        <f t="shared" si="177"/>
        <v>-1813458000</v>
      </c>
      <c r="W197" s="2091">
        <f t="shared" si="177"/>
        <v>125236928</v>
      </c>
      <c r="X197" s="2141">
        <f t="shared" si="177"/>
        <v>11562185274</v>
      </c>
      <c r="Y197" s="2142">
        <f t="shared" si="177"/>
        <v>9039802856</v>
      </c>
      <c r="Z197" s="2170">
        <f t="shared" si="177"/>
        <v>908866921</v>
      </c>
      <c r="AA197" s="2141">
        <f t="shared" si="177"/>
        <v>9948669777</v>
      </c>
      <c r="AB197" s="2142">
        <f t="shared" si="177"/>
        <v>7839002799</v>
      </c>
      <c r="AC197" s="2170">
        <f t="shared" si="177"/>
        <v>812854050</v>
      </c>
      <c r="AD197" s="2141">
        <f t="shared" si="177"/>
        <v>8651856849</v>
      </c>
      <c r="AE197" s="2142">
        <f t="shared" si="177"/>
        <v>3251034322</v>
      </c>
      <c r="AF197" s="2170">
        <f t="shared" si="177"/>
        <v>690429960</v>
      </c>
      <c r="AG197" s="2141">
        <f t="shared" si="177"/>
        <v>3941464282</v>
      </c>
      <c r="AH197" s="2142">
        <f t="shared" si="177"/>
        <v>1613515497</v>
      </c>
      <c r="AI197" s="2091">
        <f t="shared" si="177"/>
        <v>2910328425</v>
      </c>
      <c r="AJ197" s="2143">
        <f t="shared" si="177"/>
        <v>7620720992</v>
      </c>
      <c r="AK197" s="1968"/>
      <c r="AL197" s="2171">
        <f>SUM(AL198:AL204)</f>
        <v>0</v>
      </c>
      <c r="AM197" s="2172">
        <f>SUM(AM198:AM204)</f>
        <v>0</v>
      </c>
      <c r="AN197" s="1968"/>
    </row>
    <row r="198" spans="1:40" s="2093" customFormat="1" ht="24.95" customHeight="1">
      <c r="A198" s="2327"/>
      <c r="B198" s="2330"/>
      <c r="N198" s="1968"/>
      <c r="P198" s="1968"/>
      <c r="Q198" s="1968"/>
      <c r="R198" s="1968"/>
      <c r="S198" s="2184" t="str">
        <f>+IF(SEPTIEMBRE!S198=0,"",SEPTIEMBRE!S198)</f>
        <v>4100100-1</v>
      </c>
      <c r="T198" s="2185" t="str">
        <f>+IF(SEPTIEMBRE!T198=0,"",SEPTIEMBRE!T198)</f>
        <v>Productos Farmaceuticos</v>
      </c>
      <c r="U198" s="2140">
        <f>+ENERO!U198</f>
        <v>6473158346</v>
      </c>
      <c r="V198" s="2091">
        <f>SEPTIEMBRE!V198+OCTUBRE!AL198</f>
        <v>-1813458000</v>
      </c>
      <c r="W198" s="2091">
        <f>SEPTIEMBRE!W198+OCTUBRE!AM198</f>
        <v>0</v>
      </c>
      <c r="X198" s="2141">
        <f t="shared" ref="X198:X204" si="178">SUM(U198:W198)</f>
        <v>4659700346</v>
      </c>
      <c r="Y198" s="2142">
        <f>SEPTIEMBRE!AA198</f>
        <v>3137035651</v>
      </c>
      <c r="Z198" s="2077">
        <v>438750554</v>
      </c>
      <c r="AA198" s="2141">
        <f t="shared" ref="AA198:AA204" si="179">SUM(Y198:Z198)</f>
        <v>3575786205</v>
      </c>
      <c r="AB198" s="2142">
        <f>SEPTIEMBRE!AD198</f>
        <v>2761747450</v>
      </c>
      <c r="AC198" s="2077">
        <v>292416247</v>
      </c>
      <c r="AD198" s="2141">
        <f t="shared" ref="AD198:AD204" si="180">SUM(AB198:AC198)</f>
        <v>3054163697</v>
      </c>
      <c r="AE198" s="2142">
        <f>SEPTIEMBRE!AG198</f>
        <v>1316010111</v>
      </c>
      <c r="AF198" s="2077">
        <v>298480709</v>
      </c>
      <c r="AG198" s="2141">
        <f t="shared" ref="AG198:AG204" si="181">SUM(AE198:AF198)</f>
        <v>1614490820</v>
      </c>
      <c r="AH198" s="2142">
        <f t="shared" ref="AH198:AH204" si="182">X198-AA198</f>
        <v>1083914141</v>
      </c>
      <c r="AI198" s="2091">
        <f t="shared" ref="AI198:AI204" si="183">X198-AD198</f>
        <v>1605536649</v>
      </c>
      <c r="AJ198" s="2143">
        <f t="shared" ref="AJ198:AJ204" si="184">X198-AG198</f>
        <v>3045209526</v>
      </c>
      <c r="AK198" s="1968"/>
      <c r="AL198" s="2079">
        <v>0</v>
      </c>
      <c r="AM198" s="2080">
        <v>0</v>
      </c>
      <c r="AN198" s="1968"/>
    </row>
    <row r="199" spans="1:40" s="2093" customFormat="1" ht="24.95" customHeight="1">
      <c r="A199" s="2327"/>
      <c r="B199" s="2330"/>
      <c r="N199" s="1968"/>
      <c r="P199" s="1968"/>
      <c r="Q199" s="1968"/>
      <c r="R199" s="1968"/>
      <c r="S199" s="2184" t="str">
        <f>+IF(SEPTIEMBRE!S199=0,"",SEPTIEMBRE!S199)</f>
        <v>4100100-2</v>
      </c>
      <c r="T199" s="2185" t="str">
        <f>+IF(SEPTIEMBRE!T199=0,"",SEPTIEMBRE!T199)</f>
        <v>Material Médico Quirúrgico</v>
      </c>
      <c r="U199" s="2140">
        <f>+ENERO!U199</f>
        <v>4177248000</v>
      </c>
      <c r="V199" s="2091">
        <f>SEPTIEMBRE!V199+OCTUBRE!AL199</f>
        <v>0</v>
      </c>
      <c r="W199" s="2091">
        <f>SEPTIEMBRE!W199+OCTUBRE!AM199</f>
        <v>125236928</v>
      </c>
      <c r="X199" s="2141">
        <f t="shared" si="178"/>
        <v>4302484928</v>
      </c>
      <c r="Y199" s="2142">
        <f>SEPTIEMBRE!AA199</f>
        <v>3584961975</v>
      </c>
      <c r="Z199" s="2077">
        <v>409073920</v>
      </c>
      <c r="AA199" s="2141">
        <f t="shared" si="179"/>
        <v>3994035895</v>
      </c>
      <c r="AB199" s="2142">
        <f>SEPTIEMBRE!AD199</f>
        <v>3465725122</v>
      </c>
      <c r="AC199" s="2077">
        <v>323332202</v>
      </c>
      <c r="AD199" s="2141">
        <f t="shared" si="180"/>
        <v>3789057324</v>
      </c>
      <c r="AE199" s="2142">
        <f>SEPTIEMBRE!AG199</f>
        <v>1307499669</v>
      </c>
      <c r="AF199" s="2077">
        <v>325930809</v>
      </c>
      <c r="AG199" s="2141">
        <f t="shared" si="181"/>
        <v>1633430478</v>
      </c>
      <c r="AH199" s="2142">
        <f t="shared" si="182"/>
        <v>308449033</v>
      </c>
      <c r="AI199" s="2091">
        <f t="shared" si="183"/>
        <v>513427604</v>
      </c>
      <c r="AJ199" s="2143">
        <f t="shared" si="184"/>
        <v>2669054450</v>
      </c>
      <c r="AK199" s="1968"/>
      <c r="AL199" s="2079">
        <v>0</v>
      </c>
      <c r="AM199" s="2080">
        <v>0</v>
      </c>
      <c r="AN199" s="1968"/>
    </row>
    <row r="200" spans="1:40" s="2093" customFormat="1" ht="24.95" customHeight="1">
      <c r="A200" s="2327"/>
      <c r="B200" s="2330"/>
      <c r="N200" s="1968"/>
      <c r="P200" s="1968"/>
      <c r="Q200" s="1968"/>
      <c r="R200" s="1968"/>
      <c r="S200" s="2184" t="str">
        <f>+IF(SEPTIEMBRE!S200=0,"",SEPTIEMBRE!S200)</f>
        <v>4100100-3</v>
      </c>
      <c r="T200" s="2185" t="str">
        <f>+IF(SEPTIEMBRE!T200=0,"",SEPTIEMBRE!T200)</f>
        <v>Material de Laboratorio</v>
      </c>
      <c r="U200" s="2140">
        <f>+ENERO!U200</f>
        <v>1300000000</v>
      </c>
      <c r="V200" s="2091">
        <f>SEPTIEMBRE!V200+OCTUBRE!AL200</f>
        <v>600000000</v>
      </c>
      <c r="W200" s="2091">
        <f>SEPTIEMBRE!W200+OCTUBRE!AM200</f>
        <v>0</v>
      </c>
      <c r="X200" s="2141">
        <f t="shared" si="178"/>
        <v>1900000000</v>
      </c>
      <c r="Y200" s="2142">
        <f>SEPTIEMBRE!AA200</f>
        <v>1748787506</v>
      </c>
      <c r="Z200" s="2077">
        <v>61042447</v>
      </c>
      <c r="AA200" s="2141">
        <f t="shared" si="179"/>
        <v>1809829953</v>
      </c>
      <c r="AB200" s="2142">
        <f>SEPTIEMBRE!AD200</f>
        <v>1220276728</v>
      </c>
      <c r="AC200" s="2077">
        <v>162889546</v>
      </c>
      <c r="AD200" s="2141">
        <f t="shared" si="180"/>
        <v>1383166274</v>
      </c>
      <c r="AE200" s="2142">
        <f>SEPTIEMBRE!AG200</f>
        <v>442933103</v>
      </c>
      <c r="AF200" s="2077">
        <v>14382460</v>
      </c>
      <c r="AG200" s="2141">
        <f t="shared" si="181"/>
        <v>457315563</v>
      </c>
      <c r="AH200" s="2142">
        <f t="shared" si="182"/>
        <v>90170047</v>
      </c>
      <c r="AI200" s="2091">
        <f t="shared" si="183"/>
        <v>516833726</v>
      </c>
      <c r="AJ200" s="2143">
        <f t="shared" si="184"/>
        <v>1442684437</v>
      </c>
      <c r="AK200" s="1968"/>
      <c r="AL200" s="2079">
        <v>0</v>
      </c>
      <c r="AM200" s="2080">
        <v>0</v>
      </c>
      <c r="AN200" s="1968"/>
    </row>
    <row r="201" spans="1:40" s="2093" customFormat="1" ht="24.95" customHeight="1">
      <c r="A201" s="2327"/>
      <c r="B201" s="2330"/>
      <c r="N201" s="1968"/>
      <c r="P201" s="1968"/>
      <c r="Q201" s="1968"/>
      <c r="R201" s="1968"/>
      <c r="S201" s="2184" t="str">
        <f>+IF(SEPTIEMBRE!S201=0,"",SEPTIEMBRE!S201)</f>
        <v>4100100-4</v>
      </c>
      <c r="T201" s="2185" t="str">
        <f>+IF(SEPTIEMBRE!T201=0,"",SEPTIEMBRE!T201)</f>
        <v>Material para Odontologia</v>
      </c>
      <c r="U201" s="2140">
        <f>+ENERO!U201</f>
        <v>0</v>
      </c>
      <c r="V201" s="2091">
        <f>SEPTIEMBRE!V201+OCTUBRE!AL201</f>
        <v>0</v>
      </c>
      <c r="W201" s="2091">
        <f>SEPTIEMBRE!W201+OCTUBRE!AM201</f>
        <v>0</v>
      </c>
      <c r="X201" s="2141">
        <f t="shared" si="178"/>
        <v>0</v>
      </c>
      <c r="Y201" s="2142">
        <f>SEPTIEMBRE!AA201</f>
        <v>0</v>
      </c>
      <c r="Z201" s="2077">
        <v>0</v>
      </c>
      <c r="AA201" s="2141">
        <f t="shared" si="179"/>
        <v>0</v>
      </c>
      <c r="AB201" s="2142">
        <f>SEPTIEMBRE!AD201</f>
        <v>0</v>
      </c>
      <c r="AC201" s="2077">
        <v>0</v>
      </c>
      <c r="AD201" s="2141">
        <f t="shared" si="180"/>
        <v>0</v>
      </c>
      <c r="AE201" s="2142">
        <f>SEPTIEMBRE!AG201</f>
        <v>0</v>
      </c>
      <c r="AF201" s="2077">
        <v>0</v>
      </c>
      <c r="AG201" s="2141">
        <f t="shared" si="181"/>
        <v>0</v>
      </c>
      <c r="AH201" s="2142">
        <f t="shared" si="182"/>
        <v>0</v>
      </c>
      <c r="AI201" s="2091">
        <f t="shared" si="183"/>
        <v>0</v>
      </c>
      <c r="AJ201" s="2143">
        <f t="shared" si="184"/>
        <v>0</v>
      </c>
      <c r="AK201" s="1968"/>
      <c r="AL201" s="2079">
        <v>0</v>
      </c>
      <c r="AM201" s="2080">
        <v>0</v>
      </c>
      <c r="AN201" s="1968"/>
    </row>
    <row r="202" spans="1:40" s="2093" customFormat="1" ht="24.95" customHeight="1">
      <c r="A202" s="2327"/>
      <c r="B202" s="2330"/>
      <c r="N202" s="1968"/>
      <c r="P202" s="1968"/>
      <c r="Q202" s="1968"/>
      <c r="R202" s="1968"/>
      <c r="S202" s="2184" t="str">
        <f>+IF(SEPTIEMBRE!S202=0,"",SEPTIEMBRE!S202)</f>
        <v>4100100-5</v>
      </c>
      <c r="T202" s="2185" t="str">
        <f>+IF(SEPTIEMBRE!T202=0,"",SEPTIEMBRE!T202)</f>
        <v>Material para Rayos X</v>
      </c>
      <c r="U202" s="2140">
        <f>+ENERO!U202</f>
        <v>1300000000</v>
      </c>
      <c r="V202" s="2091">
        <f>SEPTIEMBRE!V202+OCTUBRE!AL202</f>
        <v>-600000000</v>
      </c>
      <c r="W202" s="2091">
        <f>SEPTIEMBRE!W202+OCTUBRE!AM202</f>
        <v>0</v>
      </c>
      <c r="X202" s="2141">
        <f t="shared" si="178"/>
        <v>700000000</v>
      </c>
      <c r="Y202" s="2142">
        <f>SEPTIEMBRE!AA202</f>
        <v>569017724</v>
      </c>
      <c r="Z202" s="2077">
        <v>0</v>
      </c>
      <c r="AA202" s="2141">
        <f t="shared" si="179"/>
        <v>569017724</v>
      </c>
      <c r="AB202" s="2142">
        <f>SEPTIEMBRE!AD202</f>
        <v>391253499</v>
      </c>
      <c r="AC202" s="2077">
        <v>34216055</v>
      </c>
      <c r="AD202" s="2141">
        <f t="shared" si="180"/>
        <v>425469554</v>
      </c>
      <c r="AE202" s="2142">
        <f>SEPTIEMBRE!AG202</f>
        <v>184591439</v>
      </c>
      <c r="AF202" s="2077">
        <v>51635982</v>
      </c>
      <c r="AG202" s="2141">
        <f t="shared" si="181"/>
        <v>236227421</v>
      </c>
      <c r="AH202" s="2142">
        <f t="shared" si="182"/>
        <v>130982276</v>
      </c>
      <c r="AI202" s="2091">
        <f t="shared" si="183"/>
        <v>274530446</v>
      </c>
      <c r="AJ202" s="2143">
        <f t="shared" si="184"/>
        <v>463772579</v>
      </c>
      <c r="AK202" s="1968"/>
      <c r="AL202" s="2079">
        <v>0</v>
      </c>
      <c r="AM202" s="2080">
        <v>0</v>
      </c>
      <c r="AN202" s="1968"/>
    </row>
    <row r="203" spans="1:40" s="2093" customFormat="1" ht="24.95" customHeight="1">
      <c r="A203" s="2327"/>
      <c r="B203" s="2330"/>
      <c r="N203" s="1968"/>
      <c r="P203" s="1968"/>
      <c r="Q203" s="1968"/>
      <c r="R203" s="1968"/>
      <c r="S203" s="2184" t="str">
        <f>+IF(SEPTIEMBRE!S203=0,"",SEPTIEMBRE!S203)</f>
        <v/>
      </c>
      <c r="T203" s="2185" t="str">
        <f>+IF(SEPTIEMBRE!T203=0,"",SEPTIEMBRE!T203)</f>
        <v/>
      </c>
      <c r="U203" s="2140">
        <f>+ENERO!U203</f>
        <v>0</v>
      </c>
      <c r="V203" s="2091">
        <f>SEPTIEMBRE!V203+OCTUBRE!AL203</f>
        <v>0</v>
      </c>
      <c r="W203" s="2091">
        <f>SEPTIEMBRE!W203+OCTUBRE!AM203</f>
        <v>0</v>
      </c>
      <c r="X203" s="2141">
        <f t="shared" si="178"/>
        <v>0</v>
      </c>
      <c r="Y203" s="2142">
        <f>SEPTIEMBRE!AA203</f>
        <v>0</v>
      </c>
      <c r="Z203" s="2077">
        <v>0</v>
      </c>
      <c r="AA203" s="2141">
        <f t="shared" si="179"/>
        <v>0</v>
      </c>
      <c r="AB203" s="2142">
        <f>SEPTIEMBRE!AD203</f>
        <v>0</v>
      </c>
      <c r="AC203" s="2077">
        <v>0</v>
      </c>
      <c r="AD203" s="2141">
        <f t="shared" si="180"/>
        <v>0</v>
      </c>
      <c r="AE203" s="2142">
        <f>SEPTIEMBRE!AG203</f>
        <v>0</v>
      </c>
      <c r="AF203" s="2077">
        <v>0</v>
      </c>
      <c r="AG203" s="2141">
        <f t="shared" si="181"/>
        <v>0</v>
      </c>
      <c r="AH203" s="2142">
        <f t="shared" si="182"/>
        <v>0</v>
      </c>
      <c r="AI203" s="2091">
        <f t="shared" si="183"/>
        <v>0</v>
      </c>
      <c r="AJ203" s="2143">
        <f t="shared" si="184"/>
        <v>0</v>
      </c>
      <c r="AK203" s="1968"/>
      <c r="AL203" s="2079">
        <v>0</v>
      </c>
      <c r="AM203" s="2080">
        <v>0</v>
      </c>
      <c r="AN203" s="1968"/>
    </row>
    <row r="204" spans="1:40" s="2093" customFormat="1" ht="24.95" customHeight="1">
      <c r="A204" s="2327"/>
      <c r="B204" s="2330"/>
      <c r="N204" s="1968"/>
      <c r="P204" s="1968"/>
      <c r="Q204" s="1968"/>
      <c r="R204" s="1968"/>
      <c r="S204" s="2184" t="str">
        <f>+IF(SEPTIEMBRE!S204=0,"",SEPTIEMBRE!S204)</f>
        <v/>
      </c>
      <c r="T204" s="2185" t="str">
        <f>+IF(SEPTIEMBRE!T204=0,"",SEPTIEMBRE!T204)</f>
        <v/>
      </c>
      <c r="U204" s="2140">
        <f>+ENERO!U204</f>
        <v>0</v>
      </c>
      <c r="V204" s="2091">
        <f>SEPTIEMBRE!V204+OCTUBRE!AL204</f>
        <v>0</v>
      </c>
      <c r="W204" s="2091">
        <f>SEPTIEMBRE!W204+OCTUBRE!AM204</f>
        <v>0</v>
      </c>
      <c r="X204" s="2141">
        <f t="shared" si="178"/>
        <v>0</v>
      </c>
      <c r="Y204" s="2142">
        <f>SEPTIEMBRE!AA204</f>
        <v>0</v>
      </c>
      <c r="Z204" s="2077">
        <v>0</v>
      </c>
      <c r="AA204" s="2141">
        <f t="shared" si="179"/>
        <v>0</v>
      </c>
      <c r="AB204" s="2142">
        <f>SEPTIEMBRE!AD204</f>
        <v>0</v>
      </c>
      <c r="AC204" s="2077">
        <v>0</v>
      </c>
      <c r="AD204" s="2141">
        <f t="shared" si="180"/>
        <v>0</v>
      </c>
      <c r="AE204" s="2142">
        <f>SEPTIEMBRE!AG204</f>
        <v>0</v>
      </c>
      <c r="AF204" s="2077">
        <v>0</v>
      </c>
      <c r="AG204" s="2141">
        <f t="shared" si="181"/>
        <v>0</v>
      </c>
      <c r="AH204" s="2142">
        <f t="shared" si="182"/>
        <v>0</v>
      </c>
      <c r="AI204" s="2091">
        <f t="shared" si="183"/>
        <v>0</v>
      </c>
      <c r="AJ204" s="2143">
        <f t="shared" si="184"/>
        <v>0</v>
      </c>
      <c r="AK204" s="1968"/>
      <c r="AL204" s="2079">
        <v>0</v>
      </c>
      <c r="AM204" s="2080">
        <v>0</v>
      </c>
      <c r="AN204" s="1968"/>
    </row>
    <row r="205" spans="1:40" s="2093" customFormat="1" ht="24.95" customHeight="1">
      <c r="A205" s="2327"/>
      <c r="B205" s="2330"/>
      <c r="N205" s="1968"/>
      <c r="P205" s="1968"/>
      <c r="Q205" s="1968"/>
      <c r="R205" s="1968"/>
      <c r="S205" s="2138">
        <f>+IF(SEPTIEMBRE!S205=0,"",SEPTIEMBRE!S205)</f>
        <v>4100200</v>
      </c>
      <c r="T205" s="2139" t="str">
        <f>+IF(SEPTIEMBRE!T205=0,"",SEPTIEMBRE!T205)</f>
        <v>Gastos Complementarios e Intermedios</v>
      </c>
      <c r="U205" s="2140">
        <f t="shared" ref="U205:AJ205" si="185">U206</f>
        <v>1500000000</v>
      </c>
      <c r="V205" s="2091">
        <f t="shared" si="185"/>
        <v>0</v>
      </c>
      <c r="W205" s="2091">
        <f t="shared" si="185"/>
        <v>343424341</v>
      </c>
      <c r="X205" s="2141">
        <f t="shared" si="185"/>
        <v>1843424341</v>
      </c>
      <c r="Y205" s="2142">
        <f t="shared" si="185"/>
        <v>1618157353</v>
      </c>
      <c r="Z205" s="2170">
        <f t="shared" si="185"/>
        <v>0</v>
      </c>
      <c r="AA205" s="2141">
        <f t="shared" si="185"/>
        <v>1618157353</v>
      </c>
      <c r="AB205" s="2142">
        <f t="shared" si="185"/>
        <v>1212275956</v>
      </c>
      <c r="AC205" s="2170">
        <f t="shared" si="185"/>
        <v>55739846</v>
      </c>
      <c r="AD205" s="2141">
        <f t="shared" si="185"/>
        <v>1268015802</v>
      </c>
      <c r="AE205" s="2142">
        <f t="shared" si="185"/>
        <v>147298022</v>
      </c>
      <c r="AF205" s="2170">
        <f t="shared" si="185"/>
        <v>26399380</v>
      </c>
      <c r="AG205" s="2141">
        <f t="shared" si="185"/>
        <v>173697402</v>
      </c>
      <c r="AH205" s="2142">
        <f t="shared" si="185"/>
        <v>225266988</v>
      </c>
      <c r="AI205" s="2091">
        <f t="shared" si="185"/>
        <v>575408539</v>
      </c>
      <c r="AJ205" s="2143">
        <f t="shared" si="185"/>
        <v>1669726939</v>
      </c>
      <c r="AK205" s="1968"/>
      <c r="AL205" s="2171">
        <f>AL206</f>
        <v>0</v>
      </c>
      <c r="AM205" s="2172">
        <f>AM206</f>
        <v>0</v>
      </c>
      <c r="AN205" s="1968"/>
    </row>
    <row r="206" spans="1:40" s="2093" customFormat="1" ht="24.95" customHeight="1">
      <c r="A206" s="2327"/>
      <c r="B206" s="2330"/>
      <c r="N206" s="1968"/>
      <c r="P206" s="1968"/>
      <c r="Q206" s="1968"/>
      <c r="R206" s="1968"/>
      <c r="S206" s="2184" t="str">
        <f>+IF(SEPTIEMBRE!S206=0,"",SEPTIEMBRE!S206)</f>
        <v>4100200-1</v>
      </c>
      <c r="T206" s="2185" t="str">
        <f>+IF(SEPTIEMBRE!T206=0,"",SEPTIEMBRE!T206)</f>
        <v>Alimentación</v>
      </c>
      <c r="U206" s="2140">
        <f>+ENERO!U206</f>
        <v>1500000000</v>
      </c>
      <c r="V206" s="2091">
        <f>SEPTIEMBRE!V206+OCTUBRE!AL206</f>
        <v>0</v>
      </c>
      <c r="W206" s="2091">
        <f>SEPTIEMBRE!W206+OCTUBRE!AM206</f>
        <v>343424341</v>
      </c>
      <c r="X206" s="2141">
        <f>SUM(U206:W206)</f>
        <v>1843424341</v>
      </c>
      <c r="Y206" s="2142">
        <f>SEPTIEMBRE!AA206</f>
        <v>1618157353</v>
      </c>
      <c r="Z206" s="2077">
        <v>0</v>
      </c>
      <c r="AA206" s="2141">
        <f>SUM(Y206:Z206)</f>
        <v>1618157353</v>
      </c>
      <c r="AB206" s="2142">
        <f>SEPTIEMBRE!AD206</f>
        <v>1212275956</v>
      </c>
      <c r="AC206" s="2077">
        <v>55739846</v>
      </c>
      <c r="AD206" s="2141">
        <f>SUM(AB206:AC206)</f>
        <v>1268015802</v>
      </c>
      <c r="AE206" s="2142">
        <f>SEPTIEMBRE!AG206</f>
        <v>147298022</v>
      </c>
      <c r="AF206" s="2077">
        <v>26399380</v>
      </c>
      <c r="AG206" s="2141">
        <f>SUM(AE206:AF206)</f>
        <v>173697402</v>
      </c>
      <c r="AH206" s="2142">
        <f>X206-AA206</f>
        <v>225266988</v>
      </c>
      <c r="AI206" s="2091">
        <f>X206-AD206</f>
        <v>575408539</v>
      </c>
      <c r="AJ206" s="2143">
        <f>X206-AG206</f>
        <v>1669726939</v>
      </c>
      <c r="AK206" s="1968"/>
      <c r="AL206" s="2079">
        <v>0</v>
      </c>
      <c r="AM206" s="2080">
        <v>0</v>
      </c>
      <c r="AN206" s="1968"/>
    </row>
    <row r="207" spans="1:40" s="2093" customFormat="1" ht="24.95" customHeight="1" thickBot="1">
      <c r="A207" s="2327"/>
      <c r="B207" s="2330"/>
      <c r="N207" s="1968"/>
      <c r="P207" s="1968"/>
      <c r="Q207" s="1968"/>
      <c r="R207" s="1968"/>
      <c r="S207" s="2341">
        <f>+IF(SEPTIEMBRE!S207=0,"",SEPTIEMBRE!S207)</f>
        <v>4199999</v>
      </c>
      <c r="T207" s="2342" t="str">
        <f>+IF(SEPTIEMBRE!T207=0,"",SEPTIEMBRE!T207)</f>
        <v>Vigencias Anteriores</v>
      </c>
      <c r="U207" s="2343">
        <f>+ENERO!U207</f>
        <v>0</v>
      </c>
      <c r="V207" s="2344">
        <f>SEPTIEMBRE!V207+OCTUBRE!AL207</f>
        <v>188979618</v>
      </c>
      <c r="W207" s="2344">
        <f>SEPTIEMBRE!W207+OCTUBRE!AM207</f>
        <v>2665318807</v>
      </c>
      <c r="X207" s="2345">
        <f>SUM(U207:W207)</f>
        <v>2854298425</v>
      </c>
      <c r="Y207" s="2346">
        <f>SEPTIEMBRE!AA207</f>
        <v>2768387645</v>
      </c>
      <c r="Z207" s="2118">
        <v>58063225</v>
      </c>
      <c r="AA207" s="2345">
        <f>SUM(Y207:Z207)</f>
        <v>2826450870</v>
      </c>
      <c r="AB207" s="2346">
        <f>SEPTIEMBRE!AD207</f>
        <v>2768387645</v>
      </c>
      <c r="AC207" s="2118">
        <v>58063225</v>
      </c>
      <c r="AD207" s="2345">
        <f>SUM(AB207:AC207)</f>
        <v>2826450870</v>
      </c>
      <c r="AE207" s="2346">
        <f>SEPTIEMBRE!AG207</f>
        <v>2768387645</v>
      </c>
      <c r="AF207" s="2118">
        <v>58063225</v>
      </c>
      <c r="AG207" s="2345">
        <f>SUM(AE207:AF207)</f>
        <v>2826450870</v>
      </c>
      <c r="AH207" s="2346">
        <f>X207-AA207</f>
        <v>27847555</v>
      </c>
      <c r="AI207" s="2344">
        <f>X207-AD207</f>
        <v>27847555</v>
      </c>
      <c r="AJ207" s="2347">
        <f>X207-AG207</f>
        <v>27847555</v>
      </c>
      <c r="AK207" s="1968"/>
      <c r="AL207" s="2120">
        <v>-36294060</v>
      </c>
      <c r="AM207" s="2121">
        <v>0</v>
      </c>
      <c r="AN207" s="1968"/>
    </row>
    <row r="208" spans="1:40" s="2093" customFormat="1" ht="24.95" customHeight="1">
      <c r="A208" s="2327"/>
      <c r="B208" s="2330"/>
      <c r="N208" s="1968"/>
      <c r="P208" s="1968"/>
      <c r="Q208" s="1968"/>
      <c r="R208" s="1968"/>
      <c r="S208" s="2348" t="str">
        <f>+IF(SEPTIEMBRE!S208=0,"",SEPTIEMBRE!S208)</f>
        <v/>
      </c>
      <c r="T208" s="2349" t="str">
        <f>+IF(SEPTIEMBRE!T208=0,"",SEPTIEMBRE!T208)</f>
        <v/>
      </c>
      <c r="U208" s="2350"/>
      <c r="V208" s="2350"/>
      <c r="W208" s="2350"/>
      <c r="X208" s="2350"/>
      <c r="Y208" s="2350"/>
      <c r="Z208" s="2350"/>
      <c r="AA208" s="2350"/>
      <c r="AB208" s="2350"/>
      <c r="AC208" s="2350"/>
      <c r="AD208" s="2350"/>
      <c r="AE208" s="2350"/>
      <c r="AF208" s="2350"/>
      <c r="AG208" s="2350"/>
      <c r="AH208" s="2350"/>
      <c r="AI208" s="2350"/>
      <c r="AJ208" s="2351"/>
      <c r="AK208" s="1968"/>
      <c r="AL208" s="2352"/>
      <c r="AM208" s="2353"/>
      <c r="AN208" s="1968"/>
    </row>
    <row r="209" spans="1:40" s="2093" customFormat="1" ht="24.95" customHeight="1">
      <c r="A209" s="2327"/>
      <c r="B209" s="2330"/>
      <c r="N209" s="1968"/>
      <c r="P209" s="1968"/>
      <c r="Q209" s="1968"/>
      <c r="R209" s="1968"/>
      <c r="S209" s="2101">
        <f>+IF(SEPTIEMBRE!S209=0,"",SEPTIEMBRE!S209)</f>
        <v>5000000</v>
      </c>
      <c r="T209" s="2286" t="s">
        <v>450</v>
      </c>
      <c r="U209" s="2287">
        <f t="shared" ref="U209:AJ209" si="186">U210</f>
        <v>0</v>
      </c>
      <c r="V209" s="2288">
        <f t="shared" si="186"/>
        <v>0</v>
      </c>
      <c r="W209" s="2288">
        <f t="shared" si="186"/>
        <v>0</v>
      </c>
      <c r="X209" s="2289">
        <f t="shared" si="186"/>
        <v>0</v>
      </c>
      <c r="Y209" s="2087">
        <f t="shared" si="186"/>
        <v>0</v>
      </c>
      <c r="Z209" s="2288">
        <f t="shared" si="186"/>
        <v>0</v>
      </c>
      <c r="AA209" s="2289">
        <f t="shared" si="186"/>
        <v>0</v>
      </c>
      <c r="AB209" s="2087">
        <f t="shared" si="186"/>
        <v>0</v>
      </c>
      <c r="AC209" s="2288">
        <f t="shared" si="186"/>
        <v>0</v>
      </c>
      <c r="AD209" s="2289">
        <f t="shared" si="186"/>
        <v>0</v>
      </c>
      <c r="AE209" s="2087">
        <f t="shared" si="186"/>
        <v>0</v>
      </c>
      <c r="AF209" s="2288">
        <f t="shared" si="186"/>
        <v>0</v>
      </c>
      <c r="AG209" s="2289">
        <f t="shared" si="186"/>
        <v>0</v>
      </c>
      <c r="AH209" s="2087">
        <f t="shared" si="186"/>
        <v>0</v>
      </c>
      <c r="AI209" s="2288">
        <f t="shared" si="186"/>
        <v>0</v>
      </c>
      <c r="AJ209" s="2088">
        <f t="shared" si="186"/>
        <v>0</v>
      </c>
      <c r="AK209" s="1968"/>
      <c r="AL209" s="2106">
        <f>AL210</f>
        <v>0</v>
      </c>
      <c r="AM209" s="2107">
        <f>AM210</f>
        <v>0</v>
      </c>
      <c r="AN209" s="1968"/>
    </row>
    <row r="210" spans="1:40" s="2093" customFormat="1" ht="24.95" customHeight="1">
      <c r="A210" s="2327"/>
      <c r="B210" s="2330"/>
      <c r="N210" s="1968"/>
      <c r="P210" s="1968"/>
      <c r="Q210" s="1968"/>
      <c r="R210" s="1968"/>
      <c r="S210" s="2130">
        <f>+IF(SEPTIEMBRE!S210=0,"",SEPTIEMBRE!S210)</f>
        <v>5100000</v>
      </c>
      <c r="T210" s="2131" t="str">
        <f>+IF(SEPTIEMBRE!T210=0,"",SEPTIEMBRE!T210)</f>
        <v>Insumos y Suministros para Venta al Público</v>
      </c>
      <c r="U210" s="2103">
        <f t="shared" ref="U210:AJ210" si="187">U211+U218</f>
        <v>0</v>
      </c>
      <c r="V210" s="2104">
        <f t="shared" si="187"/>
        <v>0</v>
      </c>
      <c r="W210" s="2104">
        <f t="shared" si="187"/>
        <v>0</v>
      </c>
      <c r="X210" s="2105">
        <f t="shared" si="187"/>
        <v>0</v>
      </c>
      <c r="Y210" s="2106">
        <f t="shared" si="187"/>
        <v>0</v>
      </c>
      <c r="Z210" s="2104">
        <f t="shared" si="187"/>
        <v>0</v>
      </c>
      <c r="AA210" s="2105">
        <f t="shared" si="187"/>
        <v>0</v>
      </c>
      <c r="AB210" s="2106">
        <f t="shared" si="187"/>
        <v>0</v>
      </c>
      <c r="AC210" s="2104">
        <f t="shared" si="187"/>
        <v>0</v>
      </c>
      <c r="AD210" s="2105">
        <f t="shared" si="187"/>
        <v>0</v>
      </c>
      <c r="AE210" s="2106">
        <f t="shared" si="187"/>
        <v>0</v>
      </c>
      <c r="AF210" s="2104">
        <f t="shared" si="187"/>
        <v>0</v>
      </c>
      <c r="AG210" s="2105">
        <f t="shared" si="187"/>
        <v>0</v>
      </c>
      <c r="AH210" s="2106">
        <f t="shared" si="187"/>
        <v>0</v>
      </c>
      <c r="AI210" s="2104">
        <f t="shared" si="187"/>
        <v>0</v>
      </c>
      <c r="AJ210" s="2107">
        <f t="shared" si="187"/>
        <v>0</v>
      </c>
      <c r="AK210" s="1968"/>
      <c r="AL210" s="2106">
        <f>AL211+AL218</f>
        <v>0</v>
      </c>
      <c r="AM210" s="2107">
        <f>AM211+AM218</f>
        <v>0</v>
      </c>
      <c r="AN210" s="1968"/>
    </row>
    <row r="211" spans="1:40" s="2093" customFormat="1" ht="24.95" customHeight="1">
      <c r="A211" s="2327"/>
      <c r="B211" s="2330"/>
      <c r="N211" s="1968"/>
      <c r="P211" s="1968"/>
      <c r="Q211" s="1968"/>
      <c r="R211" s="1968"/>
      <c r="S211" s="2138">
        <f>+IF(SEPTIEMBRE!S211=0,"",SEPTIEMBRE!S211)</f>
        <v>5100100</v>
      </c>
      <c r="T211" s="2139" t="str">
        <f>+IF(SEPTIEMBRE!T211=0,"",SEPTIEMBRE!T211)</f>
        <v>Compra de Bienes para la venta</v>
      </c>
      <c r="U211" s="2140">
        <f t="shared" ref="U211:AJ211" si="188">SUM(U212:U217)</f>
        <v>0</v>
      </c>
      <c r="V211" s="2091">
        <f t="shared" si="188"/>
        <v>0</v>
      </c>
      <c r="W211" s="2091">
        <f t="shared" si="188"/>
        <v>0</v>
      </c>
      <c r="X211" s="2141">
        <f t="shared" si="188"/>
        <v>0</v>
      </c>
      <c r="Y211" s="2142">
        <f t="shared" si="188"/>
        <v>0</v>
      </c>
      <c r="Z211" s="2170">
        <f t="shared" si="188"/>
        <v>0</v>
      </c>
      <c r="AA211" s="2141">
        <f t="shared" si="188"/>
        <v>0</v>
      </c>
      <c r="AB211" s="2142">
        <f t="shared" si="188"/>
        <v>0</v>
      </c>
      <c r="AC211" s="2170">
        <f t="shared" si="188"/>
        <v>0</v>
      </c>
      <c r="AD211" s="2141">
        <f t="shared" si="188"/>
        <v>0</v>
      </c>
      <c r="AE211" s="2142">
        <f t="shared" si="188"/>
        <v>0</v>
      </c>
      <c r="AF211" s="2170">
        <f t="shared" si="188"/>
        <v>0</v>
      </c>
      <c r="AG211" s="2141">
        <f t="shared" si="188"/>
        <v>0</v>
      </c>
      <c r="AH211" s="2142">
        <f t="shared" si="188"/>
        <v>0</v>
      </c>
      <c r="AI211" s="2091">
        <f t="shared" si="188"/>
        <v>0</v>
      </c>
      <c r="AJ211" s="2143">
        <f t="shared" si="188"/>
        <v>0</v>
      </c>
      <c r="AK211" s="2086"/>
      <c r="AL211" s="2171">
        <f>SUM(AL212:AL217)</f>
        <v>0</v>
      </c>
      <c r="AM211" s="2172">
        <f>SUM(AM212:AM217)</f>
        <v>0</v>
      </c>
      <c r="AN211" s="1968"/>
    </row>
    <row r="212" spans="1:40" s="2093" customFormat="1" ht="24.95" customHeight="1">
      <c r="A212" s="2327"/>
      <c r="B212" s="2330"/>
      <c r="N212" s="1968"/>
      <c r="P212" s="1968"/>
      <c r="Q212" s="1968"/>
      <c r="R212" s="1968"/>
      <c r="S212" s="2184" t="str">
        <f>+IF(SEPTIEMBRE!S212=0,"",SEPTIEMBRE!S212)</f>
        <v>5100100-1</v>
      </c>
      <c r="T212" s="2185" t="str">
        <f>+IF(SEPTIEMBRE!T212=0,"",SEPTIEMBRE!T212)</f>
        <v>Productos Farmaceuticos</v>
      </c>
      <c r="U212" s="2140">
        <f>+ENERO!U212</f>
        <v>0</v>
      </c>
      <c r="V212" s="2091">
        <f>SEPTIEMBRE!V212+OCTUBRE!AL212</f>
        <v>0</v>
      </c>
      <c r="W212" s="2091">
        <f>SEPTIEMBRE!W212+OCTUBRE!AM212</f>
        <v>0</v>
      </c>
      <c r="X212" s="2141">
        <f t="shared" ref="X212:X218" si="189">SUM(U212:W212)</f>
        <v>0</v>
      </c>
      <c r="Y212" s="2142">
        <f>SEPTIEMBRE!AA212</f>
        <v>0</v>
      </c>
      <c r="Z212" s="2077">
        <v>0</v>
      </c>
      <c r="AA212" s="2141">
        <f t="shared" ref="AA212:AA218" si="190">SUM(Y212:Z212)</f>
        <v>0</v>
      </c>
      <c r="AB212" s="2142">
        <f>SEPTIEMBRE!AD212</f>
        <v>0</v>
      </c>
      <c r="AC212" s="2077">
        <v>0</v>
      </c>
      <c r="AD212" s="2141">
        <f t="shared" ref="AD212:AD218" si="191">SUM(AB212:AC212)</f>
        <v>0</v>
      </c>
      <c r="AE212" s="2142">
        <f>SEPTIEMBRE!AG212</f>
        <v>0</v>
      </c>
      <c r="AF212" s="2077">
        <v>0</v>
      </c>
      <c r="AG212" s="2141">
        <f t="shared" ref="AG212:AG218" si="192">SUM(AE212:AF212)</f>
        <v>0</v>
      </c>
      <c r="AH212" s="2142">
        <f t="shared" ref="AH212:AH218" si="193">X212-AA212</f>
        <v>0</v>
      </c>
      <c r="AI212" s="2091">
        <f t="shared" ref="AI212:AI218" si="194">X212-AD212</f>
        <v>0</v>
      </c>
      <c r="AJ212" s="2143">
        <f t="shared" ref="AJ212:AJ218" si="195">X212-AG212</f>
        <v>0</v>
      </c>
      <c r="AK212" s="1968"/>
      <c r="AL212" s="2079">
        <v>0</v>
      </c>
      <c r="AM212" s="2080">
        <v>0</v>
      </c>
      <c r="AN212" s="1968"/>
    </row>
    <row r="213" spans="1:40" s="2093" customFormat="1" ht="24.95" customHeight="1">
      <c r="A213" s="2327"/>
      <c r="B213" s="2330"/>
      <c r="N213" s="1968"/>
      <c r="P213" s="1968"/>
      <c r="Q213" s="1968"/>
      <c r="R213" s="1968"/>
      <c r="S213" s="2184" t="str">
        <f>+IF(SEPTIEMBRE!S213=0,"",SEPTIEMBRE!S213)</f>
        <v>5100100-2</v>
      </c>
      <c r="T213" s="2185" t="str">
        <f>+IF(SEPTIEMBRE!T213=0,"",SEPTIEMBRE!T213)</f>
        <v>Material Médico Quirúrgico</v>
      </c>
      <c r="U213" s="2140">
        <f>+ENERO!U213</f>
        <v>0</v>
      </c>
      <c r="V213" s="2091">
        <f>SEPTIEMBRE!V213+OCTUBRE!AL213</f>
        <v>0</v>
      </c>
      <c r="W213" s="2091">
        <f>SEPTIEMBRE!W213+OCTUBRE!AM213</f>
        <v>0</v>
      </c>
      <c r="X213" s="2141">
        <f t="shared" si="189"/>
        <v>0</v>
      </c>
      <c r="Y213" s="2142">
        <f>SEPTIEMBRE!AA213</f>
        <v>0</v>
      </c>
      <c r="Z213" s="2077">
        <v>0</v>
      </c>
      <c r="AA213" s="2141">
        <f t="shared" si="190"/>
        <v>0</v>
      </c>
      <c r="AB213" s="2142">
        <f>SEPTIEMBRE!AD213</f>
        <v>0</v>
      </c>
      <c r="AC213" s="2077">
        <v>0</v>
      </c>
      <c r="AD213" s="2141">
        <f t="shared" si="191"/>
        <v>0</v>
      </c>
      <c r="AE213" s="2142">
        <f>SEPTIEMBRE!AG213</f>
        <v>0</v>
      </c>
      <c r="AF213" s="2077">
        <v>0</v>
      </c>
      <c r="AG213" s="2141">
        <f t="shared" si="192"/>
        <v>0</v>
      </c>
      <c r="AH213" s="2142">
        <f t="shared" si="193"/>
        <v>0</v>
      </c>
      <c r="AI213" s="2091">
        <f t="shared" si="194"/>
        <v>0</v>
      </c>
      <c r="AJ213" s="2143">
        <f t="shared" si="195"/>
        <v>0</v>
      </c>
      <c r="AK213" s="1968"/>
      <c r="AL213" s="2079">
        <v>0</v>
      </c>
      <c r="AM213" s="2080">
        <v>0</v>
      </c>
      <c r="AN213" s="1968"/>
    </row>
    <row r="214" spans="1:40" s="2093" customFormat="1" ht="24.95" customHeight="1">
      <c r="A214" s="2327"/>
      <c r="B214" s="2330"/>
      <c r="N214" s="1968"/>
      <c r="P214" s="1968"/>
      <c r="Q214" s="1968"/>
      <c r="R214" s="1968"/>
      <c r="S214" s="2184" t="str">
        <f>+IF(SEPTIEMBRE!S214=0,"",SEPTIEMBRE!S214)</f>
        <v>5100100-3</v>
      </c>
      <c r="T214" s="2185" t="str">
        <f>+IF(SEPTIEMBRE!T214=0,"",SEPTIEMBRE!T214)</f>
        <v>Material de Laboratorio</v>
      </c>
      <c r="U214" s="2140">
        <f>+ENERO!U214</f>
        <v>0</v>
      </c>
      <c r="V214" s="2091">
        <f>SEPTIEMBRE!V214+OCTUBRE!AL214</f>
        <v>0</v>
      </c>
      <c r="W214" s="2091">
        <f>SEPTIEMBRE!W214+OCTUBRE!AM214</f>
        <v>0</v>
      </c>
      <c r="X214" s="2141">
        <f t="shared" si="189"/>
        <v>0</v>
      </c>
      <c r="Y214" s="2142">
        <f>SEPTIEMBRE!AA214</f>
        <v>0</v>
      </c>
      <c r="Z214" s="2077">
        <v>0</v>
      </c>
      <c r="AA214" s="2141">
        <f t="shared" si="190"/>
        <v>0</v>
      </c>
      <c r="AB214" s="2142">
        <f>SEPTIEMBRE!AD214</f>
        <v>0</v>
      </c>
      <c r="AC214" s="2077">
        <v>0</v>
      </c>
      <c r="AD214" s="2141">
        <f t="shared" si="191"/>
        <v>0</v>
      </c>
      <c r="AE214" s="2142">
        <f>SEPTIEMBRE!AG214</f>
        <v>0</v>
      </c>
      <c r="AF214" s="2077">
        <v>0</v>
      </c>
      <c r="AG214" s="2141">
        <f t="shared" si="192"/>
        <v>0</v>
      </c>
      <c r="AH214" s="2142">
        <f t="shared" si="193"/>
        <v>0</v>
      </c>
      <c r="AI214" s="2091">
        <f t="shared" si="194"/>
        <v>0</v>
      </c>
      <c r="AJ214" s="2143">
        <f t="shared" si="195"/>
        <v>0</v>
      </c>
      <c r="AK214" s="1968"/>
      <c r="AL214" s="2079">
        <v>0</v>
      </c>
      <c r="AM214" s="2080">
        <v>0</v>
      </c>
      <c r="AN214" s="1968"/>
    </row>
    <row r="215" spans="1:40" s="2093" customFormat="1" ht="24.95" customHeight="1">
      <c r="A215" s="2327"/>
      <c r="B215" s="2330"/>
      <c r="N215" s="1968"/>
      <c r="P215" s="1968"/>
      <c r="Q215" s="1968"/>
      <c r="R215" s="1968"/>
      <c r="S215" s="2184" t="str">
        <f>+IF(SEPTIEMBRE!S215=0,"",SEPTIEMBRE!S215)</f>
        <v>5100100-4</v>
      </c>
      <c r="T215" s="2185" t="str">
        <f>+IF(SEPTIEMBRE!T215=0,"",SEPTIEMBRE!T215)</f>
        <v>Material para Odontologia</v>
      </c>
      <c r="U215" s="2140">
        <f>+ENERO!U215</f>
        <v>0</v>
      </c>
      <c r="V215" s="2091">
        <f>SEPTIEMBRE!V215+OCTUBRE!AL215</f>
        <v>0</v>
      </c>
      <c r="W215" s="2091">
        <f>SEPTIEMBRE!W215+OCTUBRE!AM215</f>
        <v>0</v>
      </c>
      <c r="X215" s="2141">
        <f t="shared" si="189"/>
        <v>0</v>
      </c>
      <c r="Y215" s="2142">
        <f>SEPTIEMBRE!AA215</f>
        <v>0</v>
      </c>
      <c r="Z215" s="2077">
        <v>0</v>
      </c>
      <c r="AA215" s="2141">
        <f t="shared" si="190"/>
        <v>0</v>
      </c>
      <c r="AB215" s="2142">
        <f>SEPTIEMBRE!AD215</f>
        <v>0</v>
      </c>
      <c r="AC215" s="2077">
        <v>0</v>
      </c>
      <c r="AD215" s="2141">
        <f t="shared" si="191"/>
        <v>0</v>
      </c>
      <c r="AE215" s="2142">
        <f>SEPTIEMBRE!AG215</f>
        <v>0</v>
      </c>
      <c r="AF215" s="2077">
        <v>0</v>
      </c>
      <c r="AG215" s="2141">
        <f t="shared" si="192"/>
        <v>0</v>
      </c>
      <c r="AH215" s="2142">
        <f t="shared" si="193"/>
        <v>0</v>
      </c>
      <c r="AI215" s="2091">
        <f t="shared" si="194"/>
        <v>0</v>
      </c>
      <c r="AJ215" s="2143">
        <f t="shared" si="195"/>
        <v>0</v>
      </c>
      <c r="AK215" s="1968"/>
      <c r="AL215" s="2079">
        <v>0</v>
      </c>
      <c r="AM215" s="2080">
        <v>0</v>
      </c>
      <c r="AN215" s="1968"/>
    </row>
    <row r="216" spans="1:40" s="2093" customFormat="1" ht="24.95" customHeight="1">
      <c r="A216" s="2327"/>
      <c r="B216" s="2330"/>
      <c r="N216" s="1968"/>
      <c r="P216" s="1968"/>
      <c r="Q216" s="1968"/>
      <c r="R216" s="1968"/>
      <c r="S216" s="2184" t="str">
        <f>+IF(SEPTIEMBRE!S216=0,"",SEPTIEMBRE!S216)</f>
        <v>5100100-5</v>
      </c>
      <c r="T216" s="2185" t="str">
        <f>+IF(SEPTIEMBRE!T216=0,"",SEPTIEMBRE!T216)</f>
        <v>Material para Rayos X</v>
      </c>
      <c r="U216" s="2140">
        <f>+ENERO!U216</f>
        <v>0</v>
      </c>
      <c r="V216" s="2091">
        <f>SEPTIEMBRE!V216+OCTUBRE!AL216</f>
        <v>0</v>
      </c>
      <c r="W216" s="2091">
        <f>SEPTIEMBRE!W216+OCTUBRE!AM216</f>
        <v>0</v>
      </c>
      <c r="X216" s="2141">
        <f t="shared" si="189"/>
        <v>0</v>
      </c>
      <c r="Y216" s="2142">
        <f>SEPTIEMBRE!AA216</f>
        <v>0</v>
      </c>
      <c r="Z216" s="2077">
        <v>0</v>
      </c>
      <c r="AA216" s="2141">
        <f t="shared" si="190"/>
        <v>0</v>
      </c>
      <c r="AB216" s="2142">
        <f>SEPTIEMBRE!AD216</f>
        <v>0</v>
      </c>
      <c r="AC216" s="2077">
        <v>0</v>
      </c>
      <c r="AD216" s="2141">
        <f t="shared" si="191"/>
        <v>0</v>
      </c>
      <c r="AE216" s="2142">
        <f>SEPTIEMBRE!AG216</f>
        <v>0</v>
      </c>
      <c r="AF216" s="2077">
        <v>0</v>
      </c>
      <c r="AG216" s="2141">
        <f t="shared" si="192"/>
        <v>0</v>
      </c>
      <c r="AH216" s="2142">
        <f t="shared" si="193"/>
        <v>0</v>
      </c>
      <c r="AI216" s="2091">
        <f t="shared" si="194"/>
        <v>0</v>
      </c>
      <c r="AJ216" s="2143">
        <f t="shared" si="195"/>
        <v>0</v>
      </c>
      <c r="AK216" s="1968"/>
      <c r="AL216" s="2079">
        <v>0</v>
      </c>
      <c r="AM216" s="2080">
        <v>0</v>
      </c>
      <c r="AN216" s="1968"/>
    </row>
    <row r="217" spans="1:40" s="2093" customFormat="1" ht="24.95" customHeight="1">
      <c r="A217" s="2327"/>
      <c r="B217" s="2330"/>
      <c r="N217" s="1968"/>
      <c r="P217" s="1968"/>
      <c r="Q217" s="1968"/>
      <c r="R217" s="1968"/>
      <c r="S217" s="2184" t="str">
        <f>+IF(SEPTIEMBRE!S217=0,"",SEPTIEMBRE!S217)</f>
        <v>5100100-6</v>
      </c>
      <c r="T217" s="2185" t="str">
        <f>+IF(SEPTIEMBRE!T217=0,"",SEPTIEMBRE!T217)</f>
        <v>Material aseo personal, etc.</v>
      </c>
      <c r="U217" s="2140">
        <f>+ENERO!U217</f>
        <v>0</v>
      </c>
      <c r="V217" s="2091">
        <f>SEPTIEMBRE!V217+OCTUBRE!AL217</f>
        <v>0</v>
      </c>
      <c r="W217" s="2091">
        <f>SEPTIEMBRE!W217+OCTUBRE!AM217</f>
        <v>0</v>
      </c>
      <c r="X217" s="2141">
        <f t="shared" si="189"/>
        <v>0</v>
      </c>
      <c r="Y217" s="2142">
        <f>SEPTIEMBRE!AA217</f>
        <v>0</v>
      </c>
      <c r="Z217" s="2077">
        <v>0</v>
      </c>
      <c r="AA217" s="2141">
        <f t="shared" si="190"/>
        <v>0</v>
      </c>
      <c r="AB217" s="2142">
        <f>SEPTIEMBRE!AD217</f>
        <v>0</v>
      </c>
      <c r="AC217" s="2077">
        <v>0</v>
      </c>
      <c r="AD217" s="2141">
        <f t="shared" si="191"/>
        <v>0</v>
      </c>
      <c r="AE217" s="2142">
        <f>SEPTIEMBRE!AG217</f>
        <v>0</v>
      </c>
      <c r="AF217" s="2077">
        <v>0</v>
      </c>
      <c r="AG217" s="2141">
        <f t="shared" si="192"/>
        <v>0</v>
      </c>
      <c r="AH217" s="2142">
        <f t="shared" si="193"/>
        <v>0</v>
      </c>
      <c r="AI217" s="2091">
        <f t="shared" si="194"/>
        <v>0</v>
      </c>
      <c r="AJ217" s="2143">
        <f t="shared" si="195"/>
        <v>0</v>
      </c>
      <c r="AK217" s="1968"/>
      <c r="AL217" s="2079">
        <v>0</v>
      </c>
      <c r="AM217" s="2080">
        <v>0</v>
      </c>
      <c r="AN217" s="1968"/>
    </row>
    <row r="218" spans="1:40" s="2093" customFormat="1" ht="24.95" customHeight="1" thickBot="1">
      <c r="A218" s="2327"/>
      <c r="B218" s="2330"/>
      <c r="N218" s="1968"/>
      <c r="P218" s="1968"/>
      <c r="Q218" s="1968"/>
      <c r="R218" s="1968"/>
      <c r="S218" s="2354">
        <f>+IF(SEPTIEMBRE!S218=0,"",SEPTIEMBRE!S218)</f>
        <v>5199999</v>
      </c>
      <c r="T218" s="2355" t="str">
        <f>+IF(SEPTIEMBRE!T218=0,"",SEPTIEMBRE!T218)</f>
        <v>Vigencias Anteriores</v>
      </c>
      <c r="U218" s="2343">
        <f>+ENERO!U218</f>
        <v>0</v>
      </c>
      <c r="V218" s="2344">
        <f>SEPTIEMBRE!V218+OCTUBRE!AL218</f>
        <v>0</v>
      </c>
      <c r="W218" s="2344">
        <f>SEPTIEMBRE!W218+OCTUBRE!AM218</f>
        <v>0</v>
      </c>
      <c r="X218" s="2345">
        <f t="shared" si="189"/>
        <v>0</v>
      </c>
      <c r="Y218" s="2346">
        <f>SEPTIEMBRE!AA218</f>
        <v>0</v>
      </c>
      <c r="Z218" s="2118">
        <v>0</v>
      </c>
      <c r="AA218" s="2345">
        <f t="shared" si="190"/>
        <v>0</v>
      </c>
      <c r="AB218" s="2346">
        <f>SEPTIEMBRE!AD218</f>
        <v>0</v>
      </c>
      <c r="AC218" s="2118">
        <v>0</v>
      </c>
      <c r="AD218" s="2345">
        <f t="shared" si="191"/>
        <v>0</v>
      </c>
      <c r="AE218" s="2346">
        <f>SEPTIEMBRE!AG218</f>
        <v>0</v>
      </c>
      <c r="AF218" s="2118">
        <v>0</v>
      </c>
      <c r="AG218" s="2345">
        <f t="shared" si="192"/>
        <v>0</v>
      </c>
      <c r="AH218" s="2346">
        <f t="shared" si="193"/>
        <v>0</v>
      </c>
      <c r="AI218" s="2344">
        <f t="shared" si="194"/>
        <v>0</v>
      </c>
      <c r="AJ218" s="2347">
        <f t="shared" si="195"/>
        <v>0</v>
      </c>
      <c r="AK218" s="1968"/>
      <c r="AL218" s="2356">
        <v>0</v>
      </c>
      <c r="AM218" s="2357">
        <v>0</v>
      </c>
      <c r="AN218" s="1968"/>
    </row>
    <row r="219" spans="1:40" s="2093" customFormat="1" ht="24.95" customHeight="1" thickBot="1">
      <c r="A219" s="2327"/>
      <c r="B219" s="2330"/>
      <c r="N219" s="1968"/>
      <c r="P219" s="1968"/>
      <c r="Q219" s="1968"/>
      <c r="R219" s="1968"/>
      <c r="S219" s="2358" t="str">
        <f>+IF(SEPTIEMBRE!S219=0,"",SEPTIEMBRE!S219)</f>
        <v/>
      </c>
      <c r="T219" s="2359" t="str">
        <f>+IF(SEPTIEMBRE!T219=0,"",SEPTIEMBRE!T219)</f>
        <v/>
      </c>
      <c r="U219" s="2360"/>
      <c r="V219" s="2360"/>
      <c r="W219" s="2360"/>
      <c r="X219" s="2360"/>
      <c r="Y219" s="2360"/>
      <c r="Z219" s="2360"/>
      <c r="AA219" s="2360"/>
      <c r="AB219" s="2360"/>
      <c r="AC219" s="2360"/>
      <c r="AD219" s="2360"/>
      <c r="AE219" s="2360"/>
      <c r="AF219" s="2360"/>
      <c r="AG219" s="2360"/>
      <c r="AH219" s="2360"/>
      <c r="AI219" s="2360"/>
      <c r="AJ219" s="2361"/>
      <c r="AK219" s="2086"/>
      <c r="AL219" s="2362"/>
      <c r="AM219" s="2363"/>
      <c r="AN219" s="1968"/>
    </row>
    <row r="220" spans="1:40" s="2093" customFormat="1" ht="24.95" customHeight="1">
      <c r="A220" s="2327"/>
      <c r="B220" s="2330"/>
      <c r="N220" s="1968"/>
      <c r="P220" s="1968"/>
      <c r="Q220" s="1968"/>
      <c r="R220" s="1968"/>
      <c r="S220" s="2044" t="str">
        <f>+IF(SEPTIEMBRE!S220=0,"",SEPTIEMBRE!S220)</f>
        <v>C</v>
      </c>
      <c r="T220" s="2045" t="str">
        <f>+IF(SEPTIEMBRE!T220=0,"",SEPTIEMBRE!T220)</f>
        <v xml:space="preserve">SERVICIO DE LA DEUDA </v>
      </c>
      <c r="U220" s="2046">
        <f t="shared" ref="U220:AJ220" si="196">U222+U227</f>
        <v>0</v>
      </c>
      <c r="V220" s="2047">
        <f t="shared" si="196"/>
        <v>0</v>
      </c>
      <c r="W220" s="2047">
        <f t="shared" si="196"/>
        <v>0</v>
      </c>
      <c r="X220" s="2048">
        <f t="shared" si="196"/>
        <v>0</v>
      </c>
      <c r="Y220" s="2049">
        <f t="shared" si="196"/>
        <v>0</v>
      </c>
      <c r="Z220" s="2047">
        <f t="shared" si="196"/>
        <v>0</v>
      </c>
      <c r="AA220" s="2048">
        <f t="shared" si="196"/>
        <v>0</v>
      </c>
      <c r="AB220" s="2049">
        <f t="shared" si="196"/>
        <v>0</v>
      </c>
      <c r="AC220" s="2047">
        <f t="shared" si="196"/>
        <v>0</v>
      </c>
      <c r="AD220" s="2048">
        <f t="shared" si="196"/>
        <v>0</v>
      </c>
      <c r="AE220" s="2049">
        <f t="shared" si="196"/>
        <v>0</v>
      </c>
      <c r="AF220" s="2047">
        <f t="shared" si="196"/>
        <v>0</v>
      </c>
      <c r="AG220" s="2048">
        <f t="shared" si="196"/>
        <v>0</v>
      </c>
      <c r="AH220" s="2049">
        <f t="shared" si="196"/>
        <v>0</v>
      </c>
      <c r="AI220" s="2047">
        <f t="shared" si="196"/>
        <v>0</v>
      </c>
      <c r="AJ220" s="2050">
        <f t="shared" si="196"/>
        <v>0</v>
      </c>
      <c r="AK220" s="2364"/>
      <c r="AL220" s="2049">
        <f>AL222+AL227</f>
        <v>0</v>
      </c>
      <c r="AM220" s="2050">
        <f>AM222+AM227</f>
        <v>0</v>
      </c>
      <c r="AN220" s="1968"/>
    </row>
    <row r="221" spans="1:40" s="2093" customFormat="1" ht="24.95" customHeight="1">
      <c r="A221" s="2327"/>
      <c r="B221" s="2330"/>
      <c r="N221" s="1968"/>
      <c r="P221" s="1968"/>
      <c r="Q221" s="1968"/>
      <c r="R221" s="1968"/>
      <c r="S221" s="2058" t="str">
        <f>+IF(SEPTIEMBRE!S221=0,"",SEPTIEMBRE!S221)</f>
        <v/>
      </c>
      <c r="T221" s="2059" t="str">
        <f>+IF(SEPTIEMBRE!T221=0,"",SEPTIEMBRE!T221)</f>
        <v/>
      </c>
      <c r="U221" s="2060"/>
      <c r="V221" s="2060"/>
      <c r="W221" s="2060"/>
      <c r="X221" s="2060"/>
      <c r="Y221" s="2060"/>
      <c r="Z221" s="2060"/>
      <c r="AA221" s="2060"/>
      <c r="AB221" s="2060"/>
      <c r="AC221" s="2060"/>
      <c r="AD221" s="2060"/>
      <c r="AE221" s="2060"/>
      <c r="AF221" s="2060"/>
      <c r="AG221" s="2060"/>
      <c r="AH221" s="2060"/>
      <c r="AI221" s="2060"/>
      <c r="AJ221" s="2061"/>
      <c r="AK221" s="1968"/>
      <c r="AL221" s="2248"/>
      <c r="AM221" s="2249"/>
      <c r="AN221" s="1968"/>
    </row>
    <row r="222" spans="1:40" s="2093" customFormat="1" ht="24.95" customHeight="1">
      <c r="A222" s="2327"/>
      <c r="B222" s="2330"/>
      <c r="N222" s="1968"/>
      <c r="P222" s="1968"/>
      <c r="Q222" s="1968"/>
      <c r="R222" s="1968"/>
      <c r="S222" s="2130">
        <f>+IF(SEPTIEMBRE!S222=0,"",SEPTIEMBRE!S222)</f>
        <v>7001000</v>
      </c>
      <c r="T222" s="2131" t="str">
        <f>+IF(SEPTIEMBRE!T222=0,"",SEPTIEMBRE!T222)</f>
        <v>SERVICIO DE LA DEUDA INTERNA</v>
      </c>
      <c r="U222" s="2103">
        <f t="shared" ref="U222:AJ222" si="197">SUM(U223:U225)</f>
        <v>0</v>
      </c>
      <c r="V222" s="2104">
        <f t="shared" si="197"/>
        <v>0</v>
      </c>
      <c r="W222" s="2104">
        <f t="shared" si="197"/>
        <v>0</v>
      </c>
      <c r="X222" s="2105">
        <f t="shared" si="197"/>
        <v>0</v>
      </c>
      <c r="Y222" s="2106">
        <f t="shared" si="197"/>
        <v>0</v>
      </c>
      <c r="Z222" s="2104">
        <f t="shared" si="197"/>
        <v>0</v>
      </c>
      <c r="AA222" s="2105">
        <f t="shared" si="197"/>
        <v>0</v>
      </c>
      <c r="AB222" s="2106">
        <f t="shared" si="197"/>
        <v>0</v>
      </c>
      <c r="AC222" s="2104">
        <f t="shared" si="197"/>
        <v>0</v>
      </c>
      <c r="AD222" s="2105">
        <f t="shared" si="197"/>
        <v>0</v>
      </c>
      <c r="AE222" s="2106">
        <f t="shared" si="197"/>
        <v>0</v>
      </c>
      <c r="AF222" s="2104">
        <f t="shared" si="197"/>
        <v>0</v>
      </c>
      <c r="AG222" s="2105">
        <f t="shared" si="197"/>
        <v>0</v>
      </c>
      <c r="AH222" s="2106">
        <f t="shared" si="197"/>
        <v>0</v>
      </c>
      <c r="AI222" s="2104">
        <f t="shared" si="197"/>
        <v>0</v>
      </c>
      <c r="AJ222" s="2107">
        <f t="shared" si="197"/>
        <v>0</v>
      </c>
      <c r="AK222" s="1968"/>
      <c r="AL222" s="2106">
        <f>SUM(AL223:AL225)</f>
        <v>0</v>
      </c>
      <c r="AM222" s="2107">
        <f>SUM(AM223:AM225)</f>
        <v>0</v>
      </c>
      <c r="AN222" s="1968"/>
    </row>
    <row r="223" spans="1:40" s="2093" customFormat="1" ht="24.95" customHeight="1">
      <c r="A223" s="2327"/>
      <c r="B223" s="2330"/>
      <c r="N223" s="1968"/>
      <c r="P223" s="1968"/>
      <c r="Q223" s="1968"/>
      <c r="R223" s="1968"/>
      <c r="S223" s="2138">
        <f>+IF(SEPTIEMBRE!S223=0,"",SEPTIEMBRE!S223)</f>
        <v>7001100</v>
      </c>
      <c r="T223" s="2139" t="str">
        <f>+IF(SEPTIEMBRE!T223=0,"",SEPTIEMBRE!T223)</f>
        <v>Amortización deuda Pública Interna</v>
      </c>
      <c r="U223" s="2140">
        <f>+ENERO!U223</f>
        <v>0</v>
      </c>
      <c r="V223" s="2091">
        <f>SEPTIEMBRE!V223+OCTUBRE!AL223</f>
        <v>0</v>
      </c>
      <c r="W223" s="2091">
        <f>SEPTIEMBRE!W223+OCTUBRE!AM223</f>
        <v>0</v>
      </c>
      <c r="X223" s="2141">
        <f>SUM(U223:W223)</f>
        <v>0</v>
      </c>
      <c r="Y223" s="2142">
        <f>SEPTIEMBRE!AA223</f>
        <v>0</v>
      </c>
      <c r="Z223" s="2077">
        <v>0</v>
      </c>
      <c r="AA223" s="2141">
        <f>SUM(Y223:Z223)</f>
        <v>0</v>
      </c>
      <c r="AB223" s="2142">
        <f>SEPTIEMBRE!AD223</f>
        <v>0</v>
      </c>
      <c r="AC223" s="2077">
        <v>0</v>
      </c>
      <c r="AD223" s="2141">
        <f>SUM(AB223:AC223)</f>
        <v>0</v>
      </c>
      <c r="AE223" s="2142">
        <f>SEPTIEMBRE!AG223</f>
        <v>0</v>
      </c>
      <c r="AF223" s="2077">
        <v>0</v>
      </c>
      <c r="AG223" s="2141">
        <f>SUM(AE223:AF223)</f>
        <v>0</v>
      </c>
      <c r="AH223" s="2142">
        <f>X223-AA223</f>
        <v>0</v>
      </c>
      <c r="AI223" s="2091">
        <f>X223-AD223</f>
        <v>0</v>
      </c>
      <c r="AJ223" s="2143">
        <f>X223-AG223</f>
        <v>0</v>
      </c>
      <c r="AK223" s="1968"/>
      <c r="AL223" s="2079">
        <v>0</v>
      </c>
      <c r="AM223" s="2080">
        <v>0</v>
      </c>
      <c r="AN223" s="1968"/>
    </row>
    <row r="224" spans="1:40" s="2093" customFormat="1" ht="24.95" customHeight="1">
      <c r="A224" s="2327"/>
      <c r="B224" s="2330"/>
      <c r="N224" s="1968"/>
      <c r="P224" s="1968"/>
      <c r="Q224" s="1968"/>
      <c r="R224" s="1968"/>
      <c r="S224" s="2138">
        <f>+IF(SEPTIEMBRE!S224=0,"",SEPTIEMBRE!S224)</f>
        <v>7001200</v>
      </c>
      <c r="T224" s="2139" t="str">
        <f>+IF(SEPTIEMBRE!T224=0,"",SEPTIEMBRE!T224)</f>
        <v>Intereses Comisiones y gastos de la Deuda Pública</v>
      </c>
      <c r="U224" s="2140">
        <f>+ENERO!U224</f>
        <v>0</v>
      </c>
      <c r="V224" s="2091">
        <f>SEPTIEMBRE!V224+OCTUBRE!AL224</f>
        <v>0</v>
      </c>
      <c r="W224" s="2091">
        <f>SEPTIEMBRE!W224+OCTUBRE!AM224</f>
        <v>0</v>
      </c>
      <c r="X224" s="2141">
        <f>SUM(U224:W224)</f>
        <v>0</v>
      </c>
      <c r="Y224" s="2142">
        <f>SEPTIEMBRE!AA224</f>
        <v>0</v>
      </c>
      <c r="Z224" s="2077">
        <v>0</v>
      </c>
      <c r="AA224" s="2141">
        <f>SUM(Y224:Z224)</f>
        <v>0</v>
      </c>
      <c r="AB224" s="2142">
        <f>SEPTIEMBRE!AD224</f>
        <v>0</v>
      </c>
      <c r="AC224" s="2077">
        <v>0</v>
      </c>
      <c r="AD224" s="2141">
        <f>SUM(AB224:AC224)</f>
        <v>0</v>
      </c>
      <c r="AE224" s="2142">
        <f>SEPTIEMBRE!AG224</f>
        <v>0</v>
      </c>
      <c r="AF224" s="2077">
        <v>0</v>
      </c>
      <c r="AG224" s="2141">
        <f>SUM(AE224:AF224)</f>
        <v>0</v>
      </c>
      <c r="AH224" s="2142">
        <f>X224-AA224</f>
        <v>0</v>
      </c>
      <c r="AI224" s="2091">
        <f>X224-AD224</f>
        <v>0</v>
      </c>
      <c r="AJ224" s="2143">
        <f>X224-AG224</f>
        <v>0</v>
      </c>
      <c r="AK224" s="1968"/>
      <c r="AL224" s="2079">
        <v>0</v>
      </c>
      <c r="AM224" s="2080">
        <v>0</v>
      </c>
      <c r="AN224" s="1968"/>
    </row>
    <row r="225" spans="1:64" s="2093" customFormat="1" ht="24.95" customHeight="1">
      <c r="A225" s="2327"/>
      <c r="B225" s="2330"/>
      <c r="N225" s="1968"/>
      <c r="P225" s="1968"/>
      <c r="Q225" s="1968"/>
      <c r="R225" s="1968"/>
      <c r="S225" s="2138">
        <f>+IF(SEPTIEMBRE!S225=0,"",SEPTIEMBRE!S225)</f>
        <v>7001999</v>
      </c>
      <c r="T225" s="2139" t="str">
        <f>+IF(SEPTIEMBRE!T225=0,"",SEPTIEMBRE!T225)</f>
        <v>Vigencias Anteriores</v>
      </c>
      <c r="U225" s="2140">
        <f>+ENERO!U225</f>
        <v>0</v>
      </c>
      <c r="V225" s="2091">
        <f>SEPTIEMBRE!V225+OCTUBRE!AL225</f>
        <v>0</v>
      </c>
      <c r="W225" s="2091">
        <f>SEPTIEMBRE!W225+OCTUBRE!AM225</f>
        <v>0</v>
      </c>
      <c r="X225" s="2141">
        <f>SUM(U225:W225)</f>
        <v>0</v>
      </c>
      <c r="Y225" s="2142">
        <f>SEPTIEMBRE!AA225</f>
        <v>0</v>
      </c>
      <c r="Z225" s="2077">
        <v>0</v>
      </c>
      <c r="AA225" s="2141">
        <f>SUM(Y225:Z225)</f>
        <v>0</v>
      </c>
      <c r="AB225" s="2142">
        <f>SEPTIEMBRE!AD225</f>
        <v>0</v>
      </c>
      <c r="AC225" s="2077">
        <v>0</v>
      </c>
      <c r="AD225" s="2141">
        <f>SUM(AB225:AC225)</f>
        <v>0</v>
      </c>
      <c r="AE225" s="2142">
        <f>SEPTIEMBRE!AG225</f>
        <v>0</v>
      </c>
      <c r="AF225" s="2077">
        <v>0</v>
      </c>
      <c r="AG225" s="2141">
        <f>SUM(AE225:AF225)</f>
        <v>0</v>
      </c>
      <c r="AH225" s="2142">
        <f>X225-AA225</f>
        <v>0</v>
      </c>
      <c r="AI225" s="2091">
        <f>X225-AD225</f>
        <v>0</v>
      </c>
      <c r="AJ225" s="2143">
        <f>X225-AG225</f>
        <v>0</v>
      </c>
      <c r="AK225" s="1968"/>
      <c r="AL225" s="2079">
        <v>0</v>
      </c>
      <c r="AM225" s="2080">
        <v>0</v>
      </c>
      <c r="AN225" s="1968"/>
    </row>
    <row r="226" spans="1:64" s="2093" customFormat="1" ht="24.95" customHeight="1">
      <c r="A226" s="2327"/>
      <c r="B226" s="2330"/>
      <c r="N226" s="1968"/>
      <c r="P226" s="1968"/>
      <c r="Q226" s="1968"/>
      <c r="R226" s="1968"/>
      <c r="S226" s="2058" t="str">
        <f>+IF(SEPTIEMBRE!S226=0,"",SEPTIEMBRE!S226)</f>
        <v/>
      </c>
      <c r="T226" s="2059" t="str">
        <f>+IF(SEPTIEMBRE!T226=0,"",SEPTIEMBRE!T226)</f>
        <v/>
      </c>
      <c r="U226" s="2060"/>
      <c r="V226" s="2060"/>
      <c r="W226" s="2060"/>
      <c r="X226" s="2060"/>
      <c r="Y226" s="2060"/>
      <c r="Z226" s="2060"/>
      <c r="AA226" s="2060"/>
      <c r="AB226" s="2060"/>
      <c r="AC226" s="2060"/>
      <c r="AD226" s="2060"/>
      <c r="AE226" s="2060"/>
      <c r="AF226" s="2060"/>
      <c r="AG226" s="2060"/>
      <c r="AH226" s="2060"/>
      <c r="AI226" s="2060"/>
      <c r="AJ226" s="2061"/>
      <c r="AK226" s="2086"/>
      <c r="AL226" s="2248"/>
      <c r="AM226" s="2249"/>
      <c r="AN226" s="1968"/>
    </row>
    <row r="227" spans="1:64" s="2093" customFormat="1" ht="24.95" customHeight="1">
      <c r="A227" s="2327"/>
      <c r="B227" s="2330"/>
      <c r="N227" s="1968"/>
      <c r="P227" s="1968"/>
      <c r="Q227" s="1968"/>
      <c r="R227" s="1968"/>
      <c r="S227" s="2130">
        <f>+IF(SEPTIEMBRE!S227=0,"",SEPTIEMBRE!S227)</f>
        <v>7002001</v>
      </c>
      <c r="T227" s="2131" t="str">
        <f>+IF(SEPTIEMBRE!T227=0,"",SEPTIEMBRE!T227)</f>
        <v>SERVICIO DE LA DEUDA EXTERNA</v>
      </c>
      <c r="U227" s="2103">
        <f t="shared" ref="U227:AJ227" si="198">SUM(U228:U230)</f>
        <v>0</v>
      </c>
      <c r="V227" s="2104">
        <f t="shared" si="198"/>
        <v>0</v>
      </c>
      <c r="W227" s="2104">
        <f t="shared" si="198"/>
        <v>0</v>
      </c>
      <c r="X227" s="2105">
        <f t="shared" si="198"/>
        <v>0</v>
      </c>
      <c r="Y227" s="2106">
        <f t="shared" si="198"/>
        <v>0</v>
      </c>
      <c r="Z227" s="2104">
        <f t="shared" si="198"/>
        <v>0</v>
      </c>
      <c r="AA227" s="2105">
        <f t="shared" si="198"/>
        <v>0</v>
      </c>
      <c r="AB227" s="2106">
        <f t="shared" si="198"/>
        <v>0</v>
      </c>
      <c r="AC227" s="2104">
        <f t="shared" si="198"/>
        <v>0</v>
      </c>
      <c r="AD227" s="2105">
        <f t="shared" si="198"/>
        <v>0</v>
      </c>
      <c r="AE227" s="2106">
        <f t="shared" si="198"/>
        <v>0</v>
      </c>
      <c r="AF227" s="2104">
        <f t="shared" si="198"/>
        <v>0</v>
      </c>
      <c r="AG227" s="2105">
        <f t="shared" si="198"/>
        <v>0</v>
      </c>
      <c r="AH227" s="2106">
        <f t="shared" si="198"/>
        <v>0</v>
      </c>
      <c r="AI227" s="2104">
        <f t="shared" si="198"/>
        <v>0</v>
      </c>
      <c r="AJ227" s="2107">
        <f t="shared" si="198"/>
        <v>0</v>
      </c>
      <c r="AK227" s="2086"/>
      <c r="AL227" s="2106">
        <f>SUM(AL228:AL230)</f>
        <v>0</v>
      </c>
      <c r="AM227" s="2107">
        <f>SUM(AM228:AM230)</f>
        <v>0</v>
      </c>
      <c r="AN227" s="1968"/>
    </row>
    <row r="228" spans="1:64" s="2093" customFormat="1" ht="24.95" customHeight="1">
      <c r="A228" s="2327"/>
      <c r="B228" s="2330"/>
      <c r="N228" s="1968"/>
      <c r="P228" s="1968"/>
      <c r="Q228" s="1968"/>
      <c r="R228" s="1968"/>
      <c r="S228" s="2138">
        <f>+IF(SEPTIEMBRE!S228=0,"",SEPTIEMBRE!S228)</f>
        <v>7002100</v>
      </c>
      <c r="T228" s="2139" t="str">
        <f>+IF(SEPTIEMBRE!T228=0,"",SEPTIEMBRE!T228)</f>
        <v>Amortización deuda Pública Externa</v>
      </c>
      <c r="U228" s="2140">
        <f>+ENERO!U228</f>
        <v>0</v>
      </c>
      <c r="V228" s="2091">
        <f>SEPTIEMBRE!V228+OCTUBRE!AL228</f>
        <v>0</v>
      </c>
      <c r="W228" s="2091">
        <f>SEPTIEMBRE!W228+OCTUBRE!AM228</f>
        <v>0</v>
      </c>
      <c r="X228" s="2141">
        <f>SUM(U228:W228)</f>
        <v>0</v>
      </c>
      <c r="Y228" s="2142">
        <f>SEPTIEMBRE!AA228</f>
        <v>0</v>
      </c>
      <c r="Z228" s="2077">
        <v>0</v>
      </c>
      <c r="AA228" s="2141">
        <f>SUM(Y228:Z228)</f>
        <v>0</v>
      </c>
      <c r="AB228" s="2142">
        <f>SEPTIEMBRE!AD228</f>
        <v>0</v>
      </c>
      <c r="AC228" s="2077">
        <v>0</v>
      </c>
      <c r="AD228" s="2141">
        <f>SUM(AB228:AC228)</f>
        <v>0</v>
      </c>
      <c r="AE228" s="2142">
        <f>SEPTIEMBRE!AG228</f>
        <v>0</v>
      </c>
      <c r="AF228" s="2077">
        <v>0</v>
      </c>
      <c r="AG228" s="2141">
        <f>SUM(AE228:AF228)</f>
        <v>0</v>
      </c>
      <c r="AH228" s="2142">
        <f>X228-AA228</f>
        <v>0</v>
      </c>
      <c r="AI228" s="2091">
        <f>X228-AD228</f>
        <v>0</v>
      </c>
      <c r="AJ228" s="2143">
        <f>X228-AG228</f>
        <v>0</v>
      </c>
      <c r="AK228" s="1968"/>
      <c r="AL228" s="2079">
        <v>0</v>
      </c>
      <c r="AM228" s="2080">
        <v>0</v>
      </c>
      <c r="AN228" s="1968"/>
    </row>
    <row r="229" spans="1:64" s="2093" customFormat="1" ht="24.95" customHeight="1">
      <c r="A229" s="2327"/>
      <c r="B229" s="2330"/>
      <c r="N229" s="1968"/>
      <c r="P229" s="1968"/>
      <c r="Q229" s="1968"/>
      <c r="R229" s="1968"/>
      <c r="S229" s="2138">
        <f>+IF(SEPTIEMBRE!S229=0,"",SEPTIEMBRE!S229)</f>
        <v>7002200</v>
      </c>
      <c r="T229" s="2139" t="str">
        <f>+IF(SEPTIEMBRE!T229=0,"",SEPTIEMBRE!T229)</f>
        <v>Intereses Comisiones y gastos de la Deuda Pública</v>
      </c>
      <c r="U229" s="2140">
        <f>+ENERO!U229</f>
        <v>0</v>
      </c>
      <c r="V229" s="2091">
        <f>SEPTIEMBRE!V229+OCTUBRE!AL229</f>
        <v>0</v>
      </c>
      <c r="W229" s="2091">
        <f>SEPTIEMBRE!W229+OCTUBRE!AM229</f>
        <v>0</v>
      </c>
      <c r="X229" s="2141">
        <f>SUM(U229:W229)</f>
        <v>0</v>
      </c>
      <c r="Y229" s="2142">
        <f>SEPTIEMBRE!AA229</f>
        <v>0</v>
      </c>
      <c r="Z229" s="2077">
        <v>0</v>
      </c>
      <c r="AA229" s="2141">
        <f>SUM(Y229:Z229)</f>
        <v>0</v>
      </c>
      <c r="AB229" s="2142">
        <f>SEPTIEMBRE!AD229</f>
        <v>0</v>
      </c>
      <c r="AC229" s="2077">
        <v>0</v>
      </c>
      <c r="AD229" s="2141">
        <f>SUM(AB229:AC229)</f>
        <v>0</v>
      </c>
      <c r="AE229" s="2142">
        <f>SEPTIEMBRE!AG229</f>
        <v>0</v>
      </c>
      <c r="AF229" s="2077">
        <v>0</v>
      </c>
      <c r="AG229" s="2141">
        <f>SUM(AE229:AF229)</f>
        <v>0</v>
      </c>
      <c r="AH229" s="2142">
        <f>X229-AA229</f>
        <v>0</v>
      </c>
      <c r="AI229" s="2091">
        <f>X229-AD229</f>
        <v>0</v>
      </c>
      <c r="AJ229" s="2143">
        <f>X229-AG229</f>
        <v>0</v>
      </c>
      <c r="AK229" s="1968"/>
      <c r="AL229" s="2079">
        <v>0</v>
      </c>
      <c r="AM229" s="2080">
        <v>0</v>
      </c>
      <c r="AN229" s="1968"/>
    </row>
    <row r="230" spans="1:64" s="2093" customFormat="1" ht="24.95" customHeight="1" thickBot="1">
      <c r="A230" s="2327"/>
      <c r="B230" s="2330"/>
      <c r="N230" s="1968"/>
      <c r="P230" s="1968"/>
      <c r="Q230" s="1968"/>
      <c r="R230" s="1968"/>
      <c r="S230" s="2341">
        <f>+IF(SEPTIEMBRE!S230=0,"",SEPTIEMBRE!S230)</f>
        <v>7002999</v>
      </c>
      <c r="T230" s="2342" t="str">
        <f>+IF(SEPTIEMBRE!T230=0,"",SEPTIEMBRE!T230)</f>
        <v>Vigencias Anteriores</v>
      </c>
      <c r="U230" s="2343">
        <f>+ENERO!U230</f>
        <v>0</v>
      </c>
      <c r="V230" s="2344">
        <f>SEPTIEMBRE!V230+OCTUBRE!AL230</f>
        <v>0</v>
      </c>
      <c r="W230" s="2344">
        <f>SEPTIEMBRE!W230+OCTUBRE!AM230</f>
        <v>0</v>
      </c>
      <c r="X230" s="2345">
        <f>SUM(U230:W230)</f>
        <v>0</v>
      </c>
      <c r="Y230" s="2346">
        <f>SEPTIEMBRE!AA230</f>
        <v>0</v>
      </c>
      <c r="Z230" s="2118">
        <v>0</v>
      </c>
      <c r="AA230" s="2345">
        <f>SUM(Y230:Z230)</f>
        <v>0</v>
      </c>
      <c r="AB230" s="2346">
        <f>SEPTIEMBRE!AD230</f>
        <v>0</v>
      </c>
      <c r="AC230" s="2118">
        <v>0</v>
      </c>
      <c r="AD230" s="2345">
        <f>SUM(AB230:AC230)</f>
        <v>0</v>
      </c>
      <c r="AE230" s="2346">
        <f>SEPTIEMBRE!AG230</f>
        <v>0</v>
      </c>
      <c r="AF230" s="2118">
        <v>0</v>
      </c>
      <c r="AG230" s="2345">
        <f>SUM(AE230:AF230)</f>
        <v>0</v>
      </c>
      <c r="AH230" s="2346">
        <f>X230-AA230</f>
        <v>0</v>
      </c>
      <c r="AI230" s="2344">
        <f>X230-AD230</f>
        <v>0</v>
      </c>
      <c r="AJ230" s="2347">
        <f>X230-AG230</f>
        <v>0</v>
      </c>
      <c r="AK230" s="1968"/>
      <c r="AL230" s="2356">
        <v>0</v>
      </c>
      <c r="AM230" s="2357">
        <v>0</v>
      </c>
      <c r="AN230" s="1968"/>
    </row>
    <row r="231" spans="1:64" s="2093" customFormat="1" ht="24.95" customHeight="1">
      <c r="A231" s="2327"/>
      <c r="B231" s="2330"/>
      <c r="N231" s="1968"/>
      <c r="P231" s="1968"/>
      <c r="Q231" s="1968"/>
      <c r="R231" s="1968"/>
      <c r="S231" s="2348" t="str">
        <f>+IF(SEPTIEMBRE!S231=0,"",SEPTIEMBRE!S231)</f>
        <v/>
      </c>
      <c r="T231" s="2349" t="str">
        <f>+IF(SEPTIEMBRE!T231=0,"",SEPTIEMBRE!T231)</f>
        <v/>
      </c>
      <c r="U231" s="2350"/>
      <c r="V231" s="2350"/>
      <c r="W231" s="2350"/>
      <c r="X231" s="2350"/>
      <c r="Y231" s="2350"/>
      <c r="Z231" s="2350"/>
      <c r="AA231" s="2350"/>
      <c r="AB231" s="2350"/>
      <c r="AC231" s="2350"/>
      <c r="AD231" s="2350"/>
      <c r="AE231" s="2350"/>
      <c r="AF231" s="2350"/>
      <c r="AG231" s="2350"/>
      <c r="AH231" s="2350"/>
      <c r="AI231" s="2350"/>
      <c r="AJ231" s="2351"/>
      <c r="AK231" s="1968"/>
      <c r="AL231" s="2365"/>
      <c r="AM231" s="2366"/>
      <c r="AN231" s="1968"/>
    </row>
    <row r="232" spans="1:64" s="2093" customFormat="1" ht="24.95" customHeight="1">
      <c r="A232" s="2327"/>
      <c r="B232" s="2330"/>
      <c r="N232" s="1968"/>
      <c r="P232" s="1968"/>
      <c r="Q232" s="1968"/>
      <c r="R232" s="1968"/>
      <c r="S232" s="2367" t="str">
        <f>+IF(SEPTIEMBRE!S232=0,"",SEPTIEMBRE!S232)</f>
        <v>D</v>
      </c>
      <c r="T232" s="2368" t="str">
        <f>+IF(SEPTIEMBRE!T232=0,"",SEPTIEMBRE!T232)</f>
        <v>INVERSION</v>
      </c>
      <c r="U232" s="2287">
        <f>U234+U243</f>
        <v>0</v>
      </c>
      <c r="V232" s="2288">
        <f t="shared" ref="V232:AJ232" si="199">V234+V243</f>
        <v>0</v>
      </c>
      <c r="W232" s="2288">
        <f t="shared" si="199"/>
        <v>433878092</v>
      </c>
      <c r="X232" s="2289">
        <f t="shared" si="199"/>
        <v>433878092</v>
      </c>
      <c r="Y232" s="2087">
        <f t="shared" si="199"/>
        <v>352813794</v>
      </c>
      <c r="Z232" s="2288">
        <f t="shared" si="199"/>
        <v>0</v>
      </c>
      <c r="AA232" s="2289">
        <f t="shared" si="199"/>
        <v>352813794</v>
      </c>
      <c r="AB232" s="2087">
        <f t="shared" si="199"/>
        <v>336273002</v>
      </c>
      <c r="AC232" s="2288">
        <f t="shared" si="199"/>
        <v>0</v>
      </c>
      <c r="AD232" s="2289">
        <f t="shared" si="199"/>
        <v>336273002</v>
      </c>
      <c r="AE232" s="2087">
        <f t="shared" si="199"/>
        <v>172740563</v>
      </c>
      <c r="AF232" s="2288">
        <f t="shared" si="199"/>
        <v>0</v>
      </c>
      <c r="AG232" s="2289">
        <f t="shared" si="199"/>
        <v>172740563</v>
      </c>
      <c r="AH232" s="2087">
        <f t="shared" si="199"/>
        <v>81064298</v>
      </c>
      <c r="AI232" s="2288">
        <f t="shared" si="199"/>
        <v>97605090</v>
      </c>
      <c r="AJ232" s="2088">
        <f t="shared" si="199"/>
        <v>261137529</v>
      </c>
      <c r="AK232" s="2364"/>
      <c r="AL232" s="2087">
        <f t="shared" ref="AL232:AM232" si="200">AL234+AL243</f>
        <v>0</v>
      </c>
      <c r="AM232" s="2088">
        <f t="shared" si="200"/>
        <v>0</v>
      </c>
      <c r="AN232" s="1968"/>
    </row>
    <row r="233" spans="1:64" s="2093" customFormat="1" ht="24.95" customHeight="1">
      <c r="A233" s="2327"/>
      <c r="B233" s="2330"/>
      <c r="N233" s="1968"/>
      <c r="P233" s="1968"/>
      <c r="Q233" s="1968"/>
      <c r="R233" s="1968"/>
      <c r="S233" s="2058" t="str">
        <f>+IF(SEPTIEMBRE!S233=0,"",SEPTIEMBRE!S233)</f>
        <v/>
      </c>
      <c r="T233" s="2059" t="str">
        <f>+IF(SEPTIEMBRE!T233=0,"",SEPTIEMBRE!T233)</f>
        <v/>
      </c>
      <c r="U233" s="2060"/>
      <c r="V233" s="2060"/>
      <c r="W233" s="2060"/>
      <c r="X233" s="2060"/>
      <c r="Y233" s="2060"/>
      <c r="Z233" s="2060"/>
      <c r="AA233" s="2060"/>
      <c r="AB233" s="2060"/>
      <c r="AC233" s="2060"/>
      <c r="AD233" s="2060"/>
      <c r="AE233" s="2060"/>
      <c r="AF233" s="2060"/>
      <c r="AG233" s="2060"/>
      <c r="AH233" s="2060"/>
      <c r="AI233" s="2060"/>
      <c r="AJ233" s="2061"/>
      <c r="AK233" s="1968"/>
      <c r="AL233" s="2248"/>
      <c r="AM233" s="2249"/>
      <c r="AN233" s="1968"/>
    </row>
    <row r="234" spans="1:64" s="2093" customFormat="1" ht="24.95" customHeight="1">
      <c r="A234" s="2327"/>
      <c r="B234" s="2330"/>
      <c r="N234" s="1968"/>
      <c r="P234" s="1968"/>
      <c r="Q234" s="1968"/>
      <c r="R234" s="1968"/>
      <c r="S234" s="2130">
        <f>+IF(SEPTIEMBRE!S234=0,"",SEPTIEMBRE!S234)</f>
        <v>8000000</v>
      </c>
      <c r="T234" s="2131" t="str">
        <f>+IF(SEPTIEMBRE!T234=0,"",SEPTIEMBRE!T234)</f>
        <v>Programas de Inversión</v>
      </c>
      <c r="U234" s="2103">
        <f>U235</f>
        <v>0</v>
      </c>
      <c r="V234" s="2104">
        <f t="shared" ref="V234:AJ234" si="201">V235</f>
        <v>0</v>
      </c>
      <c r="W234" s="2104">
        <f t="shared" si="201"/>
        <v>380000000</v>
      </c>
      <c r="X234" s="2105">
        <f t="shared" si="201"/>
        <v>380000000</v>
      </c>
      <c r="Y234" s="2106">
        <f t="shared" si="201"/>
        <v>352813794</v>
      </c>
      <c r="Z234" s="2104">
        <f t="shared" si="201"/>
        <v>0</v>
      </c>
      <c r="AA234" s="2105">
        <f t="shared" si="201"/>
        <v>352813794</v>
      </c>
      <c r="AB234" s="2106">
        <f t="shared" si="201"/>
        <v>336273002</v>
      </c>
      <c r="AC234" s="2104">
        <f t="shared" si="201"/>
        <v>0</v>
      </c>
      <c r="AD234" s="2105">
        <f t="shared" si="201"/>
        <v>336273002</v>
      </c>
      <c r="AE234" s="2106">
        <f t="shared" si="201"/>
        <v>172740563</v>
      </c>
      <c r="AF234" s="2104">
        <f t="shared" si="201"/>
        <v>0</v>
      </c>
      <c r="AG234" s="2105">
        <f t="shared" si="201"/>
        <v>172740563</v>
      </c>
      <c r="AH234" s="2106">
        <f t="shared" si="201"/>
        <v>27186206</v>
      </c>
      <c r="AI234" s="2104">
        <f t="shared" si="201"/>
        <v>43726998</v>
      </c>
      <c r="AJ234" s="2107">
        <f t="shared" si="201"/>
        <v>207259437</v>
      </c>
      <c r="AK234" s="1968"/>
      <c r="AL234" s="2106">
        <f t="shared" ref="AL234:AM234" si="202">AL235</f>
        <v>0</v>
      </c>
      <c r="AM234" s="2107">
        <f t="shared" si="202"/>
        <v>0</v>
      </c>
      <c r="AN234" s="1968"/>
    </row>
    <row r="235" spans="1:64" s="2093" customFormat="1" ht="24.95" customHeight="1">
      <c r="A235" s="2327"/>
      <c r="B235" s="2330"/>
      <c r="N235" s="1968"/>
      <c r="P235" s="1968"/>
      <c r="Q235" s="1968"/>
      <c r="R235" s="1968"/>
      <c r="S235" s="2138">
        <f>+IF(SEPTIEMBRE!S235=0,"",SEPTIEMBRE!S235)</f>
        <v>8001000</v>
      </c>
      <c r="T235" s="2139" t="str">
        <f>+IF(SEPTIEMBRE!T235=0,"",SEPTIEMBRE!T235)</f>
        <v>Formación Bruta del Capital</v>
      </c>
      <c r="U235" s="2140">
        <f t="shared" ref="U235:AJ235" si="203">SUM(U236:U241)</f>
        <v>0</v>
      </c>
      <c r="V235" s="2091">
        <f t="shared" si="203"/>
        <v>0</v>
      </c>
      <c r="W235" s="2091">
        <f t="shared" si="203"/>
        <v>380000000</v>
      </c>
      <c r="X235" s="2141">
        <f t="shared" si="203"/>
        <v>380000000</v>
      </c>
      <c r="Y235" s="2142">
        <f t="shared" si="203"/>
        <v>352813794</v>
      </c>
      <c r="Z235" s="2170">
        <f t="shared" si="203"/>
        <v>0</v>
      </c>
      <c r="AA235" s="2141">
        <f t="shared" si="203"/>
        <v>352813794</v>
      </c>
      <c r="AB235" s="2142">
        <f t="shared" si="203"/>
        <v>336273002</v>
      </c>
      <c r="AC235" s="2170">
        <f t="shared" si="203"/>
        <v>0</v>
      </c>
      <c r="AD235" s="2141">
        <f t="shared" si="203"/>
        <v>336273002</v>
      </c>
      <c r="AE235" s="2142">
        <f t="shared" si="203"/>
        <v>172740563</v>
      </c>
      <c r="AF235" s="2170">
        <f t="shared" si="203"/>
        <v>0</v>
      </c>
      <c r="AG235" s="2141">
        <f t="shared" si="203"/>
        <v>172740563</v>
      </c>
      <c r="AH235" s="2142">
        <f t="shared" si="203"/>
        <v>27186206</v>
      </c>
      <c r="AI235" s="2091">
        <f t="shared" si="203"/>
        <v>43726998</v>
      </c>
      <c r="AJ235" s="2143">
        <f t="shared" si="203"/>
        <v>207259437</v>
      </c>
      <c r="AK235" s="1968"/>
      <c r="AL235" s="2171">
        <f>SUM(AL236:AL241)</f>
        <v>0</v>
      </c>
      <c r="AM235" s="2172">
        <f>SUM(AM236:AM241)</f>
        <v>0</v>
      </c>
      <c r="AN235" s="1968"/>
    </row>
    <row r="236" spans="1:64" s="2093" customFormat="1" ht="24.95" customHeight="1">
      <c r="A236" s="2327"/>
      <c r="B236" s="2330"/>
      <c r="N236" s="1968"/>
      <c r="P236" s="1968"/>
      <c r="Q236" s="1968"/>
      <c r="R236" s="1968"/>
      <c r="S236" s="2184" t="str">
        <f>+IF(SEPTIEMBRE!S236=0,"",SEPTIEMBRE!S236)</f>
        <v>8001000-1</v>
      </c>
      <c r="T236" s="2185" t="str">
        <f>+IF(SEPTIEMBRE!T236=0,"",SEPTIEMBRE!T236)</f>
        <v>Subprogr.Construc. Remodelac. Adecuación y Apliac.1</v>
      </c>
      <c r="U236" s="2140">
        <f>+ENERO!U236</f>
        <v>0</v>
      </c>
      <c r="V236" s="2091">
        <f>SEPTIEMBRE!V236+OCTUBRE!AL236</f>
        <v>0</v>
      </c>
      <c r="W236" s="2091">
        <f>SEPTIEMBRE!W236+OCTUBRE!AM236</f>
        <v>380000000</v>
      </c>
      <c r="X236" s="2141">
        <f t="shared" ref="X236:X241" si="204">SUM(U236:W236)</f>
        <v>380000000</v>
      </c>
      <c r="Y236" s="2142">
        <f>SEPTIEMBRE!AA236</f>
        <v>352813794</v>
      </c>
      <c r="Z236" s="2077">
        <v>0</v>
      </c>
      <c r="AA236" s="2141">
        <f t="shared" ref="AA236:AA241" si="205">SUM(Y236:Z236)</f>
        <v>352813794</v>
      </c>
      <c r="AB236" s="2142">
        <f>SEPTIEMBRE!AD236</f>
        <v>336273002</v>
      </c>
      <c r="AC236" s="2077">
        <v>0</v>
      </c>
      <c r="AD236" s="2141">
        <f t="shared" ref="AD236:AD241" si="206">SUM(AB236:AC236)</f>
        <v>336273002</v>
      </c>
      <c r="AE236" s="2142">
        <f>SEPTIEMBRE!AG236</f>
        <v>172740563</v>
      </c>
      <c r="AF236" s="2077">
        <v>0</v>
      </c>
      <c r="AG236" s="2141">
        <f t="shared" ref="AG236:AG241" si="207">SUM(AE236:AF236)</f>
        <v>172740563</v>
      </c>
      <c r="AH236" s="2142">
        <f t="shared" ref="AH236:AH241" si="208">X236-AA236</f>
        <v>27186206</v>
      </c>
      <c r="AI236" s="2091">
        <f t="shared" ref="AI236:AI241" si="209">X236-AD236</f>
        <v>43726998</v>
      </c>
      <c r="AJ236" s="2143">
        <f t="shared" ref="AJ236:AJ241" si="210">X236-AG236</f>
        <v>207259437</v>
      </c>
      <c r="AK236" s="1968"/>
      <c r="AL236" s="2079">
        <v>0</v>
      </c>
      <c r="AM236" s="2080">
        <v>0</v>
      </c>
      <c r="AN236" s="1968"/>
    </row>
    <row r="237" spans="1:64" s="2093" customFormat="1" ht="24.95" customHeight="1">
      <c r="A237" s="2327"/>
      <c r="B237" s="2330"/>
      <c r="N237" s="1968"/>
      <c r="P237" s="1968"/>
      <c r="Q237" s="1968"/>
      <c r="R237" s="1968"/>
      <c r="S237" s="2184" t="str">
        <f>+IF(SEPTIEMBRE!S237=0,"",SEPTIEMBRE!S237)</f>
        <v>8001000-2</v>
      </c>
      <c r="T237" s="2185" t="str">
        <f>+IF(SEPTIEMBRE!T237=0,"",SEPTIEMBRE!T237)</f>
        <v>Subprogr.Construc. Remodelac. Adecuación y Apliac.2</v>
      </c>
      <c r="U237" s="2140">
        <f>+ENERO!U237</f>
        <v>0</v>
      </c>
      <c r="V237" s="2091">
        <f>SEPTIEMBRE!V237+OCTUBRE!AL237</f>
        <v>0</v>
      </c>
      <c r="W237" s="2091">
        <f>SEPTIEMBRE!W237+OCTUBRE!AM237</f>
        <v>0</v>
      </c>
      <c r="X237" s="2141">
        <f t="shared" si="204"/>
        <v>0</v>
      </c>
      <c r="Y237" s="2142">
        <f>SEPTIEMBRE!AA237</f>
        <v>0</v>
      </c>
      <c r="Z237" s="2077">
        <v>0</v>
      </c>
      <c r="AA237" s="2141">
        <f t="shared" si="205"/>
        <v>0</v>
      </c>
      <c r="AB237" s="2142">
        <f>SEPTIEMBRE!AD237</f>
        <v>0</v>
      </c>
      <c r="AC237" s="2077">
        <v>0</v>
      </c>
      <c r="AD237" s="2141">
        <f t="shared" si="206"/>
        <v>0</v>
      </c>
      <c r="AE237" s="2142">
        <f>SEPTIEMBRE!AG237</f>
        <v>0</v>
      </c>
      <c r="AF237" s="2077">
        <v>0</v>
      </c>
      <c r="AG237" s="2141">
        <f t="shared" si="207"/>
        <v>0</v>
      </c>
      <c r="AH237" s="2142">
        <f t="shared" si="208"/>
        <v>0</v>
      </c>
      <c r="AI237" s="2091">
        <f t="shared" si="209"/>
        <v>0</v>
      </c>
      <c r="AJ237" s="2143">
        <f t="shared" si="210"/>
        <v>0</v>
      </c>
      <c r="AK237" s="1968"/>
      <c r="AL237" s="2079">
        <v>0</v>
      </c>
      <c r="AM237" s="2080">
        <v>0</v>
      </c>
      <c r="AN237" s="1968"/>
    </row>
    <row r="238" spans="1:64" s="2093" customFormat="1" ht="24.95" customHeight="1">
      <c r="A238" s="2327"/>
      <c r="B238" s="2330"/>
      <c r="N238" s="1968"/>
      <c r="P238" s="1968"/>
      <c r="Q238" s="1968"/>
      <c r="R238" s="1968"/>
      <c r="S238" s="2184" t="str">
        <f>+IF(SEPTIEMBRE!S238=0,"",SEPTIEMBRE!S238)</f>
        <v>8001000-3</v>
      </c>
      <c r="T238" s="2185" t="str">
        <f>+IF(SEPTIEMBRE!T238=0,"",SEPTIEMBRE!T238)</f>
        <v>Subprogr.Construc. Remodelac. Adecuación y Apliac.3</v>
      </c>
      <c r="U238" s="2140">
        <f>+ENERO!U238</f>
        <v>0</v>
      </c>
      <c r="V238" s="2091">
        <f>SEPTIEMBRE!V238+OCTUBRE!AL238</f>
        <v>0</v>
      </c>
      <c r="W238" s="2091">
        <f>SEPTIEMBRE!W238+OCTUBRE!AM238</f>
        <v>0</v>
      </c>
      <c r="X238" s="2141">
        <f t="shared" si="204"/>
        <v>0</v>
      </c>
      <c r="Y238" s="2142">
        <f>SEPTIEMBRE!AA238</f>
        <v>0</v>
      </c>
      <c r="Z238" s="2077">
        <v>0</v>
      </c>
      <c r="AA238" s="2141">
        <f t="shared" si="205"/>
        <v>0</v>
      </c>
      <c r="AB238" s="2142">
        <f>SEPTIEMBRE!AD238</f>
        <v>0</v>
      </c>
      <c r="AC238" s="2077">
        <v>0</v>
      </c>
      <c r="AD238" s="2141">
        <f t="shared" si="206"/>
        <v>0</v>
      </c>
      <c r="AE238" s="2142">
        <f>SEPTIEMBRE!AG238</f>
        <v>0</v>
      </c>
      <c r="AF238" s="2077">
        <v>0</v>
      </c>
      <c r="AG238" s="2141">
        <f t="shared" si="207"/>
        <v>0</v>
      </c>
      <c r="AH238" s="2142">
        <f t="shared" si="208"/>
        <v>0</v>
      </c>
      <c r="AI238" s="2091">
        <f t="shared" si="209"/>
        <v>0</v>
      </c>
      <c r="AJ238" s="2143">
        <f t="shared" si="210"/>
        <v>0</v>
      </c>
      <c r="AK238" s="1968"/>
      <c r="AL238" s="2079">
        <v>0</v>
      </c>
      <c r="AM238" s="2080">
        <v>0</v>
      </c>
      <c r="AN238" s="1968"/>
    </row>
    <row r="239" spans="1:64" s="2093" customFormat="1" ht="24.95" customHeight="1">
      <c r="A239" s="2327"/>
      <c r="B239" s="2330"/>
      <c r="N239" s="1968"/>
      <c r="P239" s="1968"/>
      <c r="Q239" s="1968"/>
      <c r="S239" s="2184" t="str">
        <f>+IF(SEPTIEMBRE!S239=0,"",SEPTIEMBRE!S239)</f>
        <v>8001000-4</v>
      </c>
      <c r="T239" s="2185" t="str">
        <f>+IF(SEPTIEMBRE!T239=0,"",SEPTIEMBRE!T239)</f>
        <v>Subprogr.Construc. Remodelac. Adecuación y Apliac.4</v>
      </c>
      <c r="U239" s="2140">
        <f>+ENERO!U239</f>
        <v>0</v>
      </c>
      <c r="V239" s="2091">
        <f>SEPTIEMBRE!V239+OCTUBRE!AL239</f>
        <v>0</v>
      </c>
      <c r="W239" s="2091">
        <f>SEPTIEMBRE!W239+OCTUBRE!AM239</f>
        <v>0</v>
      </c>
      <c r="X239" s="2141">
        <f t="shared" si="204"/>
        <v>0</v>
      </c>
      <c r="Y239" s="2142">
        <f>SEPTIEMBRE!AA239</f>
        <v>0</v>
      </c>
      <c r="Z239" s="2077">
        <v>0</v>
      </c>
      <c r="AA239" s="2141">
        <f t="shared" si="205"/>
        <v>0</v>
      </c>
      <c r="AB239" s="2142">
        <f>SEPTIEMBRE!AD239</f>
        <v>0</v>
      </c>
      <c r="AC239" s="2077">
        <v>0</v>
      </c>
      <c r="AD239" s="2141">
        <f t="shared" si="206"/>
        <v>0</v>
      </c>
      <c r="AE239" s="2142">
        <f>SEPTIEMBRE!AG239</f>
        <v>0</v>
      </c>
      <c r="AF239" s="2077">
        <v>0</v>
      </c>
      <c r="AG239" s="2141">
        <f t="shared" si="207"/>
        <v>0</v>
      </c>
      <c r="AH239" s="2142">
        <f t="shared" si="208"/>
        <v>0</v>
      </c>
      <c r="AI239" s="2091">
        <f t="shared" si="209"/>
        <v>0</v>
      </c>
      <c r="AJ239" s="2143">
        <f t="shared" si="210"/>
        <v>0</v>
      </c>
      <c r="AK239" s="1968"/>
      <c r="AL239" s="2079">
        <v>0</v>
      </c>
      <c r="AM239" s="2080">
        <v>0</v>
      </c>
      <c r="AN239" s="1968"/>
    </row>
    <row r="240" spans="1:64" s="2093" customFormat="1" ht="24.95" customHeight="1">
      <c r="A240" s="2327"/>
      <c r="B240" s="2330"/>
      <c r="N240" s="1968"/>
      <c r="P240" s="1968"/>
      <c r="Q240" s="1968"/>
      <c r="S240" s="2184" t="str">
        <f>+IF(SEPTIEMBRE!S240=0,"",SEPTIEMBRE!S240)</f>
        <v>8001000-7</v>
      </c>
      <c r="T240" s="2185" t="str">
        <f>+IF(SEPTIEMBRE!T240=0,"",SEPTIEMBRE!T240)</f>
        <v>Subprogr.Construc. Remodelac. Adecuación y Apliac.5</v>
      </c>
      <c r="U240" s="2140">
        <f>+ENERO!U240</f>
        <v>0</v>
      </c>
      <c r="V240" s="2091">
        <f>SEPTIEMBRE!V240+OCTUBRE!AL240</f>
        <v>0</v>
      </c>
      <c r="W240" s="2091">
        <f>SEPTIEMBRE!W240+OCTUBRE!AM240</f>
        <v>0</v>
      </c>
      <c r="X240" s="2141">
        <f t="shared" si="204"/>
        <v>0</v>
      </c>
      <c r="Y240" s="2142">
        <f>SEPTIEMBRE!AA240</f>
        <v>0</v>
      </c>
      <c r="Z240" s="2077">
        <v>0</v>
      </c>
      <c r="AA240" s="2141">
        <f t="shared" si="205"/>
        <v>0</v>
      </c>
      <c r="AB240" s="2142">
        <f>SEPTIEMBRE!AD240</f>
        <v>0</v>
      </c>
      <c r="AC240" s="2077">
        <v>0</v>
      </c>
      <c r="AD240" s="2141">
        <f t="shared" si="206"/>
        <v>0</v>
      </c>
      <c r="AE240" s="2142">
        <f>SEPTIEMBRE!AG240</f>
        <v>0</v>
      </c>
      <c r="AF240" s="2077">
        <v>0</v>
      </c>
      <c r="AG240" s="2141">
        <f t="shared" si="207"/>
        <v>0</v>
      </c>
      <c r="AH240" s="2142">
        <f t="shared" si="208"/>
        <v>0</v>
      </c>
      <c r="AI240" s="2091">
        <f t="shared" si="209"/>
        <v>0</v>
      </c>
      <c r="AJ240" s="2143">
        <f t="shared" si="210"/>
        <v>0</v>
      </c>
      <c r="AK240" s="1968"/>
      <c r="AL240" s="2079">
        <v>0</v>
      </c>
      <c r="AM240" s="2080">
        <v>0</v>
      </c>
      <c r="AN240" s="1968"/>
      <c r="BB240" s="1876"/>
      <c r="BC240" s="1876"/>
      <c r="BD240" s="1876"/>
      <c r="BE240" s="1876"/>
      <c r="BF240" s="1876"/>
      <c r="BG240" s="1876"/>
      <c r="BH240" s="1876"/>
      <c r="BI240" s="1876"/>
      <c r="BJ240" s="1876"/>
      <c r="BK240" s="1876"/>
      <c r="BL240" s="1876"/>
    </row>
    <row r="241" spans="1:70" s="2093" customFormat="1" ht="24.95" customHeight="1">
      <c r="A241" s="2327"/>
      <c r="B241" s="2330"/>
      <c r="N241" s="1968"/>
      <c r="P241" s="1968"/>
      <c r="Q241" s="1968"/>
      <c r="S241" s="2369">
        <f>+IF(SEPTIEMBRE!S241=0,"",SEPTIEMBRE!S241)</f>
        <v>8001999</v>
      </c>
      <c r="T241" s="2185" t="str">
        <f>+IF(SEPTIEMBRE!T241=0,"",SEPTIEMBRE!T241)</f>
        <v>Vigencias Anteriores</v>
      </c>
      <c r="U241" s="2140">
        <f>+ENERO!U241</f>
        <v>0</v>
      </c>
      <c r="V241" s="2091">
        <f>SEPTIEMBRE!V241+OCTUBRE!AL241</f>
        <v>0</v>
      </c>
      <c r="W241" s="2091">
        <f>SEPTIEMBRE!W241+OCTUBRE!AM241</f>
        <v>0</v>
      </c>
      <c r="X241" s="2141">
        <f t="shared" si="204"/>
        <v>0</v>
      </c>
      <c r="Y241" s="2142">
        <f>SEPTIEMBRE!AA241</f>
        <v>0</v>
      </c>
      <c r="Z241" s="2077">
        <v>0</v>
      </c>
      <c r="AA241" s="2141">
        <f t="shared" si="205"/>
        <v>0</v>
      </c>
      <c r="AB241" s="2142">
        <f>SEPTIEMBRE!AD241</f>
        <v>0</v>
      </c>
      <c r="AC241" s="2077">
        <v>0</v>
      </c>
      <c r="AD241" s="2141">
        <f t="shared" si="206"/>
        <v>0</v>
      </c>
      <c r="AE241" s="2142">
        <f>SEPTIEMBRE!AG241</f>
        <v>0</v>
      </c>
      <c r="AF241" s="2077">
        <v>0</v>
      </c>
      <c r="AG241" s="2141">
        <f t="shared" si="207"/>
        <v>0</v>
      </c>
      <c r="AH241" s="2142">
        <f t="shared" si="208"/>
        <v>0</v>
      </c>
      <c r="AI241" s="2091">
        <f t="shared" si="209"/>
        <v>0</v>
      </c>
      <c r="AJ241" s="2143">
        <f t="shared" si="210"/>
        <v>0</v>
      </c>
      <c r="AK241" s="1968"/>
      <c r="AL241" s="2079">
        <v>0</v>
      </c>
      <c r="AM241" s="2080">
        <v>0</v>
      </c>
      <c r="AN241" s="1968"/>
      <c r="BB241" s="1876"/>
      <c r="BC241" s="1876"/>
      <c r="BD241" s="1876"/>
      <c r="BE241" s="1876"/>
      <c r="BF241" s="1876"/>
      <c r="BG241" s="1876"/>
      <c r="BH241" s="1876"/>
      <c r="BI241" s="1876"/>
      <c r="BJ241" s="1876"/>
      <c r="BK241" s="1876"/>
      <c r="BL241" s="1876"/>
    </row>
    <row r="242" spans="1:70" ht="24.95" customHeight="1">
      <c r="A242" s="2327"/>
      <c r="B242" s="2330"/>
      <c r="C242" s="2093"/>
      <c r="D242" s="2093"/>
      <c r="E242" s="2093"/>
      <c r="F242" s="2093"/>
      <c r="G242" s="2093"/>
      <c r="H242" s="2093"/>
      <c r="I242" s="2093"/>
      <c r="J242" s="2093"/>
      <c r="K242" s="2093"/>
      <c r="L242" s="2093"/>
      <c r="M242" s="2093"/>
      <c r="N242" s="1968"/>
      <c r="O242" s="2093"/>
      <c r="P242" s="1968"/>
      <c r="Q242" s="1968"/>
      <c r="S242" s="2058" t="str">
        <f>+IF(SEPTIEMBRE!S242=0,"",SEPTIEMBRE!S242)</f>
        <v/>
      </c>
      <c r="T242" s="2059" t="str">
        <f>+IF(SEPTIEMBRE!T242=0,"",SEPTIEMBRE!T242)</f>
        <v/>
      </c>
      <c r="U242" s="2060"/>
      <c r="V242" s="2060"/>
      <c r="W242" s="2060"/>
      <c r="X242" s="2060"/>
      <c r="Y242" s="2060"/>
      <c r="Z242" s="2060"/>
      <c r="AA242" s="2060"/>
      <c r="AB242" s="2060"/>
      <c r="AC242" s="2060"/>
      <c r="AD242" s="2060"/>
      <c r="AE242" s="2060"/>
      <c r="AF242" s="2060"/>
      <c r="AG242" s="2060"/>
      <c r="AH242" s="2060"/>
      <c r="AI242" s="2060"/>
      <c r="AJ242" s="2061"/>
      <c r="AK242" s="1968"/>
      <c r="AL242" s="2248"/>
      <c r="AM242" s="2249"/>
      <c r="BR242" s="2093"/>
    </row>
    <row r="243" spans="1:70" ht="24.95" customHeight="1">
      <c r="A243" s="2327"/>
      <c r="B243" s="2330"/>
      <c r="C243" s="2093"/>
      <c r="D243" s="2093"/>
      <c r="E243" s="2093"/>
      <c r="F243" s="2093"/>
      <c r="G243" s="2093"/>
      <c r="H243" s="2093"/>
      <c r="I243" s="2093"/>
      <c r="J243" s="2093"/>
      <c r="K243" s="2093"/>
      <c r="L243" s="2093"/>
      <c r="M243" s="2093"/>
      <c r="N243" s="1968"/>
      <c r="O243" s="2093"/>
      <c r="P243" s="1968"/>
      <c r="Q243" s="1968"/>
      <c r="S243" s="2130">
        <f>+IF(SEPTIEMBRE!S243=0,"",SEPTIEMBRE!S243)</f>
        <v>8002001</v>
      </c>
      <c r="T243" s="2131" t="str">
        <f>+IF(SEPTIEMBRE!T243=0,"",SEPTIEMBRE!T243)</f>
        <v>Gastos Operativos de Inversion   (Programas Especiales)</v>
      </c>
      <c r="U243" s="2103">
        <f t="shared" ref="U243:AJ243" si="211">SUM(U244:U256)</f>
        <v>0</v>
      </c>
      <c r="V243" s="2104">
        <f t="shared" si="211"/>
        <v>0</v>
      </c>
      <c r="W243" s="2104">
        <f t="shared" si="211"/>
        <v>53878092</v>
      </c>
      <c r="X243" s="2105">
        <f t="shared" si="211"/>
        <v>53878092</v>
      </c>
      <c r="Y243" s="2106">
        <f t="shared" si="211"/>
        <v>0</v>
      </c>
      <c r="Z243" s="2104">
        <f t="shared" si="211"/>
        <v>0</v>
      </c>
      <c r="AA243" s="2105">
        <f t="shared" si="211"/>
        <v>0</v>
      </c>
      <c r="AB243" s="2106">
        <f t="shared" si="211"/>
        <v>0</v>
      </c>
      <c r="AC243" s="2104">
        <f t="shared" si="211"/>
        <v>0</v>
      </c>
      <c r="AD243" s="2105">
        <f t="shared" si="211"/>
        <v>0</v>
      </c>
      <c r="AE243" s="2106">
        <f t="shared" si="211"/>
        <v>0</v>
      </c>
      <c r="AF243" s="2104">
        <f t="shared" si="211"/>
        <v>0</v>
      </c>
      <c r="AG243" s="2105">
        <f t="shared" si="211"/>
        <v>0</v>
      </c>
      <c r="AH243" s="2106">
        <f t="shared" si="211"/>
        <v>53878092</v>
      </c>
      <c r="AI243" s="2104">
        <f t="shared" si="211"/>
        <v>53878092</v>
      </c>
      <c r="AJ243" s="2107">
        <f t="shared" si="211"/>
        <v>53878092</v>
      </c>
      <c r="AK243" s="1968"/>
      <c r="AL243" s="2106">
        <f>SUM(AL244:AL256)</f>
        <v>0</v>
      </c>
      <c r="AM243" s="2107">
        <f>SUM(AM244:AM256)</f>
        <v>0</v>
      </c>
      <c r="BR243" s="2093"/>
    </row>
    <row r="244" spans="1:70" ht="24.95" customHeight="1">
      <c r="A244" s="2327"/>
      <c r="B244" s="2330"/>
      <c r="C244" s="2093"/>
      <c r="D244" s="2093"/>
      <c r="E244" s="2093"/>
      <c r="F244" s="2093"/>
      <c r="G244" s="2093"/>
      <c r="H244" s="2093"/>
      <c r="I244" s="2093"/>
      <c r="J244" s="2093"/>
      <c r="K244" s="2093"/>
      <c r="L244" s="2093"/>
      <c r="M244" s="2093"/>
      <c r="N244" s="1968"/>
      <c r="O244" s="2093"/>
      <c r="P244" s="1968"/>
      <c r="Q244" s="1968"/>
      <c r="S244" s="2184" t="str">
        <f>+IF(SEPTIEMBRE!S244=0,"",SEPTIEMBRE!S244)</f>
        <v>8002100-1</v>
      </c>
      <c r="T244" s="2185" t="str">
        <f>+IF(SEPTIEMBRE!T244=0,"",SEPTIEMBRE!T244)</f>
        <v>Fondo de la Vivienda</v>
      </c>
      <c r="U244" s="2140">
        <f>+ENERO!U244</f>
        <v>0</v>
      </c>
      <c r="V244" s="2091">
        <f>SEPTIEMBRE!V244+OCTUBRE!AL244</f>
        <v>0</v>
      </c>
      <c r="W244" s="2091">
        <f>SEPTIEMBRE!W244+OCTUBRE!AM244</f>
        <v>53878092</v>
      </c>
      <c r="X244" s="2141">
        <f t="shared" ref="X244:X256" si="212">SUM(U244:W244)</f>
        <v>53878092</v>
      </c>
      <c r="Y244" s="2142">
        <f>SEPTIEMBRE!AA244</f>
        <v>0</v>
      </c>
      <c r="Z244" s="2077">
        <v>0</v>
      </c>
      <c r="AA244" s="2141">
        <f t="shared" ref="AA244:AA256" si="213">SUM(Y244:Z244)</f>
        <v>0</v>
      </c>
      <c r="AB244" s="2142">
        <f>SEPTIEMBRE!AD244</f>
        <v>0</v>
      </c>
      <c r="AC244" s="2077">
        <v>0</v>
      </c>
      <c r="AD244" s="2141">
        <f t="shared" ref="AD244:AD256" si="214">SUM(AB244:AC244)</f>
        <v>0</v>
      </c>
      <c r="AE244" s="2142">
        <f>SEPTIEMBRE!AG244</f>
        <v>0</v>
      </c>
      <c r="AF244" s="2077">
        <v>0</v>
      </c>
      <c r="AG244" s="2141">
        <f t="shared" ref="AG244:AG256" si="215">SUM(AE244:AF244)</f>
        <v>0</v>
      </c>
      <c r="AH244" s="2142">
        <f t="shared" ref="AH244:AH256" si="216">X244-AA244</f>
        <v>53878092</v>
      </c>
      <c r="AI244" s="2091">
        <f t="shared" ref="AI244:AI256" si="217">X244-AD244</f>
        <v>53878092</v>
      </c>
      <c r="AJ244" s="2143">
        <f t="shared" ref="AJ244:AJ256" si="218">X244-AG244</f>
        <v>53878092</v>
      </c>
      <c r="AK244" s="1968"/>
      <c r="AL244" s="2079">
        <v>0</v>
      </c>
      <c r="AM244" s="2080">
        <v>0</v>
      </c>
    </row>
    <row r="245" spans="1:70" ht="24.95" customHeight="1">
      <c r="A245" s="2327"/>
      <c r="B245" s="2330"/>
      <c r="C245" s="2093"/>
      <c r="D245" s="2093"/>
      <c r="E245" s="2093"/>
      <c r="F245" s="2093"/>
      <c r="G245" s="2093"/>
      <c r="H245" s="2093"/>
      <c r="I245" s="2093"/>
      <c r="J245" s="2093"/>
      <c r="K245" s="2093"/>
      <c r="L245" s="2093"/>
      <c r="M245" s="2093"/>
      <c r="N245" s="1968"/>
      <c r="O245" s="2093"/>
      <c r="P245" s="1968"/>
      <c r="Q245" s="1968"/>
      <c r="S245" s="2184" t="str">
        <f>+IF(SEPTIEMBRE!S245=0,"",SEPTIEMBRE!S245)</f>
        <v>8002100-2</v>
      </c>
      <c r="T245" s="2185" t="str">
        <f>+IF(SEPTIEMBRE!T245=0,"",SEPTIEMBRE!T245)</f>
        <v>Programas Especial 01</v>
      </c>
      <c r="U245" s="2140">
        <f>+ENERO!U245</f>
        <v>0</v>
      </c>
      <c r="V245" s="2091">
        <f>SEPTIEMBRE!V245+OCTUBRE!AL245</f>
        <v>0</v>
      </c>
      <c r="W245" s="2091">
        <f>SEPTIEMBRE!W245+OCTUBRE!AM245</f>
        <v>0</v>
      </c>
      <c r="X245" s="2141">
        <f t="shared" si="212"/>
        <v>0</v>
      </c>
      <c r="Y245" s="2142">
        <f>SEPTIEMBRE!AA245</f>
        <v>0</v>
      </c>
      <c r="Z245" s="2077">
        <v>0</v>
      </c>
      <c r="AA245" s="2141">
        <f t="shared" si="213"/>
        <v>0</v>
      </c>
      <c r="AB245" s="2142">
        <f>SEPTIEMBRE!AD245</f>
        <v>0</v>
      </c>
      <c r="AC245" s="2077">
        <v>0</v>
      </c>
      <c r="AD245" s="2141">
        <f t="shared" si="214"/>
        <v>0</v>
      </c>
      <c r="AE245" s="2142">
        <f>SEPTIEMBRE!AG245</f>
        <v>0</v>
      </c>
      <c r="AF245" s="2077">
        <v>0</v>
      </c>
      <c r="AG245" s="2141">
        <f t="shared" si="215"/>
        <v>0</v>
      </c>
      <c r="AH245" s="2142">
        <f t="shared" si="216"/>
        <v>0</v>
      </c>
      <c r="AI245" s="2091">
        <f t="shared" si="217"/>
        <v>0</v>
      </c>
      <c r="AJ245" s="2143">
        <f t="shared" si="218"/>
        <v>0</v>
      </c>
      <c r="AK245" s="1968"/>
      <c r="AL245" s="2079">
        <v>0</v>
      </c>
      <c r="AM245" s="2080">
        <v>0</v>
      </c>
    </row>
    <row r="246" spans="1:70" ht="24.95" customHeight="1">
      <c r="A246" s="2327"/>
      <c r="B246" s="2330"/>
      <c r="C246" s="2093"/>
      <c r="D246" s="2093"/>
      <c r="E246" s="2093"/>
      <c r="F246" s="2093"/>
      <c r="G246" s="2093"/>
      <c r="H246" s="2093"/>
      <c r="I246" s="2093"/>
      <c r="J246" s="2093"/>
      <c r="K246" s="2093"/>
      <c r="L246" s="2093"/>
      <c r="M246" s="2093"/>
      <c r="N246" s="1968"/>
      <c r="O246" s="2093"/>
      <c r="P246" s="1968"/>
      <c r="Q246" s="1968"/>
      <c r="S246" s="2184" t="str">
        <f>+IF(SEPTIEMBRE!S246=0,"",SEPTIEMBRE!S246)</f>
        <v>8002100-3</v>
      </c>
      <c r="T246" s="2185" t="str">
        <f>+IF(SEPTIEMBRE!T246=0,"",SEPTIEMBRE!T246)</f>
        <v>Programas Especial 02</v>
      </c>
      <c r="U246" s="2140">
        <f>+ENERO!U246</f>
        <v>0</v>
      </c>
      <c r="V246" s="2091">
        <f>SEPTIEMBRE!V246+OCTUBRE!AL246</f>
        <v>0</v>
      </c>
      <c r="W246" s="2091">
        <f>SEPTIEMBRE!W246+OCTUBRE!AM246</f>
        <v>0</v>
      </c>
      <c r="X246" s="2141">
        <f t="shared" si="212"/>
        <v>0</v>
      </c>
      <c r="Y246" s="2142">
        <f>SEPTIEMBRE!AA246</f>
        <v>0</v>
      </c>
      <c r="Z246" s="2077">
        <v>0</v>
      </c>
      <c r="AA246" s="2141">
        <f t="shared" si="213"/>
        <v>0</v>
      </c>
      <c r="AB246" s="2142">
        <f>SEPTIEMBRE!AD246</f>
        <v>0</v>
      </c>
      <c r="AC246" s="2077">
        <v>0</v>
      </c>
      <c r="AD246" s="2141">
        <f t="shared" si="214"/>
        <v>0</v>
      </c>
      <c r="AE246" s="2142">
        <f>SEPTIEMBRE!AG246</f>
        <v>0</v>
      </c>
      <c r="AF246" s="2077">
        <v>0</v>
      </c>
      <c r="AG246" s="2141">
        <f t="shared" si="215"/>
        <v>0</v>
      </c>
      <c r="AH246" s="2142">
        <f t="shared" si="216"/>
        <v>0</v>
      </c>
      <c r="AI246" s="2091">
        <f t="shared" si="217"/>
        <v>0</v>
      </c>
      <c r="AJ246" s="2143">
        <f t="shared" si="218"/>
        <v>0</v>
      </c>
      <c r="AK246" s="1968"/>
      <c r="AL246" s="2079">
        <v>0</v>
      </c>
      <c r="AM246" s="2080">
        <v>0</v>
      </c>
    </row>
    <row r="247" spans="1:70" ht="24.95" customHeight="1">
      <c r="A247" s="2327"/>
      <c r="B247" s="2330"/>
      <c r="C247" s="2093"/>
      <c r="D247" s="2093"/>
      <c r="E247" s="2093"/>
      <c r="F247" s="2093"/>
      <c r="G247" s="2093"/>
      <c r="H247" s="2093"/>
      <c r="I247" s="2093"/>
      <c r="J247" s="2093"/>
      <c r="K247" s="2093"/>
      <c r="L247" s="2093"/>
      <c r="M247" s="2093"/>
      <c r="N247" s="1968"/>
      <c r="O247" s="2093"/>
      <c r="P247" s="1968"/>
      <c r="Q247" s="1968"/>
      <c r="S247" s="2184" t="str">
        <f>+IF(SEPTIEMBRE!S247=0,"",SEPTIEMBRE!S247)</f>
        <v>8002100-4</v>
      </c>
      <c r="T247" s="2185" t="str">
        <f>+IF(SEPTIEMBRE!T247=0,"",SEPTIEMBRE!T247)</f>
        <v>Programas Especial 03</v>
      </c>
      <c r="U247" s="2140">
        <f>+ENERO!U247</f>
        <v>0</v>
      </c>
      <c r="V247" s="2091">
        <f>SEPTIEMBRE!V247+OCTUBRE!AL247</f>
        <v>0</v>
      </c>
      <c r="W247" s="2091">
        <f>SEPTIEMBRE!W247+OCTUBRE!AM247</f>
        <v>0</v>
      </c>
      <c r="X247" s="2141">
        <f t="shared" si="212"/>
        <v>0</v>
      </c>
      <c r="Y247" s="2142">
        <f>SEPTIEMBRE!AA247</f>
        <v>0</v>
      </c>
      <c r="Z247" s="2077">
        <v>0</v>
      </c>
      <c r="AA247" s="2141">
        <f t="shared" si="213"/>
        <v>0</v>
      </c>
      <c r="AB247" s="2142">
        <f>SEPTIEMBRE!AD247</f>
        <v>0</v>
      </c>
      <c r="AC247" s="2077">
        <v>0</v>
      </c>
      <c r="AD247" s="2141">
        <f t="shared" si="214"/>
        <v>0</v>
      </c>
      <c r="AE247" s="2142">
        <f>SEPTIEMBRE!AG247</f>
        <v>0</v>
      </c>
      <c r="AF247" s="2077">
        <v>0</v>
      </c>
      <c r="AG247" s="2141">
        <f t="shared" si="215"/>
        <v>0</v>
      </c>
      <c r="AH247" s="2142">
        <f t="shared" si="216"/>
        <v>0</v>
      </c>
      <c r="AI247" s="2091">
        <f t="shared" si="217"/>
        <v>0</v>
      </c>
      <c r="AJ247" s="2143">
        <f t="shared" si="218"/>
        <v>0</v>
      </c>
      <c r="AK247" s="1968"/>
      <c r="AL247" s="2079">
        <v>0</v>
      </c>
      <c r="AM247" s="2080">
        <v>0</v>
      </c>
    </row>
    <row r="248" spans="1:70" ht="24.95" customHeight="1">
      <c r="A248" s="2327"/>
      <c r="B248" s="2330"/>
      <c r="C248" s="2093"/>
      <c r="D248" s="2093"/>
      <c r="E248" s="2093"/>
      <c r="F248" s="2093"/>
      <c r="G248" s="2093"/>
      <c r="H248" s="2093"/>
      <c r="I248" s="2093"/>
      <c r="J248" s="2093"/>
      <c r="K248" s="2093"/>
      <c r="L248" s="2093"/>
      <c r="M248" s="2093"/>
      <c r="N248" s="1968"/>
      <c r="O248" s="2093"/>
      <c r="P248" s="1968"/>
      <c r="Q248" s="1968"/>
      <c r="S248" s="2184" t="str">
        <f>+IF(SEPTIEMBRE!S248=0,"",SEPTIEMBRE!S248)</f>
        <v>8002100-5</v>
      </c>
      <c r="T248" s="2185" t="str">
        <f>+IF(SEPTIEMBRE!T248=0,"",SEPTIEMBRE!T248)</f>
        <v>Programas Especial 04</v>
      </c>
      <c r="U248" s="2140">
        <f>+ENERO!U248</f>
        <v>0</v>
      </c>
      <c r="V248" s="2091">
        <f>SEPTIEMBRE!V248+OCTUBRE!AL248</f>
        <v>0</v>
      </c>
      <c r="W248" s="2091">
        <f>SEPTIEMBRE!W248+OCTUBRE!AM248</f>
        <v>0</v>
      </c>
      <c r="X248" s="2141">
        <f t="shared" si="212"/>
        <v>0</v>
      </c>
      <c r="Y248" s="2142">
        <f>SEPTIEMBRE!AA248</f>
        <v>0</v>
      </c>
      <c r="Z248" s="2077">
        <v>0</v>
      </c>
      <c r="AA248" s="2141">
        <f t="shared" si="213"/>
        <v>0</v>
      </c>
      <c r="AB248" s="2142">
        <f>SEPTIEMBRE!AD248</f>
        <v>0</v>
      </c>
      <c r="AC248" s="2077">
        <v>0</v>
      </c>
      <c r="AD248" s="2141">
        <f t="shared" si="214"/>
        <v>0</v>
      </c>
      <c r="AE248" s="2142">
        <f>SEPTIEMBRE!AG248</f>
        <v>0</v>
      </c>
      <c r="AF248" s="2077">
        <v>0</v>
      </c>
      <c r="AG248" s="2141">
        <f t="shared" si="215"/>
        <v>0</v>
      </c>
      <c r="AH248" s="2142">
        <f t="shared" si="216"/>
        <v>0</v>
      </c>
      <c r="AI248" s="2091">
        <f t="shared" si="217"/>
        <v>0</v>
      </c>
      <c r="AJ248" s="2143">
        <f t="shared" si="218"/>
        <v>0</v>
      </c>
      <c r="AK248" s="1968"/>
      <c r="AL248" s="2079">
        <v>0</v>
      </c>
      <c r="AM248" s="2080">
        <v>0</v>
      </c>
    </row>
    <row r="249" spans="1:70" ht="24.95" customHeight="1">
      <c r="A249" s="2327"/>
      <c r="B249" s="2330"/>
      <c r="C249" s="2093"/>
      <c r="D249" s="2093"/>
      <c r="E249" s="2093"/>
      <c r="F249" s="2093"/>
      <c r="G249" s="2093"/>
      <c r="H249" s="2093"/>
      <c r="I249" s="2093"/>
      <c r="J249" s="2093"/>
      <c r="K249" s="2093"/>
      <c r="L249" s="2093"/>
      <c r="M249" s="2093"/>
      <c r="N249" s="1968"/>
      <c r="O249" s="2093"/>
      <c r="P249" s="1968"/>
      <c r="Q249" s="1968"/>
      <c r="S249" s="2184" t="str">
        <f>+IF(SEPTIEMBRE!S249=0,"",SEPTIEMBRE!S249)</f>
        <v>8002100-6</v>
      </c>
      <c r="T249" s="2185" t="str">
        <f>+IF(SEPTIEMBRE!T249=0,"",SEPTIEMBRE!T249)</f>
        <v>Programas Especial 05</v>
      </c>
      <c r="U249" s="2140">
        <f>+ENERO!U249</f>
        <v>0</v>
      </c>
      <c r="V249" s="2091">
        <f>SEPTIEMBRE!V249+OCTUBRE!AL249</f>
        <v>0</v>
      </c>
      <c r="W249" s="2091">
        <f>SEPTIEMBRE!W249+OCTUBRE!AM249</f>
        <v>0</v>
      </c>
      <c r="X249" s="2141">
        <f t="shared" si="212"/>
        <v>0</v>
      </c>
      <c r="Y249" s="2142">
        <f>SEPTIEMBRE!AA249</f>
        <v>0</v>
      </c>
      <c r="Z249" s="2077">
        <v>0</v>
      </c>
      <c r="AA249" s="2141">
        <f t="shared" si="213"/>
        <v>0</v>
      </c>
      <c r="AB249" s="2142">
        <f>SEPTIEMBRE!AD249</f>
        <v>0</v>
      </c>
      <c r="AC249" s="2077">
        <v>0</v>
      </c>
      <c r="AD249" s="2141">
        <f t="shared" si="214"/>
        <v>0</v>
      </c>
      <c r="AE249" s="2142">
        <f>SEPTIEMBRE!AG249</f>
        <v>0</v>
      </c>
      <c r="AF249" s="2077">
        <v>0</v>
      </c>
      <c r="AG249" s="2141">
        <f t="shared" si="215"/>
        <v>0</v>
      </c>
      <c r="AH249" s="2142">
        <f t="shared" si="216"/>
        <v>0</v>
      </c>
      <c r="AI249" s="2091">
        <f t="shared" si="217"/>
        <v>0</v>
      </c>
      <c r="AJ249" s="2143">
        <f t="shared" si="218"/>
        <v>0</v>
      </c>
      <c r="AK249" s="1968"/>
      <c r="AL249" s="2079">
        <v>0</v>
      </c>
      <c r="AM249" s="2080">
        <v>0</v>
      </c>
    </row>
    <row r="250" spans="1:70" ht="24.95" customHeight="1">
      <c r="A250" s="2327"/>
      <c r="B250" s="2330"/>
      <c r="C250" s="2093"/>
      <c r="D250" s="2093"/>
      <c r="E250" s="2093"/>
      <c r="F250" s="2093"/>
      <c r="G250" s="2093"/>
      <c r="H250" s="2093"/>
      <c r="I250" s="2093"/>
      <c r="J250" s="2093"/>
      <c r="K250" s="2093"/>
      <c r="L250" s="2093"/>
      <c r="M250" s="2093"/>
      <c r="N250" s="1968"/>
      <c r="O250" s="2093"/>
      <c r="P250" s="1968"/>
      <c r="Q250" s="1968"/>
      <c r="S250" s="2184" t="str">
        <f>+IF(SEPTIEMBRE!S250=0,"",SEPTIEMBRE!S250)</f>
        <v>8002100-7</v>
      </c>
      <c r="T250" s="2185" t="str">
        <f>+IF(SEPTIEMBRE!T250=0,"",SEPTIEMBRE!T250)</f>
        <v>Programas Especial 06</v>
      </c>
      <c r="U250" s="2140">
        <f>+ENERO!U250</f>
        <v>0</v>
      </c>
      <c r="V250" s="2091">
        <f>SEPTIEMBRE!V250+OCTUBRE!AL250</f>
        <v>0</v>
      </c>
      <c r="W250" s="2091">
        <f>SEPTIEMBRE!W250+OCTUBRE!AM250</f>
        <v>0</v>
      </c>
      <c r="X250" s="2141">
        <f>SUM(U250:W250)</f>
        <v>0</v>
      </c>
      <c r="Y250" s="2142">
        <f>SEPTIEMBRE!AA250</f>
        <v>0</v>
      </c>
      <c r="Z250" s="2077">
        <v>0</v>
      </c>
      <c r="AA250" s="2141">
        <f>SUM(Y250:Z250)</f>
        <v>0</v>
      </c>
      <c r="AB250" s="2142">
        <f>SEPTIEMBRE!AD250</f>
        <v>0</v>
      </c>
      <c r="AC250" s="2077">
        <v>0</v>
      </c>
      <c r="AD250" s="2141">
        <f>SUM(AB250:AC250)</f>
        <v>0</v>
      </c>
      <c r="AE250" s="2142">
        <f>SEPTIEMBRE!AG250</f>
        <v>0</v>
      </c>
      <c r="AF250" s="2077">
        <v>0</v>
      </c>
      <c r="AG250" s="2141">
        <f>SUM(AE250:AF250)</f>
        <v>0</v>
      </c>
      <c r="AH250" s="2142">
        <f>X250-AA250</f>
        <v>0</v>
      </c>
      <c r="AI250" s="2091">
        <f>X250-AD250</f>
        <v>0</v>
      </c>
      <c r="AJ250" s="2143">
        <f>X250-AG250</f>
        <v>0</v>
      </c>
      <c r="AK250" s="1968"/>
      <c r="AL250" s="2079">
        <v>0</v>
      </c>
      <c r="AM250" s="2080">
        <v>0</v>
      </c>
    </row>
    <row r="251" spans="1:70" ht="24.95" customHeight="1">
      <c r="A251" s="2327"/>
      <c r="B251" s="2330"/>
      <c r="C251" s="2093"/>
      <c r="D251" s="2093"/>
      <c r="E251" s="2093"/>
      <c r="F251" s="2093"/>
      <c r="G251" s="2093"/>
      <c r="H251" s="2093"/>
      <c r="I251" s="2093"/>
      <c r="J251" s="2093"/>
      <c r="K251" s="2093"/>
      <c r="L251" s="2093"/>
      <c r="M251" s="2093"/>
      <c r="N251" s="1968"/>
      <c r="O251" s="2093"/>
      <c r="P251" s="1968"/>
      <c r="Q251" s="1968"/>
      <c r="S251" s="2184" t="str">
        <f>+IF(SEPTIEMBRE!S251=0,"",SEPTIEMBRE!S251)</f>
        <v>8002100-8</v>
      </c>
      <c r="T251" s="2185" t="str">
        <f>+IF(SEPTIEMBRE!T251=0,"",SEPTIEMBRE!T251)</f>
        <v>Programas Especial 07</v>
      </c>
      <c r="U251" s="2140">
        <f>+ENERO!U251</f>
        <v>0</v>
      </c>
      <c r="V251" s="2091">
        <f>SEPTIEMBRE!V251+OCTUBRE!AL251</f>
        <v>0</v>
      </c>
      <c r="W251" s="2091">
        <f>SEPTIEMBRE!W251+OCTUBRE!AM251</f>
        <v>0</v>
      </c>
      <c r="X251" s="2141">
        <f>SUM(U251:W251)</f>
        <v>0</v>
      </c>
      <c r="Y251" s="2142">
        <f>SEPTIEMBRE!AA251</f>
        <v>0</v>
      </c>
      <c r="Z251" s="2077">
        <v>0</v>
      </c>
      <c r="AA251" s="2141">
        <f>SUM(Y251:Z251)</f>
        <v>0</v>
      </c>
      <c r="AB251" s="2142">
        <f>SEPTIEMBRE!AD251</f>
        <v>0</v>
      </c>
      <c r="AC251" s="2077">
        <v>0</v>
      </c>
      <c r="AD251" s="2141">
        <f>SUM(AB251:AC251)</f>
        <v>0</v>
      </c>
      <c r="AE251" s="2142">
        <f>SEPTIEMBRE!AG251</f>
        <v>0</v>
      </c>
      <c r="AF251" s="2077">
        <v>0</v>
      </c>
      <c r="AG251" s="2141">
        <f>SUM(AE251:AF251)</f>
        <v>0</v>
      </c>
      <c r="AH251" s="2142">
        <f>X251-AA251</f>
        <v>0</v>
      </c>
      <c r="AI251" s="2091">
        <f>X251-AD251</f>
        <v>0</v>
      </c>
      <c r="AJ251" s="2143">
        <f>X251-AG251</f>
        <v>0</v>
      </c>
      <c r="AK251" s="1968"/>
      <c r="AL251" s="2079">
        <v>0</v>
      </c>
      <c r="AM251" s="2080">
        <v>0</v>
      </c>
    </row>
    <row r="252" spans="1:70" ht="24.95" customHeight="1">
      <c r="A252" s="2327"/>
      <c r="B252" s="2330"/>
      <c r="C252" s="2093"/>
      <c r="D252" s="2093"/>
      <c r="E252" s="2093"/>
      <c r="F252" s="2093"/>
      <c r="G252" s="2093"/>
      <c r="H252" s="2093"/>
      <c r="I252" s="2093"/>
      <c r="J252" s="2093"/>
      <c r="K252" s="2093"/>
      <c r="L252" s="2093"/>
      <c r="M252" s="2093"/>
      <c r="N252" s="1968"/>
      <c r="O252" s="2093"/>
      <c r="P252" s="1968"/>
      <c r="Q252" s="1968"/>
      <c r="S252" s="2184" t="str">
        <f>+IF(SEPTIEMBRE!S252=0,"",SEPTIEMBRE!S252)</f>
        <v>8002100-9</v>
      </c>
      <c r="T252" s="2185" t="str">
        <f>+IF(SEPTIEMBRE!T252=0,"",SEPTIEMBRE!T252)</f>
        <v>Programas Especial 08</v>
      </c>
      <c r="U252" s="2140">
        <f>+ENERO!U252</f>
        <v>0</v>
      </c>
      <c r="V252" s="2091">
        <f>SEPTIEMBRE!V252+OCTUBRE!AL252</f>
        <v>0</v>
      </c>
      <c r="W252" s="2091">
        <f>SEPTIEMBRE!W252+OCTUBRE!AM252</f>
        <v>0</v>
      </c>
      <c r="X252" s="2141">
        <f>SUM(U252:W252)</f>
        <v>0</v>
      </c>
      <c r="Y252" s="2142">
        <f>SEPTIEMBRE!AA252</f>
        <v>0</v>
      </c>
      <c r="Z252" s="2077">
        <v>0</v>
      </c>
      <c r="AA252" s="2141">
        <f>SUM(Y252:Z252)</f>
        <v>0</v>
      </c>
      <c r="AB252" s="2142">
        <f>SEPTIEMBRE!AD252</f>
        <v>0</v>
      </c>
      <c r="AC252" s="2077">
        <v>0</v>
      </c>
      <c r="AD252" s="2141">
        <f>SUM(AB252:AC252)</f>
        <v>0</v>
      </c>
      <c r="AE252" s="2142">
        <f>SEPTIEMBRE!AG252</f>
        <v>0</v>
      </c>
      <c r="AF252" s="2077">
        <v>0</v>
      </c>
      <c r="AG252" s="2141">
        <f>SUM(AE252:AF252)</f>
        <v>0</v>
      </c>
      <c r="AH252" s="2142">
        <f>X252-AA252</f>
        <v>0</v>
      </c>
      <c r="AI252" s="2091">
        <f>X252-AD252</f>
        <v>0</v>
      </c>
      <c r="AJ252" s="2143">
        <f>X252-AG252</f>
        <v>0</v>
      </c>
      <c r="AK252" s="1968"/>
      <c r="AL252" s="2079">
        <v>0</v>
      </c>
      <c r="AM252" s="2080">
        <v>0</v>
      </c>
    </row>
    <row r="253" spans="1:70" ht="24.95" customHeight="1">
      <c r="A253" s="2327"/>
      <c r="B253" s="2330"/>
      <c r="C253" s="2093"/>
      <c r="D253" s="2093"/>
      <c r="E253" s="2093"/>
      <c r="F253" s="2093"/>
      <c r="G253" s="2093"/>
      <c r="H253" s="2093"/>
      <c r="I253" s="2093"/>
      <c r="J253" s="2093"/>
      <c r="K253" s="2093"/>
      <c r="L253" s="2093"/>
      <c r="M253" s="2093"/>
      <c r="N253" s="1968"/>
      <c r="O253" s="2093"/>
      <c r="P253" s="1968"/>
      <c r="Q253" s="1968"/>
      <c r="S253" s="2184" t="str">
        <f>+IF(SEPTIEMBRE!S253=0,"",SEPTIEMBRE!S253)</f>
        <v>8002100-10</v>
      </c>
      <c r="T253" s="2185" t="str">
        <f>+IF(SEPTIEMBRE!T253=0,"",SEPTIEMBRE!T253)</f>
        <v>Programas Especial 09</v>
      </c>
      <c r="U253" s="2140">
        <f>+ENERO!U253</f>
        <v>0</v>
      </c>
      <c r="V253" s="2091">
        <f>SEPTIEMBRE!V253+OCTUBRE!AL253</f>
        <v>0</v>
      </c>
      <c r="W253" s="2091">
        <f>SEPTIEMBRE!W253+OCTUBRE!AM253</f>
        <v>0</v>
      </c>
      <c r="X253" s="2141">
        <f>SUM(U253:W253)</f>
        <v>0</v>
      </c>
      <c r="Y253" s="2142">
        <f>SEPTIEMBRE!AA253</f>
        <v>0</v>
      </c>
      <c r="Z253" s="2077">
        <v>0</v>
      </c>
      <c r="AA253" s="2141">
        <f>SUM(Y253:Z253)</f>
        <v>0</v>
      </c>
      <c r="AB253" s="2142">
        <f>SEPTIEMBRE!AD253</f>
        <v>0</v>
      </c>
      <c r="AC253" s="2077">
        <v>0</v>
      </c>
      <c r="AD253" s="2141">
        <f>SUM(AB253:AC253)</f>
        <v>0</v>
      </c>
      <c r="AE253" s="2142">
        <f>SEPTIEMBRE!AG253</f>
        <v>0</v>
      </c>
      <c r="AF253" s="2077">
        <v>0</v>
      </c>
      <c r="AG253" s="2141">
        <f>SUM(AE253:AF253)</f>
        <v>0</v>
      </c>
      <c r="AH253" s="2142">
        <f>X253-AA253</f>
        <v>0</v>
      </c>
      <c r="AI253" s="2091">
        <f>X253-AD253</f>
        <v>0</v>
      </c>
      <c r="AJ253" s="2143">
        <f>X253-AG253</f>
        <v>0</v>
      </c>
      <c r="AK253" s="1968"/>
      <c r="AL253" s="2079">
        <v>0</v>
      </c>
      <c r="AM253" s="2080">
        <v>0</v>
      </c>
    </row>
    <row r="254" spans="1:70" ht="24.95" customHeight="1">
      <c r="A254" s="2327"/>
      <c r="B254" s="2330"/>
      <c r="C254" s="2093"/>
      <c r="D254" s="2093"/>
      <c r="E254" s="2093"/>
      <c r="F254" s="2093"/>
      <c r="G254" s="2093"/>
      <c r="H254" s="2093"/>
      <c r="I254" s="2093"/>
      <c r="J254" s="2093"/>
      <c r="K254" s="2093"/>
      <c r="L254" s="2093"/>
      <c r="M254" s="2093"/>
      <c r="N254" s="1968"/>
      <c r="O254" s="2093"/>
      <c r="P254" s="1968"/>
      <c r="Q254" s="1968"/>
      <c r="S254" s="2184" t="str">
        <f>+IF(SEPTIEMBRE!S254=0,"",SEPTIEMBRE!S254)</f>
        <v>8002100-11</v>
      </c>
      <c r="T254" s="2185" t="str">
        <f>+IF(SEPTIEMBRE!T254=0,"",SEPTIEMBRE!T254)</f>
        <v>Programas Especial 10</v>
      </c>
      <c r="U254" s="2140">
        <f>+ENERO!U254</f>
        <v>0</v>
      </c>
      <c r="V254" s="2091">
        <f>SEPTIEMBRE!V254+OCTUBRE!AL254</f>
        <v>0</v>
      </c>
      <c r="W254" s="2091">
        <f>SEPTIEMBRE!W254+OCTUBRE!AM254</f>
        <v>0</v>
      </c>
      <c r="X254" s="2141">
        <f>SUM(U254:W254)</f>
        <v>0</v>
      </c>
      <c r="Y254" s="2142">
        <f>SEPTIEMBRE!AA254</f>
        <v>0</v>
      </c>
      <c r="Z254" s="2077">
        <v>0</v>
      </c>
      <c r="AA254" s="2141">
        <f>SUM(Y254:Z254)</f>
        <v>0</v>
      </c>
      <c r="AB254" s="2142">
        <f>SEPTIEMBRE!AD254</f>
        <v>0</v>
      </c>
      <c r="AC254" s="2077">
        <v>0</v>
      </c>
      <c r="AD254" s="2141">
        <f>SUM(AB254:AC254)</f>
        <v>0</v>
      </c>
      <c r="AE254" s="2142">
        <f>SEPTIEMBRE!AG254</f>
        <v>0</v>
      </c>
      <c r="AF254" s="2077">
        <v>0</v>
      </c>
      <c r="AG254" s="2141">
        <f>SUM(AE254:AF254)</f>
        <v>0</v>
      </c>
      <c r="AH254" s="2142">
        <f>X254-AA254</f>
        <v>0</v>
      </c>
      <c r="AI254" s="2091">
        <f>X254-AD254</f>
        <v>0</v>
      </c>
      <c r="AJ254" s="2143">
        <f>X254-AG254</f>
        <v>0</v>
      </c>
      <c r="AK254" s="1968"/>
      <c r="AL254" s="2079">
        <v>0</v>
      </c>
      <c r="AM254" s="2080">
        <v>0</v>
      </c>
    </row>
    <row r="255" spans="1:70" ht="24.95" customHeight="1">
      <c r="A255" s="2327"/>
      <c r="B255" s="2330"/>
      <c r="C255" s="2093"/>
      <c r="D255" s="2093"/>
      <c r="E255" s="2093"/>
      <c r="F255" s="2093"/>
      <c r="G255" s="2093"/>
      <c r="H255" s="2093"/>
      <c r="I255" s="2093"/>
      <c r="J255" s="2093"/>
      <c r="K255" s="2093"/>
      <c r="L255" s="2093"/>
      <c r="M255" s="2093"/>
      <c r="N255" s="1968"/>
      <c r="O255" s="2093"/>
      <c r="P255" s="1968"/>
      <c r="Q255" s="1968"/>
      <c r="S255" s="2184" t="str">
        <f>+IF(SEPTIEMBRE!S255=0,"",SEPTIEMBRE!S255)</f>
        <v>8002100-12</v>
      </c>
      <c r="T255" s="2185" t="str">
        <f>+IF(SEPTIEMBRE!T255=0,"",SEPTIEMBRE!T255)</f>
        <v>Programas Especial 11</v>
      </c>
      <c r="U255" s="2140">
        <f>+ENERO!U255</f>
        <v>0</v>
      </c>
      <c r="V255" s="2091">
        <f>SEPTIEMBRE!V255+OCTUBRE!AL255</f>
        <v>0</v>
      </c>
      <c r="W255" s="2091">
        <f>SEPTIEMBRE!W255+OCTUBRE!AM255</f>
        <v>0</v>
      </c>
      <c r="X255" s="2141">
        <f t="shared" si="212"/>
        <v>0</v>
      </c>
      <c r="Y255" s="2142">
        <f>SEPTIEMBRE!AA255</f>
        <v>0</v>
      </c>
      <c r="Z255" s="2077">
        <v>0</v>
      </c>
      <c r="AA255" s="2141">
        <f t="shared" si="213"/>
        <v>0</v>
      </c>
      <c r="AB255" s="2142">
        <f>SEPTIEMBRE!AD255</f>
        <v>0</v>
      </c>
      <c r="AC255" s="2077">
        <v>0</v>
      </c>
      <c r="AD255" s="2141">
        <f t="shared" si="214"/>
        <v>0</v>
      </c>
      <c r="AE255" s="2142">
        <f>SEPTIEMBRE!AG255</f>
        <v>0</v>
      </c>
      <c r="AF255" s="2077">
        <v>0</v>
      </c>
      <c r="AG255" s="2141">
        <f t="shared" si="215"/>
        <v>0</v>
      </c>
      <c r="AH255" s="2142">
        <f t="shared" si="216"/>
        <v>0</v>
      </c>
      <c r="AI255" s="2091">
        <f t="shared" si="217"/>
        <v>0</v>
      </c>
      <c r="AJ255" s="2143">
        <f t="shared" si="218"/>
        <v>0</v>
      </c>
      <c r="AK255" s="1968"/>
      <c r="AL255" s="2079">
        <v>0</v>
      </c>
      <c r="AM255" s="2080">
        <v>0</v>
      </c>
    </row>
    <row r="256" spans="1:70" ht="24.95" customHeight="1" thickBot="1">
      <c r="A256" s="2327"/>
      <c r="B256" s="2330"/>
      <c r="C256" s="2093"/>
      <c r="D256" s="2093"/>
      <c r="E256" s="2093"/>
      <c r="F256" s="2093"/>
      <c r="G256" s="2093"/>
      <c r="H256" s="2093"/>
      <c r="I256" s="2093"/>
      <c r="J256" s="2093"/>
      <c r="K256" s="2093"/>
      <c r="L256" s="2093"/>
      <c r="M256" s="2093"/>
      <c r="N256" s="1968"/>
      <c r="O256" s="2093"/>
      <c r="P256" s="1968"/>
      <c r="Q256" s="1968"/>
      <c r="S256" s="2354">
        <f>+IF(SEPTIEMBRE!S256=0,"",SEPTIEMBRE!S256)</f>
        <v>8002999</v>
      </c>
      <c r="T256" s="2355" t="str">
        <f>+IF(SEPTIEMBRE!T256=0,"",SEPTIEMBRE!T256)</f>
        <v>Vigencias Anteriores</v>
      </c>
      <c r="U256" s="2343">
        <f>+ENERO!U256</f>
        <v>0</v>
      </c>
      <c r="V256" s="2344">
        <f>SEPTIEMBRE!V256+OCTUBRE!AL256</f>
        <v>0</v>
      </c>
      <c r="W256" s="2344">
        <f>SEPTIEMBRE!W256+OCTUBRE!AM256</f>
        <v>0</v>
      </c>
      <c r="X256" s="2345">
        <f t="shared" si="212"/>
        <v>0</v>
      </c>
      <c r="Y256" s="2346">
        <f>SEPTIEMBRE!AA256</f>
        <v>0</v>
      </c>
      <c r="Z256" s="2118">
        <v>0</v>
      </c>
      <c r="AA256" s="2345">
        <f t="shared" si="213"/>
        <v>0</v>
      </c>
      <c r="AB256" s="2346">
        <f>SEPTIEMBRE!AD256</f>
        <v>0</v>
      </c>
      <c r="AC256" s="2118">
        <v>0</v>
      </c>
      <c r="AD256" s="2345">
        <f t="shared" si="214"/>
        <v>0</v>
      </c>
      <c r="AE256" s="2346">
        <f>SEPTIEMBRE!AG256</f>
        <v>0</v>
      </c>
      <c r="AF256" s="2118">
        <v>0</v>
      </c>
      <c r="AG256" s="2345">
        <f t="shared" si="215"/>
        <v>0</v>
      </c>
      <c r="AH256" s="2346">
        <f t="shared" si="216"/>
        <v>0</v>
      </c>
      <c r="AI256" s="2344">
        <f t="shared" si="217"/>
        <v>0</v>
      </c>
      <c r="AJ256" s="2347">
        <f t="shared" si="218"/>
        <v>0</v>
      </c>
      <c r="AK256" s="1968"/>
      <c r="AL256" s="2120">
        <v>0</v>
      </c>
      <c r="AM256" s="2121">
        <v>0</v>
      </c>
    </row>
    <row r="257" spans="1:39" ht="24.95" customHeight="1" thickBot="1">
      <c r="A257" s="2327"/>
      <c r="B257" s="2330"/>
      <c r="C257" s="2093"/>
      <c r="D257" s="2093"/>
      <c r="E257" s="2093"/>
      <c r="F257" s="2093"/>
      <c r="G257" s="2093"/>
      <c r="H257" s="2093"/>
      <c r="I257" s="2093"/>
      <c r="J257" s="2093"/>
      <c r="K257" s="2093"/>
      <c r="L257" s="2093"/>
      <c r="M257" s="2093"/>
      <c r="N257" s="1968"/>
      <c r="O257" s="2093"/>
      <c r="P257" s="1968"/>
      <c r="Q257" s="1968"/>
      <c r="S257" s="2358" t="str">
        <f>+IF(SEPTIEMBRE!S257=0,"",SEPTIEMBRE!S257)</f>
        <v/>
      </c>
      <c r="T257" s="2359" t="str">
        <f>+IF(SEPTIEMBRE!T257=0,"",SEPTIEMBRE!T257)</f>
        <v/>
      </c>
      <c r="U257" s="2360"/>
      <c r="V257" s="2360"/>
      <c r="W257" s="2360"/>
      <c r="X257" s="2360"/>
      <c r="Y257" s="2360"/>
      <c r="Z257" s="2360"/>
      <c r="AA257" s="2360"/>
      <c r="AB257" s="2360"/>
      <c r="AC257" s="2360"/>
      <c r="AD257" s="2360"/>
      <c r="AE257" s="2360"/>
      <c r="AF257" s="2360"/>
      <c r="AG257" s="2360"/>
      <c r="AH257" s="2360"/>
      <c r="AI257" s="2360"/>
      <c r="AJ257" s="2361"/>
      <c r="AK257" s="2086"/>
      <c r="AL257" s="2370"/>
      <c r="AM257" s="2371"/>
    </row>
    <row r="258" spans="1:39" ht="24.95" customHeight="1" thickBot="1">
      <c r="A258" s="2327"/>
      <c r="B258" s="2330"/>
      <c r="C258" s="2093"/>
      <c r="D258" s="2093"/>
      <c r="E258" s="2093"/>
      <c r="F258" s="2093"/>
      <c r="G258" s="2093"/>
      <c r="H258" s="2093"/>
      <c r="I258" s="2093"/>
      <c r="J258" s="2093"/>
      <c r="K258" s="2093"/>
      <c r="L258" s="2093"/>
      <c r="M258" s="2093"/>
      <c r="N258" s="1968"/>
      <c r="O258" s="2093"/>
      <c r="P258" s="1968"/>
      <c r="Q258" s="1968"/>
      <c r="S258" s="2372" t="s">
        <v>363</v>
      </c>
      <c r="T258" s="2373" t="s">
        <v>133</v>
      </c>
      <c r="U258" s="2002">
        <f>+(C10+C17+C113)-(U10+U193+U220+U232)</f>
        <v>0</v>
      </c>
      <c r="V258" s="2002">
        <f t="shared" ref="V258:AJ258" si="219">+(D10+D17+D113)-(V10+V193+V220+V232)</f>
        <v>0</v>
      </c>
      <c r="W258" s="2002">
        <f t="shared" si="219"/>
        <v>0</v>
      </c>
      <c r="X258" s="2002">
        <f t="shared" si="219"/>
        <v>0</v>
      </c>
      <c r="Y258" s="2002">
        <f t="shared" si="219"/>
        <v>-6016740129</v>
      </c>
      <c r="Z258" s="2002">
        <f t="shared" si="219"/>
        <v>2971912632</v>
      </c>
      <c r="AA258" s="2002">
        <f t="shared" si="219"/>
        <v>-3044827497</v>
      </c>
      <c r="AB258" s="2002">
        <f t="shared" si="219"/>
        <v>-17671311433</v>
      </c>
      <c r="AC258" s="2002">
        <f t="shared" si="219"/>
        <v>448171184</v>
      </c>
      <c r="AD258" s="2002">
        <f t="shared" si="219"/>
        <v>-17223140249</v>
      </c>
      <c r="AE258" s="2002">
        <f t="shared" si="219"/>
        <v>-21502535892</v>
      </c>
      <c r="AF258" s="2002">
        <f t="shared" si="219"/>
        <v>30018894154</v>
      </c>
      <c r="AG258" s="2002">
        <f t="shared" si="219"/>
        <v>-33203352375</v>
      </c>
      <c r="AH258" s="2002">
        <f t="shared" si="219"/>
        <v>-5352353747</v>
      </c>
      <c r="AI258" s="2002">
        <f t="shared" si="219"/>
        <v>-15978035368</v>
      </c>
      <c r="AJ258" s="2374">
        <f t="shared" si="219"/>
        <v>-33796335515</v>
      </c>
      <c r="AK258" s="1968"/>
      <c r="AL258" s="2000">
        <v>0</v>
      </c>
      <c r="AM258" s="2001">
        <v>0</v>
      </c>
    </row>
    <row r="259" spans="1:39" ht="24.95" customHeight="1" thickBot="1">
      <c r="S259" s="3292"/>
      <c r="T259" s="3293"/>
      <c r="U259" s="2377"/>
      <c r="V259" s="2377"/>
      <c r="W259" s="2377"/>
      <c r="X259" s="2377"/>
      <c r="Y259" s="2377"/>
      <c r="Z259" s="2377"/>
      <c r="AA259" s="2377"/>
      <c r="AB259" s="2377"/>
      <c r="AC259" s="2377"/>
      <c r="AD259" s="2377"/>
      <c r="AE259" s="2377"/>
      <c r="AF259" s="2377"/>
      <c r="AG259" s="2377"/>
      <c r="AH259" s="2377"/>
      <c r="AI259" s="2377"/>
      <c r="AJ259" s="2378"/>
      <c r="AK259" s="2086"/>
      <c r="AL259" s="2379">
        <f>+SUMIF(AK8:AK256,AK33,AL8:AL256)</f>
        <v>0</v>
      </c>
      <c r="AM259" s="2380">
        <f>+SUMIF(AL8:AL256,AL33,AM8:AM256)</f>
        <v>219501573</v>
      </c>
    </row>
    <row r="260" spans="1:39" ht="24.95" customHeight="1" thickBot="1">
      <c r="S260" s="2381" t="s">
        <v>582</v>
      </c>
      <c r="T260" s="2382"/>
      <c r="U260" s="2383">
        <f>+U8-U262</f>
        <v>47989706380</v>
      </c>
      <c r="V260" s="2383">
        <f t="shared" ref="V260:AJ260" si="220">+V8-V262</f>
        <v>-109662433</v>
      </c>
      <c r="W260" s="2383">
        <f t="shared" si="220"/>
        <v>7955243839</v>
      </c>
      <c r="X260" s="2383">
        <f t="shared" si="220"/>
        <v>55835287786</v>
      </c>
      <c r="Y260" s="2383">
        <f t="shared" si="220"/>
        <v>48232182514</v>
      </c>
      <c r="Z260" s="2383">
        <f t="shared" si="220"/>
        <v>2308905549</v>
      </c>
      <c r="AA260" s="2383">
        <f t="shared" si="220"/>
        <v>50541088063</v>
      </c>
      <c r="AB260" s="2383">
        <f t="shared" si="220"/>
        <v>37002076705</v>
      </c>
      <c r="AC260" s="2383">
        <f t="shared" si="220"/>
        <v>2791975961</v>
      </c>
      <c r="AD260" s="2383">
        <f t="shared" si="220"/>
        <v>39794052666</v>
      </c>
      <c r="AE260" s="2383">
        <f t="shared" si="220"/>
        <v>18945258765</v>
      </c>
      <c r="AF260" s="2383">
        <f t="shared" si="220"/>
        <v>3151847530</v>
      </c>
      <c r="AG260" s="2383">
        <f t="shared" si="220"/>
        <v>22097106295</v>
      </c>
      <c r="AH260" s="2383">
        <f t="shared" si="220"/>
        <v>5294199723</v>
      </c>
      <c r="AI260" s="2383">
        <f t="shared" si="220"/>
        <v>16041235120</v>
      </c>
      <c r="AJ260" s="2384">
        <f t="shared" si="220"/>
        <v>33738181491</v>
      </c>
      <c r="AK260" s="2086"/>
      <c r="AL260" s="2093"/>
      <c r="AM260" s="2093"/>
    </row>
    <row r="261" spans="1:39" ht="24.95" customHeight="1" thickBot="1">
      <c r="S261" s="2385"/>
      <c r="T261" s="2386"/>
      <c r="U261" s="2387"/>
      <c r="V261" s="2387"/>
      <c r="W261" s="2387"/>
      <c r="X261" s="2387"/>
      <c r="Y261" s="2387"/>
      <c r="Z261" s="2387"/>
      <c r="AA261" s="2387"/>
      <c r="AB261" s="2387"/>
      <c r="AC261" s="2387"/>
      <c r="AD261" s="2387"/>
      <c r="AE261" s="2387"/>
      <c r="AF261" s="2387"/>
      <c r="AG261" s="2387"/>
      <c r="AH261" s="2387"/>
      <c r="AI261" s="2387"/>
      <c r="AJ261" s="2388"/>
      <c r="AK261" s="2086"/>
      <c r="AL261" s="2093"/>
      <c r="AM261" s="2093"/>
    </row>
    <row r="262" spans="1:39" ht="24.95" customHeight="1" thickBot="1">
      <c r="S262" s="2389" t="s">
        <v>583</v>
      </c>
      <c r="T262" s="2390"/>
      <c r="U262" s="2391">
        <f>+SUMIF($T$8:$T$256,$T$33,U8:U256)</f>
        <v>2232471701</v>
      </c>
      <c r="V262" s="2391">
        <f t="shared" ref="V262:AJ262" si="221">+SUMIF($T$8:$T$256,$T$33,V8:V256)</f>
        <v>109662433</v>
      </c>
      <c r="W262" s="2391">
        <f t="shared" si="221"/>
        <v>8822265970</v>
      </c>
      <c r="X262" s="2391">
        <f t="shared" si="221"/>
        <v>11164400104</v>
      </c>
      <c r="Y262" s="2391">
        <f t="shared" si="221"/>
        <v>10954458371</v>
      </c>
      <c r="Z262" s="2391">
        <f t="shared" si="221"/>
        <v>151787709</v>
      </c>
      <c r="AA262" s="2391">
        <f t="shared" si="221"/>
        <v>11106246080</v>
      </c>
      <c r="AB262" s="2391">
        <f t="shared" si="221"/>
        <v>10954458371</v>
      </c>
      <c r="AC262" s="2391">
        <f t="shared" si="221"/>
        <v>151787709</v>
      </c>
      <c r="AD262" s="2391">
        <f t="shared" si="221"/>
        <v>11106246080</v>
      </c>
      <c r="AE262" s="2391">
        <f t="shared" si="221"/>
        <v>10954458371</v>
      </c>
      <c r="AF262" s="2391">
        <f t="shared" si="221"/>
        <v>151787709</v>
      </c>
      <c r="AG262" s="2391">
        <f t="shared" si="221"/>
        <v>11106246080</v>
      </c>
      <c r="AH262" s="2391">
        <f t="shared" si="221"/>
        <v>58154024</v>
      </c>
      <c r="AI262" s="2391">
        <f t="shared" si="221"/>
        <v>58154024</v>
      </c>
      <c r="AJ262" s="2392">
        <f t="shared" si="221"/>
        <v>58154024</v>
      </c>
    </row>
    <row r="263" spans="1:39" ht="24.95" customHeight="1" thickBot="1">
      <c r="S263" s="2385"/>
      <c r="T263" s="2386"/>
      <c r="U263" s="2386"/>
      <c r="V263" s="2387"/>
      <c r="W263" s="2387"/>
      <c r="X263" s="2387"/>
      <c r="Y263" s="2387"/>
      <c r="Z263" s="2387"/>
      <c r="AA263" s="2387"/>
      <c r="AB263" s="2387"/>
      <c r="AC263" s="2387"/>
      <c r="AD263" s="2387"/>
      <c r="AE263" s="2387"/>
      <c r="AF263" s="2387"/>
      <c r="AG263" s="2387"/>
      <c r="AH263" s="2387"/>
      <c r="AI263" s="2387"/>
      <c r="AJ263" s="2387"/>
    </row>
    <row r="264" spans="1:39" ht="24.95" customHeight="1" thickBot="1">
      <c r="S264" s="2393" t="s">
        <v>584</v>
      </c>
      <c r="T264" s="2394"/>
      <c r="U264" s="2395">
        <f>+U260+U262</f>
        <v>50222178081</v>
      </c>
      <c r="V264" s="2395">
        <f t="shared" ref="V264:AJ264" si="222">+V260+V262</f>
        <v>0</v>
      </c>
      <c r="W264" s="2395">
        <f t="shared" si="222"/>
        <v>16777509809</v>
      </c>
      <c r="X264" s="2395">
        <f t="shared" si="222"/>
        <v>66999687890</v>
      </c>
      <c r="Y264" s="2395">
        <f t="shared" si="222"/>
        <v>59186640885</v>
      </c>
      <c r="Z264" s="2395">
        <f t="shared" si="222"/>
        <v>2460693258</v>
      </c>
      <c r="AA264" s="2395">
        <f t="shared" si="222"/>
        <v>61647334143</v>
      </c>
      <c r="AB264" s="2395">
        <f t="shared" si="222"/>
        <v>47956535076</v>
      </c>
      <c r="AC264" s="2395">
        <f t="shared" si="222"/>
        <v>2943763670</v>
      </c>
      <c r="AD264" s="2395">
        <f t="shared" si="222"/>
        <v>50900298746</v>
      </c>
      <c r="AE264" s="2395">
        <f t="shared" si="222"/>
        <v>29899717136</v>
      </c>
      <c r="AF264" s="2395">
        <f t="shared" si="222"/>
        <v>3303635239</v>
      </c>
      <c r="AG264" s="2395">
        <f t="shared" si="222"/>
        <v>33203352375</v>
      </c>
      <c r="AH264" s="2395">
        <f t="shared" si="222"/>
        <v>5352353747</v>
      </c>
      <c r="AI264" s="2395">
        <f t="shared" si="222"/>
        <v>16099389144</v>
      </c>
      <c r="AJ264" s="2396">
        <f t="shared" si="222"/>
        <v>33796335515</v>
      </c>
    </row>
  </sheetData>
  <sheetProtection password="E1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A00-000000000000}"/>
    <dataValidation allowBlank="1" showInputMessage="1" showErrorMessage="1" promptTitle="ATENCION..." prompt="Las actividades de Promoción y Prevención se manejaran en cada régimen." sqref="A23:C24 P23:Q24 K23:K24 H23:H24" xr:uid="{00000000-0002-0000-0A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A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BS264"/>
  <sheetViews>
    <sheetView showGridLines="0" topLeftCell="A64" zoomScale="80" zoomScaleNormal="80" workbookViewId="0">
      <selection activeCell="M28" sqref="M28"/>
    </sheetView>
  </sheetViews>
  <sheetFormatPr baseColWidth="10" defaultColWidth="0" defaultRowHeight="24.95" customHeight="1"/>
  <cols>
    <col min="1" max="1" width="15.140625" style="2886" customWidth="1"/>
    <col min="2" max="2" width="50.5703125" style="2887" customWidth="1"/>
    <col min="3" max="3" width="17.140625" style="2397" customWidth="1"/>
    <col min="4" max="4" width="9.28515625" style="2397" customWidth="1"/>
    <col min="5" max="6" width="14.42578125" style="2397" customWidth="1"/>
    <col min="7" max="8" width="16.42578125" style="2397" customWidth="1"/>
    <col min="9" max="9" width="14.42578125" style="2397" customWidth="1"/>
    <col min="10" max="10" width="16.42578125" style="2397" customWidth="1"/>
    <col min="11" max="11" width="16.28515625" style="2397" customWidth="1"/>
    <col min="12" max="12" width="14.42578125" style="2397" customWidth="1"/>
    <col min="13" max="13" width="16.5703125" style="2397" customWidth="1"/>
    <col min="14" max="14" width="16.7109375" style="2398" customWidth="1"/>
    <col min="15" max="15" width="2.85546875" style="2397" customWidth="1"/>
    <col min="16" max="17" width="23.7109375" style="2398" customWidth="1"/>
    <col min="18" max="18" width="5.42578125" style="2397" customWidth="1"/>
    <col min="19" max="19" width="12.140625" style="2399" customWidth="1"/>
    <col min="20" max="20" width="33.7109375" style="2400" customWidth="1"/>
    <col min="21" max="22" width="18" style="2397" customWidth="1"/>
    <col min="23" max="23" width="18.42578125" style="2397" customWidth="1"/>
    <col min="24" max="24" width="18.85546875" style="2397" customWidth="1"/>
    <col min="25" max="25" width="18.5703125" style="2397" customWidth="1"/>
    <col min="26" max="26" width="15.28515625" style="2397" customWidth="1"/>
    <col min="27" max="27" width="17.5703125" style="2397" customWidth="1"/>
    <col min="28" max="28" width="17.42578125" style="2397" customWidth="1"/>
    <col min="29" max="29" width="16.7109375" style="2397" customWidth="1"/>
    <col min="30" max="30" width="18.140625" style="2397" customWidth="1"/>
    <col min="31" max="31" width="18.5703125" style="2397" customWidth="1"/>
    <col min="32" max="32" width="17.7109375" style="2397" customWidth="1"/>
    <col min="33" max="33" width="17.140625" style="2397" customWidth="1"/>
    <col min="34" max="34" width="16" style="2397" customWidth="1"/>
    <col min="35" max="35" width="16.5703125" style="2397" customWidth="1"/>
    <col min="36" max="36" width="18" style="2397" customWidth="1"/>
    <col min="37" max="37" width="8.85546875" style="2402" customWidth="1"/>
    <col min="38" max="39" width="23.7109375" style="2397" customWidth="1"/>
    <col min="40" max="40" width="4.85546875" style="2397" customWidth="1"/>
    <col min="41" max="41" width="12.28515625" style="2397" customWidth="1"/>
    <col min="42" max="42" width="52.28515625" style="2397" customWidth="1"/>
    <col min="43" max="45" width="16.85546875" style="2397" customWidth="1"/>
    <col min="46" max="46" width="12.7109375" style="2397" customWidth="1"/>
    <col min="47" max="47" width="27.42578125" style="2397" customWidth="1"/>
    <col min="48" max="48" width="25" style="2397" customWidth="1"/>
    <col min="49" max="52" width="16.85546875" style="2397" customWidth="1"/>
    <col min="53" max="53" width="11" style="2397" customWidth="1"/>
    <col min="54" max="54" width="65.140625" style="2397" customWidth="1"/>
    <col min="55" max="57" width="18.85546875" style="2397" customWidth="1"/>
    <col min="58" max="58" width="6.140625" style="2397" customWidth="1"/>
    <col min="59" max="59" width="72.7109375" style="2397" customWidth="1"/>
    <col min="60" max="63" width="17.5703125" style="2397" customWidth="1"/>
    <col min="64" max="64" width="11" style="2397" customWidth="1"/>
    <col min="65" max="65" width="76" style="2397" customWidth="1"/>
    <col min="66" max="66" width="19.7109375" style="2397" customWidth="1"/>
    <col min="67" max="67" width="14.85546875" style="2397" customWidth="1"/>
    <col min="68" max="68" width="15.140625" style="2397" customWidth="1"/>
    <col min="69" max="69" width="16" style="2397" customWidth="1"/>
    <col min="70" max="70" width="11" style="2397" customWidth="1"/>
    <col min="71" max="71" width="2.28515625" style="2397" customWidth="1"/>
    <col min="72" max="16384" width="11" style="2397" hidden="1"/>
  </cols>
  <sheetData>
    <row r="1" spans="1:69" ht="24.95" customHeight="1" thickBot="1">
      <c r="A1" s="3316" t="str">
        <f>IF($F$8-$X$8=0," ","OJO: PRESUPUESTO DESEQUILIBRADO")</f>
        <v xml:space="preserve"> </v>
      </c>
      <c r="B1" s="3316"/>
      <c r="C1" s="3326"/>
      <c r="D1" s="3326"/>
      <c r="E1" s="3326"/>
      <c r="F1" s="3326"/>
      <c r="G1" s="3326"/>
      <c r="H1" s="3326"/>
      <c r="I1" s="3326"/>
      <c r="J1" s="3326"/>
      <c r="K1" s="3317" t="str">
        <f>+IF(L8&gt;I8,"OJO - SUS RECAUDOS SON SUPERIORES A SUS RECONOCIMIENTOS, VERIFIQUE","")</f>
        <v/>
      </c>
      <c r="L1" s="3317"/>
      <c r="M1" s="3317"/>
      <c r="N1" s="3317"/>
      <c r="U1" s="2401" t="str">
        <f>+IF(AA8&gt;X8,"OJO - HA COMPROMETIDO MUCHO MAS DE LO QUE TIENE PRESUPUESTADO","")</f>
        <v/>
      </c>
      <c r="X1" s="2401"/>
      <c r="Y1" s="2401" t="str">
        <f>+IF(AD8&gt;AA8,"OJO - SUS OBLIGACIONES SUPERAN SUS COMPROMISOS, VERIFIQUE","")</f>
        <v/>
      </c>
      <c r="AC1" s="2401" t="str">
        <f>+IF(AG8&gt;AD8,"OJO - SUS PAGOS NO PUEDEN SUPERAR SUS OBLIGACIONES, VERIFIQUE","")</f>
        <v/>
      </c>
    </row>
    <row r="2" spans="1:69" ht="53.25" customHeight="1" thickBot="1">
      <c r="A2" s="2403"/>
      <c r="B2" s="2404" t="str">
        <f>+ENERO!B2</f>
        <v>SECRETARIA SECCIONAL DE SALUD Y PROTECCION SOCIAL DE ANTIOQUIA DE ANTIOQUIA</v>
      </c>
      <c r="C2" s="2405"/>
      <c r="D2" s="3318" t="str">
        <f>+IF(F2="","","MUNICIPIO:")</f>
        <v>MUNICIPIO:</v>
      </c>
      <c r="E2" s="3318"/>
      <c r="F2" s="2406" t="str">
        <f>IF(INSTRUCCIONES!B3=0,"",INSTRUCCIONES!B3)</f>
        <v>ITAGUI</v>
      </c>
      <c r="G2" s="2407"/>
      <c r="H2" s="2407"/>
      <c r="I2" s="2407"/>
      <c r="J2" s="2407"/>
      <c r="K2" s="2408"/>
      <c r="L2" s="3327" t="s">
        <v>388</v>
      </c>
      <c r="M2" s="3324"/>
      <c r="N2" s="2409" t="s">
        <v>389</v>
      </c>
      <c r="P2" s="3319" t="s">
        <v>466</v>
      </c>
      <c r="Q2" s="3321"/>
      <c r="R2" s="2410"/>
      <c r="S2" s="2411"/>
      <c r="T2" s="2404" t="str">
        <f>+ENERO!T2</f>
        <v>SECRETARIA SECCIONAL DE SALUD Y PROTECCION SOCIAL DE ANTIOQUIA DE ANTIOQUIA</v>
      </c>
      <c r="U2" s="2405"/>
      <c r="V2" s="3339" t="str">
        <f>+IF(Y2="","","M U N I C I P I O:")</f>
        <v>M U N I C I P I O:</v>
      </c>
      <c r="W2" s="3339"/>
      <c r="X2" s="3339"/>
      <c r="Y2" s="3322" t="str">
        <f>IF(INSTRUCCIONES!B3=0,"",INSTRUCCIONES!B3)</f>
        <v>ITAGUI</v>
      </c>
      <c r="Z2" s="3322"/>
      <c r="AA2" s="3322"/>
      <c r="AB2" s="3322"/>
      <c r="AC2" s="3322"/>
      <c r="AD2" s="3322"/>
      <c r="AE2" s="3322"/>
      <c r="AF2" s="3322"/>
      <c r="AG2" s="3323"/>
      <c r="AH2" s="3324" t="s">
        <v>388</v>
      </c>
      <c r="AI2" s="3325"/>
      <c r="AJ2" s="2409" t="s">
        <v>389</v>
      </c>
      <c r="AL2" s="3319" t="s">
        <v>466</v>
      </c>
      <c r="AM2" s="3321"/>
      <c r="AO2" s="2412">
        <v>11</v>
      </c>
      <c r="AP2" s="2413" t="s">
        <v>7</v>
      </c>
      <c r="AQ2" s="2414"/>
      <c r="AR2" s="2415"/>
      <c r="AS2" s="2415"/>
      <c r="AT2" s="2415"/>
      <c r="AU2" s="2415"/>
      <c r="AV2" s="2415"/>
      <c r="AW2" s="2415"/>
      <c r="AX2" s="2415"/>
      <c r="AY2" s="2415"/>
      <c r="AZ2" s="2416"/>
      <c r="BB2" s="3319" t="s">
        <v>616</v>
      </c>
      <c r="BC2" s="3320"/>
      <c r="BD2" s="2417" t="s">
        <v>388</v>
      </c>
      <c r="BE2" s="2409" t="str">
        <f>+L3</f>
        <v>NOVIEMBRE</v>
      </c>
      <c r="BF2" s="2401"/>
      <c r="BG2" s="3319" t="s">
        <v>617</v>
      </c>
      <c r="BH2" s="3320"/>
      <c r="BI2" s="3320"/>
      <c r="BJ2" s="2417" t="s">
        <v>388</v>
      </c>
      <c r="BK2" s="2409" t="str">
        <f>+BE2</f>
        <v>NOVIEMBRE</v>
      </c>
      <c r="BM2" s="3319" t="s">
        <v>617</v>
      </c>
      <c r="BN2" s="3320"/>
      <c r="BO2" s="3320"/>
      <c r="BP2" s="2417" t="s">
        <v>388</v>
      </c>
      <c r="BQ2" s="2409" t="str">
        <f>+BK2</f>
        <v>NOVIEMBRE</v>
      </c>
    </row>
    <row r="3" spans="1:69" ht="24.95" customHeight="1" thickBot="1">
      <c r="A3" s="2418"/>
      <c r="B3" s="3360" t="s">
        <v>8</v>
      </c>
      <c r="C3" s="2419"/>
      <c r="D3" s="3362" t="str">
        <f>+IF(F3="","","INSTITUCION:")</f>
        <v>INSTITUCION:</v>
      </c>
      <c r="E3" s="3362"/>
      <c r="F3" s="3364" t="str">
        <f>IF(INSTRUCCIONES!B5=0,"",INSTRUCCIONES!B5)</f>
        <v>ESE HOSPITALSAN RAFAEL</v>
      </c>
      <c r="G3" s="3364"/>
      <c r="H3" s="3364"/>
      <c r="I3" s="3364"/>
      <c r="J3" s="3364"/>
      <c r="K3" s="3365"/>
      <c r="L3" s="3370" t="s">
        <v>375</v>
      </c>
      <c r="M3" s="3371"/>
      <c r="N3" s="3368">
        <f>+INSTRUCCIONES!F3</f>
        <v>2017</v>
      </c>
      <c r="P3" s="3354" t="s">
        <v>621</v>
      </c>
      <c r="Q3" s="3357" t="s">
        <v>622</v>
      </c>
      <c r="R3" s="2410"/>
      <c r="S3" s="2420"/>
      <c r="T3" s="3360" t="s">
        <v>10</v>
      </c>
      <c r="U3" s="2421"/>
      <c r="V3" s="3337" t="str">
        <f>+IF(Y3="","","E.S.E. H O S P I T A L:")</f>
        <v>E.S.E. H O S P I T A L:</v>
      </c>
      <c r="W3" s="3337"/>
      <c r="X3" s="3337"/>
      <c r="Y3" s="3340" t="str">
        <f>IF(INSTRUCCIONES!B5=0,"",INSTRUCCIONES!B5)</f>
        <v>ESE HOSPITALSAN RAFAEL</v>
      </c>
      <c r="Z3" s="3340"/>
      <c r="AA3" s="3340"/>
      <c r="AB3" s="3340"/>
      <c r="AC3" s="3340"/>
      <c r="AD3" s="3340"/>
      <c r="AE3" s="3340"/>
      <c r="AF3" s="3340"/>
      <c r="AG3" s="3341"/>
      <c r="AH3" s="3347" t="str">
        <f>+L3</f>
        <v>NOVIEMBRE</v>
      </c>
      <c r="AI3" s="3348"/>
      <c r="AJ3" s="3333">
        <f>+N3</f>
        <v>2017</v>
      </c>
      <c r="AL3" s="3354" t="s">
        <v>623</v>
      </c>
      <c r="AM3" s="3357" t="s">
        <v>622</v>
      </c>
      <c r="AO3" s="2422"/>
      <c r="AP3" s="2423" t="s">
        <v>11</v>
      </c>
      <c r="AQ3" s="2424"/>
      <c r="AR3" s="2424"/>
      <c r="AS3" s="2424"/>
      <c r="AT3" s="2424"/>
      <c r="AU3" s="2424"/>
      <c r="AV3" s="2424"/>
      <c r="AW3" s="2424"/>
      <c r="AX3" s="2424"/>
      <c r="AY3" s="2424"/>
      <c r="AZ3" s="2425"/>
      <c r="BB3" s="3335" t="str">
        <f>+CONCATENATE(INSTRUCCIONES!B5, " - ", INSTRUCCIONES!B3)</f>
        <v>ESE HOSPITALSAN RAFAEL - ITAGUI</v>
      </c>
      <c r="BC3" s="3336"/>
      <c r="BD3" s="2426" t="s">
        <v>389</v>
      </c>
      <c r="BE3" s="2427">
        <f>+N3</f>
        <v>2017</v>
      </c>
      <c r="BF3" s="2428" t="s">
        <v>12</v>
      </c>
      <c r="BG3" s="3335" t="str">
        <f>+CONCATENATE(INSTRUCCIONES!B5, " - ", INSTRUCCIONES!B3)</f>
        <v>ESE HOSPITALSAN RAFAEL - ITAGUI</v>
      </c>
      <c r="BH3" s="3336"/>
      <c r="BI3" s="3336"/>
      <c r="BJ3" s="2426" t="s">
        <v>389</v>
      </c>
      <c r="BK3" s="2427">
        <f>+BE3</f>
        <v>2017</v>
      </c>
      <c r="BM3" s="3335" t="str">
        <f>+CONCATENATE(INSTRUCCIONES!B5, " - ", INSTRUCCIONES!B3)</f>
        <v>ESE HOSPITALSAN RAFAEL - ITAGUI</v>
      </c>
      <c r="BN3" s="3336"/>
      <c r="BO3" s="3336"/>
      <c r="BP3" s="2426" t="s">
        <v>389</v>
      </c>
      <c r="BQ3" s="2427">
        <f>+BK3</f>
        <v>2017</v>
      </c>
    </row>
    <row r="4" spans="1:69" ht="24.95" customHeight="1" thickBot="1">
      <c r="A4" s="2418"/>
      <c r="B4" s="3361"/>
      <c r="C4" s="2429"/>
      <c r="D4" s="3363"/>
      <c r="E4" s="3363"/>
      <c r="F4" s="3366"/>
      <c r="G4" s="3366"/>
      <c r="H4" s="3366"/>
      <c r="I4" s="3366"/>
      <c r="J4" s="3366"/>
      <c r="K4" s="3367"/>
      <c r="L4" s="3372"/>
      <c r="M4" s="3373"/>
      <c r="N4" s="3369"/>
      <c r="P4" s="3355"/>
      <c r="Q4" s="3358"/>
      <c r="R4" s="2410"/>
      <c r="S4" s="2420"/>
      <c r="T4" s="3360"/>
      <c r="U4" s="2429"/>
      <c r="V4" s="3338"/>
      <c r="W4" s="3338"/>
      <c r="X4" s="3338"/>
      <c r="Y4" s="3342"/>
      <c r="Z4" s="3342"/>
      <c r="AA4" s="3342"/>
      <c r="AB4" s="3342"/>
      <c r="AC4" s="3342"/>
      <c r="AD4" s="3342"/>
      <c r="AE4" s="3342"/>
      <c r="AF4" s="3342"/>
      <c r="AG4" s="3343"/>
      <c r="AH4" s="3349"/>
      <c r="AI4" s="3350"/>
      <c r="AJ4" s="3334"/>
      <c r="AL4" s="3355"/>
      <c r="AM4" s="3358"/>
      <c r="AO4" s="2422"/>
      <c r="AP4" s="2430"/>
      <c r="AQ4" s="2431" t="s">
        <v>13</v>
      </c>
      <c r="AR4" s="2431" t="s">
        <v>14</v>
      </c>
      <c r="AS4" s="2431" t="s">
        <v>15</v>
      </c>
      <c r="AT4" s="2431" t="s">
        <v>16</v>
      </c>
      <c r="AU4" s="2431" t="s">
        <v>16</v>
      </c>
      <c r="AV4" s="2432" t="s">
        <v>16</v>
      </c>
      <c r="AW4" s="3344" t="str">
        <f>+CONCATENATE("PROYECCION A DICIEMBRE 31 DEL ",N3)</f>
        <v>PROYECCION A DICIEMBRE 31 DEL 2017</v>
      </c>
      <c r="AX4" s="3345"/>
      <c r="AY4" s="3345"/>
      <c r="AZ4" s="3346"/>
      <c r="BB4" s="2433"/>
      <c r="BC4" s="2434"/>
      <c r="BD4" s="2434"/>
      <c r="BE4" s="2435"/>
      <c r="BF4" s="2436"/>
      <c r="BG4" s="2433"/>
      <c r="BH4" s="2434"/>
      <c r="BI4" s="2434"/>
      <c r="BJ4" s="2437"/>
      <c r="BK4" s="2438"/>
      <c r="BL4" s="2439"/>
      <c r="BM4" s="2433"/>
      <c r="BN4" s="2440"/>
      <c r="BO4" s="2440"/>
      <c r="BP4" s="2441"/>
      <c r="BQ4" s="2442"/>
    </row>
    <row r="5" spans="1:69" ht="42" customHeight="1" thickBot="1">
      <c r="A5" s="3382" t="s">
        <v>17</v>
      </c>
      <c r="B5" s="3384" t="s">
        <v>18</v>
      </c>
      <c r="C5" s="3392" t="s">
        <v>19</v>
      </c>
      <c r="D5" s="3393"/>
      <c r="E5" s="3393"/>
      <c r="F5" s="3394"/>
      <c r="G5" s="3386" t="s">
        <v>624</v>
      </c>
      <c r="H5" s="3387"/>
      <c r="I5" s="3388"/>
      <c r="J5" s="3389" t="str">
        <f>+IF(L8&gt;I8,"OJO - RECAUDOS MAYORES QUE RECONOCIMIENTOS","RECAUDO")</f>
        <v>RECAUDO</v>
      </c>
      <c r="K5" s="3390"/>
      <c r="L5" s="3391"/>
      <c r="M5" s="3376" t="s">
        <v>21</v>
      </c>
      <c r="N5" s="3377"/>
      <c r="P5" s="3356"/>
      <c r="Q5" s="3359"/>
      <c r="R5" s="2410"/>
      <c r="S5" s="3380" t="s">
        <v>481</v>
      </c>
      <c r="T5" s="3378" t="s">
        <v>18</v>
      </c>
      <c r="U5" s="2443" t="s">
        <v>19</v>
      </c>
      <c r="V5" s="2444"/>
      <c r="W5" s="2444"/>
      <c r="X5" s="2445"/>
      <c r="Y5" s="2446" t="s">
        <v>625</v>
      </c>
      <c r="Z5" s="2444"/>
      <c r="AA5" s="2444"/>
      <c r="AB5" s="3330" t="s">
        <v>626</v>
      </c>
      <c r="AC5" s="3331"/>
      <c r="AD5" s="3332"/>
      <c r="AE5" s="3330" t="s">
        <v>22</v>
      </c>
      <c r="AF5" s="3331"/>
      <c r="AG5" s="3332"/>
      <c r="AH5" s="3330" t="s">
        <v>23</v>
      </c>
      <c r="AI5" s="3331"/>
      <c r="AJ5" s="3332"/>
      <c r="AL5" s="3356"/>
      <c r="AM5" s="3359"/>
      <c r="AO5" s="2447"/>
      <c r="AP5" s="2448" t="s">
        <v>24</v>
      </c>
      <c r="AQ5" s="2431"/>
      <c r="AR5" s="2431" t="s">
        <v>25</v>
      </c>
      <c r="AS5" s="2431" t="s">
        <v>25</v>
      </c>
      <c r="AT5" s="2431" t="s">
        <v>26</v>
      </c>
      <c r="AU5" s="2431" t="s">
        <v>27</v>
      </c>
      <c r="AV5" s="2431" t="s">
        <v>27</v>
      </c>
      <c r="AW5" s="2431" t="s">
        <v>28</v>
      </c>
      <c r="AX5" s="2431" t="s">
        <v>29</v>
      </c>
      <c r="AY5" s="2431" t="s">
        <v>30</v>
      </c>
      <c r="AZ5" s="2449" t="s">
        <v>30</v>
      </c>
      <c r="BB5" s="2450" t="s">
        <v>31</v>
      </c>
      <c r="BC5" s="2451" t="str">
        <f>+CONCATENATE("ACUMULADO ",N3)</f>
        <v>ACUMULADO 2017</v>
      </c>
      <c r="BD5" s="2452"/>
      <c r="BE5" s="2453"/>
      <c r="BF5" s="2454" t="s">
        <v>12</v>
      </c>
      <c r="BG5" s="2455" t="s">
        <v>32</v>
      </c>
      <c r="BH5" s="3351" t="str">
        <f>+CONCATENATE("ACUMULADO ",N3)</f>
        <v>ACUMULADO 2017</v>
      </c>
      <c r="BI5" s="3352"/>
      <c r="BJ5" s="3352"/>
      <c r="BK5" s="3353"/>
      <c r="BM5" s="3328" t="s">
        <v>32</v>
      </c>
      <c r="BN5" s="2456" t="str">
        <f>+CONCATENATE("ACUMULADO ",BQ3)</f>
        <v>ACUMULADO 2017</v>
      </c>
      <c r="BO5" s="2457"/>
      <c r="BP5" s="2458"/>
      <c r="BQ5" s="2459"/>
    </row>
    <row r="6" spans="1:69" ht="24.95" customHeight="1" thickBot="1">
      <c r="A6" s="3383"/>
      <c r="B6" s="3385"/>
      <c r="C6" s="2460" t="s">
        <v>33</v>
      </c>
      <c r="D6" s="2461" t="s">
        <v>34</v>
      </c>
      <c r="E6" s="2461" t="s">
        <v>35</v>
      </c>
      <c r="F6" s="2462" t="s">
        <v>36</v>
      </c>
      <c r="G6" s="2460" t="s">
        <v>37</v>
      </c>
      <c r="H6" s="2461" t="s">
        <v>38</v>
      </c>
      <c r="I6" s="2462" t="s">
        <v>39</v>
      </c>
      <c r="J6" s="2460" t="s">
        <v>37</v>
      </c>
      <c r="K6" s="2461" t="s">
        <v>38</v>
      </c>
      <c r="L6" s="2462" t="s">
        <v>39</v>
      </c>
      <c r="M6" s="2460" t="s">
        <v>40</v>
      </c>
      <c r="N6" s="2462" t="s">
        <v>20</v>
      </c>
      <c r="P6" s="2463" t="s">
        <v>41</v>
      </c>
      <c r="Q6" s="2464" t="s">
        <v>467</v>
      </c>
      <c r="R6" s="2410"/>
      <c r="S6" s="3381" t="s">
        <v>42</v>
      </c>
      <c r="T6" s="3379"/>
      <c r="U6" s="2465" t="s">
        <v>33</v>
      </c>
      <c r="V6" s="2466" t="s">
        <v>34</v>
      </c>
      <c r="W6" s="2466" t="s">
        <v>35</v>
      </c>
      <c r="X6" s="2467" t="s">
        <v>36</v>
      </c>
      <c r="Y6" s="2468" t="s">
        <v>37</v>
      </c>
      <c r="Z6" s="2466" t="s">
        <v>38</v>
      </c>
      <c r="AA6" s="2466" t="s">
        <v>39</v>
      </c>
      <c r="AB6" s="2468" t="s">
        <v>37</v>
      </c>
      <c r="AC6" s="2466" t="s">
        <v>38</v>
      </c>
      <c r="AD6" s="2466" t="s">
        <v>39</v>
      </c>
      <c r="AE6" s="2468" t="s">
        <v>37</v>
      </c>
      <c r="AF6" s="2466" t="s">
        <v>38</v>
      </c>
      <c r="AG6" s="2466" t="s">
        <v>39</v>
      </c>
      <c r="AH6" s="2468" t="s">
        <v>43</v>
      </c>
      <c r="AI6" s="2466" t="s">
        <v>44</v>
      </c>
      <c r="AJ6" s="2467" t="s">
        <v>22</v>
      </c>
      <c r="AL6" s="2460" t="s">
        <v>41</v>
      </c>
      <c r="AM6" s="2462" t="s">
        <v>467</v>
      </c>
      <c r="AO6" s="2469"/>
      <c r="AP6" s="2470"/>
      <c r="AQ6" s="2471" t="s">
        <v>36</v>
      </c>
      <c r="AR6" s="2471" t="str">
        <f>+L3</f>
        <v>NOVIEMBRE</v>
      </c>
      <c r="AS6" s="2471" t="str">
        <f>AR6</f>
        <v>NOVIEMBRE</v>
      </c>
      <c r="AT6" s="2471" t="str">
        <f>AR6</f>
        <v>NOVIEMBRE</v>
      </c>
      <c r="AU6" s="2471" t="s">
        <v>14</v>
      </c>
      <c r="AV6" s="2471" t="s">
        <v>29</v>
      </c>
      <c r="AW6" s="2471"/>
      <c r="AX6" s="2471"/>
      <c r="AY6" s="2471" t="s">
        <v>14</v>
      </c>
      <c r="AZ6" s="2472" t="s">
        <v>29</v>
      </c>
      <c r="BB6" s="2473"/>
      <c r="BC6" s="2474" t="s">
        <v>45</v>
      </c>
      <c r="BD6" s="2475" t="s">
        <v>46</v>
      </c>
      <c r="BE6" s="2476" t="s">
        <v>47</v>
      </c>
      <c r="BF6" s="2477"/>
      <c r="BG6" s="2478"/>
      <c r="BH6" s="2479" t="s">
        <v>45</v>
      </c>
      <c r="BI6" s="2479" t="s">
        <v>48</v>
      </c>
      <c r="BJ6" s="2479" t="s">
        <v>49</v>
      </c>
      <c r="BK6" s="2480" t="s">
        <v>50</v>
      </c>
      <c r="BM6" s="3329"/>
      <c r="BN6" s="2481" t="s">
        <v>45</v>
      </c>
      <c r="BO6" s="2482" t="s">
        <v>48</v>
      </c>
      <c r="BP6" s="2482" t="s">
        <v>49</v>
      </c>
      <c r="BQ6" s="2483" t="s">
        <v>50</v>
      </c>
    </row>
    <row r="7" spans="1:69" s="2489" customFormat="1" ht="24.95" customHeight="1" thickBot="1">
      <c r="A7" s="2484"/>
      <c r="B7" s="2485"/>
      <c r="C7" s="2486"/>
      <c r="D7" s="2486"/>
      <c r="E7" s="2486"/>
      <c r="F7" s="2486"/>
      <c r="G7" s="2486"/>
      <c r="H7" s="2486"/>
      <c r="I7" s="2486"/>
      <c r="J7" s="2486"/>
      <c r="K7" s="2486"/>
      <c r="L7" s="2486"/>
      <c r="M7" s="2486"/>
      <c r="N7" s="2487"/>
      <c r="O7" s="2410"/>
      <c r="P7" s="2488"/>
      <c r="Q7" s="2487"/>
      <c r="S7" s="2490"/>
      <c r="T7" s="2485"/>
      <c r="U7" s="2486"/>
      <c r="V7" s="2486"/>
      <c r="W7" s="2486"/>
      <c r="X7" s="2486"/>
      <c r="Y7" s="2486"/>
      <c r="Z7" s="2486"/>
      <c r="AA7" s="2486"/>
      <c r="AB7" s="2486"/>
      <c r="AC7" s="2486"/>
      <c r="AD7" s="2486"/>
      <c r="AE7" s="2486"/>
      <c r="AF7" s="2486"/>
      <c r="AG7" s="2486"/>
      <c r="AH7" s="2486"/>
      <c r="AI7" s="2486"/>
      <c r="AJ7" s="2487"/>
      <c r="AK7" s="2402"/>
      <c r="AL7" s="2491"/>
      <c r="AM7" s="2492"/>
      <c r="AO7" s="2493"/>
      <c r="AP7" s="2494" t="s">
        <v>52</v>
      </c>
      <c r="AQ7" s="2495">
        <f>F22</f>
        <v>27124070704</v>
      </c>
      <c r="AR7" s="2495">
        <f>I22</f>
        <v>23266525224</v>
      </c>
      <c r="AS7" s="2495">
        <f>L22</f>
        <v>13238220471</v>
      </c>
      <c r="AT7" s="2496"/>
      <c r="AU7" s="2497">
        <f t="shared" ref="AU7:AU17" si="0">IF(AQ7=0," ",AR7/AQ7)</f>
        <v>0.85778146937837296</v>
      </c>
      <c r="AV7" s="2497">
        <f t="shared" ref="AV7:AV17" si="1">IF(AQ7=0," ",AS7/AQ7)</f>
        <v>0.48806171519998853</v>
      </c>
      <c r="AW7" s="2495">
        <f>I23/AO$2*12+I24</f>
        <v>24602930330.272728</v>
      </c>
      <c r="AX7" s="2495">
        <f>L23/AO$2*12+L24</f>
        <v>13662961508.818182</v>
      </c>
      <c r="AY7" s="2495">
        <f t="shared" ref="AY7:AY16" si="2">AW7-AQ7</f>
        <v>-2521140373.727272</v>
      </c>
      <c r="AZ7" s="2498">
        <f t="shared" ref="AZ7:AZ16" si="3">AX7-AQ7</f>
        <v>-13461109195.181818</v>
      </c>
      <c r="BB7" s="2499" t="s">
        <v>53</v>
      </c>
      <c r="BC7" s="2500">
        <f>F10</f>
        <v>617329922</v>
      </c>
      <c r="BD7" s="2501">
        <f>I10</f>
        <v>617329922</v>
      </c>
      <c r="BE7" s="2502">
        <f>K10</f>
        <v>0</v>
      </c>
      <c r="BF7" s="2503"/>
      <c r="BG7" s="2504" t="s">
        <v>54</v>
      </c>
      <c r="BH7" s="2505">
        <f>+SUM(BH8:BH11)</f>
        <v>41995800079</v>
      </c>
      <c r="BI7" s="2505">
        <f>+SUM(BI8:BI11)</f>
        <v>39103614428</v>
      </c>
      <c r="BJ7" s="2505">
        <f>+SUM(BJ8:BJ11)</f>
        <v>32576373844</v>
      </c>
      <c r="BK7" s="2505">
        <f>+SUM(BK8:BK11)</f>
        <v>2287906560</v>
      </c>
      <c r="BM7" s="2506" t="s">
        <v>54</v>
      </c>
      <c r="BN7" s="2507">
        <f>BN8+BN15+BN22</f>
        <v>41995800079</v>
      </c>
      <c r="BO7" s="2508">
        <f>BO8+BO15+BO22</f>
        <v>39103614428</v>
      </c>
      <c r="BP7" s="2508">
        <f>BP8+BP15+BP22</f>
        <v>32576373844</v>
      </c>
      <c r="BQ7" s="2509">
        <f>BQ8+BQ15+BQ22</f>
        <v>2287906560</v>
      </c>
    </row>
    <row r="8" spans="1:69" s="2489" customFormat="1" ht="24.95" customHeight="1" thickBot="1">
      <c r="A8" s="2510">
        <f>+IF(OCTUBRE!A8=0,"",OCTUBRE!A8)</f>
        <v>1</v>
      </c>
      <c r="B8" s="2511" t="str">
        <f>+IF(OCTUBRE!B8=0,"",OCTUBRE!B8)</f>
        <v>INGRESOS</v>
      </c>
      <c r="C8" s="2512">
        <f>C10+C17+C113</f>
        <v>50222178081</v>
      </c>
      <c r="D8" s="2512">
        <f t="shared" ref="D8:Q8" si="4">D10+D17+D113</f>
        <v>0</v>
      </c>
      <c r="E8" s="2512">
        <f t="shared" si="4"/>
        <v>18833100207</v>
      </c>
      <c r="F8" s="2512">
        <f t="shared" si="4"/>
        <v>69055278288</v>
      </c>
      <c r="G8" s="2512">
        <f t="shared" si="4"/>
        <v>58602506646</v>
      </c>
      <c r="H8" s="2512">
        <f t="shared" si="4"/>
        <v>4791041065</v>
      </c>
      <c r="I8" s="2512">
        <f t="shared" si="4"/>
        <v>63393547711</v>
      </c>
      <c r="J8" s="2512">
        <f t="shared" si="4"/>
        <v>33677158497</v>
      </c>
      <c r="K8" s="2512">
        <f t="shared" si="4"/>
        <v>3901115144</v>
      </c>
      <c r="L8" s="2512">
        <f t="shared" si="4"/>
        <v>37578273641</v>
      </c>
      <c r="M8" s="2512">
        <f t="shared" si="4"/>
        <v>5661730577</v>
      </c>
      <c r="N8" s="2512">
        <f t="shared" si="4"/>
        <v>31477004647</v>
      </c>
      <c r="O8" s="2513"/>
      <c r="P8" s="2514">
        <f t="shared" si="4"/>
        <v>0</v>
      </c>
      <c r="Q8" s="2515">
        <f t="shared" si="4"/>
        <v>2055590398</v>
      </c>
      <c r="S8" s="2516" t="str">
        <f>+IF(OCTUBRE!S8=0,"",OCTUBRE!S8)</f>
        <v/>
      </c>
      <c r="T8" s="2517" t="str">
        <f>+IF(OCTUBRE!T8=0,"",OCTUBRE!T8)</f>
        <v>GASTOS</v>
      </c>
      <c r="U8" s="2518">
        <f>U10+U193+U220+U232</f>
        <v>50222178081</v>
      </c>
      <c r="V8" s="2519">
        <f t="shared" ref="V8:AJ8" si="5">V10+V193+V220+V232</f>
        <v>0</v>
      </c>
      <c r="W8" s="2519">
        <f t="shared" si="5"/>
        <v>18833100207</v>
      </c>
      <c r="X8" s="2520">
        <f t="shared" si="5"/>
        <v>69055278288</v>
      </c>
      <c r="Y8" s="2521">
        <f t="shared" si="5"/>
        <v>61647334143</v>
      </c>
      <c r="Z8" s="2519">
        <f t="shared" si="5"/>
        <v>2459010380</v>
      </c>
      <c r="AA8" s="2520">
        <f t="shared" si="5"/>
        <v>64106344523</v>
      </c>
      <c r="AB8" s="2521">
        <f t="shared" si="5"/>
        <v>50900298746</v>
      </c>
      <c r="AC8" s="2519">
        <f t="shared" si="5"/>
        <v>5272236531</v>
      </c>
      <c r="AD8" s="2520">
        <f t="shared" si="5"/>
        <v>56172535277</v>
      </c>
      <c r="AE8" s="2521">
        <f t="shared" si="5"/>
        <v>33203352375</v>
      </c>
      <c r="AF8" s="2519">
        <f t="shared" si="5"/>
        <v>4195081013</v>
      </c>
      <c r="AG8" s="2520">
        <f t="shared" si="5"/>
        <v>37398433388</v>
      </c>
      <c r="AH8" s="2521">
        <f t="shared" si="5"/>
        <v>4948933765</v>
      </c>
      <c r="AI8" s="2519">
        <f t="shared" si="5"/>
        <v>12882743011</v>
      </c>
      <c r="AJ8" s="2522">
        <f t="shared" si="5"/>
        <v>31656844900</v>
      </c>
      <c r="AL8" s="2523">
        <f t="shared" ref="AL8:AM8" si="6">AL10+AL193+AL220+AL232</f>
        <v>0</v>
      </c>
      <c r="AM8" s="2524">
        <f t="shared" si="6"/>
        <v>2055590398</v>
      </c>
      <c r="AO8" s="2493"/>
      <c r="AP8" s="2494" t="s">
        <v>56</v>
      </c>
      <c r="AQ8" s="2525">
        <f>F25</f>
        <v>19328291378</v>
      </c>
      <c r="AR8" s="2525">
        <f>I25</f>
        <v>25341684541</v>
      </c>
      <c r="AS8" s="2525">
        <f>L25</f>
        <v>16275193649</v>
      </c>
      <c r="AT8" s="2496"/>
      <c r="AU8" s="2526">
        <f t="shared" si="0"/>
        <v>1.3111187142928016</v>
      </c>
      <c r="AV8" s="2526">
        <f t="shared" si="1"/>
        <v>0.84203995742349369</v>
      </c>
      <c r="AW8" s="2525">
        <f>I26/AO$2*12+I27</f>
        <v>27097075243.81818</v>
      </c>
      <c r="AX8" s="2525">
        <f>L26/AO$2*12+L27</f>
        <v>17206357907.090912</v>
      </c>
      <c r="AY8" s="2525">
        <f t="shared" si="2"/>
        <v>7768783865.8181801</v>
      </c>
      <c r="AZ8" s="2527">
        <f t="shared" si="3"/>
        <v>-2121933470.9090881</v>
      </c>
      <c r="BB8" s="2528" t="s">
        <v>57</v>
      </c>
      <c r="BC8" s="2529">
        <f>BC9+BC19</f>
        <v>41757704046</v>
      </c>
      <c r="BD8" s="2530">
        <f>BD9+BD19</f>
        <v>44314089198</v>
      </c>
      <c r="BE8" s="2531">
        <f>BE9+BE19</f>
        <v>3457203208</v>
      </c>
      <c r="BF8" s="2503"/>
      <c r="BG8" s="2532" t="s">
        <v>58</v>
      </c>
      <c r="BH8" s="2533">
        <f>BN9+BN13</f>
        <v>2841598915</v>
      </c>
      <c r="BI8" s="2533">
        <f>BO9+BO13</f>
        <v>2033285411</v>
      </c>
      <c r="BJ8" s="2533">
        <f>BP9+BP13</f>
        <v>2033285411</v>
      </c>
      <c r="BK8" s="2533">
        <f>BQ9+BQ13</f>
        <v>172608915</v>
      </c>
      <c r="BM8" s="2534" t="s">
        <v>59</v>
      </c>
      <c r="BN8" s="2535">
        <f>BN9+BN14+BN13</f>
        <v>31951910420</v>
      </c>
      <c r="BO8" s="2533">
        <f>BO9+BO14+BO13</f>
        <v>31002299897</v>
      </c>
      <c r="BP8" s="2533">
        <f>BP9+BP14+BP13</f>
        <v>25329630632</v>
      </c>
      <c r="BQ8" s="2536">
        <f>BQ9+BQ14+BQ13</f>
        <v>1652006204</v>
      </c>
    </row>
    <row r="9" spans="1:69" s="2489" customFormat="1" ht="24.95" customHeight="1" thickBot="1">
      <c r="A9" s="2537"/>
      <c r="B9" s="2538"/>
      <c r="C9" s="2539"/>
      <c r="D9" s="2539"/>
      <c r="E9" s="2539"/>
      <c r="F9" s="2539"/>
      <c r="G9" s="2539"/>
      <c r="H9" s="2539"/>
      <c r="I9" s="2539"/>
      <c r="J9" s="2539"/>
      <c r="K9" s="2539"/>
      <c r="L9" s="2539"/>
      <c r="M9" s="2539"/>
      <c r="N9" s="2540"/>
      <c r="O9" s="2513"/>
      <c r="P9" s="2541"/>
      <c r="Q9" s="2540"/>
      <c r="S9" s="2490"/>
      <c r="T9" s="2485"/>
      <c r="U9" s="2486"/>
      <c r="V9" s="2486"/>
      <c r="W9" s="2486"/>
      <c r="X9" s="2486"/>
      <c r="Y9" s="2486"/>
      <c r="Z9" s="2486"/>
      <c r="AA9" s="2486"/>
      <c r="AB9" s="2486"/>
      <c r="AC9" s="2486"/>
      <c r="AD9" s="2486"/>
      <c r="AE9" s="2486"/>
      <c r="AF9" s="2486"/>
      <c r="AG9" s="2486"/>
      <c r="AH9" s="2486"/>
      <c r="AI9" s="2486"/>
      <c r="AJ9" s="2487"/>
      <c r="AL9" s="2542"/>
      <c r="AM9" s="2543"/>
      <c r="AO9" s="2544"/>
      <c r="AP9" s="2494" t="s">
        <v>61</v>
      </c>
      <c r="AQ9" s="2525">
        <f>F28+F75</f>
        <v>468414189</v>
      </c>
      <c r="AR9" s="2525">
        <f>I28+I75</f>
        <v>1702397401</v>
      </c>
      <c r="AS9" s="2525">
        <f>L28+L75</f>
        <v>343285138</v>
      </c>
      <c r="AT9" s="2496"/>
      <c r="AU9" s="2545">
        <f t="shared" si="0"/>
        <v>3.6343847837623895</v>
      </c>
      <c r="AV9" s="2545">
        <f t="shared" si="1"/>
        <v>0.73286665105697724</v>
      </c>
      <c r="AW9" s="2546">
        <f>(I30+I33+I36+I76)/AO$2*12+I31+I34+I37+I38+I39+I40+I77</f>
        <v>1837535358.6363635</v>
      </c>
      <c r="AX9" s="2546">
        <f>(L30+L33+L36+L76)/AO$2*12+L31+L34+L37+L38+L39+L40+L77</f>
        <v>354867435.36363637</v>
      </c>
      <c r="AY9" s="2546">
        <f t="shared" si="2"/>
        <v>1369121169.6363635</v>
      </c>
      <c r="AZ9" s="2547">
        <f t="shared" si="3"/>
        <v>-113546753.63636363</v>
      </c>
      <c r="BB9" s="2548" t="s">
        <v>427</v>
      </c>
      <c r="BC9" s="2549">
        <f>BC10+BC18</f>
        <v>40980358645</v>
      </c>
      <c r="BD9" s="2550">
        <f>BD10+BD18</f>
        <v>43190065155</v>
      </c>
      <c r="BE9" s="2551">
        <f>BE10+BE18</f>
        <v>3366622084</v>
      </c>
      <c r="BF9" s="2552"/>
      <c r="BG9" s="2553" t="s">
        <v>62</v>
      </c>
      <c r="BH9" s="2554">
        <f t="shared" ref="BH9:BK10" si="7">BN14</f>
        <v>29110311505</v>
      </c>
      <c r="BI9" s="2554">
        <f t="shared" si="7"/>
        <v>28969014486</v>
      </c>
      <c r="BJ9" s="2554">
        <f t="shared" si="7"/>
        <v>23296345221</v>
      </c>
      <c r="BK9" s="2554">
        <f t="shared" si="7"/>
        <v>1479397289</v>
      </c>
      <c r="BM9" s="2555" t="s">
        <v>63</v>
      </c>
      <c r="BN9" s="2556">
        <f>SUM(BN10:BN12)</f>
        <v>2112764538</v>
      </c>
      <c r="BO9" s="2554">
        <f>SUM(BO10:BO12)</f>
        <v>1630994348</v>
      </c>
      <c r="BP9" s="2554">
        <f>SUM(BP10:BP12)</f>
        <v>1630994348</v>
      </c>
      <c r="BQ9" s="2557">
        <f>SUM(BQ10:BQ12)</f>
        <v>134399517</v>
      </c>
    </row>
    <row r="10" spans="1:69" s="2489" customFormat="1" ht="24.95" customHeight="1">
      <c r="A10" s="2558">
        <f>+IF(OCTUBRE!A10=0,"",OCTUBRE!A10)</f>
        <v>10</v>
      </c>
      <c r="B10" s="2559" t="str">
        <f>+IF(OCTUBRE!B10=0,"",OCTUBRE!B10)</f>
        <v>DISPONIBILIDAD INICIAL</v>
      </c>
      <c r="C10" s="2560">
        <f t="shared" ref="C10:N10" si="8">SUM(C12:C15)</f>
        <v>0</v>
      </c>
      <c r="D10" s="2561">
        <f t="shared" si="8"/>
        <v>0</v>
      </c>
      <c r="E10" s="2561">
        <f t="shared" si="8"/>
        <v>617329922</v>
      </c>
      <c r="F10" s="2562">
        <f t="shared" si="8"/>
        <v>617329922</v>
      </c>
      <c r="G10" s="2563">
        <f t="shared" si="8"/>
        <v>617329922</v>
      </c>
      <c r="H10" s="2561">
        <f t="shared" si="8"/>
        <v>0</v>
      </c>
      <c r="I10" s="2564">
        <f t="shared" si="8"/>
        <v>617329922</v>
      </c>
      <c r="J10" s="2560">
        <f t="shared" si="8"/>
        <v>617329922</v>
      </c>
      <c r="K10" s="2561">
        <f t="shared" si="8"/>
        <v>0</v>
      </c>
      <c r="L10" s="2562">
        <f t="shared" si="8"/>
        <v>617329922</v>
      </c>
      <c r="M10" s="2560">
        <f t="shared" si="8"/>
        <v>0</v>
      </c>
      <c r="N10" s="2562">
        <f t="shared" si="8"/>
        <v>0</v>
      </c>
      <c r="O10" s="2496"/>
      <c r="P10" s="2560">
        <f>SUM(P12:P15)</f>
        <v>0</v>
      </c>
      <c r="Q10" s="2562">
        <f>SUM(Q12:Q15)</f>
        <v>0</v>
      </c>
      <c r="S10" s="2565" t="str">
        <f>+IF(OCTUBRE!S10=0,"",OCTUBRE!S10)</f>
        <v>A</v>
      </c>
      <c r="T10" s="2566" t="str">
        <f>+IF(OCTUBRE!T10=0,"",OCTUBRE!T10)</f>
        <v>GASTOS DE FUNCIONAMIENTO</v>
      </c>
      <c r="U10" s="2567">
        <f>U12+U110+U170</f>
        <v>35471771735</v>
      </c>
      <c r="V10" s="2568">
        <f t="shared" ref="V10:AJ10" si="9">V12+V110+V170</f>
        <v>1624478382</v>
      </c>
      <c r="W10" s="2568">
        <f t="shared" si="9"/>
        <v>14465242039</v>
      </c>
      <c r="X10" s="2569">
        <f t="shared" si="9"/>
        <v>51561492156</v>
      </c>
      <c r="Y10" s="2570">
        <f t="shared" si="9"/>
        <v>46901242349</v>
      </c>
      <c r="Z10" s="2568">
        <f t="shared" si="9"/>
        <v>992656299</v>
      </c>
      <c r="AA10" s="2569">
        <f t="shared" si="9"/>
        <v>47893898648</v>
      </c>
      <c r="AB10" s="2570">
        <f t="shared" si="9"/>
        <v>37817702223</v>
      </c>
      <c r="AC10" s="2568">
        <f t="shared" si="9"/>
        <v>3548955841</v>
      </c>
      <c r="AD10" s="2569">
        <f t="shared" si="9"/>
        <v>41366658064</v>
      </c>
      <c r="AE10" s="2570">
        <f t="shared" si="9"/>
        <v>26088999258</v>
      </c>
      <c r="AF10" s="2568">
        <f t="shared" si="9"/>
        <v>2798395570</v>
      </c>
      <c r="AG10" s="2569">
        <f t="shared" si="9"/>
        <v>28887394828</v>
      </c>
      <c r="AH10" s="2570">
        <f t="shared" si="9"/>
        <v>3667593508</v>
      </c>
      <c r="AI10" s="2568">
        <f t="shared" si="9"/>
        <v>10194834092</v>
      </c>
      <c r="AJ10" s="2571">
        <f t="shared" si="9"/>
        <v>22674097328</v>
      </c>
      <c r="AL10" s="2572">
        <f t="shared" ref="AL10:AM10" si="10">AL12+AL110+AL170</f>
        <v>0</v>
      </c>
      <c r="AM10" s="2573">
        <f t="shared" si="10"/>
        <v>1255590398</v>
      </c>
      <c r="AO10" s="2544"/>
      <c r="AP10" s="2494" t="s">
        <v>65</v>
      </c>
      <c r="AQ10" s="2525">
        <f>F42</f>
        <v>0</v>
      </c>
      <c r="AR10" s="2525">
        <f>I42</f>
        <v>0</v>
      </c>
      <c r="AS10" s="2525">
        <f>L42</f>
        <v>0</v>
      </c>
      <c r="AT10" s="2496"/>
      <c r="AU10" s="2545" t="str">
        <f t="shared" si="0"/>
        <v xml:space="preserve"> </v>
      </c>
      <c r="AV10" s="2545" t="str">
        <f t="shared" si="1"/>
        <v xml:space="preserve"> </v>
      </c>
      <c r="AW10" s="2546">
        <f>I43/AO$2*12+I44</f>
        <v>0</v>
      </c>
      <c r="AX10" s="2546">
        <f>L43/AO$2*12+L44</f>
        <v>0</v>
      </c>
      <c r="AY10" s="2546">
        <f t="shared" si="2"/>
        <v>0</v>
      </c>
      <c r="AZ10" s="2547">
        <f t="shared" si="3"/>
        <v>0</v>
      </c>
      <c r="BB10" s="2574" t="s">
        <v>428</v>
      </c>
      <c r="BC10" s="2549">
        <f>BC11+BC12+BC13+BC14+BC16+BC17+BC15</f>
        <v>40855121717</v>
      </c>
      <c r="BD10" s="2550">
        <f>BD11+BD12+BD13+BD14+BD16+BD17+BD15</f>
        <v>43064828227</v>
      </c>
      <c r="BE10" s="2551">
        <f>BE11+BE12+BE13+BE14+BE16+BE17+BE15</f>
        <v>3366622084</v>
      </c>
      <c r="BF10" s="2552"/>
      <c r="BG10" s="2532" t="s">
        <v>66</v>
      </c>
      <c r="BH10" s="2575">
        <f t="shared" si="7"/>
        <v>9894159656</v>
      </c>
      <c r="BI10" s="2575">
        <f t="shared" si="7"/>
        <v>7995849367</v>
      </c>
      <c r="BJ10" s="2575">
        <f t="shared" si="7"/>
        <v>7152153177</v>
      </c>
      <c r="BK10" s="2575">
        <f t="shared" si="7"/>
        <v>628610950</v>
      </c>
      <c r="BM10" s="2576" t="s">
        <v>440</v>
      </c>
      <c r="BN10" s="2577">
        <f>X17+X66</f>
        <v>1413755363</v>
      </c>
      <c r="BO10" s="2575">
        <f>AA17+AA66</f>
        <v>1209561368</v>
      </c>
      <c r="BP10" s="2575">
        <f>AD17+AD66</f>
        <v>1209561368</v>
      </c>
      <c r="BQ10" s="2578">
        <f>AF17+AF66</f>
        <v>109870138</v>
      </c>
    </row>
    <row r="11" spans="1:69" s="2489" customFormat="1" ht="24.95" customHeight="1">
      <c r="A11" s="2537"/>
      <c r="B11" s="2538"/>
      <c r="C11" s="2539"/>
      <c r="D11" s="2539"/>
      <c r="E11" s="2539"/>
      <c r="F11" s="2539"/>
      <c r="G11" s="2539"/>
      <c r="H11" s="2539"/>
      <c r="I11" s="2539"/>
      <c r="J11" s="2539"/>
      <c r="K11" s="2539"/>
      <c r="L11" s="2539"/>
      <c r="M11" s="2539"/>
      <c r="N11" s="2540"/>
      <c r="O11" s="2513"/>
      <c r="P11" s="2541"/>
      <c r="Q11" s="2540"/>
      <c r="S11" s="2579"/>
      <c r="T11" s="2580"/>
      <c r="U11" s="2581"/>
      <c r="V11" s="2581"/>
      <c r="W11" s="2581"/>
      <c r="X11" s="2581"/>
      <c r="Y11" s="2581"/>
      <c r="Z11" s="2581"/>
      <c r="AA11" s="2581"/>
      <c r="AB11" s="2581"/>
      <c r="AC11" s="2581"/>
      <c r="AD11" s="2581"/>
      <c r="AE11" s="2581"/>
      <c r="AF11" s="2581"/>
      <c r="AG11" s="2581"/>
      <c r="AH11" s="2581"/>
      <c r="AI11" s="2581"/>
      <c r="AJ11" s="2582"/>
      <c r="AL11" s="2583"/>
      <c r="AM11" s="2584"/>
      <c r="AO11" s="2585" t="s">
        <v>11</v>
      </c>
      <c r="AP11" s="2586" t="s">
        <v>538</v>
      </c>
      <c r="AQ11" s="2525">
        <f>F88</f>
        <v>0</v>
      </c>
      <c r="AR11" s="2525">
        <f>I88</f>
        <v>0</v>
      </c>
      <c r="AS11" s="2525">
        <f>L88</f>
        <v>0</v>
      </c>
      <c r="AT11" s="2587">
        <f>AO2/12</f>
        <v>0.91666666666666663</v>
      </c>
      <c r="AU11" s="2545" t="str">
        <f t="shared" si="0"/>
        <v xml:space="preserve"> </v>
      </c>
      <c r="AV11" s="2545" t="str">
        <f t="shared" si="1"/>
        <v xml:space="preserve"> </v>
      </c>
      <c r="AW11" s="2546">
        <f>I88</f>
        <v>0</v>
      </c>
      <c r="AX11" s="2546">
        <f>L88</f>
        <v>0</v>
      </c>
      <c r="AY11" s="2546">
        <f t="shared" si="2"/>
        <v>0</v>
      </c>
      <c r="AZ11" s="2547">
        <f t="shared" si="3"/>
        <v>0</v>
      </c>
      <c r="BB11" s="2574" t="s">
        <v>429</v>
      </c>
      <c r="BC11" s="2549">
        <f>F26</f>
        <v>13439321219</v>
      </c>
      <c r="BD11" s="2550">
        <f>I26</f>
        <v>19309297731</v>
      </c>
      <c r="BE11" s="2551">
        <f>K26</f>
        <v>2433486543</v>
      </c>
      <c r="BF11" s="2552"/>
      <c r="BG11" s="2532" t="s">
        <v>67</v>
      </c>
      <c r="BH11" s="2588">
        <f>BN22</f>
        <v>149730003</v>
      </c>
      <c r="BI11" s="2588">
        <f>BO22</f>
        <v>105465164</v>
      </c>
      <c r="BJ11" s="2588">
        <f>BP22</f>
        <v>94590035</v>
      </c>
      <c r="BK11" s="2588">
        <f>BQ22</f>
        <v>7289406</v>
      </c>
      <c r="BM11" s="2589" t="s">
        <v>441</v>
      </c>
      <c r="BN11" s="2590">
        <f>X18+X67</f>
        <v>104121781</v>
      </c>
      <c r="BO11" s="2588">
        <f>AA18+AA67</f>
        <v>93701231</v>
      </c>
      <c r="BP11" s="2588">
        <f>AD18+AD67</f>
        <v>93701231</v>
      </c>
      <c r="BQ11" s="2591">
        <f>AF18+AF67</f>
        <v>9569733</v>
      </c>
    </row>
    <row r="12" spans="1:69" s="2489" customFormat="1" ht="24.95" customHeight="1">
      <c r="A12" s="2592">
        <f>+IF(OCTUBRE!A12=0,"",OCTUBRE!A12)</f>
        <v>1001</v>
      </c>
      <c r="B12" s="2593" t="str">
        <f>+IF(OCTUBRE!B12=0,"",OCTUBRE!B12)</f>
        <v>Bienestar Social (Caja, Bancos, Inversiones Tempor.) a Dic-31-2016</v>
      </c>
      <c r="C12" s="2594">
        <f>+ENERO!C12</f>
        <v>0</v>
      </c>
      <c r="D12" s="2595">
        <f>OCTUBRE!D12+NOVIEMBRE!P12</f>
        <v>0</v>
      </c>
      <c r="E12" s="2595">
        <f>OCTUBRE!E12+NOVIEMBRE!Q12</f>
        <v>26156707</v>
      </c>
      <c r="F12" s="2596">
        <f>SUM(C12:E12)</f>
        <v>26156707</v>
      </c>
      <c r="G12" s="2597">
        <f>OCTUBRE!I12</f>
        <v>26156707</v>
      </c>
      <c r="H12" s="2598">
        <v>0</v>
      </c>
      <c r="I12" s="2596">
        <f>SUM(G12:H12)</f>
        <v>26156707</v>
      </c>
      <c r="J12" s="2597">
        <f>OCTUBRE!L12</f>
        <v>26156707</v>
      </c>
      <c r="K12" s="2599">
        <v>0</v>
      </c>
      <c r="L12" s="2596">
        <f>SUM(J12:K12)</f>
        <v>26156707</v>
      </c>
      <c r="M12" s="2597">
        <f>F12-I12</f>
        <v>0</v>
      </c>
      <c r="N12" s="2596">
        <f>F12-L12</f>
        <v>0</v>
      </c>
      <c r="O12" s="2440"/>
      <c r="P12" s="2600">
        <v>0</v>
      </c>
      <c r="Q12" s="2601">
        <v>0</v>
      </c>
      <c r="S12" s="2602">
        <f>+IF(OCTUBRE!S12=0,"",OCTUBRE!S12)</f>
        <v>1000000</v>
      </c>
      <c r="T12" s="2603" t="str">
        <f>+IF(OCTUBRE!T12=0,"",OCTUBRE!T12)</f>
        <v>GASTOS DE PERSONAL</v>
      </c>
      <c r="U12" s="2604">
        <f t="shared" ref="U12:AJ12" si="11">U14+U63</f>
        <v>27757873896</v>
      </c>
      <c r="V12" s="2605">
        <f t="shared" si="11"/>
        <v>1758848004</v>
      </c>
      <c r="W12" s="2605">
        <f t="shared" si="11"/>
        <v>10657044066</v>
      </c>
      <c r="X12" s="2606">
        <f t="shared" si="11"/>
        <v>40173765966</v>
      </c>
      <c r="Y12" s="2572">
        <f t="shared" si="11"/>
        <v>38049992006</v>
      </c>
      <c r="Z12" s="2605">
        <f t="shared" si="11"/>
        <v>655882088</v>
      </c>
      <c r="AA12" s="2606">
        <f t="shared" si="11"/>
        <v>38705874094</v>
      </c>
      <c r="AB12" s="2572">
        <f t="shared" si="11"/>
        <v>30138383580</v>
      </c>
      <c r="AC12" s="2605">
        <f t="shared" si="11"/>
        <v>2894821249</v>
      </c>
      <c r="AD12" s="2606">
        <f t="shared" si="11"/>
        <v>33033204829</v>
      </c>
      <c r="AE12" s="2572">
        <f t="shared" si="11"/>
        <v>21245786720</v>
      </c>
      <c r="AF12" s="2605">
        <f t="shared" si="11"/>
        <v>2112118352</v>
      </c>
      <c r="AG12" s="2606">
        <f t="shared" si="11"/>
        <v>23357905072</v>
      </c>
      <c r="AH12" s="2572">
        <f t="shared" si="11"/>
        <v>1467891872</v>
      </c>
      <c r="AI12" s="2605">
        <f t="shared" si="11"/>
        <v>7140561137</v>
      </c>
      <c r="AJ12" s="2573">
        <f t="shared" si="11"/>
        <v>16815860894</v>
      </c>
      <c r="AK12" s="2607"/>
      <c r="AL12" s="2608">
        <f>AL14+AL63</f>
        <v>-144000000</v>
      </c>
      <c r="AM12" s="2609">
        <f>AM14+AM63</f>
        <v>950000000</v>
      </c>
      <c r="AO12" s="2585"/>
      <c r="AP12" s="2610" t="s">
        <v>539</v>
      </c>
      <c r="AQ12" s="2525">
        <f>F89</f>
        <v>0</v>
      </c>
      <c r="AR12" s="2525">
        <f>I89</f>
        <v>0</v>
      </c>
      <c r="AS12" s="2525">
        <f>L89</f>
        <v>0</v>
      </c>
      <c r="AT12" s="2496"/>
      <c r="AU12" s="2545" t="str">
        <f t="shared" si="0"/>
        <v xml:space="preserve"> </v>
      </c>
      <c r="AV12" s="2545" t="str">
        <f t="shared" si="1"/>
        <v xml:space="preserve"> </v>
      </c>
      <c r="AW12" s="2546">
        <f>I89</f>
        <v>0</v>
      </c>
      <c r="AX12" s="2546">
        <f>L89</f>
        <v>0</v>
      </c>
      <c r="AY12" s="2546">
        <f t="shared" si="2"/>
        <v>0</v>
      </c>
      <c r="AZ12" s="2547">
        <f t="shared" si="3"/>
        <v>0</v>
      </c>
      <c r="BB12" s="2574" t="s">
        <v>430</v>
      </c>
      <c r="BC12" s="2549">
        <f>F23</f>
        <v>18905646713</v>
      </c>
      <c r="BD12" s="2550">
        <f>I23</f>
        <v>14700456169</v>
      </c>
      <c r="BE12" s="2551">
        <f>K23</f>
        <v>473684105</v>
      </c>
      <c r="BF12" s="2552"/>
      <c r="BG12" s="2611" t="s">
        <v>391</v>
      </c>
      <c r="BH12" s="2588">
        <f>BN25</f>
        <v>13405609615</v>
      </c>
      <c r="BI12" s="2612">
        <f>BO25</f>
        <v>12368982137</v>
      </c>
      <c r="BJ12" s="2588">
        <f>BP25</f>
        <v>10978954265</v>
      </c>
      <c r="BK12" s="2588">
        <f>BQ25</f>
        <v>732486367</v>
      </c>
      <c r="BM12" s="2613" t="s">
        <v>442</v>
      </c>
      <c r="BN12" s="2590">
        <f>X16+X65-X81-X33-BN10-BN11</f>
        <v>594887394</v>
      </c>
      <c r="BO12" s="2588">
        <f>AA16+AA65-AA81-AA33-BO10-BO11</f>
        <v>327731749</v>
      </c>
      <c r="BP12" s="2588">
        <f>AD16+AD65-AD81-AD33-BP10-BP11</f>
        <v>327731749</v>
      </c>
      <c r="BQ12" s="2591">
        <f>AF16+AF65-AF81-AF33-BQ10-BQ11</f>
        <v>14959646</v>
      </c>
    </row>
    <row r="13" spans="1:69" s="2489" customFormat="1" ht="24.95" customHeight="1">
      <c r="A13" s="2592">
        <f>+IF(OCTUBRE!A13=0,"",OCTUBRE!A13)</f>
        <v>1002</v>
      </c>
      <c r="B13" s="2593" t="str">
        <f>+IF(OCTUBRE!B13=0,"",OCTUBRE!B13)</f>
        <v>Fondo Vivienda (Caja, Bancos, Inversiones Tempor.) a Dic-31-2016</v>
      </c>
      <c r="C13" s="2594">
        <f>+ENERO!C13</f>
        <v>0</v>
      </c>
      <c r="D13" s="2595">
        <f>OCTUBRE!D13+NOVIEMBRE!P13</f>
        <v>0</v>
      </c>
      <c r="E13" s="2595">
        <f>OCTUBRE!E13+NOVIEMBRE!Q13</f>
        <v>53878092</v>
      </c>
      <c r="F13" s="2596">
        <f>SUM(C13:E13)</f>
        <v>53878092</v>
      </c>
      <c r="G13" s="2597">
        <f>OCTUBRE!I13</f>
        <v>53878092</v>
      </c>
      <c r="H13" s="2598">
        <v>0</v>
      </c>
      <c r="I13" s="2596">
        <f>SUM(G13:H13)</f>
        <v>53878092</v>
      </c>
      <c r="J13" s="2597">
        <f>OCTUBRE!L13</f>
        <v>53878092</v>
      </c>
      <c r="K13" s="2599">
        <v>0</v>
      </c>
      <c r="L13" s="2596">
        <f>SUM(J13:K13)</f>
        <v>53878092</v>
      </c>
      <c r="M13" s="2597">
        <f>F13-I13</f>
        <v>0</v>
      </c>
      <c r="N13" s="2596">
        <f>F13-L13</f>
        <v>0</v>
      </c>
      <c r="O13" s="2614"/>
      <c r="P13" s="2600">
        <v>0</v>
      </c>
      <c r="Q13" s="2601">
        <v>0</v>
      </c>
      <c r="S13" s="2579"/>
      <c r="T13" s="2580"/>
      <c r="U13" s="2581"/>
      <c r="V13" s="2581"/>
      <c r="W13" s="2581"/>
      <c r="X13" s="2581"/>
      <c r="Y13" s="2581"/>
      <c r="Z13" s="2581"/>
      <c r="AA13" s="2581"/>
      <c r="AB13" s="2581"/>
      <c r="AC13" s="2581"/>
      <c r="AD13" s="2581"/>
      <c r="AE13" s="2581"/>
      <c r="AF13" s="2581"/>
      <c r="AG13" s="2581"/>
      <c r="AH13" s="2581"/>
      <c r="AI13" s="2581"/>
      <c r="AJ13" s="2582"/>
      <c r="AK13" s="2607"/>
      <c r="AL13" s="2583"/>
      <c r="AM13" s="2584"/>
      <c r="AO13" s="2615"/>
      <c r="AP13" s="2610" t="s">
        <v>540</v>
      </c>
      <c r="AQ13" s="2525">
        <f>F90</f>
        <v>0</v>
      </c>
      <c r="AR13" s="2525">
        <f>I90</f>
        <v>0</v>
      </c>
      <c r="AS13" s="2525">
        <f>L90</f>
        <v>0</v>
      </c>
      <c r="AT13" s="2496"/>
      <c r="AU13" s="2545" t="str">
        <f t="shared" si="0"/>
        <v xml:space="preserve"> </v>
      </c>
      <c r="AV13" s="2545" t="str">
        <f t="shared" si="1"/>
        <v xml:space="preserve"> </v>
      </c>
      <c r="AW13" s="2546">
        <f>I90</f>
        <v>0</v>
      </c>
      <c r="AX13" s="2546">
        <f>L90</f>
        <v>0</v>
      </c>
      <c r="AY13" s="2546">
        <f t="shared" si="2"/>
        <v>0</v>
      </c>
      <c r="AZ13" s="2547">
        <f t="shared" si="3"/>
        <v>0</v>
      </c>
      <c r="BA13" s="2614"/>
      <c r="BB13" s="2616" t="s">
        <v>431</v>
      </c>
      <c r="BC13" s="2617">
        <f>+F30+F33+F36+F38+F39+F40</f>
        <v>415598482</v>
      </c>
      <c r="BD13" s="2618">
        <f>+I30+I33+I36+I38+I39+I40</f>
        <v>1670817180</v>
      </c>
      <c r="BE13" s="2619">
        <f>+K30+K33+K36+K38+K39+K40</f>
        <v>38885338</v>
      </c>
      <c r="BF13" s="2620"/>
      <c r="BG13" s="2504" t="s">
        <v>70</v>
      </c>
      <c r="BH13" s="2588">
        <f t="shared" ref="BH13:BK15" si="12">BN29</f>
        <v>433878092</v>
      </c>
      <c r="BI13" s="2588">
        <f t="shared" si="12"/>
        <v>352813792</v>
      </c>
      <c r="BJ13" s="2588">
        <f t="shared" si="12"/>
        <v>336273002</v>
      </c>
      <c r="BK13" s="2588">
        <f t="shared" si="12"/>
        <v>0</v>
      </c>
      <c r="BM13" s="2621" t="s">
        <v>443</v>
      </c>
      <c r="BN13" s="2577">
        <f>X43-X55+X57-X61+X90-X102+X104-X108</f>
        <v>728834377</v>
      </c>
      <c r="BO13" s="2575">
        <f>AA43-AA55+AA57-AA61+AA90-AA102+AA104-AA108</f>
        <v>402291063</v>
      </c>
      <c r="BP13" s="2575">
        <f>AD43-AD55+AD57-AD61+AD90-AD102+AD104-AD108</f>
        <v>402291063</v>
      </c>
      <c r="BQ13" s="2578">
        <f>AF43-AF55+AF57-AF61+AF90-AF102+AF104-AF108</f>
        <v>38209398</v>
      </c>
    </row>
    <row r="14" spans="1:69" s="2489" customFormat="1" ht="24.95" customHeight="1">
      <c r="A14" s="2592">
        <f>+IF(OCTUBRE!A14=0,"",OCTUBRE!A14)</f>
        <v>1003</v>
      </c>
      <c r="B14" s="2593" t="str">
        <f>+IF(OCTUBRE!B14=0,"",OCTUBRE!B14)</f>
        <v>Fondos Comunes y Especiales (Caja, Bancos, Invers. Tempor.) a Dic-31-2016</v>
      </c>
      <c r="C14" s="2594">
        <f>+ENERO!C14</f>
        <v>0</v>
      </c>
      <c r="D14" s="2595">
        <f>OCTUBRE!D14+NOVIEMBRE!P14</f>
        <v>0</v>
      </c>
      <c r="E14" s="2595">
        <f>OCTUBRE!E14+NOVIEMBRE!Q14</f>
        <v>433953123</v>
      </c>
      <c r="F14" s="2596">
        <f>SUM(C14:E14)</f>
        <v>433953123</v>
      </c>
      <c r="G14" s="2597">
        <f>OCTUBRE!I14</f>
        <v>433953123</v>
      </c>
      <c r="H14" s="2598">
        <v>0</v>
      </c>
      <c r="I14" s="2596">
        <f>SUM(G14:H14)</f>
        <v>433953123</v>
      </c>
      <c r="J14" s="2597">
        <f>OCTUBRE!L14</f>
        <v>433953123</v>
      </c>
      <c r="K14" s="2599">
        <v>0</v>
      </c>
      <c r="L14" s="2596">
        <f>SUM(J14:K14)</f>
        <v>433953123</v>
      </c>
      <c r="M14" s="2597">
        <f>F14-I14</f>
        <v>0</v>
      </c>
      <c r="N14" s="2596">
        <f>F14-L14</f>
        <v>0</v>
      </c>
      <c r="O14" s="2614"/>
      <c r="P14" s="2600">
        <v>0</v>
      </c>
      <c r="Q14" s="2601">
        <v>0</v>
      </c>
      <c r="S14" s="2622">
        <f>+IF(OCTUBRE!S14=0,"",OCTUBRE!S14)</f>
        <v>1010000</v>
      </c>
      <c r="T14" s="2623" t="str">
        <f>+IF(OCTUBRE!T14=0,"",OCTUBRE!T14)</f>
        <v>Gastos de Administración</v>
      </c>
      <c r="U14" s="2624">
        <f t="shared" ref="U14:AJ14" si="13">U16+U35+U43+U57</f>
        <v>4011945263</v>
      </c>
      <c r="V14" s="2625">
        <f t="shared" si="13"/>
        <v>542436288</v>
      </c>
      <c r="W14" s="2625">
        <f t="shared" si="13"/>
        <v>2883978215</v>
      </c>
      <c r="X14" s="2626">
        <f t="shared" si="13"/>
        <v>7438359766</v>
      </c>
      <c r="Y14" s="2627">
        <f t="shared" si="13"/>
        <v>6835263726</v>
      </c>
      <c r="Z14" s="2625">
        <f t="shared" si="13"/>
        <v>108249338</v>
      </c>
      <c r="AA14" s="2626">
        <f t="shared" si="13"/>
        <v>6943513064</v>
      </c>
      <c r="AB14" s="2627">
        <f t="shared" si="13"/>
        <v>5488269022</v>
      </c>
      <c r="AC14" s="2625">
        <f t="shared" si="13"/>
        <v>522041935</v>
      </c>
      <c r="AD14" s="2626">
        <f t="shared" si="13"/>
        <v>6010310957</v>
      </c>
      <c r="AE14" s="2627">
        <f t="shared" si="13"/>
        <v>4308447165</v>
      </c>
      <c r="AF14" s="2625">
        <f t="shared" si="13"/>
        <v>795187980</v>
      </c>
      <c r="AG14" s="2626">
        <f t="shared" si="13"/>
        <v>5103635145</v>
      </c>
      <c r="AH14" s="2627">
        <f t="shared" si="13"/>
        <v>494846702</v>
      </c>
      <c r="AI14" s="2625">
        <f t="shared" si="13"/>
        <v>1428048809</v>
      </c>
      <c r="AJ14" s="2628">
        <f t="shared" si="13"/>
        <v>2334724621</v>
      </c>
      <c r="AK14" s="2607"/>
      <c r="AL14" s="2627">
        <f>AL16+AL35+AL43+AL57</f>
        <v>-60000000</v>
      </c>
      <c r="AM14" s="2628">
        <f>AM16+AM35+AM43+AM57</f>
        <v>150000000</v>
      </c>
      <c r="AO14" s="2493"/>
      <c r="AP14" s="2494" t="s">
        <v>73</v>
      </c>
      <c r="AQ14" s="2525">
        <f>F19-AQ7-AQ8-AQ9-AQ10-AQ11-AQ12-AQ13</f>
        <v>11384153846</v>
      </c>
      <c r="AR14" s="2525">
        <f>I19-AR7-AR8-AR9-AR10-AR11-AR12-AR13</f>
        <v>10703695724</v>
      </c>
      <c r="AS14" s="2525">
        <f>L19-AS7-AS8-AS9-AS10-AS11-AS12-AS13</f>
        <v>5743068986</v>
      </c>
      <c r="AT14" s="2614"/>
      <c r="AU14" s="2545">
        <f t="shared" si="0"/>
        <v>0.94022760661837945</v>
      </c>
      <c r="AV14" s="2545">
        <f t="shared" si="1"/>
        <v>0.50447921415063424</v>
      </c>
      <c r="AW14" s="2546">
        <f>(I41+I46+I49+I52+I55+I58+I61+I64+I67+I70+I73+I78+I81+I82+I83+I85+I94+I104)/AO$2*12+I47+I50+I53+I56+I59+I62+I65+I68+I71+I74</f>
        <v>12924483282.818182</v>
      </c>
      <c r="AX14" s="2546">
        <f>(L41+L46+L49+L52+L55+L58+L61+L64+L67+L70+L73+L78+L81+L82+L83+L85+L94+L104)/AO$2*12+L47+L50+L53+L56+L59+L62+L65+L68+L71+L74</f>
        <v>7075720197</v>
      </c>
      <c r="AY14" s="2546">
        <f t="shared" si="2"/>
        <v>1540329436.818182</v>
      </c>
      <c r="AZ14" s="2547">
        <f t="shared" si="3"/>
        <v>-4308433649</v>
      </c>
      <c r="BB14" s="2616" t="s">
        <v>432</v>
      </c>
      <c r="BC14" s="2629">
        <f>+F64</f>
        <v>5110724757</v>
      </c>
      <c r="BD14" s="2630">
        <f>+I64</f>
        <v>2162816700</v>
      </c>
      <c r="BE14" s="2631">
        <f>K64</f>
        <v>195991268</v>
      </c>
      <c r="BF14" s="2632"/>
      <c r="BG14" s="2504" t="s">
        <v>74</v>
      </c>
      <c r="BH14" s="2575">
        <f t="shared" si="12"/>
        <v>0</v>
      </c>
      <c r="BI14" s="2575">
        <f t="shared" si="12"/>
        <v>0</v>
      </c>
      <c r="BJ14" s="2575">
        <f t="shared" si="12"/>
        <v>0</v>
      </c>
      <c r="BK14" s="2575">
        <f t="shared" si="12"/>
        <v>0</v>
      </c>
      <c r="BM14" s="2633" t="s">
        <v>439</v>
      </c>
      <c r="BN14" s="2590">
        <f>X35-X41+X83-X88</f>
        <v>29110311505</v>
      </c>
      <c r="BO14" s="2588">
        <f>AA35-AA41+AA83-AA88</f>
        <v>28969014486</v>
      </c>
      <c r="BP14" s="2588">
        <f>AD35-AD41+AD83-AD88</f>
        <v>23296345221</v>
      </c>
      <c r="BQ14" s="2591">
        <f>AF35-AF41+AF83-AF88</f>
        <v>1479397289</v>
      </c>
    </row>
    <row r="15" spans="1:69" s="2489" customFormat="1" ht="24.95" customHeight="1" thickBot="1">
      <c r="A15" s="2634">
        <f>+IF(OCTUBRE!A15=0,"",OCTUBRE!A15)</f>
        <v>1004</v>
      </c>
      <c r="B15" s="2593" t="str">
        <f>+IF(OCTUBRE!B15=0,"",OCTUBRE!B15)</f>
        <v>Cesantias Ley 50/1990 a Dic-31-2016</v>
      </c>
      <c r="C15" s="2635">
        <f>+ENERO!C15</f>
        <v>0</v>
      </c>
      <c r="D15" s="2636">
        <f>OCTUBRE!D15+NOVIEMBRE!P15</f>
        <v>0</v>
      </c>
      <c r="E15" s="2636">
        <f>OCTUBRE!E15+NOVIEMBRE!Q15</f>
        <v>103342000</v>
      </c>
      <c r="F15" s="2637">
        <f>SUM(C15:E15)</f>
        <v>103342000</v>
      </c>
      <c r="G15" s="2638">
        <f>OCTUBRE!I15</f>
        <v>103342000</v>
      </c>
      <c r="H15" s="2639">
        <v>0</v>
      </c>
      <c r="I15" s="2637">
        <f>SUM(G15:H15)</f>
        <v>103342000</v>
      </c>
      <c r="J15" s="2638">
        <f>OCTUBRE!L15</f>
        <v>103342000</v>
      </c>
      <c r="K15" s="2640">
        <v>0</v>
      </c>
      <c r="L15" s="2637">
        <f>SUM(J15:K15)</f>
        <v>103342000</v>
      </c>
      <c r="M15" s="2638">
        <f>F15-I15</f>
        <v>0</v>
      </c>
      <c r="N15" s="2637">
        <f>F15-L15</f>
        <v>0</v>
      </c>
      <c r="O15" s="2614"/>
      <c r="P15" s="2641">
        <v>0</v>
      </c>
      <c r="Q15" s="2642">
        <v>0</v>
      </c>
      <c r="S15" s="2579" t="str">
        <f>+IF(OCTUBRE!S15=0,"",OCTUBRE!S15)</f>
        <v/>
      </c>
      <c r="T15" s="2580" t="str">
        <f>+IF(OCTUBRE!T15=0,"",OCTUBRE!T15)</f>
        <v xml:space="preserve"> </v>
      </c>
      <c r="U15" s="2581"/>
      <c r="V15" s="2581"/>
      <c r="W15" s="2581"/>
      <c r="X15" s="2581"/>
      <c r="Y15" s="2581"/>
      <c r="Z15" s="2581"/>
      <c r="AA15" s="2581"/>
      <c r="AB15" s="2581"/>
      <c r="AC15" s="2581"/>
      <c r="AD15" s="2581"/>
      <c r="AE15" s="2581"/>
      <c r="AF15" s="2581"/>
      <c r="AG15" s="2581"/>
      <c r="AH15" s="2581"/>
      <c r="AI15" s="2581"/>
      <c r="AJ15" s="2582"/>
      <c r="AK15" s="2607"/>
      <c r="AL15" s="2643"/>
      <c r="AM15" s="2644"/>
      <c r="AO15" s="2615"/>
      <c r="AP15" s="2494" t="s">
        <v>76</v>
      </c>
      <c r="AQ15" s="2525">
        <f>F113</f>
        <v>9057416017</v>
      </c>
      <c r="AR15" s="2525">
        <f>I113</f>
        <v>339634025</v>
      </c>
      <c r="AS15" s="2525">
        <f>L113</f>
        <v>339634025</v>
      </c>
      <c r="AT15" s="2496"/>
      <c r="AU15" s="2526">
        <f t="shared" si="0"/>
        <v>3.7497893920576883E-2</v>
      </c>
      <c r="AV15" s="2545">
        <f t="shared" si="1"/>
        <v>3.7497893920576883E-2</v>
      </c>
      <c r="AW15" s="2525">
        <f>+AR15</f>
        <v>339634025</v>
      </c>
      <c r="AX15" s="2525">
        <f>+AS15</f>
        <v>339634025</v>
      </c>
      <c r="AY15" s="2525">
        <f t="shared" si="2"/>
        <v>-8717781992</v>
      </c>
      <c r="AZ15" s="2527">
        <f t="shared" si="3"/>
        <v>-8717781992</v>
      </c>
      <c r="BA15" s="2614"/>
      <c r="BB15" s="2616" t="s">
        <v>77</v>
      </c>
      <c r="BC15" s="2629">
        <f>F46+F49</f>
        <v>375197511</v>
      </c>
      <c r="BD15" s="2630">
        <f>I46+I49</f>
        <v>374863243</v>
      </c>
      <c r="BE15" s="2631">
        <f>K46+K49</f>
        <v>0</v>
      </c>
      <c r="BF15" s="2632"/>
      <c r="BG15" s="2504" t="s">
        <v>78</v>
      </c>
      <c r="BH15" s="2575">
        <f t="shared" si="12"/>
        <v>13219990502</v>
      </c>
      <c r="BI15" s="2575">
        <f t="shared" si="12"/>
        <v>12280934166</v>
      </c>
      <c r="BJ15" s="2575">
        <f t="shared" si="12"/>
        <v>12280934166</v>
      </c>
      <c r="BK15" s="2575">
        <f t="shared" si="12"/>
        <v>1174688086</v>
      </c>
      <c r="BM15" s="2534" t="s">
        <v>66</v>
      </c>
      <c r="BN15" s="2577">
        <f>SUM(BN16:BN21)</f>
        <v>9894159656</v>
      </c>
      <c r="BO15" s="2575">
        <f>SUM(BO16:BO21)</f>
        <v>7995849367</v>
      </c>
      <c r="BP15" s="2575">
        <f>SUM(BP16:BP21)</f>
        <v>7152153177</v>
      </c>
      <c r="BQ15" s="2578">
        <f>SUM(BQ16:BQ21)</f>
        <v>628610950</v>
      </c>
    </row>
    <row r="16" spans="1:69" s="2489" customFormat="1" ht="24.95" customHeight="1" thickBot="1">
      <c r="A16" s="2645" t="str">
        <f>+IF(OCTUBRE!A16=0,"",OCTUBRE!A16)</f>
        <v/>
      </c>
      <c r="B16" s="2646" t="str">
        <f>+IF(OCTUBRE!B16=0,"",OCTUBRE!B16)</f>
        <v/>
      </c>
      <c r="C16" s="2647"/>
      <c r="D16" s="2647"/>
      <c r="E16" s="2647"/>
      <c r="F16" s="2647"/>
      <c r="G16" s="2647"/>
      <c r="H16" s="2647"/>
      <c r="I16" s="2647"/>
      <c r="J16" s="2647"/>
      <c r="K16" s="2647"/>
      <c r="L16" s="2647"/>
      <c r="M16" s="2647"/>
      <c r="N16" s="2648"/>
      <c r="O16" s="2614"/>
      <c r="P16" s="2649"/>
      <c r="Q16" s="2650"/>
      <c r="S16" s="2651">
        <f>+IF(OCTUBRE!S16=0,"",OCTUBRE!S16)</f>
        <v>1010100</v>
      </c>
      <c r="T16" s="2652" t="str">
        <f>+IF(OCTUBRE!T16=0,"",OCTUBRE!T16)</f>
        <v>Servicios Personales Asociados a Nómina</v>
      </c>
      <c r="U16" s="2624">
        <f t="shared" ref="U16:AJ16" si="14">SUM(U17:U20)+U33</f>
        <v>762990941</v>
      </c>
      <c r="V16" s="2625">
        <f t="shared" si="14"/>
        <v>-115342000</v>
      </c>
      <c r="W16" s="2625">
        <f t="shared" si="14"/>
        <v>61656885</v>
      </c>
      <c r="X16" s="2626">
        <f t="shared" si="14"/>
        <v>709305826</v>
      </c>
      <c r="Y16" s="2627">
        <f t="shared" si="14"/>
        <v>490399781</v>
      </c>
      <c r="Z16" s="2625">
        <f t="shared" si="14"/>
        <v>45073896</v>
      </c>
      <c r="AA16" s="2626">
        <f t="shared" si="14"/>
        <v>535473677</v>
      </c>
      <c r="AB16" s="2627">
        <f t="shared" si="14"/>
        <v>490399781</v>
      </c>
      <c r="AC16" s="2625">
        <f t="shared" si="14"/>
        <v>45073896</v>
      </c>
      <c r="AD16" s="2626">
        <f t="shared" si="14"/>
        <v>535473677</v>
      </c>
      <c r="AE16" s="2627">
        <f t="shared" si="14"/>
        <v>490399781</v>
      </c>
      <c r="AF16" s="2625">
        <f t="shared" si="14"/>
        <v>45073896</v>
      </c>
      <c r="AG16" s="2626">
        <f t="shared" si="14"/>
        <v>535473677</v>
      </c>
      <c r="AH16" s="2627">
        <f t="shared" si="14"/>
        <v>173832149</v>
      </c>
      <c r="AI16" s="2625">
        <f t="shared" si="14"/>
        <v>173832149</v>
      </c>
      <c r="AJ16" s="2628">
        <f t="shared" si="14"/>
        <v>173832149</v>
      </c>
      <c r="AK16" s="2607"/>
      <c r="AL16" s="2627">
        <f>SUM(AL17:AL20)+AL33</f>
        <v>-40000000</v>
      </c>
      <c r="AM16" s="2628">
        <f>SUM(AM17:AM20)+AM33</f>
        <v>0</v>
      </c>
      <c r="AO16" s="2493"/>
      <c r="AP16" s="2653" t="s">
        <v>81</v>
      </c>
      <c r="AQ16" s="2654">
        <f>F10</f>
        <v>617329922</v>
      </c>
      <c r="AR16" s="2654">
        <f>I10</f>
        <v>617329922</v>
      </c>
      <c r="AS16" s="2654">
        <f>L10</f>
        <v>617329922</v>
      </c>
      <c r="AT16" s="2614"/>
      <c r="AU16" s="2655">
        <f t="shared" si="0"/>
        <v>1</v>
      </c>
      <c r="AV16" s="2655">
        <f t="shared" si="1"/>
        <v>1</v>
      </c>
      <c r="AW16" s="2654">
        <f t="shared" ref="AW16:AX16" si="15">+AR16</f>
        <v>617329922</v>
      </c>
      <c r="AX16" s="2654">
        <f t="shared" si="15"/>
        <v>617329922</v>
      </c>
      <c r="AY16" s="2525">
        <f t="shared" si="2"/>
        <v>0</v>
      </c>
      <c r="AZ16" s="2656">
        <f t="shared" si="3"/>
        <v>0</v>
      </c>
      <c r="BA16" s="2614"/>
      <c r="BB16" s="2574" t="s">
        <v>433</v>
      </c>
      <c r="BC16" s="2549">
        <f>F43</f>
        <v>0</v>
      </c>
      <c r="BD16" s="2550">
        <f>I43</f>
        <v>0</v>
      </c>
      <c r="BE16" s="2551">
        <f>K43</f>
        <v>0</v>
      </c>
      <c r="BF16" s="2552"/>
      <c r="BG16" s="2504" t="s">
        <v>82</v>
      </c>
      <c r="BH16" s="2657">
        <f>BH7+BH12+BH13+BH14+BH15</f>
        <v>69055278288</v>
      </c>
      <c r="BI16" s="2657">
        <f>BI7+BI12+BI13+BI14+BI15</f>
        <v>64106344523</v>
      </c>
      <c r="BJ16" s="2657">
        <f>BJ7+BJ12+BJ13+BJ14+BJ15</f>
        <v>56172535277</v>
      </c>
      <c r="BK16" s="2657">
        <f>BK7+BK12+BK13+BK14+BK15</f>
        <v>4195081013</v>
      </c>
      <c r="BM16" s="2555" t="s">
        <v>83</v>
      </c>
      <c r="BN16" s="2577">
        <f>X114-X121+X147-X148-X153</f>
        <v>1921358788</v>
      </c>
      <c r="BO16" s="2575">
        <f>AA114-AA121+AA147-AA148-AA153</f>
        <v>952379763</v>
      </c>
      <c r="BP16" s="2575">
        <f>AD114-AD121+AD147-AD148-AD153</f>
        <v>827177906</v>
      </c>
      <c r="BQ16" s="2578">
        <f>AF114-AF121+AF147-AF148-AF153</f>
        <v>38161682</v>
      </c>
    </row>
    <row r="17" spans="1:70" s="2614" customFormat="1" ht="24.95" customHeight="1" thickBot="1">
      <c r="A17" s="2558">
        <f>+IF(OCTUBRE!A17=0,"",OCTUBRE!A17)</f>
        <v>11</v>
      </c>
      <c r="B17" s="2658" t="str">
        <f>+IF(OCTUBRE!B17=0,"",OCTUBRE!B17)</f>
        <v>INGRESOS  CORRIENTES</v>
      </c>
      <c r="C17" s="2514">
        <f>C19+C94+C104</f>
        <v>41169250887</v>
      </c>
      <c r="D17" s="2512">
        <f t="shared" ref="D17:Q17" si="16">D19+D94+D104</f>
        <v>0</v>
      </c>
      <c r="E17" s="2512">
        <f t="shared" si="16"/>
        <v>18211281462</v>
      </c>
      <c r="F17" s="2512">
        <f t="shared" si="16"/>
        <v>59380532349</v>
      </c>
      <c r="G17" s="2512">
        <f t="shared" si="16"/>
        <v>57798566839</v>
      </c>
      <c r="H17" s="2512">
        <f t="shared" si="16"/>
        <v>4638016925</v>
      </c>
      <c r="I17" s="2512">
        <f t="shared" si="16"/>
        <v>62436583764</v>
      </c>
      <c r="J17" s="2512">
        <f t="shared" si="16"/>
        <v>32873218690</v>
      </c>
      <c r="K17" s="2512">
        <f t="shared" si="16"/>
        <v>3748091004</v>
      </c>
      <c r="L17" s="2512">
        <f t="shared" si="16"/>
        <v>36621309694</v>
      </c>
      <c r="M17" s="2512">
        <f t="shared" si="16"/>
        <v>-3056051415</v>
      </c>
      <c r="N17" s="2515">
        <f t="shared" si="16"/>
        <v>22759222655</v>
      </c>
      <c r="P17" s="2560">
        <f t="shared" si="16"/>
        <v>0</v>
      </c>
      <c r="Q17" s="2562">
        <f t="shared" si="16"/>
        <v>2054617956</v>
      </c>
      <c r="R17" s="2489"/>
      <c r="S17" s="2659">
        <f>+IF(OCTUBRE!S17=0,"",OCTUBRE!S17)</f>
        <v>1010101</v>
      </c>
      <c r="T17" s="2660" t="str">
        <f>+IF(OCTUBRE!T17=0,"",OCTUBRE!T17)</f>
        <v>Sueldos del Personal de nómina</v>
      </c>
      <c r="U17" s="2661">
        <f>+ENERO!U17</f>
        <v>619731764</v>
      </c>
      <c r="V17" s="2612">
        <f>OCTUBRE!V17+NOVIEMBRE!AL17</f>
        <v>-117695000</v>
      </c>
      <c r="W17" s="2612">
        <f>OCTUBRE!W17+NOVIEMBRE!AM17</f>
        <v>18207786</v>
      </c>
      <c r="X17" s="2662">
        <f>SUM(U17:W17)</f>
        <v>520244550</v>
      </c>
      <c r="Y17" s="2663">
        <f>OCTUBRE!AA17</f>
        <v>399553444</v>
      </c>
      <c r="Z17" s="2598">
        <v>39331063</v>
      </c>
      <c r="AA17" s="2662">
        <f>SUM(Y17:Z17)</f>
        <v>438884507</v>
      </c>
      <c r="AB17" s="2663">
        <f>OCTUBRE!AD17</f>
        <v>399553444</v>
      </c>
      <c r="AC17" s="2598">
        <v>39331063</v>
      </c>
      <c r="AD17" s="2662">
        <f>SUM(AB17:AC17)</f>
        <v>438884507</v>
      </c>
      <c r="AE17" s="2663">
        <f>OCTUBRE!AG17</f>
        <v>399553444</v>
      </c>
      <c r="AF17" s="2598">
        <v>39331063</v>
      </c>
      <c r="AG17" s="2662">
        <f>SUM(AE17:AF17)</f>
        <v>438884507</v>
      </c>
      <c r="AH17" s="2663">
        <f>X17-AA17</f>
        <v>81360043</v>
      </c>
      <c r="AI17" s="2612">
        <f>X17-AD17</f>
        <v>81360043</v>
      </c>
      <c r="AJ17" s="2664">
        <f>X17-AG17</f>
        <v>81360043</v>
      </c>
      <c r="AK17" s="2489"/>
      <c r="AL17" s="2600">
        <v>-40000000</v>
      </c>
      <c r="AM17" s="2601">
        <v>0</v>
      </c>
      <c r="AN17" s="2489"/>
      <c r="AO17" s="2544"/>
      <c r="AP17" s="2665" t="s">
        <v>85</v>
      </c>
      <c r="AQ17" s="2666">
        <f>SUM(AQ7:AQ16)</f>
        <v>67979676056</v>
      </c>
      <c r="AR17" s="2667">
        <f>SUM(AR7:AR16)</f>
        <v>61971266837</v>
      </c>
      <c r="AS17" s="2668">
        <f>SUM(AS7:AS16)</f>
        <v>36556732191</v>
      </c>
      <c r="AT17" s="2669"/>
      <c r="AU17" s="2667">
        <f t="shared" si="0"/>
        <v>0.91161462414074435</v>
      </c>
      <c r="AV17" s="2667">
        <f t="shared" si="1"/>
        <v>0.5377597292591606</v>
      </c>
      <c r="AW17" s="2670">
        <f>SUM(AX7:AX16)</f>
        <v>39256870995.272736</v>
      </c>
      <c r="AX17" s="2670">
        <f>SUM(AX7:AX16)</f>
        <v>39256870995.272736</v>
      </c>
      <c r="AY17" s="2670">
        <f>SUM(AY7:AY16)</f>
        <v>-560687893.45454597</v>
      </c>
      <c r="AZ17" s="2671">
        <f>SUM(AZ7:AZ16)</f>
        <v>-28722805060.727272</v>
      </c>
      <c r="BA17" s="2489"/>
      <c r="BB17" s="2574" t="s">
        <v>434</v>
      </c>
      <c r="BC17" s="2549">
        <f>F41+F52+F55+F58+F61+F67+F70+F73+F76+F79+F82+F86+F87+F88+F89+F90+F91</f>
        <v>2608633035</v>
      </c>
      <c r="BD17" s="2550">
        <f>I41+I52+I55+I58+I61+I67+I70+I73+I76+I79+I82+I86+I87+I88+I89+I90+I91</f>
        <v>4846577204</v>
      </c>
      <c r="BE17" s="2551">
        <f>K41+K52+K55+K58+K61+K67+K70+K73+K76+K79+K82+K86+K87+K88+K89+K90+K91</f>
        <v>224574830</v>
      </c>
      <c r="BF17" s="2552"/>
      <c r="BG17" s="2672" t="s">
        <v>86</v>
      </c>
      <c r="BH17" s="2673">
        <f>BC23-BH16</f>
        <v>-69055278288</v>
      </c>
      <c r="BI17" s="2673"/>
      <c r="BJ17" s="2673"/>
      <c r="BK17" s="2673"/>
      <c r="BM17" s="2555" t="s">
        <v>449</v>
      </c>
      <c r="BN17" s="2577">
        <f>X123-X126-X139+X155-X156-X167-X168</f>
        <v>4916946146</v>
      </c>
      <c r="BO17" s="2575">
        <f>AA123-AA126-AA139+AA155-AA156-AA167-AA168</f>
        <v>4818747037</v>
      </c>
      <c r="BP17" s="2575">
        <f>AD123-AD126-AD139+AD155-AD156-AD167-AD168</f>
        <v>4428418786</v>
      </c>
      <c r="BQ17" s="2578">
        <f>AF123-AF126-AF139+AF155-AF156-AF167-AF168</f>
        <v>452245962</v>
      </c>
      <c r="BR17" s="2489"/>
    </row>
    <row r="18" spans="1:70" s="2489" customFormat="1" ht="24.95" customHeight="1" thickBot="1">
      <c r="A18" s="2592" t="str">
        <f>+IF(OCTUBRE!A18=0,"",OCTUBRE!A18)</f>
        <v/>
      </c>
      <c r="B18" s="2674" t="str">
        <f>+IF(OCTUBRE!B18=0,"",OCTUBRE!B18)</f>
        <v/>
      </c>
      <c r="C18" s="2440"/>
      <c r="D18" s="2440"/>
      <c r="E18" s="2440"/>
      <c r="F18" s="2440"/>
      <c r="G18" s="2440"/>
      <c r="H18" s="2440"/>
      <c r="I18" s="2440"/>
      <c r="J18" s="2440"/>
      <c r="K18" s="2440"/>
      <c r="L18" s="2440"/>
      <c r="M18" s="2440"/>
      <c r="N18" s="2675"/>
      <c r="P18" s="2676"/>
      <c r="Q18" s="2677"/>
      <c r="S18" s="2659">
        <f>+IF(OCTUBRE!S18=0,"",OCTUBRE!S18)</f>
        <v>1010102</v>
      </c>
      <c r="T18" s="2660" t="str">
        <f>+IF(OCTUBRE!T18=0,"",OCTUBRE!T18)</f>
        <v>Horas Extras,Dominic.,Festivos y Rec. Nocturnos</v>
      </c>
      <c r="U18" s="2661">
        <f>+ENERO!U18</f>
        <v>0</v>
      </c>
      <c r="V18" s="2612">
        <f>OCTUBRE!V18+NOVIEMBRE!AL18</f>
        <v>0</v>
      </c>
      <c r="W18" s="2612">
        <f>OCTUBRE!W18+NOVIEMBRE!AM18</f>
        <v>0</v>
      </c>
      <c r="X18" s="2662">
        <f>SUM(U18:W18)</f>
        <v>0</v>
      </c>
      <c r="Y18" s="2663">
        <f>OCTUBRE!AA18</f>
        <v>0</v>
      </c>
      <c r="Z18" s="2598">
        <v>0</v>
      </c>
      <c r="AA18" s="2662">
        <f>SUM(Y18:Z18)</f>
        <v>0</v>
      </c>
      <c r="AB18" s="2663">
        <f>OCTUBRE!AD18</f>
        <v>0</v>
      </c>
      <c r="AC18" s="2598">
        <v>0</v>
      </c>
      <c r="AD18" s="2662">
        <f>SUM(AB18:AC18)</f>
        <v>0</v>
      </c>
      <c r="AE18" s="2663">
        <f>OCTUBRE!AG18</f>
        <v>0</v>
      </c>
      <c r="AF18" s="2598">
        <v>0</v>
      </c>
      <c r="AG18" s="2662">
        <f>SUM(AE18:AF18)</f>
        <v>0</v>
      </c>
      <c r="AH18" s="2663">
        <f>X18-AA18</f>
        <v>0</v>
      </c>
      <c r="AI18" s="2612">
        <f>X18-AD18</f>
        <v>0</v>
      </c>
      <c r="AJ18" s="2664">
        <f>X18-AG18</f>
        <v>0</v>
      </c>
      <c r="AL18" s="2600">
        <v>0</v>
      </c>
      <c r="AM18" s="2601">
        <v>0</v>
      </c>
      <c r="AO18" s="2493"/>
      <c r="AP18" s="2440" t="s">
        <v>51</v>
      </c>
      <c r="AQ18" s="2440"/>
      <c r="AR18" s="2440"/>
      <c r="AS18" s="2440"/>
      <c r="AT18" s="2440"/>
      <c r="AU18" s="2440"/>
      <c r="AV18" s="2440"/>
      <c r="AW18" s="2440"/>
      <c r="AX18" s="2440"/>
      <c r="AY18" s="2440"/>
      <c r="AZ18" s="2440"/>
      <c r="BA18" s="2614"/>
      <c r="BB18" s="2616" t="s">
        <v>435</v>
      </c>
      <c r="BC18" s="2549">
        <f>+F95+F96+F97+F99+F100+F101</f>
        <v>125236928</v>
      </c>
      <c r="BD18" s="2550">
        <f>+I95+I96+I97+I99+I100+I101</f>
        <v>125236928</v>
      </c>
      <c r="BE18" s="2551">
        <f>+K95+K96+K97+K99+K100+K101</f>
        <v>0</v>
      </c>
      <c r="BF18" s="2632"/>
      <c r="BM18" s="2555" t="s">
        <v>87</v>
      </c>
      <c r="BN18" s="2577">
        <f>X148+X156</f>
        <v>2058462544</v>
      </c>
      <c r="BO18" s="2575">
        <f>AA148+AA156</f>
        <v>1247586086</v>
      </c>
      <c r="BP18" s="2575">
        <f>AD148+AD156</f>
        <v>919488289</v>
      </c>
      <c r="BQ18" s="2578">
        <f>AF148+AF156</f>
        <v>29607611</v>
      </c>
      <c r="BR18" s="2614"/>
    </row>
    <row r="19" spans="1:70" s="2489" customFormat="1" ht="24.95" customHeight="1" thickBot="1">
      <c r="A19" s="2678">
        <f>+IF(OCTUBRE!A19=0,"",OCTUBRE!A19)</f>
        <v>113</v>
      </c>
      <c r="B19" s="2679" t="str">
        <f>+IF(OCTUBRE!B19=0,"",OCTUBRE!B19)</f>
        <v>VENTA DE SERVICIOS</v>
      </c>
      <c r="C19" s="2514">
        <f t="shared" ref="C19:N19" si="17">C21+C85</f>
        <v>40501810887</v>
      </c>
      <c r="D19" s="2512">
        <f t="shared" si="17"/>
        <v>0</v>
      </c>
      <c r="E19" s="2512">
        <f t="shared" si="17"/>
        <v>17803119230</v>
      </c>
      <c r="F19" s="2515">
        <f t="shared" si="17"/>
        <v>58304930117</v>
      </c>
      <c r="G19" s="2514">
        <f t="shared" si="17"/>
        <v>56565421653</v>
      </c>
      <c r="H19" s="2512">
        <f t="shared" si="17"/>
        <v>4448881237</v>
      </c>
      <c r="I19" s="2515">
        <f t="shared" si="17"/>
        <v>61014302890</v>
      </c>
      <c r="J19" s="2514">
        <f t="shared" si="17"/>
        <v>31942258364</v>
      </c>
      <c r="K19" s="2512">
        <f t="shared" si="17"/>
        <v>3657509880</v>
      </c>
      <c r="L19" s="2515">
        <f t="shared" si="17"/>
        <v>35599768244</v>
      </c>
      <c r="M19" s="2514">
        <f t="shared" si="17"/>
        <v>-2709372773</v>
      </c>
      <c r="N19" s="2515">
        <f t="shared" si="17"/>
        <v>22705161873</v>
      </c>
      <c r="O19" s="2614"/>
      <c r="P19" s="2680">
        <f>P21+P85</f>
        <v>0</v>
      </c>
      <c r="Q19" s="2681">
        <f>Q21+Q85</f>
        <v>2025476996</v>
      </c>
      <c r="S19" s="2659">
        <f>+IF(OCTUBRE!S19=0,"",OCTUBRE!S19)</f>
        <v>1010103</v>
      </c>
      <c r="T19" s="2660" t="str">
        <f>+IF(OCTUBRE!T19=0,"",OCTUBRE!T19)</f>
        <v>Prima Técnica</v>
      </c>
      <c r="U19" s="2661">
        <f>+ENERO!U19</f>
        <v>0</v>
      </c>
      <c r="V19" s="2612">
        <f>OCTUBRE!V19+NOVIEMBRE!AL19</f>
        <v>0</v>
      </c>
      <c r="W19" s="2612">
        <f>OCTUBRE!W19+NOVIEMBRE!AM19</f>
        <v>0</v>
      </c>
      <c r="X19" s="2662">
        <f>SUM(U19:W19)</f>
        <v>0</v>
      </c>
      <c r="Y19" s="2663">
        <f>OCTUBRE!AA19</f>
        <v>0</v>
      </c>
      <c r="Z19" s="2598">
        <v>0</v>
      </c>
      <c r="AA19" s="2662">
        <f>SUM(Y19:Z19)</f>
        <v>0</v>
      </c>
      <c r="AB19" s="2663">
        <f>OCTUBRE!AD19</f>
        <v>0</v>
      </c>
      <c r="AC19" s="2598">
        <v>0</v>
      </c>
      <c r="AD19" s="2662">
        <f>SUM(AB19:AC19)</f>
        <v>0</v>
      </c>
      <c r="AE19" s="2663">
        <f>OCTUBRE!AG19</f>
        <v>0</v>
      </c>
      <c r="AF19" s="2598">
        <v>0</v>
      </c>
      <c r="AG19" s="2662">
        <f>SUM(AE19:AF19)</f>
        <v>0</v>
      </c>
      <c r="AH19" s="2663">
        <f>X19-AA19</f>
        <v>0</v>
      </c>
      <c r="AI19" s="2612">
        <f>X19-AD19</f>
        <v>0</v>
      </c>
      <c r="AJ19" s="2664">
        <f>X19-AG19</f>
        <v>0</v>
      </c>
      <c r="AL19" s="2600">
        <v>0</v>
      </c>
      <c r="AM19" s="2601">
        <v>0</v>
      </c>
      <c r="AO19" s="2493"/>
      <c r="AP19" s="2682"/>
      <c r="AQ19" s="2683" t="s">
        <v>13</v>
      </c>
      <c r="AR19" s="2684" t="s">
        <v>44</v>
      </c>
      <c r="AS19" s="2685" t="s">
        <v>92</v>
      </c>
      <c r="AT19" s="2684" t="s">
        <v>16</v>
      </c>
      <c r="AU19" s="2686" t="s">
        <v>16</v>
      </c>
      <c r="AV19" s="2687" t="s">
        <v>16</v>
      </c>
      <c r="AW19" s="3313" t="str">
        <f>+CONCATENATE("PROYECCION A DICIEMBRE 31 DEL ",N3)</f>
        <v>PROYECCION A DICIEMBRE 31 DEL 2017</v>
      </c>
      <c r="AX19" s="3314"/>
      <c r="AY19" s="3314"/>
      <c r="AZ19" s="3315"/>
      <c r="BA19" s="2614"/>
      <c r="BB19" s="2688" t="s">
        <v>93</v>
      </c>
      <c r="BC19" s="2689">
        <f>+F105+F106+F107+F108+F109+F110+F98</f>
        <v>777345401</v>
      </c>
      <c r="BD19" s="2630">
        <f>+I105+I106+I107+I108+I109+I110+I98</f>
        <v>1124024043</v>
      </c>
      <c r="BE19" s="2631">
        <f>+K105+K106+K107+K108+K109+K110+K98</f>
        <v>90581124</v>
      </c>
      <c r="BF19" s="2503"/>
      <c r="BG19" s="2614"/>
      <c r="BH19" s="2614">
        <f>BN33</f>
        <v>0</v>
      </c>
      <c r="BI19" s="2614"/>
      <c r="BJ19" s="2614"/>
      <c r="BK19" s="2614"/>
      <c r="BM19" s="2555" t="s">
        <v>94</v>
      </c>
      <c r="BN19" s="2577">
        <f>X126+X167</f>
        <v>994500000</v>
      </c>
      <c r="BO19" s="2575">
        <f>AA126+AA167</f>
        <v>974244303</v>
      </c>
      <c r="BP19" s="2575">
        <f>AD126+AD167</f>
        <v>974176018</v>
      </c>
      <c r="BQ19" s="2578">
        <f>AF126+AF167</f>
        <v>108595695</v>
      </c>
    </row>
    <row r="20" spans="1:70" s="2702" customFormat="1" ht="24.95" customHeight="1" thickBot="1">
      <c r="A20" s="2592" t="str">
        <f>+IF(OCTUBRE!A20=0,"",OCTUBRE!A20)</f>
        <v/>
      </c>
      <c r="B20" s="2690" t="str">
        <f>+IF(OCTUBRE!B20=0,"",OCTUBRE!B20)</f>
        <v/>
      </c>
      <c r="C20" s="2440"/>
      <c r="D20" s="2440"/>
      <c r="E20" s="2440"/>
      <c r="F20" s="2440"/>
      <c r="G20" s="2440"/>
      <c r="H20" s="2440"/>
      <c r="I20" s="2440"/>
      <c r="J20" s="2440"/>
      <c r="K20" s="2440"/>
      <c r="L20" s="2440"/>
      <c r="M20" s="2440"/>
      <c r="N20" s="2675"/>
      <c r="O20" s="2489"/>
      <c r="P20" s="2676"/>
      <c r="Q20" s="2677"/>
      <c r="R20" s="2489"/>
      <c r="S20" s="2659">
        <f>+IF(OCTUBRE!S20=0,"",OCTUBRE!S20)</f>
        <v>1010104</v>
      </c>
      <c r="T20" s="2660" t="str">
        <f>+IF(OCTUBRE!T20=0,"",OCTUBRE!T20)</f>
        <v>Otros</v>
      </c>
      <c r="U20" s="2661">
        <f t="shared" ref="U20:AJ20" si="18">SUM(U21:U32)</f>
        <v>143259177</v>
      </c>
      <c r="V20" s="2612">
        <f t="shared" si="18"/>
        <v>2353000</v>
      </c>
      <c r="W20" s="2612">
        <f t="shared" si="18"/>
        <v>43449099</v>
      </c>
      <c r="X20" s="2662">
        <f t="shared" si="18"/>
        <v>189061276</v>
      </c>
      <c r="Y20" s="2663">
        <f t="shared" si="18"/>
        <v>90846337</v>
      </c>
      <c r="Z20" s="2691">
        <f t="shared" si="18"/>
        <v>5742833</v>
      </c>
      <c r="AA20" s="2662">
        <f t="shared" si="18"/>
        <v>96589170</v>
      </c>
      <c r="AB20" s="2663">
        <f t="shared" si="18"/>
        <v>90846337</v>
      </c>
      <c r="AC20" s="2691">
        <f t="shared" si="18"/>
        <v>5742833</v>
      </c>
      <c r="AD20" s="2662">
        <f t="shared" si="18"/>
        <v>96589170</v>
      </c>
      <c r="AE20" s="2663">
        <f t="shared" si="18"/>
        <v>90846337</v>
      </c>
      <c r="AF20" s="2691">
        <f t="shared" si="18"/>
        <v>5742833</v>
      </c>
      <c r="AG20" s="2662">
        <f t="shared" si="18"/>
        <v>96589170</v>
      </c>
      <c r="AH20" s="2663">
        <f t="shared" si="18"/>
        <v>92472106</v>
      </c>
      <c r="AI20" s="2612">
        <f t="shared" si="18"/>
        <v>92472106</v>
      </c>
      <c r="AJ20" s="2664">
        <f t="shared" si="18"/>
        <v>92472106</v>
      </c>
      <c r="AK20" s="2489"/>
      <c r="AL20" s="2692">
        <f>SUM(AL21:AL32)</f>
        <v>0</v>
      </c>
      <c r="AM20" s="2693">
        <f>SUM(AM21:AM32)</f>
        <v>0</v>
      </c>
      <c r="AN20" s="2489"/>
      <c r="AO20" s="2544"/>
      <c r="AP20" s="2694" t="s">
        <v>24</v>
      </c>
      <c r="AQ20" s="2695" t="s">
        <v>36</v>
      </c>
      <c r="AR20" s="2696" t="s">
        <v>25</v>
      </c>
      <c r="AS20" s="2697" t="s">
        <v>25</v>
      </c>
      <c r="AT20" s="2696" t="s">
        <v>26</v>
      </c>
      <c r="AU20" s="2698" t="s">
        <v>27</v>
      </c>
      <c r="AV20" s="2698" t="s">
        <v>27</v>
      </c>
      <c r="AW20" s="2699" t="s">
        <v>44</v>
      </c>
      <c r="AX20" s="2699" t="s">
        <v>22</v>
      </c>
      <c r="AY20" s="2698" t="s">
        <v>97</v>
      </c>
      <c r="AZ20" s="2700" t="s">
        <v>97</v>
      </c>
      <c r="BA20" s="2614"/>
      <c r="BB20" s="2701" t="s">
        <v>436</v>
      </c>
      <c r="BC20" s="2529">
        <f>+F115+F117+F119+F120+F121+F123+F124</f>
        <v>4488823</v>
      </c>
      <c r="BD20" s="2530">
        <f>+I115+I117+I119+I120+I121+I123+I124</f>
        <v>157889755</v>
      </c>
      <c r="BE20" s="2531">
        <f>+K115+K117+K119+K120+K121+K123+K124</f>
        <v>153024140</v>
      </c>
      <c r="BF20" s="2503"/>
      <c r="BG20" s="2614"/>
      <c r="BH20" s="2614">
        <f>BH19-BH16</f>
        <v>-69055278288</v>
      </c>
      <c r="BI20" s="2614"/>
      <c r="BJ20" s="2614"/>
      <c r="BK20" s="2614"/>
      <c r="BL20" s="2614"/>
      <c r="BM20" s="2621" t="s">
        <v>444</v>
      </c>
      <c r="BN20" s="2577">
        <f>+X141-X143</f>
        <v>2892178</v>
      </c>
      <c r="BO20" s="2575">
        <f>+AA141-AA143</f>
        <v>2892178</v>
      </c>
      <c r="BP20" s="2575">
        <f>+AD141-AD143</f>
        <v>2892178</v>
      </c>
      <c r="BQ20" s="2578">
        <f>+AF141-AF143</f>
        <v>0</v>
      </c>
      <c r="BR20" s="2489"/>
    </row>
    <row r="21" spans="1:70" s="2702" customFormat="1" ht="24.95" customHeight="1" thickBot="1">
      <c r="A21" s="2703">
        <f>+IF(OCTUBRE!A21=0,"",OCTUBRE!A21)</f>
        <v>11301</v>
      </c>
      <c r="B21" s="2704" t="str">
        <f>+IF(OCTUBRE!B21=0,"",OCTUBRE!B21)</f>
        <v>Venta de Servicios de Salud</v>
      </c>
      <c r="C21" s="2560">
        <f t="shared" ref="C21:N21" si="19">C22+C25+C28+C41+C42+C45+C48+C51+C54+C57+C60+C63+C66+C69+C72+C75+C78+C81</f>
        <v>40501810887</v>
      </c>
      <c r="D21" s="2561">
        <f t="shared" si="19"/>
        <v>0</v>
      </c>
      <c r="E21" s="2561">
        <f t="shared" si="19"/>
        <v>17803119230</v>
      </c>
      <c r="F21" s="2561">
        <f t="shared" si="19"/>
        <v>58304930117</v>
      </c>
      <c r="G21" s="2561">
        <f t="shared" si="19"/>
        <v>56565421653</v>
      </c>
      <c r="H21" s="2561">
        <f t="shared" si="19"/>
        <v>4448881237</v>
      </c>
      <c r="I21" s="2561">
        <f t="shared" si="19"/>
        <v>61014302890</v>
      </c>
      <c r="J21" s="2561">
        <f t="shared" si="19"/>
        <v>31942258364</v>
      </c>
      <c r="K21" s="2561">
        <f t="shared" si="19"/>
        <v>3657509880</v>
      </c>
      <c r="L21" s="2561">
        <f t="shared" si="19"/>
        <v>35599768244</v>
      </c>
      <c r="M21" s="2561">
        <f t="shared" si="19"/>
        <v>-2709372773</v>
      </c>
      <c r="N21" s="2562">
        <f t="shared" si="19"/>
        <v>22705161873</v>
      </c>
      <c r="O21" s="2614"/>
      <c r="P21" s="2680">
        <f>P22+P25+P28+P41+P42+P45+P48+P51+P54+P57+P60+P63+P66+P69+P72+P75+P78+P81</f>
        <v>0</v>
      </c>
      <c r="Q21" s="2681">
        <f>Q22+Q25+Q28+Q41+Q42+Q45+Q48+Q51+Q54+Q57+Q60+Q63+Q66+Q69+Q72+Q75+Q78+Q81</f>
        <v>2025476996</v>
      </c>
      <c r="R21" s="2489"/>
      <c r="S21" s="2705" t="str">
        <f>+IF(OCTUBRE!S21=0,"",OCTUBRE!S21)</f>
        <v>1010104-1</v>
      </c>
      <c r="T21" s="2706" t="str">
        <f>+IF(OCTUBRE!T21=0,"",OCTUBRE!T21)</f>
        <v xml:space="preserve">Prima de Navidad </v>
      </c>
      <c r="U21" s="2661">
        <f>+ENERO!U21</f>
        <v>52257791</v>
      </c>
      <c r="V21" s="2612">
        <f>OCTUBRE!V21+NOVIEMBRE!AL21</f>
        <v>0</v>
      </c>
      <c r="W21" s="2612">
        <f>OCTUBRE!W21+NOVIEMBRE!AM21</f>
        <v>0</v>
      </c>
      <c r="X21" s="2662">
        <f t="shared" ref="X21:X33" si="20">SUM(U21:W21)</f>
        <v>52257791</v>
      </c>
      <c r="Y21" s="2663">
        <f>OCTUBRE!AA21</f>
        <v>3540871</v>
      </c>
      <c r="Z21" s="2598">
        <v>1900977</v>
      </c>
      <c r="AA21" s="2662">
        <f t="shared" ref="AA21:AA33" si="21">SUM(Y21:Z21)</f>
        <v>5441848</v>
      </c>
      <c r="AB21" s="2663">
        <f>OCTUBRE!AD21</f>
        <v>3540871</v>
      </c>
      <c r="AC21" s="2598">
        <v>1900977</v>
      </c>
      <c r="AD21" s="2662">
        <f t="shared" ref="AD21:AD33" si="22">SUM(AB21:AC21)</f>
        <v>5441848</v>
      </c>
      <c r="AE21" s="2663">
        <f>OCTUBRE!AG21</f>
        <v>3540871</v>
      </c>
      <c r="AF21" s="2598">
        <v>1900977</v>
      </c>
      <c r="AG21" s="2662">
        <f t="shared" ref="AG21:AG33" si="23">SUM(AE21:AF21)</f>
        <v>5441848</v>
      </c>
      <c r="AH21" s="2663">
        <f t="shared" ref="AH21:AH33" si="24">X21-AA21</f>
        <v>46815943</v>
      </c>
      <c r="AI21" s="2612">
        <f t="shared" ref="AI21:AI33" si="25">X21-AD21</f>
        <v>46815943</v>
      </c>
      <c r="AJ21" s="2664">
        <f t="shared" ref="AJ21:AJ33" si="26">X21-AG21</f>
        <v>46815943</v>
      </c>
      <c r="AK21" s="2489"/>
      <c r="AL21" s="2600">
        <v>0</v>
      </c>
      <c r="AM21" s="2601">
        <v>0</v>
      </c>
      <c r="AN21" s="2489"/>
      <c r="AO21" s="2544"/>
      <c r="AP21" s="2707"/>
      <c r="AQ21" s="2708"/>
      <c r="AR21" s="2709" t="str">
        <f>AR6</f>
        <v>NOVIEMBRE</v>
      </c>
      <c r="AS21" s="2710" t="str">
        <f>AR6</f>
        <v>NOVIEMBRE</v>
      </c>
      <c r="AT21" s="2709" t="str">
        <f>AR6</f>
        <v>NOVIEMBRE</v>
      </c>
      <c r="AU21" s="2709" t="s">
        <v>44</v>
      </c>
      <c r="AV21" s="2709" t="s">
        <v>22</v>
      </c>
      <c r="AW21" s="2711"/>
      <c r="AX21" s="2711"/>
      <c r="AY21" s="2709" t="s">
        <v>44</v>
      </c>
      <c r="AZ21" s="2712" t="s">
        <v>22</v>
      </c>
      <c r="BA21" s="2489"/>
      <c r="BB21" s="2701" t="s">
        <v>437</v>
      </c>
      <c r="BC21" s="2529">
        <f>SUMIF($B8:B122,$B24,F8:F122)+F122</f>
        <v>26675755497</v>
      </c>
      <c r="BD21" s="2530">
        <f>SUMIF($B8:B122,$B24,I8:I122)+I122</f>
        <v>18304238836</v>
      </c>
      <c r="BE21" s="2531">
        <f>SUMIF($B8:B122,$B24,K8:K122)+K122</f>
        <v>290887796</v>
      </c>
      <c r="BF21" s="2503"/>
      <c r="BG21" s="2614"/>
      <c r="BH21" s="2614"/>
      <c r="BI21" s="2614"/>
      <c r="BJ21" s="2614"/>
      <c r="BK21" s="2614"/>
      <c r="BL21" s="2614"/>
      <c r="BM21" s="2555" t="s">
        <v>99</v>
      </c>
      <c r="BN21" s="2577">
        <v>0</v>
      </c>
      <c r="BO21" s="2575">
        <v>0</v>
      </c>
      <c r="BP21" s="2575">
        <v>0</v>
      </c>
      <c r="BQ21" s="2578">
        <v>0</v>
      </c>
      <c r="BR21" s="2614"/>
    </row>
    <row r="22" spans="1:70" s="2489" customFormat="1" ht="24.95" customHeight="1" thickBot="1">
      <c r="A22" s="2678">
        <f>+IF(OCTUBRE!A22=0,"",OCTUBRE!A22)</f>
        <v>1130101</v>
      </c>
      <c r="B22" s="2713" t="str">
        <f>+IF(OCTUBRE!B22=0,"",OCTUBRE!B22)</f>
        <v>EPS - REGIMEN CONTRIBUTIVO</v>
      </c>
      <c r="C22" s="2680">
        <f t="shared" ref="C22:N22" si="27">SUM(C23:C24)</f>
        <v>18905646713</v>
      </c>
      <c r="D22" s="2714">
        <f t="shared" si="27"/>
        <v>0</v>
      </c>
      <c r="E22" s="2714">
        <f t="shared" si="27"/>
        <v>8218423991</v>
      </c>
      <c r="F22" s="2714">
        <f t="shared" si="27"/>
        <v>27124070704</v>
      </c>
      <c r="G22" s="2714">
        <f t="shared" si="27"/>
        <v>21736557098</v>
      </c>
      <c r="H22" s="2714">
        <f t="shared" si="27"/>
        <v>1529968126</v>
      </c>
      <c r="I22" s="2714">
        <f t="shared" si="27"/>
        <v>23266525224</v>
      </c>
      <c r="J22" s="2714">
        <f t="shared" si="27"/>
        <v>12475740319</v>
      </c>
      <c r="K22" s="2714">
        <f t="shared" si="27"/>
        <v>762480152</v>
      </c>
      <c r="L22" s="2714">
        <f t="shared" si="27"/>
        <v>13238220471</v>
      </c>
      <c r="M22" s="2714">
        <f t="shared" si="27"/>
        <v>3857545480</v>
      </c>
      <c r="N22" s="2681">
        <f t="shared" si="27"/>
        <v>13885850233</v>
      </c>
      <c r="P22" s="2680">
        <f>SUM(P23:P24)</f>
        <v>0</v>
      </c>
      <c r="Q22" s="2681">
        <f>SUM(Q23:Q24)</f>
        <v>949037229</v>
      </c>
      <c r="S22" s="2705" t="str">
        <f>+IF(OCTUBRE!S22=0,"",OCTUBRE!S22)</f>
        <v>1010104-2</v>
      </c>
      <c r="T22" s="2706" t="str">
        <f>+IF(OCTUBRE!T22=0,"",OCTUBRE!T22)</f>
        <v>Prima Vida Cara</v>
      </c>
      <c r="U22" s="2661">
        <f>+ENERO!U22</f>
        <v>24380551</v>
      </c>
      <c r="V22" s="2612">
        <f>OCTUBRE!V22+NOVIEMBRE!AL22</f>
        <v>0</v>
      </c>
      <c r="W22" s="2612">
        <f>OCTUBRE!W22+NOVIEMBRE!AM22</f>
        <v>41042730</v>
      </c>
      <c r="X22" s="2662">
        <f t="shared" si="20"/>
        <v>65423281</v>
      </c>
      <c r="Y22" s="2663">
        <f>OCTUBRE!AA22</f>
        <v>41042460</v>
      </c>
      <c r="Z22" s="2598">
        <v>0</v>
      </c>
      <c r="AA22" s="2662">
        <f t="shared" si="21"/>
        <v>41042460</v>
      </c>
      <c r="AB22" s="2663">
        <f>OCTUBRE!AD22</f>
        <v>41042460</v>
      </c>
      <c r="AC22" s="2598">
        <v>0</v>
      </c>
      <c r="AD22" s="2662">
        <f t="shared" si="22"/>
        <v>41042460</v>
      </c>
      <c r="AE22" s="2663">
        <f>OCTUBRE!AG22</f>
        <v>41042460</v>
      </c>
      <c r="AF22" s="2598">
        <v>0</v>
      </c>
      <c r="AG22" s="2662">
        <f t="shared" si="23"/>
        <v>41042460</v>
      </c>
      <c r="AH22" s="2663">
        <f t="shared" si="24"/>
        <v>24380821</v>
      </c>
      <c r="AI22" s="2612">
        <f t="shared" si="25"/>
        <v>24380821</v>
      </c>
      <c r="AJ22" s="2664">
        <f t="shared" si="26"/>
        <v>24380821</v>
      </c>
      <c r="AL22" s="2600">
        <v>0</v>
      </c>
      <c r="AM22" s="2601">
        <v>0</v>
      </c>
      <c r="AO22" s="2493"/>
      <c r="AP22" s="2715" t="s">
        <v>104</v>
      </c>
      <c r="AQ22" s="2716">
        <f>X17+X66</f>
        <v>1413755363</v>
      </c>
      <c r="AR22" s="2716">
        <f>AD17+AD66</f>
        <v>1209561368</v>
      </c>
      <c r="AS22" s="2716">
        <f>AG17+AG66</f>
        <v>1209561368</v>
      </c>
      <c r="AT22" s="2717"/>
      <c r="AU22" s="2718">
        <f t="shared" ref="AU22:AU32" si="28">IF(AQ22=0," ",AR22/AQ22)</f>
        <v>0.85556624551598603</v>
      </c>
      <c r="AV22" s="2718">
        <f t="shared" ref="AV22:AV32" si="29">IF(AQ22=0," ",AS22/AQ22)</f>
        <v>0.85556624551598603</v>
      </c>
      <c r="AW22" s="2719">
        <f>AR22/$AO$2*12</f>
        <v>1319521492.3636363</v>
      </c>
      <c r="AX22" s="2719">
        <f>AS22/$AO$2*12</f>
        <v>1319521492.3636363</v>
      </c>
      <c r="AY22" s="2719">
        <f t="shared" ref="AY22:AY31" si="30">AW22-AQ22</f>
        <v>-94233870.636363745</v>
      </c>
      <c r="AZ22" s="2720">
        <f t="shared" ref="AZ22:AZ31" si="31">AQ22-AX22</f>
        <v>94233870.636363745</v>
      </c>
      <c r="BA22" s="2614"/>
      <c r="BB22" s="2721" t="s">
        <v>109</v>
      </c>
      <c r="BC22" s="2722">
        <f>BC7+BC8+BC20+BC21</f>
        <v>69055278288</v>
      </c>
      <c r="BD22" s="2723">
        <f>BD7+BD8+BD20+BD21</f>
        <v>63393547711</v>
      </c>
      <c r="BE22" s="2724">
        <f>BE7+BE8+BE20+BE21</f>
        <v>3901115144</v>
      </c>
      <c r="BF22" s="2503"/>
      <c r="BG22" s="2614"/>
      <c r="BH22" s="2614"/>
      <c r="BI22" s="2614"/>
      <c r="BJ22" s="2614"/>
      <c r="BK22" s="2614"/>
      <c r="BM22" s="2534" t="s">
        <v>67</v>
      </c>
      <c r="BN22" s="2577">
        <f>BN23+BN24</f>
        <v>149730003</v>
      </c>
      <c r="BO22" s="2575">
        <f>BO23+BO24</f>
        <v>105465164</v>
      </c>
      <c r="BP22" s="2575">
        <f>BP23+BP24</f>
        <v>94590035</v>
      </c>
      <c r="BQ22" s="2578">
        <f>BQ23+BQ24</f>
        <v>7289406</v>
      </c>
      <c r="BR22" s="2614"/>
    </row>
    <row r="23" spans="1:70" s="2702" customFormat="1" ht="24.95" customHeight="1">
      <c r="A23" s="2592" t="str">
        <f>+IF(OCTUBRE!A23=0,"",OCTUBRE!A23)</f>
        <v>1130101-1</v>
      </c>
      <c r="B23" s="2725" t="str">
        <f>+CONCATENATE("Vigencia ",INSTRUCCIONES!$F$3)</f>
        <v>Vigencia 2017</v>
      </c>
      <c r="C23" s="2594">
        <f>+ENERO!C23</f>
        <v>18905646713</v>
      </c>
      <c r="D23" s="2595">
        <f>OCTUBRE!D23+NOVIEMBRE!P23</f>
        <v>0</v>
      </c>
      <c r="E23" s="2595">
        <f>OCTUBRE!E23+NOVIEMBRE!Q23</f>
        <v>0</v>
      </c>
      <c r="F23" s="2595">
        <f>SUM(C23:E23)</f>
        <v>18905646713</v>
      </c>
      <c r="G23" s="2595">
        <f>OCTUBRE!I23</f>
        <v>13459284090</v>
      </c>
      <c r="H23" s="2598">
        <v>1241172079</v>
      </c>
      <c r="I23" s="2595">
        <f>SUM(G23:H23)</f>
        <v>14700456169</v>
      </c>
      <c r="J23" s="2595">
        <f>OCTUBRE!L23</f>
        <v>4198467311</v>
      </c>
      <c r="K23" s="2598">
        <v>473684105</v>
      </c>
      <c r="L23" s="2595">
        <f>SUM(J23:K23)</f>
        <v>4672151416</v>
      </c>
      <c r="M23" s="2595">
        <f>F23-I23</f>
        <v>4205190544</v>
      </c>
      <c r="N23" s="2596">
        <f>F23-L23</f>
        <v>14233495297</v>
      </c>
      <c r="O23" s="2489"/>
      <c r="P23" s="2600">
        <v>0</v>
      </c>
      <c r="Q23" s="2601">
        <v>0</v>
      </c>
      <c r="R23" s="2489"/>
      <c r="S23" s="2705" t="str">
        <f>+IF(OCTUBRE!S23=0,"",OCTUBRE!S23)</f>
        <v>1010104-3</v>
      </c>
      <c r="T23" s="2706" t="str">
        <f>+IF(OCTUBRE!T23=0,"",OCTUBRE!T23)</f>
        <v>Prima de Vacaciones</v>
      </c>
      <c r="U23" s="2661">
        <f>+ENERO!U23</f>
        <v>25221642</v>
      </c>
      <c r="V23" s="2612">
        <f>OCTUBRE!V23+NOVIEMBRE!AL23</f>
        <v>0</v>
      </c>
      <c r="W23" s="2612">
        <f>OCTUBRE!W23+NOVIEMBRE!AM23</f>
        <v>189657</v>
      </c>
      <c r="X23" s="2662">
        <f t="shared" si="20"/>
        <v>25411299</v>
      </c>
      <c r="Y23" s="2663">
        <f>OCTUBRE!AA23</f>
        <v>9712688</v>
      </c>
      <c r="Z23" s="2598">
        <v>3053855</v>
      </c>
      <c r="AA23" s="2662">
        <f t="shared" si="21"/>
        <v>12766543</v>
      </c>
      <c r="AB23" s="2663">
        <f>OCTUBRE!AD23</f>
        <v>9712688</v>
      </c>
      <c r="AC23" s="2598">
        <v>3053855</v>
      </c>
      <c r="AD23" s="2662">
        <f t="shared" si="22"/>
        <v>12766543</v>
      </c>
      <c r="AE23" s="2663">
        <f>OCTUBRE!AG23</f>
        <v>9712688</v>
      </c>
      <c r="AF23" s="2598">
        <v>3053855</v>
      </c>
      <c r="AG23" s="2662">
        <f t="shared" si="23"/>
        <v>12766543</v>
      </c>
      <c r="AH23" s="2663">
        <f t="shared" si="24"/>
        <v>12644756</v>
      </c>
      <c r="AI23" s="2612">
        <f t="shared" si="25"/>
        <v>12644756</v>
      </c>
      <c r="AJ23" s="2664">
        <f t="shared" si="26"/>
        <v>12644756</v>
      </c>
      <c r="AK23" s="2489"/>
      <c r="AL23" s="2600">
        <v>0</v>
      </c>
      <c r="AM23" s="2601">
        <v>0</v>
      </c>
      <c r="AN23" s="2489"/>
      <c r="AO23" s="2585"/>
      <c r="AP23" s="2726" t="s">
        <v>108</v>
      </c>
      <c r="AQ23" s="2727">
        <f>X16+X65-AQ22</f>
        <v>699009175</v>
      </c>
      <c r="AR23" s="2727">
        <f>AD16+AD65-AR22</f>
        <v>421432980</v>
      </c>
      <c r="AS23" s="2727">
        <f>AG16+AG65-AS22</f>
        <v>421432980</v>
      </c>
      <c r="AT23" s="2495"/>
      <c r="AU23" s="2526">
        <f t="shared" si="28"/>
        <v>0.60290049840905169</v>
      </c>
      <c r="AV23" s="2526">
        <f t="shared" si="29"/>
        <v>0.60290049840905169</v>
      </c>
      <c r="AW23" s="2727">
        <f>(AR23-AD21-AD22-AD23-AD25-AD30-AD33-AD70-AD71-AD72-AD74-AD78-AD81)/$AO$2*12+AX22/12*2.5+AD30+AD33+AD78+AD81</f>
        <v>508908296.36363631</v>
      </c>
      <c r="AX23" s="2727">
        <f>(AS23-AG21-AG22-AG23-AG25-AG30-AG33-AG70-AG71-AG72-AG74-AG78-AG81)/$AO$2*12+AX22/12*2.5+AG30+AG33+AG78+AG81</f>
        <v>508908296.36363631</v>
      </c>
      <c r="AY23" s="2727">
        <f t="shared" si="30"/>
        <v>-190100878.63636369</v>
      </c>
      <c r="AZ23" s="2728">
        <f t="shared" si="31"/>
        <v>190100878.63636369</v>
      </c>
      <c r="BA23" s="2614"/>
      <c r="BF23" s="2614"/>
      <c r="BG23" s="2614"/>
      <c r="BH23" s="2614"/>
      <c r="BI23" s="2614"/>
      <c r="BJ23" s="2614"/>
      <c r="BK23" s="2614"/>
      <c r="BL23" s="2614"/>
      <c r="BM23" s="2555" t="s">
        <v>105</v>
      </c>
      <c r="BN23" s="2577">
        <f>X177</f>
        <v>18619412</v>
      </c>
      <c r="BO23" s="2575">
        <f>AA177</f>
        <v>11601320</v>
      </c>
      <c r="BP23" s="2575">
        <f>AD177</f>
        <v>11601320</v>
      </c>
      <c r="BQ23" s="2578">
        <f>AF177</f>
        <v>493376</v>
      </c>
      <c r="BR23" s="2489"/>
    </row>
    <row r="24" spans="1:70" s="2702" customFormat="1" ht="24.95" customHeight="1">
      <c r="A24" s="2592" t="str">
        <f>+IF(OCTUBRE!A24=0,"",OCTUBRE!A24)</f>
        <v>1130101-2</v>
      </c>
      <c r="B24" s="2725" t="str">
        <f>+IF(OCTUBRE!B24=0,"",OCTUBRE!B24)</f>
        <v>Vigencia Anterior</v>
      </c>
      <c r="C24" s="2594">
        <f>+ENERO!C24</f>
        <v>0</v>
      </c>
      <c r="D24" s="2595">
        <f>OCTUBRE!D24+NOVIEMBRE!P24</f>
        <v>0</v>
      </c>
      <c r="E24" s="2595">
        <f>OCTUBRE!E24+NOVIEMBRE!Q24</f>
        <v>8218423991</v>
      </c>
      <c r="F24" s="2595">
        <f>SUM(C24:E24)</f>
        <v>8218423991</v>
      </c>
      <c r="G24" s="2595">
        <f>OCTUBRE!I24</f>
        <v>8277273008</v>
      </c>
      <c r="H24" s="2598">
        <v>288796047</v>
      </c>
      <c r="I24" s="2595">
        <f>SUM(G24:H24)</f>
        <v>8566069055</v>
      </c>
      <c r="J24" s="2595">
        <f>OCTUBRE!L24</f>
        <v>8277273008</v>
      </c>
      <c r="K24" s="2598">
        <v>288796047</v>
      </c>
      <c r="L24" s="2595">
        <f>SUM(J24:K24)</f>
        <v>8566069055</v>
      </c>
      <c r="M24" s="2595">
        <f>F24-I24</f>
        <v>-347645064</v>
      </c>
      <c r="N24" s="2596">
        <f>F24-L24</f>
        <v>-347645064</v>
      </c>
      <c r="O24" s="2614"/>
      <c r="P24" s="2600">
        <v>0</v>
      </c>
      <c r="Q24" s="2601">
        <v>949037229</v>
      </c>
      <c r="R24" s="2489"/>
      <c r="S24" s="2705" t="str">
        <f>+IF(OCTUBRE!S24=0,"",OCTUBRE!S24)</f>
        <v>1010104-4</v>
      </c>
      <c r="T24" s="2706" t="str">
        <f>+IF(OCTUBRE!T24=0,"",OCTUBRE!T24)</f>
        <v>Prima Clima</v>
      </c>
      <c r="U24" s="2661">
        <f>+ENERO!U24</f>
        <v>0</v>
      </c>
      <c r="V24" s="2612">
        <f>OCTUBRE!V24+NOVIEMBRE!AL24</f>
        <v>0</v>
      </c>
      <c r="W24" s="2612">
        <f>OCTUBRE!W24+NOVIEMBRE!AM24</f>
        <v>0</v>
      </c>
      <c r="X24" s="2662">
        <f t="shared" si="20"/>
        <v>0</v>
      </c>
      <c r="Y24" s="2663">
        <f>OCTUBRE!AA24</f>
        <v>0</v>
      </c>
      <c r="Z24" s="2598">
        <v>0</v>
      </c>
      <c r="AA24" s="2662">
        <f t="shared" si="21"/>
        <v>0</v>
      </c>
      <c r="AB24" s="2663">
        <f>OCTUBRE!AD24</f>
        <v>0</v>
      </c>
      <c r="AC24" s="2598">
        <v>0</v>
      </c>
      <c r="AD24" s="2662">
        <f t="shared" si="22"/>
        <v>0</v>
      </c>
      <c r="AE24" s="2663">
        <f>OCTUBRE!AG24</f>
        <v>0</v>
      </c>
      <c r="AF24" s="2598">
        <v>0</v>
      </c>
      <c r="AG24" s="2662">
        <f t="shared" si="23"/>
        <v>0</v>
      </c>
      <c r="AH24" s="2663">
        <f t="shared" si="24"/>
        <v>0</v>
      </c>
      <c r="AI24" s="2612">
        <f t="shared" si="25"/>
        <v>0</v>
      </c>
      <c r="AJ24" s="2664">
        <f t="shared" si="26"/>
        <v>0</v>
      </c>
      <c r="AK24" s="2489"/>
      <c r="AL24" s="2600">
        <v>0</v>
      </c>
      <c r="AM24" s="2601">
        <v>0</v>
      </c>
      <c r="AN24" s="2489"/>
      <c r="AO24" s="2585"/>
      <c r="AP24" s="2694" t="s">
        <v>113</v>
      </c>
      <c r="AQ24" s="2717">
        <f>X35+X83</f>
        <v>37332167051</v>
      </c>
      <c r="AR24" s="2717">
        <f>AD35+AD83</f>
        <v>30999919418</v>
      </c>
      <c r="AS24" s="2717">
        <f>AG35+AG83</f>
        <v>21324619661</v>
      </c>
      <c r="AT24" s="2717"/>
      <c r="AU24" s="2595">
        <f t="shared" si="28"/>
        <v>0.83038092526615381</v>
      </c>
      <c r="AV24" s="2595">
        <f t="shared" si="29"/>
        <v>0.57121301401732549</v>
      </c>
      <c r="AW24" s="2595">
        <f>(AR24-AD41-AD88)/$AO$2*12+AD41+AD88</f>
        <v>33117768983.545456</v>
      </c>
      <c r="AX24" s="2595">
        <f>(AS24-AG41-AG88)/$AO$2*12+AG41+AG88</f>
        <v>22562896521.363636</v>
      </c>
      <c r="AY24" s="2595">
        <f t="shared" si="30"/>
        <v>-4214398067.4545441</v>
      </c>
      <c r="AZ24" s="2596">
        <f t="shared" si="31"/>
        <v>14769270529.636364</v>
      </c>
      <c r="BA24" s="2489"/>
      <c r="BB24" s="2729"/>
      <c r="BC24" s="2614"/>
      <c r="BD24" s="2614"/>
      <c r="BE24" s="2614"/>
      <c r="BF24" s="2614"/>
      <c r="BG24" s="2614"/>
      <c r="BH24" s="2614"/>
      <c r="BI24" s="2614"/>
      <c r="BJ24" s="2614"/>
      <c r="BK24" s="2614"/>
      <c r="BL24" s="2614"/>
      <c r="BM24" s="2555" t="s">
        <v>110</v>
      </c>
      <c r="BN24" s="2577">
        <f>X170-X177-X174-X183-X191</f>
        <v>131110591</v>
      </c>
      <c r="BO24" s="2575">
        <f>AA170-AA177-AA174-AA183-AA191</f>
        <v>93863844</v>
      </c>
      <c r="BP24" s="2575">
        <f>AD170-AD177-AD174-AD183-AD191</f>
        <v>82988715</v>
      </c>
      <c r="BQ24" s="2578">
        <f>AF170-AF177-AF174-AF183-AF191</f>
        <v>6796030</v>
      </c>
      <c r="BR24" s="2614"/>
    </row>
    <row r="25" spans="1:70" s="2614" customFormat="1" ht="24.95" customHeight="1">
      <c r="A25" s="2678">
        <f>+IF(OCTUBRE!A25=0,"",OCTUBRE!A25)</f>
        <v>1130102</v>
      </c>
      <c r="B25" s="2713" t="str">
        <f>+IF(OCTUBRE!B25=0,"",OCTUBRE!B25)</f>
        <v>ARS - REGIMEN SUBSIDIADO</v>
      </c>
      <c r="C25" s="2680">
        <f t="shared" ref="C25:N25" si="32">SUM(C26:C27)</f>
        <v>13439321219</v>
      </c>
      <c r="D25" s="2714">
        <f t="shared" si="32"/>
        <v>0</v>
      </c>
      <c r="E25" s="2714">
        <f t="shared" si="32"/>
        <v>5888970159</v>
      </c>
      <c r="F25" s="2714">
        <f t="shared" si="32"/>
        <v>19328291378</v>
      </c>
      <c r="G25" s="2714">
        <f t="shared" si="32"/>
        <v>23410135320</v>
      </c>
      <c r="H25" s="2714">
        <f t="shared" si="32"/>
        <v>1931549221</v>
      </c>
      <c r="I25" s="2714">
        <f t="shared" si="32"/>
        <v>25341684541</v>
      </c>
      <c r="J25" s="2714">
        <f t="shared" si="32"/>
        <v>13841707106</v>
      </c>
      <c r="K25" s="2714">
        <f t="shared" si="32"/>
        <v>2433486543</v>
      </c>
      <c r="L25" s="2714">
        <f t="shared" si="32"/>
        <v>16275193649</v>
      </c>
      <c r="M25" s="2714">
        <f t="shared" si="32"/>
        <v>-6013393163</v>
      </c>
      <c r="N25" s="2681">
        <f t="shared" si="32"/>
        <v>3053097729</v>
      </c>
      <c r="P25" s="2680">
        <f>SUM(P26:P27)</f>
        <v>0</v>
      </c>
      <c r="Q25" s="2681">
        <f>SUM(Q26:Q27)</f>
        <v>781397575</v>
      </c>
      <c r="R25" s="2489"/>
      <c r="S25" s="2705" t="str">
        <f>+IF(OCTUBRE!S25=0,"",OCTUBRE!S25)</f>
        <v>1010104-5</v>
      </c>
      <c r="T25" s="2706" t="str">
        <f>+IF(OCTUBRE!T25=0,"",OCTUBRE!T25)</f>
        <v>Prima de Servicios</v>
      </c>
      <c r="U25" s="2661">
        <f>+ENERO!U25</f>
        <v>26128895</v>
      </c>
      <c r="V25" s="2612">
        <f>OCTUBRE!V25+NOVIEMBRE!AL25</f>
        <v>0</v>
      </c>
      <c r="W25" s="2612">
        <f>OCTUBRE!W25+NOVIEMBRE!AM25</f>
        <v>1296699</v>
      </c>
      <c r="X25" s="2662">
        <f t="shared" si="20"/>
        <v>27425594</v>
      </c>
      <c r="Y25" s="2663">
        <f>OCTUBRE!AA25</f>
        <v>20944631</v>
      </c>
      <c r="Z25" s="2598">
        <v>419102</v>
      </c>
      <c r="AA25" s="2662">
        <f t="shared" si="21"/>
        <v>21363733</v>
      </c>
      <c r="AB25" s="2663">
        <f>OCTUBRE!AD25</f>
        <v>20944631</v>
      </c>
      <c r="AC25" s="2598">
        <v>419102</v>
      </c>
      <c r="AD25" s="2662">
        <f t="shared" si="22"/>
        <v>21363733</v>
      </c>
      <c r="AE25" s="2663">
        <f>OCTUBRE!AG25</f>
        <v>20944631</v>
      </c>
      <c r="AF25" s="2598">
        <v>419102</v>
      </c>
      <c r="AG25" s="2662">
        <f t="shared" si="23"/>
        <v>21363733</v>
      </c>
      <c r="AH25" s="2663">
        <f t="shared" si="24"/>
        <v>6061861</v>
      </c>
      <c r="AI25" s="2612">
        <f t="shared" si="25"/>
        <v>6061861</v>
      </c>
      <c r="AJ25" s="2664">
        <f t="shared" si="26"/>
        <v>6061861</v>
      </c>
      <c r="AK25" s="2489"/>
      <c r="AL25" s="2600">
        <v>0</v>
      </c>
      <c r="AM25" s="2601">
        <v>0</v>
      </c>
      <c r="AN25" s="2489"/>
      <c r="AO25" s="2493"/>
      <c r="AP25" s="2730" t="s">
        <v>116</v>
      </c>
      <c r="AQ25" s="2595">
        <f>X43+X57+X90+X104</f>
        <v>728834377</v>
      </c>
      <c r="AR25" s="2595">
        <f>AD43+AD57+AD90+AD104</f>
        <v>402291063</v>
      </c>
      <c r="AS25" s="2595">
        <f>AG43+AG57+AG90+AG104</f>
        <v>402291063</v>
      </c>
      <c r="AT25" s="2717"/>
      <c r="AU25" s="2595">
        <f t="shared" si="28"/>
        <v>0.55196499464788551</v>
      </c>
      <c r="AV25" s="2595">
        <f t="shared" si="29"/>
        <v>0.55196499464788551</v>
      </c>
      <c r="AW25" s="2595">
        <f>(AR25-AD55-AD61-AD102-AD108)/$AO$2*12+AD55+AD61+AD102+AD108</f>
        <v>438862977.81818187</v>
      </c>
      <c r="AX25" s="2595">
        <f>(AS25-AG55-AG61-AG102-AG108)/$AO$2*12+AG55+AG61+AG102+AG108</f>
        <v>438862977.81818187</v>
      </c>
      <c r="AY25" s="2595">
        <f t="shared" si="30"/>
        <v>-289971399.18181813</v>
      </c>
      <c r="AZ25" s="2596">
        <f t="shared" si="31"/>
        <v>289971399.18181813</v>
      </c>
      <c r="BM25" s="2528" t="s">
        <v>445</v>
      </c>
      <c r="BN25" s="2731">
        <f>+SUM(BN26:BN28)</f>
        <v>13405609615</v>
      </c>
      <c r="BO25" s="2732">
        <f>+SUM(BO26:BO28)</f>
        <v>12368982137</v>
      </c>
      <c r="BP25" s="2732">
        <f>+SUM(BP26:BP28)</f>
        <v>10978954265</v>
      </c>
      <c r="BQ25" s="2733">
        <f>+SUM(BQ26:BQ28)</f>
        <v>732486367</v>
      </c>
    </row>
    <row r="26" spans="1:70" s="2489" customFormat="1" ht="24.95" customHeight="1">
      <c r="A26" s="2592" t="str">
        <f>+IF(OCTUBRE!A26=0,"",OCTUBRE!A26)</f>
        <v>1130102-1</v>
      </c>
      <c r="B26" s="2725" t="str">
        <f>+CONCATENATE("Vigencia ",INSTRUCCIONES!$F$3)</f>
        <v>Vigencia 2017</v>
      </c>
      <c r="C26" s="2594">
        <f>+ENERO!C26</f>
        <v>13439321219</v>
      </c>
      <c r="D26" s="2595">
        <f>OCTUBRE!D26+NOVIEMBRE!P26</f>
        <v>0</v>
      </c>
      <c r="E26" s="2595">
        <f>OCTUBRE!E26+NOVIEMBRE!Q26</f>
        <v>0</v>
      </c>
      <c r="F26" s="2595">
        <f>SUM(C26:E26)</f>
        <v>13439321219</v>
      </c>
      <c r="G26" s="2595">
        <f>OCTUBRE!I26</f>
        <v>17377748510</v>
      </c>
      <c r="H26" s="2598">
        <v>1931549221</v>
      </c>
      <c r="I26" s="2595">
        <f>SUM(G26:H26)</f>
        <v>19309297731</v>
      </c>
      <c r="J26" s="2595">
        <f>OCTUBRE!L26</f>
        <v>7809320296</v>
      </c>
      <c r="K26" s="2598">
        <v>2433486543</v>
      </c>
      <c r="L26" s="2595">
        <f>SUM(J26:K26)</f>
        <v>10242806839</v>
      </c>
      <c r="M26" s="2595">
        <f>F26-I26</f>
        <v>-5869976512</v>
      </c>
      <c r="N26" s="2596">
        <f>F26-L26</f>
        <v>3196514380</v>
      </c>
      <c r="P26" s="2600">
        <v>0</v>
      </c>
      <c r="Q26" s="2601">
        <v>0</v>
      </c>
      <c r="S26" s="2705" t="str">
        <f>+IF(OCTUBRE!S26=0,"",OCTUBRE!S26)</f>
        <v>1010104-8</v>
      </c>
      <c r="T26" s="2706" t="str">
        <f>+IF(OCTUBRE!T26=0,"",OCTUBRE!T26)</f>
        <v>Bonific. por Servicios Prestados</v>
      </c>
      <c r="U26" s="2661">
        <f>+ENERO!U26</f>
        <v>12868455</v>
      </c>
      <c r="V26" s="2612">
        <f>OCTUBRE!V26+NOVIEMBRE!AL26</f>
        <v>0</v>
      </c>
      <c r="W26" s="2612">
        <f>OCTUBRE!W26+NOVIEMBRE!AM26</f>
        <v>719637</v>
      </c>
      <c r="X26" s="2662">
        <f t="shared" si="20"/>
        <v>13588092</v>
      </c>
      <c r="Y26" s="2663">
        <f>OCTUBRE!AA26</f>
        <v>11915231</v>
      </c>
      <c r="Z26" s="2598">
        <v>262470</v>
      </c>
      <c r="AA26" s="2662">
        <f t="shared" si="21"/>
        <v>12177701</v>
      </c>
      <c r="AB26" s="2663">
        <f>OCTUBRE!AD26</f>
        <v>11915231</v>
      </c>
      <c r="AC26" s="2598">
        <v>262470</v>
      </c>
      <c r="AD26" s="2662">
        <f t="shared" si="22"/>
        <v>12177701</v>
      </c>
      <c r="AE26" s="2663">
        <f>OCTUBRE!AG26</f>
        <v>11915231</v>
      </c>
      <c r="AF26" s="2598">
        <v>262470</v>
      </c>
      <c r="AG26" s="2662">
        <f t="shared" si="23"/>
        <v>12177701</v>
      </c>
      <c r="AH26" s="2663">
        <f t="shared" si="24"/>
        <v>1410391</v>
      </c>
      <c r="AI26" s="2612">
        <f t="shared" si="25"/>
        <v>1410391</v>
      </c>
      <c r="AJ26" s="2664">
        <f t="shared" si="26"/>
        <v>1410391</v>
      </c>
      <c r="AL26" s="2600">
        <v>0</v>
      </c>
      <c r="AM26" s="2601">
        <v>0</v>
      </c>
      <c r="AO26" s="2493"/>
      <c r="AP26" s="2734" t="s">
        <v>120</v>
      </c>
      <c r="AQ26" s="2495">
        <f>X110</f>
        <v>11237996187</v>
      </c>
      <c r="AR26" s="2495">
        <f>AD110</f>
        <v>8238863200</v>
      </c>
      <c r="AS26" s="2495">
        <f>AG110</f>
        <v>5439821046</v>
      </c>
      <c r="AT26" s="2587">
        <f>AO2/12</f>
        <v>0.91666666666666663</v>
      </c>
      <c r="AU26" s="2526">
        <f t="shared" si="28"/>
        <v>0.73312564472397967</v>
      </c>
      <c r="AV26" s="2526">
        <f t="shared" si="29"/>
        <v>0.4840561391445149</v>
      </c>
      <c r="AW26" s="2727">
        <f>(AR26-AD121-AD139-AD143-AD153-AD168)/$AO$2*12+AD121+AD139+AD143+AD153+AD168</f>
        <v>8889058943.363636</v>
      </c>
      <c r="AX26" s="2727">
        <f>(AS26-AG121-AG139-AG143-AG153-AG168)/$AO$2*12+AG121+AG139+AG143+AG153+AG168</f>
        <v>5835558411.727273</v>
      </c>
      <c r="AY26" s="2727">
        <f t="shared" si="30"/>
        <v>-2348937243.636364</v>
      </c>
      <c r="AZ26" s="2728">
        <f t="shared" si="31"/>
        <v>5402437775.272727</v>
      </c>
      <c r="BA26" s="2614"/>
      <c r="BB26" s="2614"/>
      <c r="BC26" s="2614"/>
      <c r="BD26" s="2614"/>
      <c r="BE26" s="2614"/>
      <c r="BF26" s="2614"/>
      <c r="BG26" s="2614"/>
      <c r="BH26" s="2614"/>
      <c r="BI26" s="2614"/>
      <c r="BJ26" s="2614"/>
      <c r="BK26" s="2614"/>
      <c r="BM26" s="2735" t="s">
        <v>446</v>
      </c>
      <c r="BN26" s="2590">
        <f>+X198+X212</f>
        <v>4509700346</v>
      </c>
      <c r="BO26" s="2588">
        <f>+AA198+AA212</f>
        <v>4063162639</v>
      </c>
      <c r="BP26" s="2588">
        <f>+AD198+AD212</f>
        <v>3489156007</v>
      </c>
      <c r="BQ26" s="2591">
        <f>+AF198+AF212</f>
        <v>242266982</v>
      </c>
      <c r="BR26" s="2614"/>
    </row>
    <row r="27" spans="1:70" s="2702" customFormat="1" ht="24.95" customHeight="1">
      <c r="A27" s="2592" t="str">
        <f>+IF(OCTUBRE!A27=0,"",OCTUBRE!A27)</f>
        <v>1130102-2</v>
      </c>
      <c r="B27" s="2725" t="str">
        <f>+IF(OCTUBRE!B27=0,"",OCTUBRE!B27)</f>
        <v>Vigencia Anterior</v>
      </c>
      <c r="C27" s="2594">
        <f>+ENERO!C27</f>
        <v>0</v>
      </c>
      <c r="D27" s="2595">
        <f>OCTUBRE!D27+NOVIEMBRE!P27</f>
        <v>0</v>
      </c>
      <c r="E27" s="2595">
        <f>OCTUBRE!E27+NOVIEMBRE!Q27</f>
        <v>5888970159</v>
      </c>
      <c r="F27" s="2595">
        <f>SUM(C27:E27)</f>
        <v>5888970159</v>
      </c>
      <c r="G27" s="2595">
        <f>OCTUBRE!I27</f>
        <v>6032386810</v>
      </c>
      <c r="H27" s="2598">
        <v>0</v>
      </c>
      <c r="I27" s="2595">
        <f>SUM(G27:H27)</f>
        <v>6032386810</v>
      </c>
      <c r="J27" s="2595">
        <f>OCTUBRE!L27</f>
        <v>6032386810</v>
      </c>
      <c r="K27" s="2598">
        <v>0</v>
      </c>
      <c r="L27" s="2595">
        <f>SUM(J27:K27)</f>
        <v>6032386810</v>
      </c>
      <c r="M27" s="2595">
        <f>F27-I27</f>
        <v>-143416651</v>
      </c>
      <c r="N27" s="2596">
        <f>F27-L27</f>
        <v>-143416651</v>
      </c>
      <c r="O27" s="2614"/>
      <c r="P27" s="2600">
        <v>0</v>
      </c>
      <c r="Q27" s="2601">
        <v>781397575</v>
      </c>
      <c r="R27" s="2489"/>
      <c r="S27" s="2705" t="str">
        <f>+IF(OCTUBRE!S27=0,"",OCTUBRE!S27)</f>
        <v>1010104-9</v>
      </c>
      <c r="T27" s="2706" t="str">
        <f>+IF(OCTUBRE!T27=0,"",OCTUBRE!T27)</f>
        <v>Auxilio de Transporte</v>
      </c>
      <c r="U27" s="2661">
        <f>+ENERO!U27</f>
        <v>0</v>
      </c>
      <c r="V27" s="2612">
        <f>OCTUBRE!V27+NOVIEMBRE!AL27</f>
        <v>0</v>
      </c>
      <c r="W27" s="2612">
        <f>OCTUBRE!W27+NOVIEMBRE!AM27</f>
        <v>0</v>
      </c>
      <c r="X27" s="2662">
        <f t="shared" si="20"/>
        <v>0</v>
      </c>
      <c r="Y27" s="2663">
        <f>OCTUBRE!AA27</f>
        <v>0</v>
      </c>
      <c r="Z27" s="2598">
        <v>0</v>
      </c>
      <c r="AA27" s="2662">
        <f t="shared" si="21"/>
        <v>0</v>
      </c>
      <c r="AB27" s="2663">
        <f>OCTUBRE!AD27</f>
        <v>0</v>
      </c>
      <c r="AC27" s="2598">
        <v>0</v>
      </c>
      <c r="AD27" s="2662">
        <f t="shared" si="22"/>
        <v>0</v>
      </c>
      <c r="AE27" s="2663">
        <f>OCTUBRE!AG27</f>
        <v>0</v>
      </c>
      <c r="AF27" s="2598">
        <v>0</v>
      </c>
      <c r="AG27" s="2662">
        <f t="shared" si="23"/>
        <v>0</v>
      </c>
      <c r="AH27" s="2663">
        <f t="shared" si="24"/>
        <v>0</v>
      </c>
      <c r="AI27" s="2612">
        <f t="shared" si="25"/>
        <v>0</v>
      </c>
      <c r="AJ27" s="2664">
        <f t="shared" si="26"/>
        <v>0</v>
      </c>
      <c r="AK27" s="2489"/>
      <c r="AL27" s="2600">
        <v>0</v>
      </c>
      <c r="AM27" s="2601">
        <v>0</v>
      </c>
      <c r="AN27" s="2489"/>
      <c r="AO27" s="2544"/>
      <c r="AP27" s="2730" t="s">
        <v>124</v>
      </c>
      <c r="AQ27" s="2595">
        <f>X170</f>
        <v>149730003</v>
      </c>
      <c r="AR27" s="2595">
        <f>AD170</f>
        <v>94590035</v>
      </c>
      <c r="AS27" s="2595">
        <f>AG170</f>
        <v>89668710</v>
      </c>
      <c r="AT27" s="2717"/>
      <c r="AU27" s="2595">
        <f t="shared" si="28"/>
        <v>0.63173734792485114</v>
      </c>
      <c r="AV27" s="2595">
        <f t="shared" si="29"/>
        <v>0.59886935285775689</v>
      </c>
      <c r="AW27" s="2595">
        <f>(AR27-AD174-AD183-AD191)/$AO$2*12+AD174+AD183+AD191</f>
        <v>103189129.09090909</v>
      </c>
      <c r="AX27" s="2595">
        <f>(AS27-AG174-AG183-AG191)/$AO$2*12+AG174+AG183+AG191</f>
        <v>97820410.909090906</v>
      </c>
      <c r="AY27" s="2595">
        <f t="shared" si="30"/>
        <v>-46540873.909090906</v>
      </c>
      <c r="AZ27" s="2596">
        <f t="shared" si="31"/>
        <v>51909592.090909094</v>
      </c>
      <c r="BA27" s="2489"/>
      <c r="BB27" s="2614"/>
      <c r="BC27" s="2614"/>
      <c r="BD27" s="2614"/>
      <c r="BE27" s="2614"/>
      <c r="BF27" s="2614"/>
      <c r="BG27" s="2614"/>
      <c r="BH27" s="2614"/>
      <c r="BI27" s="2614"/>
      <c r="BJ27" s="2614"/>
      <c r="BK27" s="2614"/>
      <c r="BL27" s="2614"/>
      <c r="BM27" s="2735" t="s">
        <v>447</v>
      </c>
      <c r="BN27" s="2590">
        <f>+X209-X212-X218</f>
        <v>0</v>
      </c>
      <c r="BO27" s="2588">
        <f>+AA209-AA212-AA218</f>
        <v>0</v>
      </c>
      <c r="BP27" s="2588">
        <f>+AD209-AD212-AD218</f>
        <v>0</v>
      </c>
      <c r="BQ27" s="2591">
        <f>+AF209-AF212-AF218</f>
        <v>0</v>
      </c>
      <c r="BR27" s="2614"/>
    </row>
    <row r="28" spans="1:70" s="2702" customFormat="1" ht="24.95" customHeight="1">
      <c r="A28" s="2678">
        <f>+IF(OCTUBRE!A28=0,"",OCTUBRE!A28)</f>
        <v>1130103</v>
      </c>
      <c r="B28" s="2736" t="str">
        <f>+IF(OCTUBRE!B28=0,"",OCTUBRE!B28)</f>
        <v>SUBSIDIO A LA OFERTA- ATENCION PERSONAS POBRES NO CUBIERTOS CON SUBSIDIO A LA DEMANDA</v>
      </c>
      <c r="C28" s="2680">
        <f>C29+C32+C35+C38+C39+C40</f>
        <v>157521482</v>
      </c>
      <c r="D28" s="2714">
        <f>+D29+D32+D35+D38+D39+D40</f>
        <v>0</v>
      </c>
      <c r="E28" s="2714">
        <f>+E29+E32+E35+E38+E39+E40</f>
        <v>258289958</v>
      </c>
      <c r="F28" s="2714">
        <f>+F29+F32+F35+F38+F39+F40</f>
        <v>415811440</v>
      </c>
      <c r="G28" s="2714">
        <f t="shared" ref="G28:N28" si="33">G29+G32+G35+G38+G39+G40</f>
        <v>1498975584</v>
      </c>
      <c r="H28" s="2714">
        <f t="shared" si="33"/>
        <v>172054554</v>
      </c>
      <c r="I28" s="2714">
        <f t="shared" si="33"/>
        <v>1671030138</v>
      </c>
      <c r="J28" s="2714">
        <f t="shared" si="33"/>
        <v>302890751</v>
      </c>
      <c r="K28" s="2714">
        <f t="shared" si="33"/>
        <v>38885338</v>
      </c>
      <c r="L28" s="2714">
        <f t="shared" si="33"/>
        <v>341776089</v>
      </c>
      <c r="M28" s="2714">
        <f t="shared" si="33"/>
        <v>-1255218698</v>
      </c>
      <c r="N28" s="2681">
        <f t="shared" si="33"/>
        <v>74035351</v>
      </c>
      <c r="O28" s="2614"/>
      <c r="P28" s="2680">
        <f>P29+P32+P35+P38+P39+P940</f>
        <v>0</v>
      </c>
      <c r="Q28" s="2681">
        <f>Q29+Q32+Q35+Q38+Q39+Q40</f>
        <v>0</v>
      </c>
      <c r="R28" s="2489"/>
      <c r="S28" s="2705" t="str">
        <f>+IF(OCTUBRE!S28=0,"",OCTUBRE!S28)</f>
        <v>1010104-10</v>
      </c>
      <c r="T28" s="2706" t="str">
        <f>+IF(OCTUBRE!T28=0,"",OCTUBRE!T28)</f>
        <v>Subsidio de Alimentación</v>
      </c>
      <c r="U28" s="2661">
        <f>+ENERO!U28</f>
        <v>532000</v>
      </c>
      <c r="V28" s="2612">
        <f>OCTUBRE!V28+NOVIEMBRE!AL28</f>
        <v>353000</v>
      </c>
      <c r="W28" s="2612">
        <f>OCTUBRE!W28+NOVIEMBRE!AM28</f>
        <v>183111</v>
      </c>
      <c r="X28" s="2662">
        <f t="shared" si="20"/>
        <v>1068111</v>
      </c>
      <c r="Y28" s="2663">
        <f>OCTUBRE!AA28</f>
        <v>683834</v>
      </c>
      <c r="Z28" s="2598">
        <v>57256</v>
      </c>
      <c r="AA28" s="2662">
        <f t="shared" si="21"/>
        <v>741090</v>
      </c>
      <c r="AB28" s="2663">
        <f>OCTUBRE!AD28</f>
        <v>683834</v>
      </c>
      <c r="AC28" s="2598">
        <v>57256</v>
      </c>
      <c r="AD28" s="2662">
        <f t="shared" si="22"/>
        <v>741090</v>
      </c>
      <c r="AE28" s="2663">
        <f>OCTUBRE!AG28</f>
        <v>683834</v>
      </c>
      <c r="AF28" s="2598">
        <v>57256</v>
      </c>
      <c r="AG28" s="2662">
        <f t="shared" si="23"/>
        <v>741090</v>
      </c>
      <c r="AH28" s="2663">
        <f t="shared" si="24"/>
        <v>327021</v>
      </c>
      <c r="AI28" s="2612">
        <f t="shared" si="25"/>
        <v>327021</v>
      </c>
      <c r="AJ28" s="2664">
        <f t="shared" si="26"/>
        <v>327021</v>
      </c>
      <c r="AK28" s="2489"/>
      <c r="AL28" s="2600">
        <v>0</v>
      </c>
      <c r="AM28" s="2601">
        <v>0</v>
      </c>
      <c r="AN28" s="2489"/>
      <c r="AO28" s="2544"/>
      <c r="AP28" s="2737" t="s">
        <v>586</v>
      </c>
      <c r="AQ28" s="2595">
        <f>X195</f>
        <v>17059908040</v>
      </c>
      <c r="AR28" s="2595">
        <f>AD195</f>
        <v>14469604211</v>
      </c>
      <c r="AS28" s="2595">
        <f>AG195</f>
        <v>8338297997</v>
      </c>
      <c r="AT28" s="2717"/>
      <c r="AU28" s="2595">
        <f t="shared" si="28"/>
        <v>0.84816425604835788</v>
      </c>
      <c r="AV28" s="2595">
        <f t="shared" si="29"/>
        <v>0.48876570597270347</v>
      </c>
      <c r="AW28" s="2595">
        <f>(AR28-AD207)/$AO$2*12+AD207</f>
        <v>15467690962.363636</v>
      </c>
      <c r="AX28" s="2595">
        <f>(AS28-AG207)/$AO$2*12+AG207</f>
        <v>8778993274.363636</v>
      </c>
      <c r="AY28" s="2595">
        <f t="shared" si="30"/>
        <v>-1592217077.636364</v>
      </c>
      <c r="AZ28" s="2596">
        <f t="shared" si="31"/>
        <v>8280914765.636364</v>
      </c>
      <c r="BA28" s="2614"/>
      <c r="BB28" s="2614"/>
      <c r="BC28" s="2614"/>
      <c r="BD28" s="2614"/>
      <c r="BE28" s="2614"/>
      <c r="BF28" s="2614"/>
      <c r="BG28" s="2614"/>
      <c r="BH28" s="2614"/>
      <c r="BI28" s="2614"/>
      <c r="BJ28" s="2614"/>
      <c r="BK28" s="2614"/>
      <c r="BL28" s="2614"/>
      <c r="BM28" s="2534" t="s">
        <v>448</v>
      </c>
      <c r="BN28" s="2577">
        <f>+X196-X198-X207</f>
        <v>8895909269</v>
      </c>
      <c r="BO28" s="2575">
        <f>+AA196-AA198-AA207</f>
        <v>8305819498</v>
      </c>
      <c r="BP28" s="2575">
        <f>+AD196-AD198-AD207</f>
        <v>7489798258</v>
      </c>
      <c r="BQ28" s="2578">
        <f>+AF196-AF198-AF207</f>
        <v>490219385</v>
      </c>
      <c r="BR28" s="2489"/>
    </row>
    <row r="29" spans="1:70" s="2489" customFormat="1" ht="24.95" customHeight="1">
      <c r="A29" s="2592" t="str">
        <f>+IF(OCTUBRE!A29=0,"",OCTUBRE!A29)</f>
        <v>1130103-1</v>
      </c>
      <c r="B29" s="2738" t="str">
        <f>+IF(OCTUBRE!B29=0,"",OCTUBRE!B29)</f>
        <v>Prestación de Servicios de salud  1er Nivel</v>
      </c>
      <c r="C29" s="2663">
        <f t="shared" ref="C29:N29" si="34">SUM(C30:C31)</f>
        <v>0</v>
      </c>
      <c r="D29" s="2612">
        <f t="shared" si="34"/>
        <v>0</v>
      </c>
      <c r="E29" s="2612">
        <f t="shared" si="34"/>
        <v>0</v>
      </c>
      <c r="F29" s="2612">
        <f t="shared" si="34"/>
        <v>0</v>
      </c>
      <c r="G29" s="2612">
        <f t="shared" si="34"/>
        <v>0</v>
      </c>
      <c r="H29" s="2612">
        <f t="shared" si="34"/>
        <v>0</v>
      </c>
      <c r="I29" s="2612">
        <f t="shared" si="34"/>
        <v>0</v>
      </c>
      <c r="J29" s="2612">
        <f t="shared" si="34"/>
        <v>0</v>
      </c>
      <c r="K29" s="2612">
        <f t="shared" si="34"/>
        <v>0</v>
      </c>
      <c r="L29" s="2612">
        <f t="shared" si="34"/>
        <v>0</v>
      </c>
      <c r="M29" s="2612">
        <f t="shared" si="34"/>
        <v>0</v>
      </c>
      <c r="N29" s="2664">
        <f t="shared" si="34"/>
        <v>0</v>
      </c>
      <c r="O29" s="2614"/>
      <c r="P29" s="2739">
        <f>SUM(P30:P31)</f>
        <v>0</v>
      </c>
      <c r="Q29" s="2740">
        <f>SUM(Q30:Q31)</f>
        <v>0</v>
      </c>
      <c r="S29" s="2705" t="str">
        <f>+IF(OCTUBRE!S29=0,"",OCTUBRE!S29)</f>
        <v>1010104-11</v>
      </c>
      <c r="T29" s="2706" t="str">
        <f>+IF(OCTUBRE!T29=0,"",OCTUBRE!T29)</f>
        <v>Gastos de Representación</v>
      </c>
      <c r="U29" s="2661">
        <f>+ENERO!U29</f>
        <v>0</v>
      </c>
      <c r="V29" s="2612">
        <f>OCTUBRE!V29+NOVIEMBRE!AL29</f>
        <v>0</v>
      </c>
      <c r="W29" s="2612">
        <f>OCTUBRE!W29+NOVIEMBRE!AM29</f>
        <v>0</v>
      </c>
      <c r="X29" s="2662">
        <f t="shared" si="20"/>
        <v>0</v>
      </c>
      <c r="Y29" s="2663">
        <f>OCTUBRE!AA29</f>
        <v>0</v>
      </c>
      <c r="Z29" s="2598">
        <v>0</v>
      </c>
      <c r="AA29" s="2662">
        <f t="shared" si="21"/>
        <v>0</v>
      </c>
      <c r="AB29" s="2663">
        <f>OCTUBRE!AD29</f>
        <v>0</v>
      </c>
      <c r="AC29" s="2598">
        <v>0</v>
      </c>
      <c r="AD29" s="2662">
        <f t="shared" si="22"/>
        <v>0</v>
      </c>
      <c r="AE29" s="2663">
        <f>OCTUBRE!AG29</f>
        <v>0</v>
      </c>
      <c r="AF29" s="2598">
        <v>0</v>
      </c>
      <c r="AG29" s="2662">
        <f t="shared" si="23"/>
        <v>0</v>
      </c>
      <c r="AH29" s="2663">
        <f t="shared" si="24"/>
        <v>0</v>
      </c>
      <c r="AI29" s="2612">
        <f t="shared" si="25"/>
        <v>0</v>
      </c>
      <c r="AJ29" s="2664">
        <f t="shared" si="26"/>
        <v>0</v>
      </c>
      <c r="AL29" s="2600">
        <v>0</v>
      </c>
      <c r="AM29" s="2601">
        <v>0</v>
      </c>
      <c r="AO29" s="2493"/>
      <c r="AP29" s="2737" t="s">
        <v>585</v>
      </c>
      <c r="AQ29" s="2595">
        <f>X209</f>
        <v>0</v>
      </c>
      <c r="AR29" s="2595">
        <f>AD209</f>
        <v>0</v>
      </c>
      <c r="AS29" s="2595">
        <f>AG209</f>
        <v>0</v>
      </c>
      <c r="AT29" s="2495"/>
      <c r="AU29" s="2526" t="str">
        <f t="shared" si="28"/>
        <v xml:space="preserve"> </v>
      </c>
      <c r="AV29" s="2526" t="str">
        <f t="shared" si="29"/>
        <v xml:space="preserve"> </v>
      </c>
      <c r="AW29" s="2727">
        <f>(AR29-AD218)/$AO$2*12+AD218</f>
        <v>0</v>
      </c>
      <c r="AX29" s="2727">
        <f>(AS29-AG218)/$AO$2*12+AG218</f>
        <v>0</v>
      </c>
      <c r="AY29" s="2727">
        <f t="shared" si="30"/>
        <v>0</v>
      </c>
      <c r="AZ29" s="2728">
        <f t="shared" si="31"/>
        <v>0</v>
      </c>
      <c r="BA29" s="2614"/>
      <c r="BB29" s="2702"/>
      <c r="BC29" s="2702"/>
      <c r="BD29" s="2702"/>
      <c r="BE29" s="2702"/>
      <c r="BF29" s="2702"/>
      <c r="BG29" s="2614"/>
      <c r="BH29" s="2614"/>
      <c r="BI29" s="2614"/>
      <c r="BJ29" s="2614"/>
      <c r="BK29" s="2614"/>
      <c r="BM29" s="2741" t="s">
        <v>70</v>
      </c>
      <c r="BN29" s="2731">
        <f>X232-X256-X241</f>
        <v>433878092</v>
      </c>
      <c r="BO29" s="2732">
        <f>AA232-AA256-AA241</f>
        <v>352813792</v>
      </c>
      <c r="BP29" s="2732">
        <f>AD232-AD256-AD241</f>
        <v>336273002</v>
      </c>
      <c r="BQ29" s="2733">
        <f>AF232-AF256-AF241</f>
        <v>0</v>
      </c>
      <c r="BR29" s="2614"/>
    </row>
    <row r="30" spans="1:70" s="2702" customFormat="1" ht="24.95" customHeight="1">
      <c r="A30" s="2592" t="str">
        <f>+IF(OCTUBRE!A30=0,"",OCTUBRE!A30)</f>
        <v>1130103-1-1</v>
      </c>
      <c r="B30" s="2725" t="str">
        <f>+CONCATENATE("Vigencia ",INSTRUCCIONES!$F$3)</f>
        <v>Vigencia 2017</v>
      </c>
      <c r="C30" s="2594">
        <f>+ENERO!C30</f>
        <v>0</v>
      </c>
      <c r="D30" s="2595">
        <f>OCTUBRE!D30+NOVIEMBRE!P30</f>
        <v>0</v>
      </c>
      <c r="E30" s="2595">
        <f>OCTUBRE!E30+NOVIEMBRE!Q30</f>
        <v>0</v>
      </c>
      <c r="F30" s="2595">
        <f>SUM(C30:E30)</f>
        <v>0</v>
      </c>
      <c r="G30" s="2595">
        <f>OCTUBRE!I30</f>
        <v>0</v>
      </c>
      <c r="H30" s="2598">
        <v>0</v>
      </c>
      <c r="I30" s="2595">
        <f>SUM(G30:H30)</f>
        <v>0</v>
      </c>
      <c r="J30" s="2595">
        <f>OCTUBRE!L30</f>
        <v>0</v>
      </c>
      <c r="K30" s="2598">
        <v>0</v>
      </c>
      <c r="L30" s="2595">
        <f>SUM(J30:K30)</f>
        <v>0</v>
      </c>
      <c r="M30" s="2595">
        <f>F30-I30</f>
        <v>0</v>
      </c>
      <c r="N30" s="2596">
        <f>F30-L30</f>
        <v>0</v>
      </c>
      <c r="O30" s="2489"/>
      <c r="P30" s="2600">
        <v>0</v>
      </c>
      <c r="Q30" s="2601">
        <v>0</v>
      </c>
      <c r="R30" s="2489"/>
      <c r="S30" s="2705" t="str">
        <f>+IF(OCTUBRE!S30=0,"",OCTUBRE!S30)</f>
        <v>1010104-12</v>
      </c>
      <c r="T30" s="2706" t="str">
        <f>+IF(OCTUBRE!T30=0,"",OCTUBRE!T30)</f>
        <v xml:space="preserve"> Indemnizaciones por Vacaciones o Supresión de Cargos por Reestructuración</v>
      </c>
      <c r="U30" s="2661">
        <f>+ENERO!U30</f>
        <v>0</v>
      </c>
      <c r="V30" s="2612">
        <f>OCTUBRE!V30+NOVIEMBRE!AL30</f>
        <v>0</v>
      </c>
      <c r="W30" s="2612">
        <f>OCTUBRE!W30+NOVIEMBRE!AM30</f>
        <v>0</v>
      </c>
      <c r="X30" s="2662">
        <f t="shared" si="20"/>
        <v>0</v>
      </c>
      <c r="Y30" s="2663">
        <f>OCTUBRE!AA30</f>
        <v>0</v>
      </c>
      <c r="Z30" s="2598">
        <v>0</v>
      </c>
      <c r="AA30" s="2662">
        <f t="shared" si="21"/>
        <v>0</v>
      </c>
      <c r="AB30" s="2663">
        <f>OCTUBRE!AD30</f>
        <v>0</v>
      </c>
      <c r="AC30" s="2598">
        <v>0</v>
      </c>
      <c r="AD30" s="2662">
        <f t="shared" si="22"/>
        <v>0</v>
      </c>
      <c r="AE30" s="2663">
        <f>OCTUBRE!AG30</f>
        <v>0</v>
      </c>
      <c r="AF30" s="2598">
        <v>0</v>
      </c>
      <c r="AG30" s="2662">
        <f t="shared" si="23"/>
        <v>0</v>
      </c>
      <c r="AH30" s="2663">
        <f t="shared" si="24"/>
        <v>0</v>
      </c>
      <c r="AI30" s="2612">
        <f t="shared" si="25"/>
        <v>0</v>
      </c>
      <c r="AJ30" s="2664">
        <f t="shared" si="26"/>
        <v>0</v>
      </c>
      <c r="AK30" s="2489"/>
      <c r="AL30" s="2600">
        <v>0</v>
      </c>
      <c r="AM30" s="2601">
        <v>0</v>
      </c>
      <c r="AN30" s="2489"/>
      <c r="AO30" s="2585" t="s">
        <v>51</v>
      </c>
      <c r="AP30" s="2730" t="s">
        <v>132</v>
      </c>
      <c r="AQ30" s="2595">
        <f>X220+X232</f>
        <v>433878092</v>
      </c>
      <c r="AR30" s="2595">
        <f>AD220+AD232</f>
        <v>336273002</v>
      </c>
      <c r="AS30" s="2595">
        <f>AG220+AG232</f>
        <v>172740563</v>
      </c>
      <c r="AT30" s="2717"/>
      <c r="AU30" s="2595">
        <f t="shared" si="28"/>
        <v>0.7750402894276579</v>
      </c>
      <c r="AV30" s="2595">
        <f t="shared" si="29"/>
        <v>0.39813156318572546</v>
      </c>
      <c r="AW30" s="2595">
        <f>(AR30-AD225-AD230-AD241-AD256)/$AO$2*12+AD225+AD230+AD241+AD256</f>
        <v>366843274.90909094</v>
      </c>
      <c r="AX30" s="2595">
        <f>(AS30-AG225-AG230-AG241-AG256)/$AO$2*12+AG225+AG230+AG241+AG256</f>
        <v>188444250.54545453</v>
      </c>
      <c r="AY30" s="2595">
        <f t="shared" si="30"/>
        <v>-67034817.090909064</v>
      </c>
      <c r="AZ30" s="2596">
        <f t="shared" si="31"/>
        <v>245433841.45454547</v>
      </c>
      <c r="BA30" s="2614"/>
      <c r="BG30" s="2614"/>
      <c r="BH30" s="2614"/>
      <c r="BI30" s="2614"/>
      <c r="BJ30" s="2614"/>
      <c r="BK30" s="2614"/>
      <c r="BL30" s="2614"/>
      <c r="BM30" s="2741" t="s">
        <v>74</v>
      </c>
      <c r="BN30" s="2731">
        <f>X220-X225-X230</f>
        <v>0</v>
      </c>
      <c r="BO30" s="2732">
        <f>AA220-AA225-AA230</f>
        <v>0</v>
      </c>
      <c r="BP30" s="2732">
        <f>AD220-AD225-AD230</f>
        <v>0</v>
      </c>
      <c r="BQ30" s="2733">
        <f>AF220-AF225-AF230</f>
        <v>0</v>
      </c>
      <c r="BR30" s="2614"/>
    </row>
    <row r="31" spans="1:70" s="2702" customFormat="1" ht="24.95" customHeight="1">
      <c r="A31" s="2592" t="str">
        <f>+IF(OCTUBRE!A31=0,"",OCTUBRE!A31)</f>
        <v>1130103-1-2</v>
      </c>
      <c r="B31" s="2725" t="str">
        <f>+IF(OCTUBRE!B31=0,"",OCTUBRE!B31)</f>
        <v>Vigencia Anterior</v>
      </c>
      <c r="C31" s="2594">
        <f>+ENERO!C31</f>
        <v>0</v>
      </c>
      <c r="D31" s="2595">
        <f>OCTUBRE!D31+NOVIEMBRE!P31</f>
        <v>0</v>
      </c>
      <c r="E31" s="2595">
        <f>OCTUBRE!E31+NOVIEMBRE!Q31</f>
        <v>0</v>
      </c>
      <c r="F31" s="2595">
        <f>SUM(C31:E31)</f>
        <v>0</v>
      </c>
      <c r="G31" s="2595">
        <f>OCTUBRE!I31</f>
        <v>0</v>
      </c>
      <c r="H31" s="2598">
        <v>0</v>
      </c>
      <c r="I31" s="2595">
        <f>SUM(G31:H31)</f>
        <v>0</v>
      </c>
      <c r="J31" s="2595">
        <f>OCTUBRE!L31</f>
        <v>0</v>
      </c>
      <c r="K31" s="2598">
        <v>0</v>
      </c>
      <c r="L31" s="2595">
        <f>SUM(J31:K31)</f>
        <v>0</v>
      </c>
      <c r="M31" s="2595">
        <f>F31-I31</f>
        <v>0</v>
      </c>
      <c r="N31" s="2596">
        <f>F31-L31</f>
        <v>0</v>
      </c>
      <c r="O31" s="2614"/>
      <c r="P31" s="2600">
        <v>0</v>
      </c>
      <c r="Q31" s="2601">
        <v>0</v>
      </c>
      <c r="R31" s="2489"/>
      <c r="S31" s="2705" t="str">
        <f>+IF(OCTUBRE!S31=0,"",OCTUBRE!S31)</f>
        <v>1010104-13</v>
      </c>
      <c r="T31" s="2706" t="str">
        <f>+IF(OCTUBRE!T31=0,"",OCTUBRE!T31)</f>
        <v>Bonificación Especial por Recreación</v>
      </c>
      <c r="U31" s="2661">
        <f>+ENERO!U31</f>
        <v>1869843</v>
      </c>
      <c r="V31" s="2612">
        <f>OCTUBRE!V31+NOVIEMBRE!AL31</f>
        <v>2000000</v>
      </c>
      <c r="W31" s="2612">
        <f>OCTUBRE!W31+NOVIEMBRE!AM31</f>
        <v>17265</v>
      </c>
      <c r="X31" s="2662">
        <f t="shared" si="20"/>
        <v>3887108</v>
      </c>
      <c r="Y31" s="2663">
        <f>OCTUBRE!AA31</f>
        <v>3006622</v>
      </c>
      <c r="Z31" s="2598">
        <v>49173</v>
      </c>
      <c r="AA31" s="2662">
        <f t="shared" si="21"/>
        <v>3055795</v>
      </c>
      <c r="AB31" s="2663">
        <f>OCTUBRE!AD31</f>
        <v>3006622</v>
      </c>
      <c r="AC31" s="2598">
        <v>49173</v>
      </c>
      <c r="AD31" s="2662">
        <f t="shared" si="22"/>
        <v>3055795</v>
      </c>
      <c r="AE31" s="2663">
        <f>OCTUBRE!AG31</f>
        <v>3006622</v>
      </c>
      <c r="AF31" s="2598">
        <v>49173</v>
      </c>
      <c r="AG31" s="2662">
        <f t="shared" si="23"/>
        <v>3055795</v>
      </c>
      <c r="AH31" s="2663">
        <f t="shared" si="24"/>
        <v>831313</v>
      </c>
      <c r="AI31" s="2612">
        <f t="shared" si="25"/>
        <v>831313</v>
      </c>
      <c r="AJ31" s="2664">
        <f t="shared" si="26"/>
        <v>831313</v>
      </c>
      <c r="AK31" s="2489"/>
      <c r="AL31" s="2600">
        <v>0</v>
      </c>
      <c r="AM31" s="2601">
        <v>0</v>
      </c>
      <c r="AN31" s="2489"/>
      <c r="AO31" s="2544"/>
      <c r="AP31" s="2694" t="s">
        <v>135</v>
      </c>
      <c r="AQ31" s="2717">
        <f>X258</f>
        <v>0</v>
      </c>
      <c r="AR31" s="2717">
        <f>AD258</f>
        <v>-18594261636</v>
      </c>
      <c r="AS31" s="2717">
        <f>AG258</f>
        <v>-37398433388</v>
      </c>
      <c r="AT31" s="2717"/>
      <c r="AU31" s="2595" t="str">
        <f t="shared" si="28"/>
        <v xml:space="preserve"> </v>
      </c>
      <c r="AV31" s="2595" t="str">
        <f t="shared" si="29"/>
        <v xml:space="preserve"> </v>
      </c>
      <c r="AW31" s="2595">
        <f>AQ31</f>
        <v>0</v>
      </c>
      <c r="AX31" s="2595">
        <f>AQ31</f>
        <v>0</v>
      </c>
      <c r="AY31" s="2595">
        <f t="shared" si="30"/>
        <v>0</v>
      </c>
      <c r="AZ31" s="2596">
        <f t="shared" si="31"/>
        <v>0</v>
      </c>
      <c r="BA31" s="2614"/>
      <c r="BB31" s="2614"/>
      <c r="BC31" s="2614"/>
      <c r="BD31" s="2614"/>
      <c r="BE31" s="2614"/>
      <c r="BF31" s="2614"/>
      <c r="BG31" s="2614"/>
      <c r="BH31" s="2614"/>
      <c r="BI31" s="2614"/>
      <c r="BJ31" s="2614"/>
      <c r="BK31" s="2614"/>
      <c r="BL31" s="2614"/>
      <c r="BM31" s="2741" t="s">
        <v>130</v>
      </c>
      <c r="BN31" s="2731">
        <f>X33+X41+X55+X61+X81+X88+X102+X108+X121+X139+X143+X153+X168+X174+X183+X191+X207+X218+X230+X241+X256+X225</f>
        <v>13219990502</v>
      </c>
      <c r="BO31" s="2732">
        <f>AA33+AA41+AA55+AA61+AA81+AA88+AA102+AA108+AA121+AA139+AA143+AA153+AA168+AA174+AA183+AA191+AA207+AA218+AA230+AA241+AA256+AA225</f>
        <v>12280934166</v>
      </c>
      <c r="BP31" s="2732">
        <f>AD33+AD41+AD55+AD61+AD81+AD88+AD102+AD108+AD121+AD139+AD143+AD153+AD168+AD174+AD183+AD191+AD207+AD218+AD230+AD241+AD256+AD225</f>
        <v>12280934166</v>
      </c>
      <c r="BQ31" s="2733">
        <f>AF33+AF41+AF55+AF61+AF81+AF88+AF102+AF108+AF121+AF139+AF143+AF153+AF168+AF174+AF183+AF191+AF207+AF218+AF230+AF241+AF256+AF225</f>
        <v>1174688086</v>
      </c>
      <c r="BR31" s="2489"/>
    </row>
    <row r="32" spans="1:70" s="2489" customFormat="1" ht="24.95" customHeight="1" thickBot="1">
      <c r="A32" s="2592" t="str">
        <f>+IF(OCTUBRE!A32=0,"",OCTUBRE!A32)</f>
        <v>1130103-2</v>
      </c>
      <c r="B32" s="2738" t="str">
        <f>+IF(OCTUBRE!B32=0,"",OCTUBRE!B32)</f>
        <v>Prestación de Servicios de salud  2o. Nivel</v>
      </c>
      <c r="C32" s="2663">
        <f t="shared" ref="C32:N32" si="35">SUM(C33:C34)</f>
        <v>157521482</v>
      </c>
      <c r="D32" s="2612">
        <f t="shared" si="35"/>
        <v>0</v>
      </c>
      <c r="E32" s="2612">
        <f t="shared" si="35"/>
        <v>212958</v>
      </c>
      <c r="F32" s="2612">
        <f t="shared" si="35"/>
        <v>157734440</v>
      </c>
      <c r="G32" s="2612">
        <f t="shared" si="35"/>
        <v>1305417840</v>
      </c>
      <c r="H32" s="2612">
        <f t="shared" si="35"/>
        <v>150548138</v>
      </c>
      <c r="I32" s="2612">
        <f t="shared" si="35"/>
        <v>1455965978</v>
      </c>
      <c r="J32" s="2612">
        <f t="shared" si="35"/>
        <v>109333007</v>
      </c>
      <c r="K32" s="2612">
        <f t="shared" si="35"/>
        <v>17378922</v>
      </c>
      <c r="L32" s="2612">
        <f t="shared" si="35"/>
        <v>126711929</v>
      </c>
      <c r="M32" s="2612">
        <f t="shared" si="35"/>
        <v>-1298231538</v>
      </c>
      <c r="N32" s="2664">
        <f t="shared" si="35"/>
        <v>31022511</v>
      </c>
      <c r="O32" s="2614"/>
      <c r="P32" s="2739">
        <f>SUM(P33:P34)</f>
        <v>0</v>
      </c>
      <c r="Q32" s="2740">
        <f>SUM(Q33:Q34)</f>
        <v>0</v>
      </c>
      <c r="S32" s="2705" t="str">
        <f>+IF(OCTUBRE!S32=0,"",OCTUBRE!S32)</f>
        <v>1010104-14</v>
      </c>
      <c r="T32" s="2706" t="str">
        <f>+IF(OCTUBRE!T32=0,"",OCTUBRE!T32)</f>
        <v/>
      </c>
      <c r="U32" s="2661">
        <f>+ENERO!U32</f>
        <v>0</v>
      </c>
      <c r="V32" s="2612">
        <f>OCTUBRE!V32+NOVIEMBRE!AL32</f>
        <v>0</v>
      </c>
      <c r="W32" s="2612">
        <f>OCTUBRE!W32+NOVIEMBRE!AM32</f>
        <v>0</v>
      </c>
      <c r="X32" s="2662">
        <f t="shared" si="20"/>
        <v>0</v>
      </c>
      <c r="Y32" s="2663">
        <f>OCTUBRE!AA32</f>
        <v>0</v>
      </c>
      <c r="Z32" s="2598">
        <v>0</v>
      </c>
      <c r="AA32" s="2662">
        <f t="shared" si="21"/>
        <v>0</v>
      </c>
      <c r="AB32" s="2663">
        <f>OCTUBRE!AD32</f>
        <v>0</v>
      </c>
      <c r="AC32" s="2598">
        <v>0</v>
      </c>
      <c r="AD32" s="2662">
        <f t="shared" si="22"/>
        <v>0</v>
      </c>
      <c r="AE32" s="2663">
        <f>OCTUBRE!AG32</f>
        <v>0</v>
      </c>
      <c r="AF32" s="2598">
        <v>0</v>
      </c>
      <c r="AG32" s="2662">
        <f t="shared" si="23"/>
        <v>0</v>
      </c>
      <c r="AH32" s="2663">
        <f t="shared" si="24"/>
        <v>0</v>
      </c>
      <c r="AI32" s="2612">
        <f t="shared" si="25"/>
        <v>0</v>
      </c>
      <c r="AJ32" s="2664">
        <f t="shared" si="26"/>
        <v>0</v>
      </c>
      <c r="AL32" s="2600">
        <v>0</v>
      </c>
      <c r="AM32" s="2601">
        <v>0</v>
      </c>
      <c r="AO32" s="2493"/>
      <c r="AP32" s="2742" t="s">
        <v>140</v>
      </c>
      <c r="AQ32" s="2654">
        <f>SUM(AQ22:AQ31)</f>
        <v>69055278288</v>
      </c>
      <c r="AR32" s="2654">
        <f>SUM(AR22:AR31)</f>
        <v>37578273641</v>
      </c>
      <c r="AS32" s="2654">
        <f>SUM(AS22:AS31)</f>
        <v>0</v>
      </c>
      <c r="AT32" s="2743"/>
      <c r="AU32" s="2744">
        <f t="shared" si="28"/>
        <v>0.54417670267401008</v>
      </c>
      <c r="AV32" s="2744">
        <f t="shared" si="29"/>
        <v>0</v>
      </c>
      <c r="AW32" s="2546">
        <f>SUM(AW22:AW31)</f>
        <v>60211844059.818176</v>
      </c>
      <c r="AX32" s="2546">
        <f>SUM(AX22:AX31)</f>
        <v>39731005635.454544</v>
      </c>
      <c r="AY32" s="2546">
        <f>SUM(AY22:AY31)</f>
        <v>-8843434228.181818</v>
      </c>
      <c r="AZ32" s="2547">
        <f>SUM(AZ22:AZ31)</f>
        <v>29324272652.545452</v>
      </c>
      <c r="BA32" s="2614"/>
      <c r="BB32" s="2702"/>
      <c r="BC32" s="2702"/>
      <c r="BD32" s="2702"/>
      <c r="BE32" s="2702"/>
      <c r="BF32" s="2702"/>
      <c r="BG32" s="2614"/>
      <c r="BH32" s="2614"/>
      <c r="BI32" s="2614"/>
      <c r="BJ32" s="2614"/>
      <c r="BK32" s="2614"/>
      <c r="BM32" s="2741" t="s">
        <v>136</v>
      </c>
      <c r="BN32" s="2731">
        <f>+BN7+BN25+BN29+BN30+BN31</f>
        <v>69055278288</v>
      </c>
      <c r="BO32" s="2732">
        <f t="shared" ref="BO32:BQ32" si="36">+BO7+BO25+BO29+BO30+BO31</f>
        <v>64106344523</v>
      </c>
      <c r="BP32" s="2732">
        <f t="shared" si="36"/>
        <v>56172535277</v>
      </c>
      <c r="BQ32" s="2733">
        <f t="shared" si="36"/>
        <v>4195081013</v>
      </c>
      <c r="BR32" s="2614"/>
    </row>
    <row r="33" spans="1:70" s="2702" customFormat="1" ht="24.95" customHeight="1" thickBot="1">
      <c r="A33" s="2592" t="str">
        <f>+IF(OCTUBRE!A33=0,"",OCTUBRE!A33)</f>
        <v>1130103-2-1</v>
      </c>
      <c r="B33" s="2725" t="str">
        <f>+CONCATENATE("Vigencia ",INSTRUCCIONES!$F$3)</f>
        <v>Vigencia 2017</v>
      </c>
      <c r="C33" s="2594">
        <f>+ENERO!C33</f>
        <v>157521482</v>
      </c>
      <c r="D33" s="2595">
        <f>OCTUBRE!D33+NOVIEMBRE!P33</f>
        <v>0</v>
      </c>
      <c r="E33" s="2595">
        <f>OCTUBRE!E33+NOVIEMBRE!Q33</f>
        <v>0</v>
      </c>
      <c r="F33" s="2595">
        <f>SUM(C33:E33)</f>
        <v>157521482</v>
      </c>
      <c r="G33" s="2595">
        <f>OCTUBRE!I33</f>
        <v>1305204882</v>
      </c>
      <c r="H33" s="2598">
        <v>150548138</v>
      </c>
      <c r="I33" s="2595">
        <f>SUM(G33:H33)</f>
        <v>1455753020</v>
      </c>
      <c r="J33" s="2595">
        <f>OCTUBRE!L33</f>
        <v>109120049</v>
      </c>
      <c r="K33" s="2598">
        <v>17378922</v>
      </c>
      <c r="L33" s="2595">
        <f>SUM(J33:K33)</f>
        <v>126498971</v>
      </c>
      <c r="M33" s="2595">
        <f>F33-I33</f>
        <v>-1298231538</v>
      </c>
      <c r="N33" s="2596">
        <f>F33-L33</f>
        <v>31022511</v>
      </c>
      <c r="O33" s="2489"/>
      <c r="P33" s="2600">
        <v>0</v>
      </c>
      <c r="Q33" s="2601">
        <v>0</v>
      </c>
      <c r="R33" s="2489"/>
      <c r="S33" s="2659">
        <f>+IF(OCTUBRE!S33=0,"",OCTUBRE!S33)</f>
        <v>1010199</v>
      </c>
      <c r="T33" s="2660" t="str">
        <f>+IF(OCTUBRE!T33=0,"",OCTUBRE!T33)</f>
        <v>Vigencias Anteriores</v>
      </c>
      <c r="U33" s="2661">
        <f>+ENERO!U33</f>
        <v>0</v>
      </c>
      <c r="V33" s="2612">
        <f>OCTUBRE!V33+NOVIEMBRE!AL33</f>
        <v>0</v>
      </c>
      <c r="W33" s="2612">
        <f>OCTUBRE!W33+NOVIEMBRE!AM33</f>
        <v>0</v>
      </c>
      <c r="X33" s="2662">
        <f t="shared" si="20"/>
        <v>0</v>
      </c>
      <c r="Y33" s="2663">
        <f>OCTUBRE!AA33</f>
        <v>0</v>
      </c>
      <c r="Z33" s="2598">
        <v>0</v>
      </c>
      <c r="AA33" s="2662">
        <f t="shared" si="21"/>
        <v>0</v>
      </c>
      <c r="AB33" s="2663">
        <f>OCTUBRE!AD33</f>
        <v>0</v>
      </c>
      <c r="AC33" s="2598">
        <v>0</v>
      </c>
      <c r="AD33" s="2662">
        <f t="shared" si="22"/>
        <v>0</v>
      </c>
      <c r="AE33" s="2663">
        <f>OCTUBRE!AG33</f>
        <v>0</v>
      </c>
      <c r="AF33" s="2598">
        <v>0</v>
      </c>
      <c r="AG33" s="2662">
        <f t="shared" si="23"/>
        <v>0</v>
      </c>
      <c r="AH33" s="2663">
        <f t="shared" si="24"/>
        <v>0</v>
      </c>
      <c r="AI33" s="2612">
        <f t="shared" si="25"/>
        <v>0</v>
      </c>
      <c r="AJ33" s="2664">
        <f t="shared" si="26"/>
        <v>0</v>
      </c>
      <c r="AK33" s="2489"/>
      <c r="AL33" s="2600">
        <v>0</v>
      </c>
      <c r="AM33" s="2601">
        <v>0</v>
      </c>
      <c r="AN33" s="2489"/>
      <c r="AO33" s="2544"/>
      <c r="AP33" s="2745"/>
      <c r="AQ33" s="2746" t="str">
        <f>IF((AQ32-X8)&lt;&gt;0,(AQ32-X8),"")</f>
        <v/>
      </c>
      <c r="AR33" s="2746"/>
      <c r="AS33" s="2746"/>
      <c r="AT33" s="2746"/>
      <c r="AU33" s="2747"/>
      <c r="AV33" s="2718"/>
      <c r="AW33" s="2719"/>
      <c r="AX33" s="2719"/>
      <c r="AY33" s="2719"/>
      <c r="AZ33" s="2720"/>
      <c r="BA33" s="2614"/>
      <c r="BG33" s="2614"/>
      <c r="BH33" s="2614"/>
      <c r="BI33" s="2614"/>
      <c r="BJ33" s="2614"/>
      <c r="BK33" s="2614"/>
      <c r="BL33" s="2614"/>
      <c r="BM33" s="2748" t="s">
        <v>133</v>
      </c>
      <c r="BN33" s="2749">
        <f>X258</f>
        <v>0</v>
      </c>
      <c r="BO33" s="2750">
        <f>AA258</f>
        <v>-712796812</v>
      </c>
      <c r="BP33" s="2750">
        <f>AD258</f>
        <v>-18594261636</v>
      </c>
      <c r="BQ33" s="2751">
        <f>AF258</f>
        <v>27281923634</v>
      </c>
      <c r="BR33" s="2614"/>
    </row>
    <row r="34" spans="1:70" s="2702" customFormat="1" ht="24.95" customHeight="1" thickBot="1">
      <c r="A34" s="2592" t="str">
        <f>+IF(OCTUBRE!A34=0,"",OCTUBRE!A34)</f>
        <v>1130103-2-2</v>
      </c>
      <c r="B34" s="2725" t="str">
        <f>+IF(OCTUBRE!B34=0,"",OCTUBRE!B34)</f>
        <v>Vigencia Anterior</v>
      </c>
      <c r="C34" s="2594">
        <f>+ENERO!C34</f>
        <v>0</v>
      </c>
      <c r="D34" s="2595">
        <f>OCTUBRE!D34+NOVIEMBRE!P34</f>
        <v>0</v>
      </c>
      <c r="E34" s="2595">
        <f>OCTUBRE!E34+NOVIEMBRE!Q34</f>
        <v>212958</v>
      </c>
      <c r="F34" s="2595">
        <f>SUM(C34:E34)</f>
        <v>212958</v>
      </c>
      <c r="G34" s="2595">
        <f>OCTUBRE!I34</f>
        <v>212958</v>
      </c>
      <c r="H34" s="2598">
        <v>0</v>
      </c>
      <c r="I34" s="2595">
        <f>SUM(G34:H34)</f>
        <v>212958</v>
      </c>
      <c r="J34" s="2595">
        <f>OCTUBRE!L34</f>
        <v>212958</v>
      </c>
      <c r="K34" s="2598">
        <v>0</v>
      </c>
      <c r="L34" s="2595">
        <f>SUM(J34:K34)</f>
        <v>212958</v>
      </c>
      <c r="M34" s="2595">
        <f>F34-I34</f>
        <v>0</v>
      </c>
      <c r="N34" s="2596">
        <f>F34-L34</f>
        <v>0</v>
      </c>
      <c r="O34" s="2614"/>
      <c r="P34" s="2600">
        <v>0</v>
      </c>
      <c r="Q34" s="2601">
        <v>0</v>
      </c>
      <c r="R34" s="2489"/>
      <c r="S34" s="2579" t="str">
        <f>+IF(OCTUBRE!S34=0,"",OCTUBRE!S34)</f>
        <v/>
      </c>
      <c r="T34" s="2580" t="str">
        <f>+IF(OCTUBRE!T34=0,"",OCTUBRE!T34)</f>
        <v/>
      </c>
      <c r="U34" s="2581"/>
      <c r="V34" s="2581"/>
      <c r="W34" s="2581"/>
      <c r="X34" s="2581"/>
      <c r="Y34" s="2581"/>
      <c r="Z34" s="2581"/>
      <c r="AA34" s="2581"/>
      <c r="AB34" s="2581"/>
      <c r="AC34" s="2581"/>
      <c r="AD34" s="2581"/>
      <c r="AE34" s="2581"/>
      <c r="AF34" s="2581"/>
      <c r="AG34" s="2581"/>
      <c r="AH34" s="2581"/>
      <c r="AI34" s="2581"/>
      <c r="AJ34" s="2582"/>
      <c r="AK34" s="2489"/>
      <c r="AL34" s="2643"/>
      <c r="AM34" s="2644"/>
      <c r="AN34" s="2489"/>
      <c r="AO34" s="2544"/>
      <c r="AP34" s="2752"/>
      <c r="AQ34" s="2496"/>
      <c r="AR34" s="2496"/>
      <c r="AS34" s="2496" t="s">
        <v>147</v>
      </c>
      <c r="AT34" s="2496"/>
      <c r="AU34" s="2753" t="s">
        <v>148</v>
      </c>
      <c r="AV34" s="2754" t="s">
        <v>149</v>
      </c>
      <c r="AW34" s="2636" t="s">
        <v>147</v>
      </c>
      <c r="AX34" s="2755"/>
      <c r="AY34" s="2636" t="s">
        <v>150</v>
      </c>
      <c r="AZ34" s="2637" t="s">
        <v>151</v>
      </c>
      <c r="BA34" s="2614"/>
      <c r="BB34" s="2614"/>
      <c r="BC34" s="2614"/>
      <c r="BD34" s="2614"/>
      <c r="BE34" s="2614"/>
      <c r="BF34" s="2614"/>
      <c r="BG34" s="2614"/>
      <c r="BH34" s="2614"/>
      <c r="BI34" s="2614"/>
      <c r="BJ34" s="2614"/>
      <c r="BK34" s="2614"/>
      <c r="BL34" s="2614"/>
      <c r="BM34" s="2489"/>
      <c r="BN34" s="2489"/>
      <c r="BO34" s="2489"/>
      <c r="BP34" s="2489"/>
      <c r="BQ34" s="2489"/>
      <c r="BR34" s="2489"/>
    </row>
    <row r="35" spans="1:70" s="2614" customFormat="1" ht="24.95" customHeight="1" thickBot="1">
      <c r="A35" s="2592" t="str">
        <f>+IF(OCTUBRE!A35=0,"",OCTUBRE!A35)</f>
        <v>1130103-3</v>
      </c>
      <c r="B35" s="2738" t="str">
        <f>+IF(OCTUBRE!B35=0,"",OCTUBRE!B35)</f>
        <v>Prestación de Servicios de salud  3o. Nivel</v>
      </c>
      <c r="C35" s="2663">
        <f t="shared" ref="C35:N35" si="37">SUM(C36:C37)</f>
        <v>0</v>
      </c>
      <c r="D35" s="2612">
        <f t="shared" si="37"/>
        <v>0</v>
      </c>
      <c r="E35" s="2612">
        <f t="shared" si="37"/>
        <v>0</v>
      </c>
      <c r="F35" s="2612">
        <f t="shared" si="37"/>
        <v>0</v>
      </c>
      <c r="G35" s="2612">
        <f t="shared" si="37"/>
        <v>0</v>
      </c>
      <c r="H35" s="2612">
        <f t="shared" si="37"/>
        <v>0</v>
      </c>
      <c r="I35" s="2612">
        <f t="shared" si="37"/>
        <v>0</v>
      </c>
      <c r="J35" s="2612">
        <f t="shared" si="37"/>
        <v>0</v>
      </c>
      <c r="K35" s="2612">
        <f t="shared" si="37"/>
        <v>0</v>
      </c>
      <c r="L35" s="2612">
        <f t="shared" si="37"/>
        <v>0</v>
      </c>
      <c r="M35" s="2612">
        <f t="shared" si="37"/>
        <v>0</v>
      </c>
      <c r="N35" s="2664">
        <f t="shared" si="37"/>
        <v>0</v>
      </c>
      <c r="P35" s="2739">
        <f>SUM(P36:P37)</f>
        <v>0</v>
      </c>
      <c r="Q35" s="2740">
        <f>SUM(Q36:Q37)</f>
        <v>0</v>
      </c>
      <c r="R35" s="2489"/>
      <c r="S35" s="2651">
        <f>+IF(OCTUBRE!S35=0,"",OCTUBRE!S35)</f>
        <v>1010200</v>
      </c>
      <c r="T35" s="2652" t="str">
        <f>+IF(OCTUBRE!T35=0,"",OCTUBRE!T35)</f>
        <v>Servicios Personales Indirectos</v>
      </c>
      <c r="U35" s="2624">
        <f t="shared" ref="U35:AJ35" si="38">SUM(U36:U41)</f>
        <v>3034900183</v>
      </c>
      <c r="V35" s="2625">
        <f t="shared" si="38"/>
        <v>718580368</v>
      </c>
      <c r="W35" s="2625">
        <f t="shared" si="38"/>
        <v>2725000000</v>
      </c>
      <c r="X35" s="2626">
        <f t="shared" si="38"/>
        <v>6478480551</v>
      </c>
      <c r="Y35" s="2627">
        <f t="shared" si="38"/>
        <v>6223737295</v>
      </c>
      <c r="Z35" s="2625">
        <f t="shared" si="38"/>
        <v>52094838</v>
      </c>
      <c r="AA35" s="2626">
        <f t="shared" si="38"/>
        <v>6275832133</v>
      </c>
      <c r="AB35" s="2627">
        <f t="shared" si="38"/>
        <v>4876742591</v>
      </c>
      <c r="AC35" s="2625">
        <f t="shared" si="38"/>
        <v>465887435</v>
      </c>
      <c r="AD35" s="2626">
        <f t="shared" si="38"/>
        <v>5342630026</v>
      </c>
      <c r="AE35" s="2627">
        <f t="shared" si="38"/>
        <v>3696920734</v>
      </c>
      <c r="AF35" s="2625">
        <f t="shared" si="38"/>
        <v>739033480</v>
      </c>
      <c r="AG35" s="2626">
        <f t="shared" si="38"/>
        <v>4435954214</v>
      </c>
      <c r="AH35" s="2627">
        <f t="shared" si="38"/>
        <v>202648418</v>
      </c>
      <c r="AI35" s="2625">
        <f t="shared" si="38"/>
        <v>1135850525</v>
      </c>
      <c r="AJ35" s="2628">
        <f t="shared" si="38"/>
        <v>2042526337</v>
      </c>
      <c r="AK35" s="2489"/>
      <c r="AL35" s="2627">
        <f>SUM(AL36:AL41)</f>
        <v>0</v>
      </c>
      <c r="AM35" s="2628">
        <f>SUM(AM36:AM41)</f>
        <v>150000000</v>
      </c>
      <c r="AN35" s="2489"/>
      <c r="AO35" s="2544"/>
      <c r="AP35" s="2756"/>
      <c r="AQ35" s="2434"/>
      <c r="AR35" s="2757"/>
      <c r="AS35" s="2757"/>
      <c r="AT35" s="2757"/>
      <c r="AU35" s="2758">
        <f>AR17-AR32</f>
        <v>24392993196</v>
      </c>
      <c r="AV35" s="2759">
        <f>AS17-AR32</f>
        <v>-1021541450</v>
      </c>
      <c r="AW35" s="2759" t="s">
        <v>153</v>
      </c>
      <c r="AX35" s="2760"/>
      <c r="AY35" s="2759">
        <f>AY17+AY32</f>
        <v>-9404122121.636364</v>
      </c>
      <c r="AZ35" s="2761">
        <f>AZ17+AY32</f>
        <v>-37566239288.909088</v>
      </c>
      <c r="BB35" s="2702"/>
      <c r="BC35" s="2702"/>
      <c r="BD35" s="2702"/>
      <c r="BE35" s="2702"/>
      <c r="BF35" s="2702"/>
    </row>
    <row r="36" spans="1:70" s="2614" customFormat="1" ht="24.95" customHeight="1" thickBot="1">
      <c r="A36" s="2592" t="str">
        <f>+IF(OCTUBRE!A36=0,"",OCTUBRE!A36)</f>
        <v>1130103-3-1</v>
      </c>
      <c r="B36" s="2725" t="str">
        <f>+CONCATENATE("Vigencia ",INSTRUCCIONES!$F$3)</f>
        <v>Vigencia 2017</v>
      </c>
      <c r="C36" s="2594">
        <f>+ENERO!C36</f>
        <v>0</v>
      </c>
      <c r="D36" s="2595">
        <f>OCTUBRE!D36+NOVIEMBRE!P36</f>
        <v>0</v>
      </c>
      <c r="E36" s="2595">
        <f>OCTUBRE!E36+NOVIEMBRE!Q36</f>
        <v>0</v>
      </c>
      <c r="F36" s="2595">
        <f t="shared" ref="F36:F41" si="39">SUM(C36:E36)</f>
        <v>0</v>
      </c>
      <c r="G36" s="2595">
        <f>OCTUBRE!I36</f>
        <v>0</v>
      </c>
      <c r="H36" s="2598">
        <v>0</v>
      </c>
      <c r="I36" s="2595">
        <f t="shared" ref="I36:I41" si="40">SUM(G36:H36)</f>
        <v>0</v>
      </c>
      <c r="J36" s="2595">
        <f>OCTUBRE!L36</f>
        <v>0</v>
      </c>
      <c r="K36" s="2598">
        <v>0</v>
      </c>
      <c r="L36" s="2595">
        <f t="shared" ref="L36:L41" si="41">SUM(J36:K36)</f>
        <v>0</v>
      </c>
      <c r="M36" s="2595">
        <f t="shared" ref="M36:M41" si="42">F36-I36</f>
        <v>0</v>
      </c>
      <c r="N36" s="2596">
        <f t="shared" ref="N36:N41" si="43">F36-L36</f>
        <v>0</v>
      </c>
      <c r="O36" s="2489"/>
      <c r="P36" s="2600">
        <v>0</v>
      </c>
      <c r="Q36" s="2601">
        <v>0</v>
      </c>
      <c r="R36" s="2489"/>
      <c r="S36" s="2659" t="str">
        <f>+IF(OCTUBRE!S36=0,"",OCTUBRE!S36)</f>
        <v>1010200-1</v>
      </c>
      <c r="T36" s="2660" t="str">
        <f>+IF(OCTUBRE!T36=0,"",OCTUBRE!T36)</f>
        <v>Remuneración y Honorarios por Servicios Técnicos y Profesionales</v>
      </c>
      <c r="U36" s="2661">
        <f>+ENERO!U36</f>
        <v>999690000</v>
      </c>
      <c r="V36" s="2612">
        <f>OCTUBRE!V36+NOVIEMBRE!AL36</f>
        <v>386300000</v>
      </c>
      <c r="W36" s="2612">
        <f>OCTUBRE!W36+NOVIEMBRE!AM36</f>
        <v>420000000</v>
      </c>
      <c r="X36" s="2662">
        <f t="shared" ref="X36:X41" si="44">SUM(U36:W36)</f>
        <v>1805990000</v>
      </c>
      <c r="Y36" s="2663">
        <f>OCTUBRE!AA36</f>
        <v>1805854405</v>
      </c>
      <c r="Z36" s="2598">
        <v>-1300007</v>
      </c>
      <c r="AA36" s="2662">
        <f t="shared" ref="AA36:AA41" si="45">SUM(Y36:Z36)</f>
        <v>1804554398</v>
      </c>
      <c r="AB36" s="2663">
        <f>OCTUBRE!AD36</f>
        <v>1478480048</v>
      </c>
      <c r="AC36" s="2598">
        <v>130153000</v>
      </c>
      <c r="AD36" s="2662">
        <f t="shared" ref="AD36:AD41" si="46">SUM(AB36:AC36)</f>
        <v>1608633048</v>
      </c>
      <c r="AE36" s="2663">
        <f>OCTUBRE!AG36</f>
        <v>1235104441</v>
      </c>
      <c r="AF36" s="2598">
        <v>130635648</v>
      </c>
      <c r="AG36" s="2662">
        <f t="shared" ref="AG36:AG41" si="47">SUM(AE36:AF36)</f>
        <v>1365740089</v>
      </c>
      <c r="AH36" s="2663">
        <f t="shared" ref="AH36:AH41" si="48">X36-AA36</f>
        <v>1435602</v>
      </c>
      <c r="AI36" s="2612">
        <f t="shared" ref="AI36:AI41" si="49">X36-AD36</f>
        <v>197356952</v>
      </c>
      <c r="AJ36" s="2664">
        <f t="shared" ref="AJ36:AJ41" si="50">X36-AG36</f>
        <v>440249911</v>
      </c>
      <c r="AK36" s="2489"/>
      <c r="AL36" s="2600">
        <v>0</v>
      </c>
      <c r="AM36" s="2601">
        <v>0</v>
      </c>
      <c r="AN36" s="2489"/>
      <c r="AO36" s="2762"/>
      <c r="AP36" s="2763"/>
      <c r="AQ36" s="2763"/>
      <c r="AR36" s="2763"/>
      <c r="AS36" s="2763"/>
      <c r="AT36" s="2763"/>
      <c r="AU36" s="2763"/>
      <c r="AV36" s="2763"/>
      <c r="AW36" s="2763"/>
      <c r="AX36" s="2763"/>
      <c r="AY36" s="2763"/>
      <c r="AZ36" s="2764"/>
      <c r="BB36" s="2702"/>
      <c r="BC36" s="2702"/>
      <c r="BD36" s="2702"/>
      <c r="BE36" s="2702"/>
      <c r="BF36" s="2702"/>
    </row>
    <row r="37" spans="1:70" s="2614" customFormat="1" ht="24.95" customHeight="1">
      <c r="A37" s="2592" t="str">
        <f>+IF(OCTUBRE!A37=0,"",OCTUBRE!A37)</f>
        <v>1130103-3-2</v>
      </c>
      <c r="B37" s="2725" t="str">
        <f>+IF(OCTUBRE!B37=0,"",OCTUBRE!B37)</f>
        <v>Vigencia Anterior</v>
      </c>
      <c r="C37" s="2594">
        <f>+ENERO!C37</f>
        <v>0</v>
      </c>
      <c r="D37" s="2595">
        <f>OCTUBRE!D37+NOVIEMBRE!P37</f>
        <v>0</v>
      </c>
      <c r="E37" s="2595">
        <f>OCTUBRE!E37+NOVIEMBRE!Q37</f>
        <v>0</v>
      </c>
      <c r="F37" s="2595">
        <f t="shared" si="39"/>
        <v>0</v>
      </c>
      <c r="G37" s="2595">
        <f>OCTUBRE!I37</f>
        <v>0</v>
      </c>
      <c r="H37" s="2598">
        <v>0</v>
      </c>
      <c r="I37" s="2595">
        <f t="shared" si="40"/>
        <v>0</v>
      </c>
      <c r="J37" s="2595">
        <f>OCTUBRE!L37</f>
        <v>0</v>
      </c>
      <c r="K37" s="2598">
        <v>0</v>
      </c>
      <c r="L37" s="2595">
        <f t="shared" si="41"/>
        <v>0</v>
      </c>
      <c r="M37" s="2595">
        <f t="shared" si="42"/>
        <v>0</v>
      </c>
      <c r="N37" s="2596">
        <f t="shared" si="43"/>
        <v>0</v>
      </c>
      <c r="P37" s="2600">
        <v>0</v>
      </c>
      <c r="Q37" s="2601">
        <v>0</v>
      </c>
      <c r="R37" s="2489"/>
      <c r="S37" s="2659" t="str">
        <f>+IF(OCTUBRE!S37=0,"",OCTUBRE!S37)</f>
        <v>1010200-2</v>
      </c>
      <c r="T37" s="2660" t="str">
        <f>+IF(OCTUBRE!T37=0,"",OCTUBRE!T37)</f>
        <v>Personal Supernumerario</v>
      </c>
      <c r="U37" s="2661">
        <f>+ENERO!U37</f>
        <v>0</v>
      </c>
      <c r="V37" s="2612">
        <f>OCTUBRE!V37+NOVIEMBRE!AL37</f>
        <v>0</v>
      </c>
      <c r="W37" s="2612">
        <f>OCTUBRE!W37+NOVIEMBRE!AM37</f>
        <v>0</v>
      </c>
      <c r="X37" s="2662">
        <f t="shared" si="44"/>
        <v>0</v>
      </c>
      <c r="Y37" s="2663">
        <f>OCTUBRE!AA37</f>
        <v>0</v>
      </c>
      <c r="Z37" s="2598">
        <v>0</v>
      </c>
      <c r="AA37" s="2662">
        <f t="shared" si="45"/>
        <v>0</v>
      </c>
      <c r="AB37" s="2663">
        <f>OCTUBRE!AD37</f>
        <v>0</v>
      </c>
      <c r="AC37" s="2598">
        <v>0</v>
      </c>
      <c r="AD37" s="2662">
        <f t="shared" si="46"/>
        <v>0</v>
      </c>
      <c r="AE37" s="2663">
        <f>OCTUBRE!AG37</f>
        <v>0</v>
      </c>
      <c r="AF37" s="2598">
        <v>0</v>
      </c>
      <c r="AG37" s="2662">
        <f t="shared" si="47"/>
        <v>0</v>
      </c>
      <c r="AH37" s="2663">
        <f t="shared" si="48"/>
        <v>0</v>
      </c>
      <c r="AI37" s="2612">
        <f t="shared" si="49"/>
        <v>0</v>
      </c>
      <c r="AJ37" s="2664">
        <f t="shared" si="50"/>
        <v>0</v>
      </c>
      <c r="AK37" s="2489"/>
      <c r="AL37" s="2600">
        <v>0</v>
      </c>
      <c r="AM37" s="2601">
        <v>0</v>
      </c>
      <c r="AN37" s="2489"/>
      <c r="AO37" s="2765" t="s">
        <v>156</v>
      </c>
    </row>
    <row r="38" spans="1:70" s="2614" customFormat="1" ht="24.95" customHeight="1">
      <c r="A38" s="2766" t="str">
        <f>+IF(OCTUBRE!A38=0,"",OCTUBRE!A38)</f>
        <v>1130103-4</v>
      </c>
      <c r="B38" s="2767" t="str">
        <f>+IF(OCTUBRE!B38=0,"",OCTUBRE!B38)</f>
        <v xml:space="preserve"> Aportes Patronales  1o. Nivel</v>
      </c>
      <c r="C38" s="2594">
        <f>+ENERO!C38</f>
        <v>0</v>
      </c>
      <c r="D38" s="2595">
        <f>OCTUBRE!D38+NOVIEMBRE!P38</f>
        <v>0</v>
      </c>
      <c r="E38" s="2595">
        <f>OCTUBRE!E38+NOVIEMBRE!Q38</f>
        <v>0</v>
      </c>
      <c r="F38" s="2595">
        <f t="shared" si="39"/>
        <v>0</v>
      </c>
      <c r="G38" s="2595">
        <f>OCTUBRE!I38</f>
        <v>0</v>
      </c>
      <c r="H38" s="2598">
        <v>0</v>
      </c>
      <c r="I38" s="2595">
        <f t="shared" si="40"/>
        <v>0</v>
      </c>
      <c r="J38" s="2595">
        <f>OCTUBRE!L38</f>
        <v>0</v>
      </c>
      <c r="K38" s="2598">
        <v>0</v>
      </c>
      <c r="L38" s="2595">
        <f t="shared" si="41"/>
        <v>0</v>
      </c>
      <c r="M38" s="2595">
        <f t="shared" si="42"/>
        <v>0</v>
      </c>
      <c r="N38" s="2596">
        <f t="shared" si="43"/>
        <v>0</v>
      </c>
      <c r="O38" s="2768"/>
      <c r="P38" s="2600">
        <v>0</v>
      </c>
      <c r="Q38" s="2601">
        <v>0</v>
      </c>
      <c r="R38" s="2489"/>
      <c r="S38" s="2659" t="str">
        <f>+IF(OCTUBRE!S38=0,"",OCTUBRE!S38)</f>
        <v>1010200-3</v>
      </c>
      <c r="T38" s="2660" t="str">
        <f>+IF(OCTUBRE!T38=0,"",OCTUBRE!T38)</f>
        <v>Honorarios de la Junta Directiva</v>
      </c>
      <c r="U38" s="2661">
        <f>+ENERO!U38</f>
        <v>5000000</v>
      </c>
      <c r="V38" s="2612">
        <f>OCTUBRE!V38+NOVIEMBRE!AL38</f>
        <v>0</v>
      </c>
      <c r="W38" s="2612">
        <f>OCTUBRE!W38+NOVIEMBRE!AM38</f>
        <v>5000000</v>
      </c>
      <c r="X38" s="2662">
        <f t="shared" si="44"/>
        <v>10000000</v>
      </c>
      <c r="Y38" s="2663">
        <f>OCTUBRE!AA38</f>
        <v>3592059</v>
      </c>
      <c r="Z38" s="2598">
        <v>737717</v>
      </c>
      <c r="AA38" s="2662">
        <f t="shared" si="45"/>
        <v>4329776</v>
      </c>
      <c r="AB38" s="2663">
        <f>OCTUBRE!AD38</f>
        <v>3592059</v>
      </c>
      <c r="AC38" s="2598">
        <v>737717</v>
      </c>
      <c r="AD38" s="2662">
        <f t="shared" si="46"/>
        <v>4329776</v>
      </c>
      <c r="AE38" s="2663">
        <f>OCTUBRE!AG38</f>
        <v>2164889</v>
      </c>
      <c r="AF38" s="2598">
        <v>0</v>
      </c>
      <c r="AG38" s="2662">
        <f t="shared" si="47"/>
        <v>2164889</v>
      </c>
      <c r="AH38" s="2663">
        <f t="shared" si="48"/>
        <v>5670224</v>
      </c>
      <c r="AI38" s="2612">
        <f t="shared" si="49"/>
        <v>5670224</v>
      </c>
      <c r="AJ38" s="2664">
        <f t="shared" si="50"/>
        <v>7835111</v>
      </c>
      <c r="AK38" s="2489"/>
      <c r="AL38" s="2600">
        <v>0</v>
      </c>
      <c r="AM38" s="2601">
        <v>0</v>
      </c>
      <c r="AN38" s="2489"/>
      <c r="AO38" s="2440"/>
      <c r="AP38" s="2440"/>
      <c r="AQ38" s="2440"/>
      <c r="AR38" s="2440"/>
      <c r="AS38" s="2440"/>
      <c r="AT38" s="2440"/>
      <c r="AU38" s="2440"/>
      <c r="AV38" s="2440"/>
      <c r="AW38" s="2440"/>
      <c r="AX38" s="2440"/>
      <c r="AY38" s="2440"/>
      <c r="AZ38" s="2440"/>
    </row>
    <row r="39" spans="1:70" s="2614" customFormat="1" ht="24.95" customHeight="1">
      <c r="A39" s="2766" t="str">
        <f>+IF(OCTUBRE!A39=0,"",OCTUBRE!A39)</f>
        <v>1130103-5</v>
      </c>
      <c r="B39" s="2767" t="str">
        <f>+IF(OCTUBRE!B39=0,"",OCTUBRE!B39)</f>
        <v xml:space="preserve"> Aportes Patronales  2o. Nivel</v>
      </c>
      <c r="C39" s="2594">
        <f>+ENERO!C39</f>
        <v>0</v>
      </c>
      <c r="D39" s="2595">
        <f>OCTUBRE!D39+NOVIEMBRE!P39</f>
        <v>0</v>
      </c>
      <c r="E39" s="2595">
        <f>OCTUBRE!E39+NOVIEMBRE!Q39</f>
        <v>258077000</v>
      </c>
      <c r="F39" s="2595">
        <f t="shared" si="39"/>
        <v>258077000</v>
      </c>
      <c r="G39" s="2595">
        <f>OCTUBRE!I39</f>
        <v>193557744</v>
      </c>
      <c r="H39" s="2598">
        <f>24688562-1112098-1841020-229028</f>
        <v>21506416</v>
      </c>
      <c r="I39" s="2595">
        <f t="shared" si="40"/>
        <v>215064160</v>
      </c>
      <c r="J39" s="2595">
        <f>OCTUBRE!L39</f>
        <v>193557744</v>
      </c>
      <c r="K39" s="2598">
        <f>24688562-1112098-1841020-229028</f>
        <v>21506416</v>
      </c>
      <c r="L39" s="2595">
        <f t="shared" si="41"/>
        <v>215064160</v>
      </c>
      <c r="M39" s="2595">
        <f t="shared" si="42"/>
        <v>43012840</v>
      </c>
      <c r="N39" s="2596">
        <f t="shared" si="43"/>
        <v>43012840</v>
      </c>
      <c r="O39" s="2768"/>
      <c r="P39" s="2600">
        <v>0</v>
      </c>
      <c r="Q39" s="2601">
        <v>0</v>
      </c>
      <c r="R39" s="2489"/>
      <c r="S39" s="2659" t="str">
        <f>+IF(OCTUBRE!S39=0,"",OCTUBRE!S39)</f>
        <v>1010200-4</v>
      </c>
      <c r="T39" s="2660" t="str">
        <f>+IF(OCTUBRE!T39=0,"",OCTUBRE!T39)</f>
        <v>Otros Honorarios</v>
      </c>
      <c r="U39" s="2661">
        <f>+ENERO!U39</f>
        <v>2030210183</v>
      </c>
      <c r="V39" s="2612">
        <f>OCTUBRE!V39+NOVIEMBRE!AL39</f>
        <v>191100000</v>
      </c>
      <c r="W39" s="2612">
        <f>OCTUBRE!W39+NOVIEMBRE!AM39</f>
        <v>1450000000</v>
      </c>
      <c r="X39" s="2662">
        <f t="shared" si="44"/>
        <v>3671310183</v>
      </c>
      <c r="Y39" s="2663">
        <f>OCTUBRE!AA39</f>
        <v>3573110463</v>
      </c>
      <c r="Z39" s="2598">
        <v>0</v>
      </c>
      <c r="AA39" s="2662">
        <f t="shared" si="45"/>
        <v>3573110463</v>
      </c>
      <c r="AB39" s="2663">
        <f>OCTUBRE!AD39</f>
        <v>2553490116</v>
      </c>
      <c r="AC39" s="2598">
        <v>282339590</v>
      </c>
      <c r="AD39" s="2662">
        <f t="shared" si="46"/>
        <v>2835829706</v>
      </c>
      <c r="AE39" s="2663">
        <f>OCTUBRE!AG39</f>
        <v>1618471036</v>
      </c>
      <c r="AF39" s="2598">
        <v>555740704</v>
      </c>
      <c r="AG39" s="2662">
        <f t="shared" si="47"/>
        <v>2174211740</v>
      </c>
      <c r="AH39" s="2663">
        <f t="shared" si="48"/>
        <v>98199720</v>
      </c>
      <c r="AI39" s="2612">
        <f t="shared" si="49"/>
        <v>835480477</v>
      </c>
      <c r="AJ39" s="2664">
        <f t="shared" si="50"/>
        <v>1497098443</v>
      </c>
      <c r="AK39" s="2489"/>
      <c r="AL39" s="2600">
        <v>0</v>
      </c>
      <c r="AM39" s="2601">
        <v>0</v>
      </c>
      <c r="AN39" s="2489"/>
      <c r="AO39" s="2440"/>
      <c r="AP39" s="2440"/>
      <c r="AQ39" s="2440"/>
      <c r="AR39" s="2440"/>
      <c r="AS39" s="2440"/>
      <c r="AT39" s="2440"/>
      <c r="AU39" s="2440"/>
      <c r="AV39" s="2440"/>
      <c r="AW39" s="2440"/>
      <c r="AX39" s="2440"/>
      <c r="AY39" s="2440"/>
      <c r="AZ39" s="2440"/>
    </row>
    <row r="40" spans="1:70" s="2702" customFormat="1" ht="24.95" customHeight="1">
      <c r="A40" s="2766" t="str">
        <f>+IF(OCTUBRE!A40=0,"",OCTUBRE!A40)</f>
        <v>1130103-6</v>
      </c>
      <c r="B40" s="2767" t="str">
        <f>+IF(OCTUBRE!B40=0,"",OCTUBRE!B40)</f>
        <v xml:space="preserve"> Aportes Patronales  3er. Nivel</v>
      </c>
      <c r="C40" s="2594">
        <f>+ENERO!C40</f>
        <v>0</v>
      </c>
      <c r="D40" s="2595">
        <f>OCTUBRE!D40+NOVIEMBRE!P40</f>
        <v>0</v>
      </c>
      <c r="E40" s="2595">
        <f>OCTUBRE!E40+NOVIEMBRE!Q40</f>
        <v>0</v>
      </c>
      <c r="F40" s="2595">
        <f t="shared" si="39"/>
        <v>0</v>
      </c>
      <c r="G40" s="2595">
        <f>OCTUBRE!I40</f>
        <v>0</v>
      </c>
      <c r="H40" s="2598">
        <v>0</v>
      </c>
      <c r="I40" s="2595">
        <f t="shared" si="40"/>
        <v>0</v>
      </c>
      <c r="J40" s="2595">
        <f>OCTUBRE!L40</f>
        <v>0</v>
      </c>
      <c r="K40" s="2598">
        <v>0</v>
      </c>
      <c r="L40" s="2595">
        <f t="shared" si="41"/>
        <v>0</v>
      </c>
      <c r="M40" s="2595">
        <f t="shared" si="42"/>
        <v>0</v>
      </c>
      <c r="N40" s="2596">
        <f t="shared" si="43"/>
        <v>0</v>
      </c>
      <c r="O40" s="2768"/>
      <c r="P40" s="2600">
        <v>0</v>
      </c>
      <c r="Q40" s="2601">
        <v>0</v>
      </c>
      <c r="R40" s="2489"/>
      <c r="S40" s="2659" t="str">
        <f>+IF(OCTUBRE!S40=0,"",OCTUBRE!S40)</f>
        <v>1010200-6</v>
      </c>
      <c r="T40" s="2660" t="str">
        <f>+IF(OCTUBRE!T40=0,"",OCTUBRE!T40)</f>
        <v>Certificación, Habilitación y Acreditación</v>
      </c>
      <c r="U40" s="2661">
        <f>+ENERO!U40</f>
        <v>0</v>
      </c>
      <c r="V40" s="2612">
        <f>OCTUBRE!V40+NOVIEMBRE!AL40</f>
        <v>0</v>
      </c>
      <c r="W40" s="2612">
        <f>OCTUBRE!W40+NOVIEMBRE!AM40</f>
        <v>0</v>
      </c>
      <c r="X40" s="2662">
        <f t="shared" si="44"/>
        <v>0</v>
      </c>
      <c r="Y40" s="2663">
        <f>OCTUBRE!AA40</f>
        <v>0</v>
      </c>
      <c r="Z40" s="2598">
        <v>0</v>
      </c>
      <c r="AA40" s="2662">
        <f t="shared" si="45"/>
        <v>0</v>
      </c>
      <c r="AB40" s="2663">
        <f>OCTUBRE!AD40</f>
        <v>0</v>
      </c>
      <c r="AC40" s="2598">
        <v>0</v>
      </c>
      <c r="AD40" s="2662">
        <f t="shared" si="46"/>
        <v>0</v>
      </c>
      <c r="AE40" s="2663">
        <f>OCTUBRE!AG40</f>
        <v>0</v>
      </c>
      <c r="AF40" s="2598">
        <v>0</v>
      </c>
      <c r="AG40" s="2662">
        <f t="shared" si="47"/>
        <v>0</v>
      </c>
      <c r="AH40" s="2663">
        <f t="shared" si="48"/>
        <v>0</v>
      </c>
      <c r="AI40" s="2612">
        <f t="shared" si="49"/>
        <v>0</v>
      </c>
      <c r="AJ40" s="2664">
        <f t="shared" si="50"/>
        <v>0</v>
      </c>
      <c r="AK40" s="2489"/>
      <c r="AL40" s="2600">
        <v>0</v>
      </c>
      <c r="AM40" s="2601">
        <v>0</v>
      </c>
      <c r="AN40" s="2489"/>
      <c r="AO40" s="2614"/>
      <c r="AP40" s="2614"/>
      <c r="AQ40" s="2614"/>
      <c r="AR40" s="2614"/>
      <c r="AS40" s="2614"/>
      <c r="AT40" s="2614"/>
      <c r="AU40" s="2614"/>
      <c r="AV40" s="2614"/>
      <c r="AW40" s="2614"/>
      <c r="AX40" s="2614"/>
      <c r="AY40" s="2614"/>
      <c r="AZ40" s="2614"/>
      <c r="BA40" s="2614"/>
      <c r="BF40" s="2614"/>
      <c r="BG40" s="2614"/>
      <c r="BH40" s="2614"/>
      <c r="BI40" s="2614"/>
      <c r="BJ40" s="2614"/>
      <c r="BK40" s="2614"/>
      <c r="BL40" s="2614"/>
      <c r="BM40" s="2614"/>
      <c r="BN40" s="2614"/>
      <c r="BO40" s="2614"/>
      <c r="BP40" s="2614"/>
      <c r="BQ40" s="2614"/>
      <c r="BR40" s="2614"/>
    </row>
    <row r="41" spans="1:70" s="2702" customFormat="1" ht="24.95" customHeight="1">
      <c r="A41" s="2678">
        <f>+IF(OCTUBRE!A41=0,"",OCTUBRE!A41)</f>
        <v>1130104</v>
      </c>
      <c r="B41" s="2713" t="str">
        <f>+IF(OCTUBRE!B41=0,"",OCTUBRE!B41)</f>
        <v>SUBSIDIO A LA OFERTA- ACTIVIDADES NO POS-S</v>
      </c>
      <c r="C41" s="2594">
        <f>+ENERO!C41</f>
        <v>0</v>
      </c>
      <c r="D41" s="2625">
        <f>OCTUBRE!D41+NOVIEMBRE!P41</f>
        <v>0</v>
      </c>
      <c r="E41" s="2625">
        <f>OCTUBRE!E41+NOVIEMBRE!Q41</f>
        <v>0</v>
      </c>
      <c r="F41" s="2625">
        <f t="shared" si="39"/>
        <v>0</v>
      </c>
      <c r="G41" s="2625">
        <f>OCTUBRE!I41</f>
        <v>0</v>
      </c>
      <c r="H41" s="2598">
        <v>0</v>
      </c>
      <c r="I41" s="2625">
        <f t="shared" si="40"/>
        <v>0</v>
      </c>
      <c r="J41" s="2625">
        <f>OCTUBRE!L41</f>
        <v>0</v>
      </c>
      <c r="K41" s="2598">
        <v>0</v>
      </c>
      <c r="L41" s="2625">
        <f t="shared" si="41"/>
        <v>0</v>
      </c>
      <c r="M41" s="2625">
        <f t="shared" si="42"/>
        <v>0</v>
      </c>
      <c r="N41" s="2628">
        <f t="shared" si="43"/>
        <v>0</v>
      </c>
      <c r="O41" s="2614"/>
      <c r="P41" s="2598">
        <v>0</v>
      </c>
      <c r="Q41" s="2601">
        <v>0</v>
      </c>
      <c r="R41" s="2489"/>
      <c r="S41" s="2659">
        <f>+IF(OCTUBRE!S41=0,"",OCTUBRE!S41)</f>
        <v>1010299</v>
      </c>
      <c r="T41" s="2660" t="str">
        <f>+IF(OCTUBRE!T41=0,"",OCTUBRE!T41)</f>
        <v>Vigencias Anteriores</v>
      </c>
      <c r="U41" s="2661">
        <f>+ENERO!U41</f>
        <v>0</v>
      </c>
      <c r="V41" s="2612">
        <f>OCTUBRE!V41+NOVIEMBRE!AL41</f>
        <v>141180368</v>
      </c>
      <c r="W41" s="2612">
        <f>OCTUBRE!W41+NOVIEMBRE!AM41</f>
        <v>850000000</v>
      </c>
      <c r="X41" s="2662">
        <f t="shared" si="44"/>
        <v>991180368</v>
      </c>
      <c r="Y41" s="2663">
        <f>OCTUBRE!AA41</f>
        <v>841180368</v>
      </c>
      <c r="Z41" s="2598">
        <v>52657128</v>
      </c>
      <c r="AA41" s="2662">
        <f t="shared" si="45"/>
        <v>893837496</v>
      </c>
      <c r="AB41" s="2663">
        <f>OCTUBRE!AD41</f>
        <v>841180368</v>
      </c>
      <c r="AC41" s="2598">
        <v>52657128</v>
      </c>
      <c r="AD41" s="2662">
        <f t="shared" si="46"/>
        <v>893837496</v>
      </c>
      <c r="AE41" s="2663">
        <f>OCTUBRE!AG41</f>
        <v>841180368</v>
      </c>
      <c r="AF41" s="2598">
        <v>52657128</v>
      </c>
      <c r="AG41" s="2662">
        <f t="shared" si="47"/>
        <v>893837496</v>
      </c>
      <c r="AH41" s="2663">
        <f t="shared" si="48"/>
        <v>97342872</v>
      </c>
      <c r="AI41" s="2612">
        <f t="shared" si="49"/>
        <v>97342872</v>
      </c>
      <c r="AJ41" s="2664">
        <f t="shared" si="50"/>
        <v>97342872</v>
      </c>
      <c r="AK41" s="2489"/>
      <c r="AL41" s="2600">
        <v>0</v>
      </c>
      <c r="AM41" s="2601">
        <v>150000000</v>
      </c>
      <c r="AN41" s="2489"/>
      <c r="AO41" s="2440"/>
      <c r="AP41" s="2440"/>
      <c r="AQ41" s="2440"/>
      <c r="AR41" s="2440"/>
      <c r="AS41" s="2440"/>
      <c r="AT41" s="2440"/>
      <c r="AU41" s="2440"/>
      <c r="AV41" s="2440"/>
      <c r="AW41" s="2440"/>
      <c r="AX41" s="2440"/>
      <c r="AY41" s="2440"/>
      <c r="AZ41" s="2440"/>
      <c r="BA41" s="2614"/>
      <c r="BF41" s="2614"/>
      <c r="BG41" s="2614"/>
      <c r="BH41" s="2614"/>
      <c r="BI41" s="2614"/>
      <c r="BJ41" s="2614"/>
      <c r="BK41" s="2614"/>
      <c r="BL41" s="2614"/>
    </row>
    <row r="42" spans="1:70" s="2614" customFormat="1" ht="24.95" customHeight="1">
      <c r="A42" s="2678">
        <f>+IF(OCTUBRE!A42=0,"",OCTUBRE!A42)</f>
        <v>1130106</v>
      </c>
      <c r="B42" s="2713" t="str">
        <f>+IF(OCTUBRE!B42=0,"",OCTUBRE!B42)</f>
        <v>SALUD PUBLICA - PLAN DE INTERVENCIONES COLECTIVAS</v>
      </c>
      <c r="C42" s="2680">
        <f t="shared" ref="C42:N42" si="51">SUM(C43:C44)</f>
        <v>0</v>
      </c>
      <c r="D42" s="2714">
        <f t="shared" si="51"/>
        <v>0</v>
      </c>
      <c r="E42" s="2714">
        <f t="shared" si="51"/>
        <v>0</v>
      </c>
      <c r="F42" s="2714">
        <f t="shared" si="51"/>
        <v>0</v>
      </c>
      <c r="G42" s="2714">
        <f t="shared" si="51"/>
        <v>0</v>
      </c>
      <c r="H42" s="2714">
        <f t="shared" si="51"/>
        <v>0</v>
      </c>
      <c r="I42" s="2714">
        <f t="shared" si="51"/>
        <v>0</v>
      </c>
      <c r="J42" s="2714">
        <f t="shared" si="51"/>
        <v>0</v>
      </c>
      <c r="K42" s="2714">
        <f t="shared" si="51"/>
        <v>0</v>
      </c>
      <c r="L42" s="2714">
        <f t="shared" si="51"/>
        <v>0</v>
      </c>
      <c r="M42" s="2714">
        <f t="shared" si="51"/>
        <v>0</v>
      </c>
      <c r="N42" s="2681">
        <f t="shared" si="51"/>
        <v>0</v>
      </c>
      <c r="P42" s="2680">
        <f>SUM(P43:P44)</f>
        <v>0</v>
      </c>
      <c r="Q42" s="2681">
        <f>SUM(Q43:Q44)</f>
        <v>0</v>
      </c>
      <c r="R42" s="2489"/>
      <c r="S42" s="2579" t="str">
        <f>+IF(OCTUBRE!S42=0,"",OCTUBRE!S42)</f>
        <v/>
      </c>
      <c r="T42" s="2580" t="str">
        <f>+IF(OCTUBRE!T42=0,"",OCTUBRE!T42)</f>
        <v/>
      </c>
      <c r="U42" s="2581"/>
      <c r="V42" s="2581"/>
      <c r="W42" s="2581"/>
      <c r="X42" s="2581"/>
      <c r="Y42" s="2581"/>
      <c r="Z42" s="2581"/>
      <c r="AA42" s="2581"/>
      <c r="AB42" s="2581"/>
      <c r="AC42" s="2581"/>
      <c r="AD42" s="2581"/>
      <c r="AE42" s="2581"/>
      <c r="AF42" s="2581"/>
      <c r="AG42" s="2581"/>
      <c r="AH42" s="2581"/>
      <c r="AI42" s="2581"/>
      <c r="AJ42" s="2582"/>
      <c r="AK42" s="2607"/>
      <c r="AL42" s="2769"/>
      <c r="AM42" s="2770"/>
      <c r="AN42" s="2489"/>
      <c r="AO42" s="2440"/>
      <c r="AP42" s="2440"/>
      <c r="AQ42" s="2440"/>
      <c r="AR42" s="2440"/>
      <c r="AS42" s="2440"/>
      <c r="AT42" s="2440"/>
      <c r="AU42" s="2440"/>
      <c r="AV42" s="2440"/>
      <c r="AW42" s="2440"/>
      <c r="AX42" s="2440"/>
      <c r="AY42" s="2440"/>
      <c r="AZ42" s="2440"/>
    </row>
    <row r="43" spans="1:70" s="2702" customFormat="1" ht="24.95" customHeight="1">
      <c r="A43" s="2592" t="str">
        <f>+IF(OCTUBRE!A43=0,"",OCTUBRE!A43)</f>
        <v>1130106-1</v>
      </c>
      <c r="B43" s="2725" t="str">
        <f>+CONCATENATE("Vigencia ",INSTRUCCIONES!$F$3)</f>
        <v>Vigencia 2017</v>
      </c>
      <c r="C43" s="2594">
        <f>+ENERO!C43</f>
        <v>0</v>
      </c>
      <c r="D43" s="2595">
        <f>OCTUBRE!D43+NOVIEMBRE!P43</f>
        <v>0</v>
      </c>
      <c r="E43" s="2595">
        <f>OCTUBRE!E43+NOVIEMBRE!Q43</f>
        <v>0</v>
      </c>
      <c r="F43" s="2595">
        <f>SUM(C43:E43)</f>
        <v>0</v>
      </c>
      <c r="G43" s="2595">
        <f>OCTUBRE!I43</f>
        <v>0</v>
      </c>
      <c r="H43" s="2598">
        <v>0</v>
      </c>
      <c r="I43" s="2595">
        <f>SUM(G43:H43)</f>
        <v>0</v>
      </c>
      <c r="J43" s="2595">
        <f>OCTUBRE!L43</f>
        <v>0</v>
      </c>
      <c r="K43" s="2598">
        <v>0</v>
      </c>
      <c r="L43" s="2595">
        <f>SUM(J43:K43)</f>
        <v>0</v>
      </c>
      <c r="M43" s="2595">
        <f>F43-I43</f>
        <v>0</v>
      </c>
      <c r="N43" s="2596">
        <f>F43-L43</f>
        <v>0</v>
      </c>
      <c r="O43" s="2614"/>
      <c r="P43" s="2600">
        <v>0</v>
      </c>
      <c r="Q43" s="2601">
        <v>0</v>
      </c>
      <c r="R43" s="2489"/>
      <c r="S43" s="2651">
        <f>+IF(OCTUBRE!S43=0,"",OCTUBRE!S43)</f>
        <v>1010300</v>
      </c>
      <c r="T43" s="2652" t="str">
        <f>+IF(OCTUBRE!T43=0,"",OCTUBRE!T43)</f>
        <v>Contribuciones Inherentes nómina al Sector Privado</v>
      </c>
      <c r="U43" s="2624">
        <f t="shared" ref="U43:AJ43" si="52">U44+U49+U55</f>
        <v>182861553</v>
      </c>
      <c r="V43" s="2625">
        <f t="shared" si="52"/>
        <v>-62802080</v>
      </c>
      <c r="W43" s="2625">
        <f t="shared" si="52"/>
        <v>97321330</v>
      </c>
      <c r="X43" s="2626">
        <f t="shared" si="52"/>
        <v>217380803</v>
      </c>
      <c r="Y43" s="2627">
        <f t="shared" si="52"/>
        <v>101230997</v>
      </c>
      <c r="Z43" s="2625">
        <f t="shared" si="52"/>
        <v>9228837</v>
      </c>
      <c r="AA43" s="2626">
        <f t="shared" si="52"/>
        <v>110459834</v>
      </c>
      <c r="AB43" s="2627">
        <f t="shared" si="52"/>
        <v>101230997</v>
      </c>
      <c r="AC43" s="2625">
        <f t="shared" si="52"/>
        <v>9228837</v>
      </c>
      <c r="AD43" s="2626">
        <f t="shared" si="52"/>
        <v>110459834</v>
      </c>
      <c r="AE43" s="2627">
        <f t="shared" si="52"/>
        <v>101230997</v>
      </c>
      <c r="AF43" s="2625">
        <f t="shared" si="52"/>
        <v>9228837</v>
      </c>
      <c r="AG43" s="2626">
        <f t="shared" si="52"/>
        <v>110459834</v>
      </c>
      <c r="AH43" s="2627">
        <f t="shared" si="52"/>
        <v>106920969</v>
      </c>
      <c r="AI43" s="2625">
        <f t="shared" si="52"/>
        <v>106920969</v>
      </c>
      <c r="AJ43" s="2628">
        <f t="shared" si="52"/>
        <v>106920969</v>
      </c>
      <c r="AK43" s="2489"/>
      <c r="AL43" s="2627">
        <f>AL44+AL49+AL55</f>
        <v>-22000000</v>
      </c>
      <c r="AM43" s="2628">
        <f>AM44+AM49+AM55</f>
        <v>0</v>
      </c>
      <c r="AN43" s="2489"/>
      <c r="AO43" s="2614"/>
      <c r="AP43" s="2771"/>
      <c r="AQ43" s="2440"/>
      <c r="AR43" s="2440"/>
      <c r="AS43" s="2440"/>
      <c r="AT43" s="2440"/>
      <c r="AU43" s="2440"/>
      <c r="AV43" s="2440"/>
      <c r="AW43" s="2440"/>
      <c r="AX43" s="2440"/>
      <c r="AY43" s="2440"/>
      <c r="AZ43" s="2440"/>
      <c r="BA43" s="2614"/>
      <c r="BF43" s="2614"/>
      <c r="BG43" s="2614"/>
      <c r="BH43" s="2614"/>
      <c r="BI43" s="2614"/>
      <c r="BJ43" s="2614"/>
      <c r="BK43" s="2614"/>
      <c r="BL43" s="2614"/>
      <c r="BM43" s="2614"/>
      <c r="BN43" s="2614"/>
      <c r="BO43" s="2614"/>
      <c r="BP43" s="2614"/>
      <c r="BQ43" s="2614"/>
      <c r="BR43" s="2614"/>
    </row>
    <row r="44" spans="1:70" s="2702" customFormat="1" ht="24.95" customHeight="1">
      <c r="A44" s="2592" t="str">
        <f>+IF(OCTUBRE!A44=0,"",OCTUBRE!A44)</f>
        <v>1130106-2</v>
      </c>
      <c r="B44" s="2725" t="str">
        <f>+IF(OCTUBRE!B44=0,"",OCTUBRE!B44)</f>
        <v>Vigencia Anterior</v>
      </c>
      <c r="C44" s="2594">
        <f>+ENERO!C44</f>
        <v>0</v>
      </c>
      <c r="D44" s="2595">
        <f>OCTUBRE!D44+NOVIEMBRE!P44</f>
        <v>0</v>
      </c>
      <c r="E44" s="2595">
        <f>OCTUBRE!E44+NOVIEMBRE!Q44</f>
        <v>0</v>
      </c>
      <c r="F44" s="2595">
        <f>SUM(C44:E44)</f>
        <v>0</v>
      </c>
      <c r="G44" s="2595">
        <f>OCTUBRE!I44</f>
        <v>0</v>
      </c>
      <c r="H44" s="2598">
        <v>0</v>
      </c>
      <c r="I44" s="2595">
        <f>SUM(G44:H44)</f>
        <v>0</v>
      </c>
      <c r="J44" s="2595">
        <f>OCTUBRE!L44</f>
        <v>0</v>
      </c>
      <c r="K44" s="2598">
        <v>0</v>
      </c>
      <c r="L44" s="2595">
        <f>SUM(J44:K44)</f>
        <v>0</v>
      </c>
      <c r="M44" s="2595">
        <f>F44-I44</f>
        <v>0</v>
      </c>
      <c r="N44" s="2596">
        <f>F44-L44</f>
        <v>0</v>
      </c>
      <c r="O44" s="2614"/>
      <c r="P44" s="2600">
        <v>0</v>
      </c>
      <c r="Q44" s="2601">
        <v>0</v>
      </c>
      <c r="R44" s="2489"/>
      <c r="S44" s="2659">
        <f>+IF(OCTUBRE!S44=0,"",OCTUBRE!S44)</f>
        <v>1010301</v>
      </c>
      <c r="T44" s="2660" t="str">
        <f>+IF(OCTUBRE!T44=0,"",OCTUBRE!T44)</f>
        <v>Contribuciones - SGP - Aportes Patronales - Cuentas Maestras</v>
      </c>
      <c r="U44" s="2661">
        <f t="shared" ref="U44:AJ44" si="53">SUM(U45:U48)</f>
        <v>0</v>
      </c>
      <c r="V44" s="2612">
        <f t="shared" si="53"/>
        <v>14000000</v>
      </c>
      <c r="W44" s="2612">
        <f t="shared" si="53"/>
        <v>64519250</v>
      </c>
      <c r="X44" s="2662">
        <f t="shared" si="53"/>
        <v>78519250</v>
      </c>
      <c r="Y44" s="2663">
        <f t="shared" si="53"/>
        <v>35626114</v>
      </c>
      <c r="Z44" s="2691">
        <f t="shared" si="53"/>
        <v>7747423</v>
      </c>
      <c r="AA44" s="2662">
        <f t="shared" si="53"/>
        <v>43373537</v>
      </c>
      <c r="AB44" s="2663">
        <f t="shared" si="53"/>
        <v>35626114</v>
      </c>
      <c r="AC44" s="2691">
        <f t="shared" si="53"/>
        <v>7747423</v>
      </c>
      <c r="AD44" s="2662">
        <f t="shared" si="53"/>
        <v>43373537</v>
      </c>
      <c r="AE44" s="2663">
        <f t="shared" si="53"/>
        <v>35626114</v>
      </c>
      <c r="AF44" s="2691">
        <f t="shared" si="53"/>
        <v>7747423</v>
      </c>
      <c r="AG44" s="2662">
        <f t="shared" si="53"/>
        <v>43373537</v>
      </c>
      <c r="AH44" s="2663">
        <f t="shared" si="53"/>
        <v>35145713</v>
      </c>
      <c r="AI44" s="2612">
        <f t="shared" si="53"/>
        <v>35145713</v>
      </c>
      <c r="AJ44" s="2664">
        <f t="shared" si="53"/>
        <v>35145713</v>
      </c>
      <c r="AK44" s="2489"/>
      <c r="AL44" s="2692">
        <f>SUM(AL45:AL48)</f>
        <v>0</v>
      </c>
      <c r="AM44" s="2693">
        <f>SUM(AM45:AM48)</f>
        <v>0</v>
      </c>
      <c r="AN44" s="2489"/>
      <c r="AO44" s="2440"/>
      <c r="AP44" s="2440"/>
      <c r="AQ44" s="2440"/>
      <c r="AR44" s="2440"/>
      <c r="AS44" s="2440"/>
      <c r="AT44" s="2440"/>
      <c r="AU44" s="2440"/>
      <c r="AV44" s="2440"/>
      <c r="AW44" s="2440"/>
      <c r="AX44" s="2440"/>
      <c r="AY44" s="2440"/>
      <c r="AZ44" s="2440"/>
      <c r="BA44" s="2614"/>
      <c r="BF44" s="2614"/>
      <c r="BG44" s="2614"/>
      <c r="BH44" s="2614"/>
      <c r="BI44" s="2614"/>
      <c r="BJ44" s="2614"/>
      <c r="BK44" s="2614"/>
      <c r="BL44" s="2614"/>
      <c r="BM44" s="2614"/>
      <c r="BN44" s="2614"/>
      <c r="BO44" s="2614"/>
      <c r="BP44" s="2614"/>
      <c r="BQ44" s="2614"/>
      <c r="BR44" s="2614"/>
    </row>
    <row r="45" spans="1:70" s="2614" customFormat="1" ht="24.95" customHeight="1">
      <c r="A45" s="2678">
        <f>+IF(OCTUBRE!A45=0,"",OCTUBRE!A45)</f>
        <v>1130107</v>
      </c>
      <c r="B45" s="2713" t="str">
        <f>+IF(OCTUBRE!B45=0,"",OCTUBRE!B45)</f>
        <v>MINSALUD-FOSYGA-RECLAMACIONES ECAT</v>
      </c>
      <c r="C45" s="2680">
        <f t="shared" ref="C45:N45" si="54">SUM(C46:C47)</f>
        <v>375197511</v>
      </c>
      <c r="D45" s="2714">
        <f t="shared" si="54"/>
        <v>0</v>
      </c>
      <c r="E45" s="2714">
        <f t="shared" si="54"/>
        <v>79487</v>
      </c>
      <c r="F45" s="2714">
        <f t="shared" si="54"/>
        <v>375276998</v>
      </c>
      <c r="G45" s="2714">
        <f t="shared" si="54"/>
        <v>321472059</v>
      </c>
      <c r="H45" s="2714">
        <f t="shared" si="54"/>
        <v>53470671</v>
      </c>
      <c r="I45" s="2714">
        <f t="shared" si="54"/>
        <v>374942730</v>
      </c>
      <c r="J45" s="2714">
        <f t="shared" si="54"/>
        <v>79487</v>
      </c>
      <c r="K45" s="2714">
        <f t="shared" si="54"/>
        <v>0</v>
      </c>
      <c r="L45" s="2714">
        <f t="shared" si="54"/>
        <v>79487</v>
      </c>
      <c r="M45" s="2714">
        <f t="shared" si="54"/>
        <v>334268</v>
      </c>
      <c r="N45" s="2681">
        <f t="shared" si="54"/>
        <v>375197511</v>
      </c>
      <c r="P45" s="2680">
        <f>SUM(P46:P47)</f>
        <v>0</v>
      </c>
      <c r="Q45" s="2681">
        <f>SUM(Q46:Q47)</f>
        <v>0</v>
      </c>
      <c r="R45" s="2489"/>
      <c r="S45" s="2705" t="str">
        <f>+IF(OCTUBRE!S45=0,"",OCTUBRE!S45)</f>
        <v>1010301-1</v>
      </c>
      <c r="T45" s="2706" t="str">
        <f>+IF(OCTUBRE!T45=0,"",OCTUBRE!T45)</f>
        <v>E.P.S. - Aportes cuentas maestras</v>
      </c>
      <c r="U45" s="2661">
        <f>+ENERO!U45</f>
        <v>0</v>
      </c>
      <c r="V45" s="2612">
        <f>OCTUBRE!V45+NOVIEMBRE!AL45</f>
        <v>14000000</v>
      </c>
      <c r="W45" s="2612">
        <f>OCTUBRE!W45+NOVIEMBRE!AM45</f>
        <v>13633482</v>
      </c>
      <c r="X45" s="2662">
        <f>SUM(U45:W45)</f>
        <v>27633482</v>
      </c>
      <c r="Y45" s="2663">
        <f>OCTUBRE!AA45</f>
        <v>14612372</v>
      </c>
      <c r="Z45" s="2598">
        <v>3148005</v>
      </c>
      <c r="AA45" s="2662">
        <f>SUM(Y45:Z45)</f>
        <v>17760377</v>
      </c>
      <c r="AB45" s="2663">
        <f>OCTUBRE!AD45</f>
        <v>14612372</v>
      </c>
      <c r="AC45" s="2598">
        <v>3148005</v>
      </c>
      <c r="AD45" s="2662">
        <f>SUM(AB45:AC45)</f>
        <v>17760377</v>
      </c>
      <c r="AE45" s="2663">
        <f>OCTUBRE!AG45</f>
        <v>14612372</v>
      </c>
      <c r="AF45" s="2598">
        <v>3148005</v>
      </c>
      <c r="AG45" s="2662">
        <f>SUM(AE45:AF45)</f>
        <v>17760377</v>
      </c>
      <c r="AH45" s="2663">
        <f>X45-AA45</f>
        <v>9873105</v>
      </c>
      <c r="AI45" s="2612">
        <f>X45-AD45</f>
        <v>9873105</v>
      </c>
      <c r="AJ45" s="2664">
        <f>X45-AG45</f>
        <v>9873105</v>
      </c>
      <c r="AK45" s="2489"/>
      <c r="AL45" s="2600">
        <v>0</v>
      </c>
      <c r="AM45" s="2601">
        <v>0</v>
      </c>
      <c r="AN45" s="2489"/>
      <c r="AO45" s="2440"/>
      <c r="AP45" s="2440"/>
      <c r="AQ45" s="2440"/>
      <c r="AR45" s="2440"/>
      <c r="AS45" s="2440"/>
      <c r="AT45" s="2440"/>
      <c r="AU45" s="2440"/>
      <c r="AV45" s="2440"/>
      <c r="AW45" s="2440"/>
      <c r="AX45" s="2440"/>
      <c r="AY45" s="2440"/>
      <c r="AZ45" s="2440"/>
    </row>
    <row r="46" spans="1:70" s="2702" customFormat="1" ht="24.95" customHeight="1">
      <c r="A46" s="2592" t="str">
        <f>+IF(OCTUBRE!A46=0,"",OCTUBRE!A46)</f>
        <v>1130107-1</v>
      </c>
      <c r="B46" s="2725" t="str">
        <f>+CONCATENATE("Vigencia ",INSTRUCCIONES!$F$3)</f>
        <v>Vigencia 2017</v>
      </c>
      <c r="C46" s="2594">
        <f>+ENERO!C46</f>
        <v>375197511</v>
      </c>
      <c r="D46" s="2595">
        <f>OCTUBRE!D46+NOVIEMBRE!P46</f>
        <v>0</v>
      </c>
      <c r="E46" s="2595">
        <f>OCTUBRE!E46+NOVIEMBRE!Q46</f>
        <v>0</v>
      </c>
      <c r="F46" s="2595">
        <f>SUM(C46:E46)</f>
        <v>375197511</v>
      </c>
      <c r="G46" s="2595">
        <f>OCTUBRE!I46</f>
        <v>321392572</v>
      </c>
      <c r="H46" s="2598">
        <v>53470671</v>
      </c>
      <c r="I46" s="2595">
        <f>SUM(G46:H46)</f>
        <v>374863243</v>
      </c>
      <c r="J46" s="2595">
        <f>OCTUBRE!L46</f>
        <v>0</v>
      </c>
      <c r="K46" s="2598">
        <v>0</v>
      </c>
      <c r="L46" s="2595">
        <f>SUM(J46:K46)</f>
        <v>0</v>
      </c>
      <c r="M46" s="2595">
        <f>F46-I46</f>
        <v>334268</v>
      </c>
      <c r="N46" s="2596">
        <f>F46-L46</f>
        <v>375197511</v>
      </c>
      <c r="O46" s="2614"/>
      <c r="P46" s="2600">
        <v>0</v>
      </c>
      <c r="Q46" s="2601">
        <v>0</v>
      </c>
      <c r="R46" s="2489"/>
      <c r="S46" s="2705" t="str">
        <f>+IF(OCTUBRE!S46=0,"",OCTUBRE!S46)</f>
        <v>1010301-2</v>
      </c>
      <c r="T46" s="2706" t="str">
        <f>+IF(OCTUBRE!T46=0,"",OCTUBRE!T46)</f>
        <v>Fondos pensionales - Aportes cuentas maestras</v>
      </c>
      <c r="U46" s="2661">
        <f>+ENERO!U46</f>
        <v>0</v>
      </c>
      <c r="V46" s="2612">
        <f>OCTUBRE!V46+NOVIEMBRE!AL46</f>
        <v>0</v>
      </c>
      <c r="W46" s="2612">
        <f>OCTUBRE!W46+NOVIEMBRE!AM46</f>
        <v>38239500</v>
      </c>
      <c r="X46" s="2662">
        <f>SUM(U46:W46)</f>
        <v>38239500</v>
      </c>
      <c r="Y46" s="2663">
        <f>OCTUBRE!AA46</f>
        <v>20151861</v>
      </c>
      <c r="Z46" s="2598">
        <v>4444242</v>
      </c>
      <c r="AA46" s="2662">
        <f>SUM(Y46:Z46)</f>
        <v>24596103</v>
      </c>
      <c r="AB46" s="2663">
        <f>OCTUBRE!AD46</f>
        <v>20151861</v>
      </c>
      <c r="AC46" s="2598">
        <v>4444242</v>
      </c>
      <c r="AD46" s="2662">
        <f>SUM(AB46:AC46)</f>
        <v>24596103</v>
      </c>
      <c r="AE46" s="2663">
        <f>OCTUBRE!AG46</f>
        <v>20151861</v>
      </c>
      <c r="AF46" s="2598">
        <v>4444242</v>
      </c>
      <c r="AG46" s="2662">
        <f>SUM(AE46:AF46)</f>
        <v>24596103</v>
      </c>
      <c r="AH46" s="2663">
        <f>X46-AA46</f>
        <v>13643397</v>
      </c>
      <c r="AI46" s="2612">
        <f>X46-AD46</f>
        <v>13643397</v>
      </c>
      <c r="AJ46" s="2664">
        <f>X46-AG46</f>
        <v>13643397</v>
      </c>
      <c r="AK46" s="2489"/>
      <c r="AL46" s="2600">
        <v>0</v>
      </c>
      <c r="AM46" s="2601">
        <v>0</v>
      </c>
      <c r="AN46" s="2489"/>
      <c r="AO46" s="2772"/>
      <c r="AP46" s="2771"/>
      <c r="AQ46" s="2440"/>
      <c r="AR46" s="2440"/>
      <c r="AS46" s="2440"/>
      <c r="AT46" s="2440"/>
      <c r="AU46" s="2440"/>
      <c r="AV46" s="2440"/>
      <c r="AW46" s="2440"/>
      <c r="AX46" s="2440"/>
      <c r="AY46" s="2440"/>
      <c r="AZ46" s="2440"/>
      <c r="BA46" s="2614"/>
      <c r="BF46" s="2614"/>
      <c r="BG46" s="2614"/>
      <c r="BH46" s="2614"/>
      <c r="BI46" s="2614"/>
      <c r="BJ46" s="2614"/>
      <c r="BK46" s="2614"/>
      <c r="BL46" s="2614"/>
    </row>
    <row r="47" spans="1:70" s="2702" customFormat="1" ht="24.95" customHeight="1">
      <c r="A47" s="2592" t="str">
        <f>+IF(OCTUBRE!A47=0,"",OCTUBRE!A47)</f>
        <v>1130107-2</v>
      </c>
      <c r="B47" s="2725" t="str">
        <f>+IF(OCTUBRE!B47=0,"",OCTUBRE!B47)</f>
        <v>Vigencia Anterior</v>
      </c>
      <c r="C47" s="2594">
        <f>+ENERO!C47</f>
        <v>0</v>
      </c>
      <c r="D47" s="2595">
        <f>OCTUBRE!D47+NOVIEMBRE!P47</f>
        <v>0</v>
      </c>
      <c r="E47" s="2595">
        <f>OCTUBRE!E47+NOVIEMBRE!Q47</f>
        <v>79487</v>
      </c>
      <c r="F47" s="2595">
        <f>SUM(C47:E47)</f>
        <v>79487</v>
      </c>
      <c r="G47" s="2595">
        <f>OCTUBRE!I47</f>
        <v>79487</v>
      </c>
      <c r="H47" s="2598">
        <v>0</v>
      </c>
      <c r="I47" s="2595">
        <f>SUM(G47:H47)</f>
        <v>79487</v>
      </c>
      <c r="J47" s="2595">
        <f>OCTUBRE!L47</f>
        <v>79487</v>
      </c>
      <c r="K47" s="2598">
        <v>0</v>
      </c>
      <c r="L47" s="2595">
        <f>SUM(J47:K47)</f>
        <v>79487</v>
      </c>
      <c r="M47" s="2595">
        <f>F47-I47</f>
        <v>0</v>
      </c>
      <c r="N47" s="2596">
        <f>F47-L47</f>
        <v>0</v>
      </c>
      <c r="O47" s="2614"/>
      <c r="P47" s="2600">
        <v>0</v>
      </c>
      <c r="Q47" s="2601">
        <v>0</v>
      </c>
      <c r="R47" s="2489"/>
      <c r="S47" s="2705" t="str">
        <f>+IF(OCTUBRE!S47=0,"",OCTUBRE!S47)</f>
        <v>1010301-3</v>
      </c>
      <c r="T47" s="2706" t="str">
        <f>+IF(OCTUBRE!T47=0,"",OCTUBRE!T47)</f>
        <v>Fondos de cesantías - Aportes cuentas maestras</v>
      </c>
      <c r="U47" s="2661">
        <f>+ENERO!U47</f>
        <v>0</v>
      </c>
      <c r="V47" s="2612">
        <f>OCTUBRE!V47+NOVIEMBRE!AL47</f>
        <v>0</v>
      </c>
      <c r="W47" s="2612">
        <f>OCTUBRE!W47+NOVIEMBRE!AM47</f>
        <v>9400000</v>
      </c>
      <c r="X47" s="2662">
        <f>SUM(U47:W47)</f>
        <v>9400000</v>
      </c>
      <c r="Y47" s="2663">
        <f>OCTUBRE!AA47</f>
        <v>0</v>
      </c>
      <c r="Z47" s="2598">
        <v>0</v>
      </c>
      <c r="AA47" s="2662">
        <f>SUM(Y47:Z47)</f>
        <v>0</v>
      </c>
      <c r="AB47" s="2663">
        <f>OCTUBRE!AD47</f>
        <v>0</v>
      </c>
      <c r="AC47" s="2598">
        <v>0</v>
      </c>
      <c r="AD47" s="2662">
        <f>SUM(AB47:AC47)</f>
        <v>0</v>
      </c>
      <c r="AE47" s="2663">
        <f>OCTUBRE!AG47</f>
        <v>0</v>
      </c>
      <c r="AF47" s="2598">
        <v>0</v>
      </c>
      <c r="AG47" s="2662">
        <f>SUM(AE47:AF47)</f>
        <v>0</v>
      </c>
      <c r="AH47" s="2663">
        <f>X47-AA47</f>
        <v>9400000</v>
      </c>
      <c r="AI47" s="2612">
        <f>X47-AD47</f>
        <v>9400000</v>
      </c>
      <c r="AJ47" s="2664">
        <f>X47-AG47</f>
        <v>9400000</v>
      </c>
      <c r="AK47" s="2489"/>
      <c r="AL47" s="2600">
        <v>0</v>
      </c>
      <c r="AM47" s="2601">
        <v>0</v>
      </c>
      <c r="AN47" s="2489"/>
      <c r="AO47" s="2440"/>
      <c r="AP47" s="2440"/>
      <c r="AQ47" s="2440"/>
      <c r="AR47" s="2440"/>
      <c r="AS47" s="2440"/>
      <c r="AT47" s="2440"/>
      <c r="AU47" s="2440"/>
      <c r="AV47" s="2440"/>
      <c r="AW47" s="2440"/>
      <c r="AX47" s="2440"/>
      <c r="AY47" s="2440"/>
      <c r="AZ47" s="2440"/>
      <c r="BA47" s="2614"/>
      <c r="BF47" s="2614"/>
      <c r="BG47" s="2614"/>
      <c r="BH47" s="2614"/>
      <c r="BI47" s="2614"/>
      <c r="BJ47" s="2614"/>
      <c r="BK47" s="2614"/>
      <c r="BL47" s="2614"/>
      <c r="BM47" s="2614"/>
      <c r="BN47" s="2614"/>
      <c r="BO47" s="2614"/>
      <c r="BP47" s="2614"/>
      <c r="BQ47" s="2614"/>
      <c r="BR47" s="2614"/>
    </row>
    <row r="48" spans="1:70" s="2614" customFormat="1" ht="24.95" customHeight="1">
      <c r="A48" s="2678">
        <f>+IF(OCTUBRE!A48=0,"",OCTUBRE!A48)</f>
        <v>1130108</v>
      </c>
      <c r="B48" s="2713" t="str">
        <f>+IF(OCTUBRE!B48=0,"",OCTUBRE!B48)</f>
        <v>MINSALUD-FOSYGA -TRAUMA MAYOR Y DESPLAZADOS</v>
      </c>
      <c r="C48" s="2680">
        <f t="shared" ref="C48:N48" si="55">SUM(C49:C50)</f>
        <v>0</v>
      </c>
      <c r="D48" s="2714">
        <f t="shared" si="55"/>
        <v>0</v>
      </c>
      <c r="E48" s="2714">
        <f t="shared" si="55"/>
        <v>0</v>
      </c>
      <c r="F48" s="2714">
        <f t="shared" si="55"/>
        <v>0</v>
      </c>
      <c r="G48" s="2714">
        <f t="shared" si="55"/>
        <v>0</v>
      </c>
      <c r="H48" s="2714">
        <f t="shared" si="55"/>
        <v>0</v>
      </c>
      <c r="I48" s="2714">
        <f t="shared" si="55"/>
        <v>0</v>
      </c>
      <c r="J48" s="2714">
        <f t="shared" si="55"/>
        <v>0</v>
      </c>
      <c r="K48" s="2714">
        <f t="shared" si="55"/>
        <v>0</v>
      </c>
      <c r="L48" s="2714">
        <f t="shared" si="55"/>
        <v>0</v>
      </c>
      <c r="M48" s="2714">
        <f t="shared" si="55"/>
        <v>0</v>
      </c>
      <c r="N48" s="2681">
        <f t="shared" si="55"/>
        <v>0</v>
      </c>
      <c r="P48" s="2680">
        <f>SUM(P49:P50)</f>
        <v>0</v>
      </c>
      <c r="Q48" s="2681">
        <f>SUM(Q49:Q50)</f>
        <v>0</v>
      </c>
      <c r="R48" s="2489"/>
      <c r="S48" s="2705" t="str">
        <f>+IF(OCTUBRE!S48=0,"",OCTUBRE!S48)</f>
        <v>1010301-4</v>
      </c>
      <c r="T48" s="2706" t="str">
        <f>+IF(OCTUBRE!T48=0,"",OCTUBRE!T48)</f>
        <v>Riesgos laborales - Aportes cuentas maestras</v>
      </c>
      <c r="U48" s="2661">
        <f>+ENERO!U48</f>
        <v>0</v>
      </c>
      <c r="V48" s="2612">
        <f>OCTUBRE!V48+NOVIEMBRE!AL48</f>
        <v>0</v>
      </c>
      <c r="W48" s="2612">
        <f>OCTUBRE!W48+NOVIEMBRE!AM48</f>
        <v>3246268</v>
      </c>
      <c r="X48" s="2662">
        <f>SUM(U48:W48)</f>
        <v>3246268</v>
      </c>
      <c r="Y48" s="2663">
        <f>OCTUBRE!AA48</f>
        <v>861881</v>
      </c>
      <c r="Z48" s="2598">
        <v>155176</v>
      </c>
      <c r="AA48" s="2662">
        <f>SUM(Y48:Z48)</f>
        <v>1017057</v>
      </c>
      <c r="AB48" s="2663">
        <f>OCTUBRE!AD48</f>
        <v>861881</v>
      </c>
      <c r="AC48" s="2598">
        <v>155176</v>
      </c>
      <c r="AD48" s="2662">
        <f>SUM(AB48:AC48)</f>
        <v>1017057</v>
      </c>
      <c r="AE48" s="2663">
        <f>OCTUBRE!AG48</f>
        <v>861881</v>
      </c>
      <c r="AF48" s="2598">
        <v>155176</v>
      </c>
      <c r="AG48" s="2662">
        <f>SUM(AE48:AF48)</f>
        <v>1017057</v>
      </c>
      <c r="AH48" s="2663">
        <f>X48-AA48</f>
        <v>2229211</v>
      </c>
      <c r="AI48" s="2612">
        <f>X48-AD48</f>
        <v>2229211</v>
      </c>
      <c r="AJ48" s="2664">
        <f>X48-AG48</f>
        <v>2229211</v>
      </c>
      <c r="AK48" s="2489"/>
      <c r="AL48" s="2600">
        <v>0</v>
      </c>
      <c r="AM48" s="2601">
        <v>0</v>
      </c>
      <c r="AN48" s="2489"/>
      <c r="AO48" s="2440"/>
      <c r="AP48" s="2440"/>
      <c r="AQ48" s="2440"/>
      <c r="AR48" s="2440"/>
      <c r="AS48" s="2440"/>
      <c r="AT48" s="2440"/>
      <c r="AU48" s="2440"/>
      <c r="AV48" s="2440"/>
      <c r="AW48" s="2440"/>
      <c r="AX48" s="2440"/>
      <c r="AY48" s="2440"/>
      <c r="AZ48" s="2440"/>
    </row>
    <row r="49" spans="1:70" s="2702" customFormat="1" ht="24.95" customHeight="1">
      <c r="A49" s="2592" t="str">
        <f>+IF(OCTUBRE!A49=0,"",OCTUBRE!A49)</f>
        <v>1130108-1</v>
      </c>
      <c r="B49" s="2725" t="str">
        <f>+CONCATENATE("Vigencia ",INSTRUCCIONES!$F$3)</f>
        <v>Vigencia 2017</v>
      </c>
      <c r="C49" s="2594">
        <f>+ENERO!C49</f>
        <v>0</v>
      </c>
      <c r="D49" s="2595">
        <f>OCTUBRE!D49+NOVIEMBRE!P49</f>
        <v>0</v>
      </c>
      <c r="E49" s="2595">
        <f>OCTUBRE!E49+NOVIEMBRE!Q49</f>
        <v>0</v>
      </c>
      <c r="F49" s="2595">
        <f>SUM(C49:E49)</f>
        <v>0</v>
      </c>
      <c r="G49" s="2595">
        <f>OCTUBRE!I49</f>
        <v>0</v>
      </c>
      <c r="H49" s="2598">
        <v>0</v>
      </c>
      <c r="I49" s="2595">
        <f>SUM(G49:H49)</f>
        <v>0</v>
      </c>
      <c r="J49" s="2595">
        <f>OCTUBRE!L49</f>
        <v>0</v>
      </c>
      <c r="K49" s="2598">
        <v>0</v>
      </c>
      <c r="L49" s="2595">
        <f>SUM(J49:K49)</f>
        <v>0</v>
      </c>
      <c r="M49" s="2595">
        <f>F49-I49</f>
        <v>0</v>
      </c>
      <c r="N49" s="2596">
        <f>F49-L49</f>
        <v>0</v>
      </c>
      <c r="O49" s="2614"/>
      <c r="P49" s="2600">
        <v>0</v>
      </c>
      <c r="Q49" s="2601">
        <v>0</v>
      </c>
      <c r="R49" s="2489"/>
      <c r="S49" s="2659">
        <f>+IF(OCTUBRE!S49=0,"",OCTUBRE!S49)</f>
        <v>1010302</v>
      </c>
      <c r="T49" s="2660" t="str">
        <f>+IF(OCTUBRE!T49=0,"",OCTUBRE!T49)</f>
        <v>Contribuciones - Otros</v>
      </c>
      <c r="U49" s="2661">
        <f t="shared" ref="U49:AJ49" si="56">SUM(U50:U54)</f>
        <v>182861553</v>
      </c>
      <c r="V49" s="2612">
        <f t="shared" si="56"/>
        <v>-52000000</v>
      </c>
      <c r="W49" s="2612">
        <f t="shared" si="56"/>
        <v>8000000</v>
      </c>
      <c r="X49" s="2662">
        <f t="shared" si="56"/>
        <v>138861553</v>
      </c>
      <c r="Y49" s="2663">
        <f t="shared" si="56"/>
        <v>65604883</v>
      </c>
      <c r="Z49" s="2691">
        <f t="shared" si="56"/>
        <v>1481414</v>
      </c>
      <c r="AA49" s="2662">
        <f t="shared" si="56"/>
        <v>67086297</v>
      </c>
      <c r="AB49" s="2663">
        <f t="shared" si="56"/>
        <v>65604883</v>
      </c>
      <c r="AC49" s="2691">
        <f t="shared" si="56"/>
        <v>1481414</v>
      </c>
      <c r="AD49" s="2662">
        <f t="shared" si="56"/>
        <v>67086297</v>
      </c>
      <c r="AE49" s="2663">
        <f t="shared" si="56"/>
        <v>65604883</v>
      </c>
      <c r="AF49" s="2691">
        <f t="shared" si="56"/>
        <v>1481414</v>
      </c>
      <c r="AG49" s="2662">
        <f t="shared" si="56"/>
        <v>67086297</v>
      </c>
      <c r="AH49" s="2663">
        <f t="shared" si="56"/>
        <v>71775256</v>
      </c>
      <c r="AI49" s="2612">
        <f t="shared" si="56"/>
        <v>71775256</v>
      </c>
      <c r="AJ49" s="2664">
        <f t="shared" si="56"/>
        <v>71775256</v>
      </c>
      <c r="AK49" s="2489"/>
      <c r="AL49" s="2692">
        <f>SUM(AL50:AL54)</f>
        <v>-22000000</v>
      </c>
      <c r="AM49" s="2693">
        <f>SUM(AM50:AM54)</f>
        <v>0</v>
      </c>
      <c r="AN49" s="2489"/>
      <c r="AO49" s="2772"/>
      <c r="AP49" s="2771"/>
      <c r="AQ49" s="2440"/>
      <c r="AR49" s="2440"/>
      <c r="AS49" s="2440"/>
      <c r="AT49" s="2440"/>
      <c r="AU49" s="2440"/>
      <c r="AV49" s="2440"/>
      <c r="AW49" s="2440"/>
      <c r="AX49" s="2440"/>
      <c r="AY49" s="2440"/>
      <c r="AZ49" s="2440"/>
      <c r="BA49" s="2614"/>
      <c r="BF49" s="2614"/>
      <c r="BG49" s="2614"/>
      <c r="BH49" s="2614"/>
      <c r="BI49" s="2614"/>
      <c r="BJ49" s="2614"/>
      <c r="BK49" s="2614"/>
      <c r="BL49" s="2614"/>
      <c r="BM49" s="2614"/>
      <c r="BN49" s="2614"/>
      <c r="BO49" s="2614"/>
      <c r="BP49" s="2614"/>
      <c r="BQ49" s="2614"/>
      <c r="BR49" s="2614"/>
    </row>
    <row r="50" spans="1:70" s="2702" customFormat="1" ht="24.95" customHeight="1">
      <c r="A50" s="2592" t="str">
        <f>+IF(OCTUBRE!A50=0,"",OCTUBRE!A50)</f>
        <v>1130108-2</v>
      </c>
      <c r="B50" s="2725" t="str">
        <f>+IF(OCTUBRE!B50=0,"",OCTUBRE!B50)</f>
        <v>Vigencia Anterior</v>
      </c>
      <c r="C50" s="2594">
        <f>+ENERO!C50</f>
        <v>0</v>
      </c>
      <c r="D50" s="2595">
        <f>OCTUBRE!D50+NOVIEMBRE!P50</f>
        <v>0</v>
      </c>
      <c r="E50" s="2595">
        <f>OCTUBRE!E50+NOVIEMBRE!Q50</f>
        <v>0</v>
      </c>
      <c r="F50" s="2595">
        <f>SUM(C50:E50)</f>
        <v>0</v>
      </c>
      <c r="G50" s="2595">
        <f>OCTUBRE!I50</f>
        <v>0</v>
      </c>
      <c r="H50" s="2598">
        <v>0</v>
      </c>
      <c r="I50" s="2595">
        <f>SUM(G50:H50)</f>
        <v>0</v>
      </c>
      <c r="J50" s="2595">
        <f>OCTUBRE!L50</f>
        <v>0</v>
      </c>
      <c r="K50" s="2598">
        <v>0</v>
      </c>
      <c r="L50" s="2595">
        <f>SUM(J50:K50)</f>
        <v>0</v>
      </c>
      <c r="M50" s="2595">
        <f>F50-I50</f>
        <v>0</v>
      </c>
      <c r="N50" s="2596">
        <f>F50-L50</f>
        <v>0</v>
      </c>
      <c r="O50" s="2614"/>
      <c r="P50" s="2600">
        <v>0</v>
      </c>
      <c r="Q50" s="2601">
        <v>0</v>
      </c>
      <c r="R50" s="2489"/>
      <c r="S50" s="2705" t="str">
        <f>+IF(OCTUBRE!S50=0,"",OCTUBRE!S50)</f>
        <v>1010302-1</v>
      </c>
      <c r="T50" s="2706" t="str">
        <f>+IF(OCTUBRE!T50=0,"",OCTUBRE!T50)</f>
        <v>Aportes a E.P.S.- Con sit. Fondos</v>
      </c>
      <c r="U50" s="2661">
        <f>+ENERO!U50</f>
        <v>72876516</v>
      </c>
      <c r="V50" s="2612">
        <f>OCTUBRE!V50+NOVIEMBRE!AL50</f>
        <v>-38500000</v>
      </c>
      <c r="W50" s="2612">
        <f>OCTUBRE!W50+NOVIEMBRE!AM50</f>
        <v>0</v>
      </c>
      <c r="X50" s="2662">
        <f t="shared" ref="X50:X55" si="57">SUM(U50:W50)</f>
        <v>34376516</v>
      </c>
      <c r="Y50" s="2663">
        <f>OCTUBRE!AA50</f>
        <v>19832896</v>
      </c>
      <c r="Z50" s="2598">
        <v>0</v>
      </c>
      <c r="AA50" s="2662">
        <f t="shared" ref="AA50:AA55" si="58">SUM(Y50:Z50)</f>
        <v>19832896</v>
      </c>
      <c r="AB50" s="2663">
        <f>OCTUBRE!AD50</f>
        <v>19832896</v>
      </c>
      <c r="AC50" s="2598">
        <v>0</v>
      </c>
      <c r="AD50" s="2662">
        <f t="shared" ref="AD50:AD55" si="59">SUM(AB50:AC50)</f>
        <v>19832896</v>
      </c>
      <c r="AE50" s="2663">
        <f>OCTUBRE!AG50</f>
        <v>19832896</v>
      </c>
      <c r="AF50" s="2598">
        <v>0</v>
      </c>
      <c r="AG50" s="2662">
        <f t="shared" ref="AG50:AG55" si="60">SUM(AE50:AF50)</f>
        <v>19832896</v>
      </c>
      <c r="AH50" s="2663">
        <f t="shared" ref="AH50:AH55" si="61">X50-AA50</f>
        <v>14543620</v>
      </c>
      <c r="AI50" s="2612">
        <f t="shared" ref="AI50:AI55" si="62">X50-AD50</f>
        <v>14543620</v>
      </c>
      <c r="AJ50" s="2664">
        <f t="shared" ref="AJ50:AJ55" si="63">X50-AG50</f>
        <v>14543620</v>
      </c>
      <c r="AK50" s="2489"/>
      <c r="AL50" s="2600">
        <v>-15000000</v>
      </c>
      <c r="AM50" s="2601">
        <v>0</v>
      </c>
      <c r="AN50" s="2489"/>
      <c r="AO50" s="2440"/>
      <c r="AP50" s="2440"/>
      <c r="AQ50" s="2440"/>
      <c r="AR50" s="2440"/>
      <c r="AS50" s="2440"/>
      <c r="AT50" s="2440"/>
      <c r="AU50" s="2440"/>
      <c r="AV50" s="2440"/>
      <c r="AW50" s="2440"/>
      <c r="AX50" s="2440"/>
      <c r="AY50" s="2440"/>
      <c r="AZ50" s="2440"/>
      <c r="BA50" s="2614"/>
      <c r="BF50" s="2614"/>
      <c r="BG50" s="2614"/>
      <c r="BH50" s="2614"/>
      <c r="BI50" s="2614"/>
      <c r="BJ50" s="2614"/>
      <c r="BK50" s="2614"/>
      <c r="BL50" s="2614"/>
      <c r="BM50" s="2614"/>
      <c r="BN50" s="2614"/>
      <c r="BO50" s="2614"/>
      <c r="BP50" s="2614"/>
      <c r="BQ50" s="2614"/>
      <c r="BR50" s="2614"/>
    </row>
    <row r="51" spans="1:70" s="2614" customFormat="1" ht="24.95" customHeight="1">
      <c r="A51" s="2678">
        <f>+IF(OCTUBRE!A51=0,"",OCTUBRE!A51)</f>
        <v>1130109</v>
      </c>
      <c r="B51" s="2713" t="str">
        <f>+IF(OCTUBRE!B51=0,"",OCTUBRE!B51)</f>
        <v>EPS - PLANES COMPLEMENTARIOS</v>
      </c>
      <c r="C51" s="2680">
        <f t="shared" ref="C51:N51" si="64">SUM(C52:C53)</f>
        <v>0</v>
      </c>
      <c r="D51" s="2714">
        <f t="shared" si="64"/>
        <v>0</v>
      </c>
      <c r="E51" s="2714">
        <f t="shared" si="64"/>
        <v>0</v>
      </c>
      <c r="F51" s="2714">
        <f t="shared" si="64"/>
        <v>0</v>
      </c>
      <c r="G51" s="2714">
        <f t="shared" si="64"/>
        <v>0</v>
      </c>
      <c r="H51" s="2714">
        <f t="shared" si="64"/>
        <v>0</v>
      </c>
      <c r="I51" s="2714">
        <f t="shared" si="64"/>
        <v>0</v>
      </c>
      <c r="J51" s="2714">
        <f t="shared" si="64"/>
        <v>0</v>
      </c>
      <c r="K51" s="2714">
        <f t="shared" si="64"/>
        <v>0</v>
      </c>
      <c r="L51" s="2714">
        <f t="shared" si="64"/>
        <v>0</v>
      </c>
      <c r="M51" s="2714">
        <f t="shared" si="64"/>
        <v>0</v>
      </c>
      <c r="N51" s="2681">
        <f t="shared" si="64"/>
        <v>0</v>
      </c>
      <c r="P51" s="2680">
        <f>SUM(P52:P53)</f>
        <v>0</v>
      </c>
      <c r="Q51" s="2681">
        <f>SUM(Q52:Q53)</f>
        <v>0</v>
      </c>
      <c r="R51" s="2489"/>
      <c r="S51" s="2705" t="str">
        <f>+IF(OCTUBRE!S51=0,"",OCTUBRE!S51)</f>
        <v>1010302-2</v>
      </c>
      <c r="T51" s="2706" t="str">
        <f>+IF(OCTUBRE!T51=0,"",OCTUBRE!T51)</f>
        <v>Aportes Fondos Pensionales - Con Sit. Fondos</v>
      </c>
      <c r="U51" s="2661">
        <f>+ENERO!U51</f>
        <v>75101971</v>
      </c>
      <c r="V51" s="2612">
        <f>OCTUBRE!V51+NOVIEMBRE!AL51</f>
        <v>-10000000</v>
      </c>
      <c r="W51" s="2612">
        <f>OCTUBRE!W51+NOVIEMBRE!AM51</f>
        <v>0</v>
      </c>
      <c r="X51" s="2662">
        <f t="shared" si="57"/>
        <v>65101971</v>
      </c>
      <c r="Y51" s="2663">
        <f>OCTUBRE!AA51</f>
        <v>27539061</v>
      </c>
      <c r="Z51" s="2598">
        <v>0</v>
      </c>
      <c r="AA51" s="2662">
        <f t="shared" si="58"/>
        <v>27539061</v>
      </c>
      <c r="AB51" s="2663">
        <f>OCTUBRE!AD51</f>
        <v>27539061</v>
      </c>
      <c r="AC51" s="2598">
        <v>0</v>
      </c>
      <c r="AD51" s="2662">
        <f t="shared" si="59"/>
        <v>27539061</v>
      </c>
      <c r="AE51" s="2663">
        <f>OCTUBRE!AG51</f>
        <v>27539061</v>
      </c>
      <c r="AF51" s="2598">
        <v>0</v>
      </c>
      <c r="AG51" s="2662">
        <f t="shared" si="60"/>
        <v>27539061</v>
      </c>
      <c r="AH51" s="2663">
        <f t="shared" si="61"/>
        <v>37562910</v>
      </c>
      <c r="AI51" s="2612">
        <f t="shared" si="62"/>
        <v>37562910</v>
      </c>
      <c r="AJ51" s="2664">
        <f t="shared" si="63"/>
        <v>37562910</v>
      </c>
      <c r="AK51" s="2489"/>
      <c r="AL51" s="2600">
        <v>0</v>
      </c>
      <c r="AM51" s="2601">
        <v>0</v>
      </c>
      <c r="AN51" s="2489"/>
      <c r="AO51" s="2440"/>
      <c r="AP51" s="2440"/>
      <c r="AQ51" s="2440"/>
      <c r="AR51" s="2440"/>
      <c r="AS51" s="2440"/>
      <c r="AT51" s="2440"/>
      <c r="AU51" s="2440"/>
      <c r="AV51" s="2440"/>
      <c r="AW51" s="2440"/>
      <c r="AX51" s="2440"/>
      <c r="AY51" s="2440"/>
      <c r="AZ51" s="2440"/>
    </row>
    <row r="52" spans="1:70" s="2702" customFormat="1" ht="24.95" customHeight="1">
      <c r="A52" s="2592" t="str">
        <f>+IF(OCTUBRE!A52=0,"",OCTUBRE!A52)</f>
        <v>1130109-1</v>
      </c>
      <c r="B52" s="2725" t="str">
        <f>+CONCATENATE("Vigencia ",INSTRUCCIONES!$F$3)</f>
        <v>Vigencia 2017</v>
      </c>
      <c r="C52" s="2594">
        <f>+ENERO!C52</f>
        <v>0</v>
      </c>
      <c r="D52" s="2595">
        <f>OCTUBRE!D52+NOVIEMBRE!P52</f>
        <v>0</v>
      </c>
      <c r="E52" s="2595">
        <f>OCTUBRE!E52+NOVIEMBRE!Q52</f>
        <v>0</v>
      </c>
      <c r="F52" s="2595">
        <f>SUM(C52:E52)</f>
        <v>0</v>
      </c>
      <c r="G52" s="2595">
        <f>OCTUBRE!I52</f>
        <v>0</v>
      </c>
      <c r="H52" s="2598">
        <v>0</v>
      </c>
      <c r="I52" s="2595">
        <f>SUM(G52:H52)</f>
        <v>0</v>
      </c>
      <c r="J52" s="2595">
        <f>OCTUBRE!L52</f>
        <v>0</v>
      </c>
      <c r="K52" s="2598">
        <v>0</v>
      </c>
      <c r="L52" s="2595">
        <f>SUM(J52:K52)</f>
        <v>0</v>
      </c>
      <c r="M52" s="2595">
        <f>F52-I52</f>
        <v>0</v>
      </c>
      <c r="N52" s="2596">
        <f>F52-L52</f>
        <v>0</v>
      </c>
      <c r="O52" s="2614"/>
      <c r="P52" s="2600">
        <v>0</v>
      </c>
      <c r="Q52" s="2601">
        <v>0</v>
      </c>
      <c r="R52" s="2489"/>
      <c r="S52" s="2705" t="str">
        <f>+IF(OCTUBRE!S52=0,"",OCTUBRE!S52)</f>
        <v>1010302-3</v>
      </c>
      <c r="T52" s="2706" t="str">
        <f>+IF(OCTUBRE!T52=0,"",OCTUBRE!T52)</f>
        <v xml:space="preserve">Aportes a Fondos de Cesantia - Con Sit. de Fondos </v>
      </c>
      <c r="U52" s="2661">
        <f>+ENERO!U52</f>
        <v>12471386</v>
      </c>
      <c r="V52" s="2612">
        <f>OCTUBRE!V52+NOVIEMBRE!AL52</f>
        <v>0</v>
      </c>
      <c r="W52" s="2612">
        <f>OCTUBRE!W52+NOVIEMBRE!AM52</f>
        <v>0</v>
      </c>
      <c r="X52" s="2662">
        <f t="shared" si="57"/>
        <v>12471386</v>
      </c>
      <c r="Y52" s="2663">
        <f>OCTUBRE!AA52</f>
        <v>0</v>
      </c>
      <c r="Z52" s="2598">
        <v>0</v>
      </c>
      <c r="AA52" s="2662">
        <f t="shared" si="58"/>
        <v>0</v>
      </c>
      <c r="AB52" s="2663">
        <f>OCTUBRE!AD52</f>
        <v>0</v>
      </c>
      <c r="AC52" s="2598">
        <v>0</v>
      </c>
      <c r="AD52" s="2662">
        <f t="shared" si="59"/>
        <v>0</v>
      </c>
      <c r="AE52" s="2663">
        <f>OCTUBRE!AG52</f>
        <v>0</v>
      </c>
      <c r="AF52" s="2598">
        <v>0</v>
      </c>
      <c r="AG52" s="2662">
        <f t="shared" si="60"/>
        <v>0</v>
      </c>
      <c r="AH52" s="2663">
        <f t="shared" si="61"/>
        <v>12471386</v>
      </c>
      <c r="AI52" s="2612">
        <f t="shared" si="62"/>
        <v>12471386</v>
      </c>
      <c r="AJ52" s="2664">
        <f t="shared" si="63"/>
        <v>12471386</v>
      </c>
      <c r="AK52" s="2489"/>
      <c r="AL52" s="2600">
        <v>0</v>
      </c>
      <c r="AM52" s="2601">
        <v>0</v>
      </c>
      <c r="AN52" s="2489"/>
      <c r="AO52" s="2773"/>
      <c r="AP52" s="2773"/>
      <c r="AQ52" s="2773"/>
      <c r="AR52" s="2440"/>
      <c r="AS52" s="2772"/>
      <c r="AT52" s="2772"/>
      <c r="AU52" s="2772"/>
      <c r="AV52" s="2772"/>
      <c r="AW52" s="2772"/>
      <c r="AX52" s="2772"/>
      <c r="AY52" s="2772"/>
      <c r="AZ52" s="2772"/>
      <c r="BA52" s="2614"/>
      <c r="BF52" s="2614"/>
      <c r="BG52" s="2614"/>
      <c r="BH52" s="2614"/>
      <c r="BI52" s="2614"/>
      <c r="BJ52" s="2614"/>
      <c r="BK52" s="2614"/>
      <c r="BL52" s="2614"/>
      <c r="BM52" s="2614"/>
      <c r="BN52" s="2614"/>
      <c r="BO52" s="2614"/>
      <c r="BP52" s="2614"/>
      <c r="BQ52" s="2614"/>
      <c r="BR52" s="2614"/>
    </row>
    <row r="53" spans="1:70" s="2702" customFormat="1" ht="24.95" customHeight="1">
      <c r="A53" s="2592" t="str">
        <f>+IF(OCTUBRE!A53=0,"",OCTUBRE!A53)</f>
        <v>1130109-2</v>
      </c>
      <c r="B53" s="2725" t="str">
        <f>+IF(OCTUBRE!B53=0,"",OCTUBRE!B53)</f>
        <v>Vigencia Anterior</v>
      </c>
      <c r="C53" s="2594">
        <f>+ENERO!C53</f>
        <v>0</v>
      </c>
      <c r="D53" s="2595">
        <f>OCTUBRE!D53+NOVIEMBRE!P53</f>
        <v>0</v>
      </c>
      <c r="E53" s="2595">
        <f>OCTUBRE!E53+NOVIEMBRE!Q53</f>
        <v>0</v>
      </c>
      <c r="F53" s="2595">
        <f>SUM(C53:E53)</f>
        <v>0</v>
      </c>
      <c r="G53" s="2595">
        <f>OCTUBRE!I53</f>
        <v>0</v>
      </c>
      <c r="H53" s="2598">
        <v>0</v>
      </c>
      <c r="I53" s="2595">
        <f>SUM(G53:H53)</f>
        <v>0</v>
      </c>
      <c r="J53" s="2595">
        <f>OCTUBRE!L53</f>
        <v>0</v>
      </c>
      <c r="K53" s="2598">
        <v>0</v>
      </c>
      <c r="L53" s="2595">
        <f>SUM(J53:K53)</f>
        <v>0</v>
      </c>
      <c r="M53" s="2595">
        <f>F53-I53</f>
        <v>0</v>
      </c>
      <c r="N53" s="2596">
        <f>F53-L53</f>
        <v>0</v>
      </c>
      <c r="O53" s="2614"/>
      <c r="P53" s="2600">
        <v>0</v>
      </c>
      <c r="Q53" s="2601">
        <v>0</v>
      </c>
      <c r="R53" s="2489"/>
      <c r="S53" s="2705" t="str">
        <f>+IF(OCTUBRE!S53=0,"",OCTUBRE!S53)</f>
        <v>1010302-4</v>
      </c>
      <c r="T53" s="2706" t="str">
        <f>+IF(OCTUBRE!T53=0,"",OCTUBRE!T53)</f>
        <v>Aporte a ARL. - Con Sit. de Fondos</v>
      </c>
      <c r="U53" s="2661">
        <f>+ENERO!U53</f>
        <v>15124020</v>
      </c>
      <c r="V53" s="2612">
        <f>OCTUBRE!V53+NOVIEMBRE!AL53</f>
        <v>-7000000</v>
      </c>
      <c r="W53" s="2612">
        <f>OCTUBRE!W53+NOVIEMBRE!AM53</f>
        <v>0</v>
      </c>
      <c r="X53" s="2662">
        <f t="shared" si="57"/>
        <v>8124020</v>
      </c>
      <c r="Y53" s="2663">
        <f>OCTUBRE!AA53</f>
        <v>1188615</v>
      </c>
      <c r="Z53" s="2598">
        <v>0</v>
      </c>
      <c r="AA53" s="2662">
        <f t="shared" si="58"/>
        <v>1188615</v>
      </c>
      <c r="AB53" s="2663">
        <f>OCTUBRE!AD53</f>
        <v>1188615</v>
      </c>
      <c r="AC53" s="2598">
        <v>0</v>
      </c>
      <c r="AD53" s="2662">
        <f t="shared" si="59"/>
        <v>1188615</v>
      </c>
      <c r="AE53" s="2663">
        <f>OCTUBRE!AG53</f>
        <v>1188615</v>
      </c>
      <c r="AF53" s="2598">
        <v>0</v>
      </c>
      <c r="AG53" s="2662">
        <f t="shared" si="60"/>
        <v>1188615</v>
      </c>
      <c r="AH53" s="2663">
        <f t="shared" si="61"/>
        <v>6935405</v>
      </c>
      <c r="AI53" s="2612">
        <f t="shared" si="62"/>
        <v>6935405</v>
      </c>
      <c r="AJ53" s="2664">
        <f t="shared" si="63"/>
        <v>6935405</v>
      </c>
      <c r="AK53" s="2489"/>
      <c r="AL53" s="2600">
        <v>-7000000</v>
      </c>
      <c r="AM53" s="2601">
        <v>0</v>
      </c>
      <c r="AN53" s="2489"/>
      <c r="AO53" s="2440"/>
      <c r="AP53" s="2440"/>
      <c r="AQ53" s="2440"/>
      <c r="AR53" s="2440"/>
      <c r="AS53" s="2440"/>
      <c r="AT53" s="2440"/>
      <c r="AU53" s="2440"/>
      <c r="AV53" s="2440"/>
      <c r="AW53" s="2440"/>
      <c r="AX53" s="2440"/>
      <c r="AY53" s="2440"/>
      <c r="AZ53" s="2440"/>
      <c r="BA53" s="2614"/>
      <c r="BF53" s="2614"/>
      <c r="BG53" s="2614"/>
      <c r="BH53" s="2614"/>
      <c r="BI53" s="2614"/>
      <c r="BJ53" s="2614"/>
      <c r="BK53" s="2614"/>
      <c r="BL53" s="2614"/>
      <c r="BM53" s="2614"/>
      <c r="BN53" s="2614"/>
      <c r="BO53" s="2614"/>
      <c r="BP53" s="2614"/>
      <c r="BQ53" s="2614"/>
      <c r="BR53" s="2614"/>
    </row>
    <row r="54" spans="1:70" s="2614" customFormat="1" ht="24.95" customHeight="1">
      <c r="A54" s="2678">
        <f>+IF(OCTUBRE!A54=0,"",OCTUBRE!A54)</f>
        <v>1130110</v>
      </c>
      <c r="B54" s="2713" t="str">
        <f>+IF(OCTUBRE!B54=0,"",OCTUBRE!B54)</f>
        <v>EMPRESAS MEDICINA PREPAGADA</v>
      </c>
      <c r="C54" s="2680">
        <f t="shared" ref="C54:N54" si="65">SUM(C55:C56)</f>
        <v>0</v>
      </c>
      <c r="D54" s="2714">
        <f t="shared" si="65"/>
        <v>0</v>
      </c>
      <c r="E54" s="2714">
        <f t="shared" si="65"/>
        <v>0</v>
      </c>
      <c r="F54" s="2714">
        <f t="shared" si="65"/>
        <v>0</v>
      </c>
      <c r="G54" s="2714">
        <f t="shared" si="65"/>
        <v>0</v>
      </c>
      <c r="H54" s="2714">
        <f t="shared" si="65"/>
        <v>0</v>
      </c>
      <c r="I54" s="2714">
        <f t="shared" si="65"/>
        <v>0</v>
      </c>
      <c r="J54" s="2714">
        <f t="shared" si="65"/>
        <v>0</v>
      </c>
      <c r="K54" s="2714">
        <f t="shared" si="65"/>
        <v>0</v>
      </c>
      <c r="L54" s="2714">
        <f t="shared" si="65"/>
        <v>0</v>
      </c>
      <c r="M54" s="2714">
        <f t="shared" si="65"/>
        <v>0</v>
      </c>
      <c r="N54" s="2681">
        <f t="shared" si="65"/>
        <v>0</v>
      </c>
      <c r="P54" s="2680">
        <f>SUM(P55:P56)</f>
        <v>0</v>
      </c>
      <c r="Q54" s="2681">
        <f>SUM(Q55:Q56)</f>
        <v>0</v>
      </c>
      <c r="R54" s="2489"/>
      <c r="S54" s="2705" t="str">
        <f>+IF(OCTUBRE!S54=0,"",OCTUBRE!S54)</f>
        <v>1010302-5</v>
      </c>
      <c r="T54" s="2706" t="str">
        <f>+IF(OCTUBRE!T54=0,"",OCTUBRE!T54)</f>
        <v>Aporte a Caja Compensación Familiar</v>
      </c>
      <c r="U54" s="2661">
        <f>+ENERO!U54</f>
        <v>7287660</v>
      </c>
      <c r="V54" s="2612">
        <f>OCTUBRE!V54+NOVIEMBRE!AL54</f>
        <v>3500000</v>
      </c>
      <c r="W54" s="2612">
        <f>OCTUBRE!W54+NOVIEMBRE!AM54</f>
        <v>8000000</v>
      </c>
      <c r="X54" s="2662">
        <f t="shared" si="57"/>
        <v>18787660</v>
      </c>
      <c r="Y54" s="2663">
        <f>OCTUBRE!AA54</f>
        <v>17044311</v>
      </c>
      <c r="Z54" s="2598">
        <v>1481414</v>
      </c>
      <c r="AA54" s="2662">
        <f t="shared" si="58"/>
        <v>18525725</v>
      </c>
      <c r="AB54" s="2663">
        <f>OCTUBRE!AD54</f>
        <v>17044311</v>
      </c>
      <c r="AC54" s="2598">
        <v>1481414</v>
      </c>
      <c r="AD54" s="2662">
        <f t="shared" si="59"/>
        <v>18525725</v>
      </c>
      <c r="AE54" s="2663">
        <f>OCTUBRE!AG54</f>
        <v>17044311</v>
      </c>
      <c r="AF54" s="2598">
        <v>1481414</v>
      </c>
      <c r="AG54" s="2662">
        <f t="shared" si="60"/>
        <v>18525725</v>
      </c>
      <c r="AH54" s="2663">
        <f t="shared" si="61"/>
        <v>261935</v>
      </c>
      <c r="AI54" s="2612">
        <f t="shared" si="62"/>
        <v>261935</v>
      </c>
      <c r="AJ54" s="2664">
        <f t="shared" si="63"/>
        <v>261935</v>
      </c>
      <c r="AK54" s="2489"/>
      <c r="AL54" s="2600">
        <v>0</v>
      </c>
      <c r="AM54" s="2601">
        <v>0</v>
      </c>
      <c r="AN54" s="2489"/>
      <c r="AO54" s="2440"/>
      <c r="AP54" s="2440"/>
      <c r="AQ54" s="2440"/>
      <c r="AR54" s="2440"/>
      <c r="AS54" s="2440"/>
      <c r="AT54" s="2440"/>
      <c r="AU54" s="2440"/>
      <c r="AV54" s="2440"/>
      <c r="AW54" s="2440"/>
      <c r="AX54" s="2440"/>
      <c r="AY54" s="2440"/>
      <c r="AZ54" s="2440"/>
    </row>
    <row r="55" spans="1:70" s="2702" customFormat="1" ht="24.95" customHeight="1">
      <c r="A55" s="2592" t="str">
        <f>+IF(OCTUBRE!A55=0,"",OCTUBRE!A55)</f>
        <v>1130110-1</v>
      </c>
      <c r="B55" s="2725" t="str">
        <f>+CONCATENATE("Vigencia ",INSTRUCCIONES!$F$3)</f>
        <v>Vigencia 2017</v>
      </c>
      <c r="C55" s="2594">
        <f>+ENERO!C55</f>
        <v>0</v>
      </c>
      <c r="D55" s="2595">
        <f>OCTUBRE!D55+NOVIEMBRE!P55</f>
        <v>0</v>
      </c>
      <c r="E55" s="2595">
        <f>OCTUBRE!E55+NOVIEMBRE!Q55</f>
        <v>0</v>
      </c>
      <c r="F55" s="2595">
        <f>SUM(C55:E55)</f>
        <v>0</v>
      </c>
      <c r="G55" s="2595">
        <f>OCTUBRE!I55</f>
        <v>0</v>
      </c>
      <c r="H55" s="2598">
        <v>0</v>
      </c>
      <c r="I55" s="2595">
        <f>SUM(G55:H55)</f>
        <v>0</v>
      </c>
      <c r="J55" s="2595">
        <f>OCTUBRE!L55</f>
        <v>0</v>
      </c>
      <c r="K55" s="2598">
        <v>0</v>
      </c>
      <c r="L55" s="2595">
        <f>SUM(J55:K55)</f>
        <v>0</v>
      </c>
      <c r="M55" s="2595">
        <f>F55-I55</f>
        <v>0</v>
      </c>
      <c r="N55" s="2596">
        <f>F55-L55</f>
        <v>0</v>
      </c>
      <c r="O55" s="2614"/>
      <c r="P55" s="2600">
        <v>0</v>
      </c>
      <c r="Q55" s="2601">
        <v>0</v>
      </c>
      <c r="R55" s="2489"/>
      <c r="S55" s="2659">
        <f>+IF(OCTUBRE!S55=0,"",OCTUBRE!S55)</f>
        <v>1010399</v>
      </c>
      <c r="T55" s="2660" t="str">
        <f>+IF(OCTUBRE!T55=0,"",OCTUBRE!T55)</f>
        <v>Vigencias Anteriores</v>
      </c>
      <c r="U55" s="2661">
        <f>+ENERO!U55</f>
        <v>0</v>
      </c>
      <c r="V55" s="2612">
        <f>OCTUBRE!V55+NOVIEMBRE!AL55</f>
        <v>-24802080</v>
      </c>
      <c r="W55" s="2612">
        <f>OCTUBRE!W55+NOVIEMBRE!AM55</f>
        <v>24802080</v>
      </c>
      <c r="X55" s="2662">
        <f t="shared" si="57"/>
        <v>0</v>
      </c>
      <c r="Y55" s="2663">
        <f>OCTUBRE!AA55</f>
        <v>0</v>
      </c>
      <c r="Z55" s="2598">
        <v>0</v>
      </c>
      <c r="AA55" s="2662">
        <f t="shared" si="58"/>
        <v>0</v>
      </c>
      <c r="AB55" s="2663">
        <f>OCTUBRE!AD55</f>
        <v>0</v>
      </c>
      <c r="AC55" s="2598">
        <v>0</v>
      </c>
      <c r="AD55" s="2662">
        <f t="shared" si="59"/>
        <v>0</v>
      </c>
      <c r="AE55" s="2663">
        <f>OCTUBRE!AG55</f>
        <v>0</v>
      </c>
      <c r="AF55" s="2598">
        <v>0</v>
      </c>
      <c r="AG55" s="2662">
        <f t="shared" si="60"/>
        <v>0</v>
      </c>
      <c r="AH55" s="2663">
        <f t="shared" si="61"/>
        <v>0</v>
      </c>
      <c r="AI55" s="2612">
        <f t="shared" si="62"/>
        <v>0</v>
      </c>
      <c r="AJ55" s="2664">
        <f t="shared" si="63"/>
        <v>0</v>
      </c>
      <c r="AK55" s="2489"/>
      <c r="AL55" s="2600">
        <v>0</v>
      </c>
      <c r="AM55" s="2601">
        <v>0</v>
      </c>
      <c r="AN55" s="2489"/>
      <c r="AO55" s="2440"/>
      <c r="AP55" s="2771"/>
      <c r="AQ55" s="2440"/>
      <c r="AR55" s="2440"/>
      <c r="AS55" s="2440"/>
      <c r="AT55" s="2440"/>
      <c r="AU55" s="2440"/>
      <c r="AV55" s="2440"/>
      <c r="AW55" s="2440"/>
      <c r="AX55" s="2440"/>
      <c r="AY55" s="2440"/>
      <c r="AZ55" s="2440"/>
      <c r="BA55" s="2614"/>
      <c r="BF55" s="2614"/>
      <c r="BG55" s="2614"/>
      <c r="BH55" s="2614"/>
      <c r="BI55" s="2614"/>
      <c r="BJ55" s="2614"/>
      <c r="BK55" s="2614"/>
      <c r="BL55" s="2614"/>
      <c r="BM55" s="2614"/>
      <c r="BN55" s="2614"/>
      <c r="BO55" s="2614"/>
      <c r="BP55" s="2614"/>
      <c r="BQ55" s="2614"/>
      <c r="BR55" s="2614"/>
    </row>
    <row r="56" spans="1:70" s="2702" customFormat="1" ht="24.95" customHeight="1">
      <c r="A56" s="2592" t="str">
        <f>+IF(OCTUBRE!A56=0,"",OCTUBRE!A56)</f>
        <v>1130110-2</v>
      </c>
      <c r="B56" s="2725" t="str">
        <f>+IF(OCTUBRE!B56=0,"",OCTUBRE!B56)</f>
        <v>Vigencia Anterior</v>
      </c>
      <c r="C56" s="2594">
        <f>+ENERO!C56</f>
        <v>0</v>
      </c>
      <c r="D56" s="2595">
        <f>OCTUBRE!D56+NOVIEMBRE!P56</f>
        <v>0</v>
      </c>
      <c r="E56" s="2595">
        <f>OCTUBRE!E56+NOVIEMBRE!Q56</f>
        <v>0</v>
      </c>
      <c r="F56" s="2595">
        <f>SUM(C56:E56)</f>
        <v>0</v>
      </c>
      <c r="G56" s="2595">
        <f>OCTUBRE!I56</f>
        <v>0</v>
      </c>
      <c r="H56" s="2598">
        <v>0</v>
      </c>
      <c r="I56" s="2595">
        <f>SUM(G56:H56)</f>
        <v>0</v>
      </c>
      <c r="J56" s="2595">
        <f>OCTUBRE!L56</f>
        <v>0</v>
      </c>
      <c r="K56" s="2598">
        <v>0</v>
      </c>
      <c r="L56" s="2595">
        <f>SUM(J56:K56)</f>
        <v>0</v>
      </c>
      <c r="M56" s="2595">
        <f>F56-I56</f>
        <v>0</v>
      </c>
      <c r="N56" s="2596">
        <f>F56-L56</f>
        <v>0</v>
      </c>
      <c r="O56" s="2614"/>
      <c r="P56" s="2600">
        <v>0</v>
      </c>
      <c r="Q56" s="2601">
        <v>0</v>
      </c>
      <c r="R56" s="2489"/>
      <c r="S56" s="2579" t="str">
        <f>+IF(OCTUBRE!S56=0,"",OCTUBRE!S56)</f>
        <v/>
      </c>
      <c r="T56" s="2580" t="str">
        <f>+IF(OCTUBRE!T56=0,"",OCTUBRE!T56)</f>
        <v/>
      </c>
      <c r="U56" s="2581"/>
      <c r="V56" s="2581"/>
      <c r="W56" s="2581"/>
      <c r="X56" s="2581"/>
      <c r="Y56" s="2581"/>
      <c r="Z56" s="2581"/>
      <c r="AA56" s="2581"/>
      <c r="AB56" s="2581"/>
      <c r="AC56" s="2581"/>
      <c r="AD56" s="2581"/>
      <c r="AE56" s="2581"/>
      <c r="AF56" s="2581"/>
      <c r="AG56" s="2581"/>
      <c r="AH56" s="2581"/>
      <c r="AI56" s="2581"/>
      <c r="AJ56" s="2582"/>
      <c r="AK56" s="2607"/>
      <c r="AL56" s="2769"/>
      <c r="AM56" s="2770"/>
      <c r="AN56" s="2489"/>
      <c r="AO56" s="2440"/>
      <c r="AP56" s="2440"/>
      <c r="AQ56" s="2440"/>
      <c r="AR56" s="2440"/>
      <c r="AS56" s="2440"/>
      <c r="AT56" s="2440"/>
      <c r="AU56" s="2440"/>
      <c r="AV56" s="2440"/>
      <c r="AW56" s="2440"/>
      <c r="AX56" s="2440"/>
      <c r="AY56" s="2440"/>
      <c r="AZ56" s="2440"/>
      <c r="BA56" s="2614"/>
      <c r="BF56" s="2614"/>
      <c r="BG56" s="2614"/>
      <c r="BH56" s="2614"/>
      <c r="BI56" s="2614"/>
      <c r="BJ56" s="2614"/>
      <c r="BK56" s="2614"/>
      <c r="BL56" s="2614"/>
      <c r="BM56" s="2614"/>
      <c r="BN56" s="2614"/>
      <c r="BO56" s="2614"/>
      <c r="BP56" s="2614"/>
      <c r="BQ56" s="2614"/>
      <c r="BR56" s="2614"/>
    </row>
    <row r="57" spans="1:70" s="2614" customFormat="1" ht="24.95" customHeight="1">
      <c r="A57" s="2678">
        <f>+IF(OCTUBRE!A57=0,"",OCTUBRE!A57)</f>
        <v>1130111</v>
      </c>
      <c r="B57" s="2713" t="str">
        <f>+IF(OCTUBRE!B57=0,"",OCTUBRE!B57)</f>
        <v>IPS PRIVADAS</v>
      </c>
      <c r="C57" s="2680">
        <f t="shared" ref="C57:N57" si="66">SUM(C58:C59)</f>
        <v>133639169</v>
      </c>
      <c r="D57" s="2714">
        <f t="shared" si="66"/>
        <v>0</v>
      </c>
      <c r="E57" s="2714">
        <f t="shared" si="66"/>
        <v>176960</v>
      </c>
      <c r="F57" s="2714">
        <f t="shared" si="66"/>
        <v>133816129</v>
      </c>
      <c r="G57" s="2714">
        <f t="shared" si="66"/>
        <v>2870498</v>
      </c>
      <c r="H57" s="2714">
        <f t="shared" si="66"/>
        <v>0</v>
      </c>
      <c r="I57" s="2714">
        <f t="shared" si="66"/>
        <v>2870498</v>
      </c>
      <c r="J57" s="2714">
        <f t="shared" si="66"/>
        <v>2852326</v>
      </c>
      <c r="K57" s="2714">
        <f t="shared" si="66"/>
        <v>0</v>
      </c>
      <c r="L57" s="2714">
        <f t="shared" si="66"/>
        <v>2852326</v>
      </c>
      <c r="M57" s="2714">
        <f t="shared" si="66"/>
        <v>130945631</v>
      </c>
      <c r="N57" s="2681">
        <f t="shared" si="66"/>
        <v>130963803</v>
      </c>
      <c r="P57" s="2680">
        <f>SUM(P58:P59)</f>
        <v>0</v>
      </c>
      <c r="Q57" s="2681">
        <f>SUM(Q58:Q59)</f>
        <v>0</v>
      </c>
      <c r="R57" s="2489"/>
      <c r="S57" s="2651">
        <f>+IF(OCTUBRE!S57=0,"",OCTUBRE!S57)</f>
        <v>1010400</v>
      </c>
      <c r="T57" s="2652" t="str">
        <f>+IF(OCTUBRE!T57=0,"",OCTUBRE!T57)</f>
        <v>Contribuciones Inherentes nómina del Sector Publico</v>
      </c>
      <c r="U57" s="2624">
        <f t="shared" ref="U57:AJ57" si="67">U58+U61</f>
        <v>31192586</v>
      </c>
      <c r="V57" s="2625">
        <f t="shared" si="67"/>
        <v>2000000</v>
      </c>
      <c r="W57" s="2625">
        <f t="shared" si="67"/>
        <v>0</v>
      </c>
      <c r="X57" s="2626">
        <f t="shared" si="67"/>
        <v>33192586</v>
      </c>
      <c r="Y57" s="2627">
        <f t="shared" si="67"/>
        <v>19895653</v>
      </c>
      <c r="Z57" s="2625">
        <f t="shared" si="67"/>
        <v>1851767</v>
      </c>
      <c r="AA57" s="2626">
        <f t="shared" si="67"/>
        <v>21747420</v>
      </c>
      <c r="AB57" s="2627">
        <f t="shared" si="67"/>
        <v>19895653</v>
      </c>
      <c r="AC57" s="2625">
        <f t="shared" si="67"/>
        <v>1851767</v>
      </c>
      <c r="AD57" s="2626">
        <f t="shared" si="67"/>
        <v>21747420</v>
      </c>
      <c r="AE57" s="2627">
        <f t="shared" si="67"/>
        <v>19895653</v>
      </c>
      <c r="AF57" s="2625">
        <f t="shared" si="67"/>
        <v>1851767</v>
      </c>
      <c r="AG57" s="2626">
        <f t="shared" si="67"/>
        <v>21747420</v>
      </c>
      <c r="AH57" s="2627">
        <f t="shared" si="67"/>
        <v>11445166</v>
      </c>
      <c r="AI57" s="2625">
        <f t="shared" si="67"/>
        <v>11445166</v>
      </c>
      <c r="AJ57" s="2628">
        <f t="shared" si="67"/>
        <v>11445166</v>
      </c>
      <c r="AK57" s="2489"/>
      <c r="AL57" s="2627">
        <f>AL58+AL61</f>
        <v>2000000</v>
      </c>
      <c r="AM57" s="2628">
        <f>AM58+AM61</f>
        <v>0</v>
      </c>
      <c r="AN57" s="2489"/>
      <c r="AO57" s="2440"/>
      <c r="AP57" s="2440"/>
      <c r="AQ57" s="2440"/>
      <c r="AR57" s="2440"/>
      <c r="AS57" s="2440"/>
      <c r="AT57" s="2440"/>
      <c r="AU57" s="2440"/>
      <c r="AV57" s="2440"/>
      <c r="AW57" s="2440"/>
      <c r="AX57" s="2440"/>
      <c r="AY57" s="2440"/>
      <c r="AZ57" s="2440"/>
    </row>
    <row r="58" spans="1:70" s="2702" customFormat="1" ht="24.95" customHeight="1">
      <c r="A58" s="2592" t="str">
        <f>+IF(OCTUBRE!A58=0,"",OCTUBRE!A58)</f>
        <v>1130111-1</v>
      </c>
      <c r="B58" s="2725" t="str">
        <f>+CONCATENATE("Vigencia ",INSTRUCCIONES!$F$3)</f>
        <v>Vigencia 2017</v>
      </c>
      <c r="C58" s="2594">
        <f>+ENERO!C58</f>
        <v>133639169</v>
      </c>
      <c r="D58" s="2595">
        <f>OCTUBRE!D58+NOVIEMBRE!P58</f>
        <v>0</v>
      </c>
      <c r="E58" s="2595">
        <f>OCTUBRE!E58+NOVIEMBRE!Q58</f>
        <v>0</v>
      </c>
      <c r="F58" s="2595">
        <f>SUM(C58:E58)</f>
        <v>133639169</v>
      </c>
      <c r="G58" s="2595">
        <f>OCTUBRE!I58</f>
        <v>18172</v>
      </c>
      <c r="H58" s="2598">
        <v>0</v>
      </c>
      <c r="I58" s="2595">
        <f>SUM(G58:H58)</f>
        <v>18172</v>
      </c>
      <c r="J58" s="2595">
        <f>OCTUBRE!L58</f>
        <v>0</v>
      </c>
      <c r="K58" s="2598">
        <v>0</v>
      </c>
      <c r="L58" s="2595">
        <f>SUM(J58:K58)</f>
        <v>0</v>
      </c>
      <c r="M58" s="2595">
        <f>F58-I58</f>
        <v>133620997</v>
      </c>
      <c r="N58" s="2596">
        <f>F58-L58</f>
        <v>133639169</v>
      </c>
      <c r="O58" s="2614"/>
      <c r="P58" s="2600">
        <v>0</v>
      </c>
      <c r="Q58" s="2601">
        <v>0</v>
      </c>
      <c r="R58" s="2489"/>
      <c r="S58" s="2659">
        <f>+IF(OCTUBRE!S58=0,"",OCTUBRE!S58)</f>
        <v>1010402</v>
      </c>
      <c r="T58" s="2660" t="str">
        <f>+IF(OCTUBRE!T58=0,"",OCTUBRE!T58)</f>
        <v>Contribuciones - Otros</v>
      </c>
      <c r="U58" s="2661">
        <f t="shared" ref="U58:AJ58" si="68">SUM(U59:U60)</f>
        <v>31192586</v>
      </c>
      <c r="V58" s="2612">
        <f t="shared" si="68"/>
        <v>2000000</v>
      </c>
      <c r="W58" s="2612">
        <f t="shared" si="68"/>
        <v>0</v>
      </c>
      <c r="X58" s="2662">
        <f t="shared" si="68"/>
        <v>33192586</v>
      </c>
      <c r="Y58" s="2663">
        <f t="shared" si="68"/>
        <v>19895653</v>
      </c>
      <c r="Z58" s="2691">
        <f t="shared" si="68"/>
        <v>1851767</v>
      </c>
      <c r="AA58" s="2662">
        <f t="shared" si="68"/>
        <v>21747420</v>
      </c>
      <c r="AB58" s="2663">
        <f t="shared" si="68"/>
        <v>19895653</v>
      </c>
      <c r="AC58" s="2691">
        <f t="shared" si="68"/>
        <v>1851767</v>
      </c>
      <c r="AD58" s="2662">
        <f t="shared" si="68"/>
        <v>21747420</v>
      </c>
      <c r="AE58" s="2663">
        <f t="shared" si="68"/>
        <v>19895653</v>
      </c>
      <c r="AF58" s="2691">
        <f t="shared" si="68"/>
        <v>1851767</v>
      </c>
      <c r="AG58" s="2662">
        <f t="shared" si="68"/>
        <v>21747420</v>
      </c>
      <c r="AH58" s="2663">
        <f t="shared" si="68"/>
        <v>11445166</v>
      </c>
      <c r="AI58" s="2612">
        <f t="shared" si="68"/>
        <v>11445166</v>
      </c>
      <c r="AJ58" s="2664">
        <f t="shared" si="68"/>
        <v>11445166</v>
      </c>
      <c r="AK58" s="2489"/>
      <c r="AL58" s="2692">
        <f>SUM(AL59:AL60)</f>
        <v>2000000</v>
      </c>
      <c r="AM58" s="2693">
        <f>SUM(AM59:AM60)</f>
        <v>0</v>
      </c>
      <c r="AN58" s="2489"/>
      <c r="AO58" s="2772"/>
      <c r="AP58" s="2771"/>
      <c r="AQ58" s="2440"/>
      <c r="AR58" s="2440"/>
      <c r="AS58" s="2440"/>
      <c r="AT58" s="2440"/>
      <c r="AU58" s="2440"/>
      <c r="AV58" s="2440"/>
      <c r="AW58" s="2440"/>
      <c r="AX58" s="2440"/>
      <c r="AY58" s="2440"/>
      <c r="AZ58" s="2440"/>
      <c r="BA58" s="2614"/>
      <c r="BF58" s="2614"/>
      <c r="BG58" s="2614"/>
      <c r="BH58" s="2614"/>
      <c r="BI58" s="2614"/>
      <c r="BJ58" s="2614"/>
      <c r="BK58" s="2614"/>
      <c r="BL58" s="2614"/>
      <c r="BM58" s="2614"/>
      <c r="BN58" s="2614"/>
      <c r="BO58" s="2614"/>
      <c r="BP58" s="2614"/>
      <c r="BQ58" s="2614"/>
      <c r="BR58" s="2614"/>
    </row>
    <row r="59" spans="1:70" s="2702" customFormat="1" ht="24.95" customHeight="1">
      <c r="A59" s="2592" t="str">
        <f>+IF(OCTUBRE!A59=0,"",OCTUBRE!A59)</f>
        <v>1130111-2</v>
      </c>
      <c r="B59" s="2725" t="str">
        <f>+IF(OCTUBRE!B59=0,"",OCTUBRE!B59)</f>
        <v>Vigencia Anterior</v>
      </c>
      <c r="C59" s="2594">
        <f>+ENERO!C59</f>
        <v>0</v>
      </c>
      <c r="D59" s="2595">
        <f>OCTUBRE!D59+NOVIEMBRE!P59</f>
        <v>0</v>
      </c>
      <c r="E59" s="2595">
        <f>OCTUBRE!E59+NOVIEMBRE!Q59</f>
        <v>176960</v>
      </c>
      <c r="F59" s="2595">
        <f>SUM(C59:E59)</f>
        <v>176960</v>
      </c>
      <c r="G59" s="2595">
        <f>OCTUBRE!I59</f>
        <v>2852326</v>
      </c>
      <c r="H59" s="2598">
        <v>0</v>
      </c>
      <c r="I59" s="2595">
        <f>SUM(G59:H59)</f>
        <v>2852326</v>
      </c>
      <c r="J59" s="2595">
        <f>OCTUBRE!L59</f>
        <v>2852326</v>
      </c>
      <c r="K59" s="2598">
        <v>0</v>
      </c>
      <c r="L59" s="2595">
        <f>SUM(J59:K59)</f>
        <v>2852326</v>
      </c>
      <c r="M59" s="2595">
        <f>F59-I59</f>
        <v>-2675366</v>
      </c>
      <c r="N59" s="2596">
        <f>F59-L59</f>
        <v>-2675366</v>
      </c>
      <c r="O59" s="2614"/>
      <c r="P59" s="2600">
        <v>0</v>
      </c>
      <c r="Q59" s="2601">
        <v>0</v>
      </c>
      <c r="R59" s="2489"/>
      <c r="S59" s="2705" t="str">
        <f>+IF(OCTUBRE!S59=0,"",OCTUBRE!S59)</f>
        <v>1010402-1</v>
      </c>
      <c r="T59" s="2706" t="str">
        <f>+IF(OCTUBRE!T59=0,"",OCTUBRE!T59)</f>
        <v>S.E.N.A.</v>
      </c>
      <c r="U59" s="2661">
        <f>+ENERO!U59</f>
        <v>18775492</v>
      </c>
      <c r="V59" s="2612">
        <f>OCTUBRE!V59+NOVIEMBRE!AL59</f>
        <v>0</v>
      </c>
      <c r="W59" s="2612">
        <f>OCTUBRE!W59+NOVIEMBRE!AM59</f>
        <v>0</v>
      </c>
      <c r="X59" s="2662">
        <f>SUM(U59:W59)</f>
        <v>18775492</v>
      </c>
      <c r="Y59" s="2663">
        <f>OCTUBRE!AA59</f>
        <v>7958084</v>
      </c>
      <c r="Z59" s="2598">
        <v>740707</v>
      </c>
      <c r="AA59" s="2662">
        <f>SUM(Y59:Z59)</f>
        <v>8698791</v>
      </c>
      <c r="AB59" s="2663">
        <f>OCTUBRE!AD59</f>
        <v>7958084</v>
      </c>
      <c r="AC59" s="2598">
        <v>740707</v>
      </c>
      <c r="AD59" s="2662">
        <f>SUM(AB59:AC59)</f>
        <v>8698791</v>
      </c>
      <c r="AE59" s="2663">
        <f>OCTUBRE!AG59</f>
        <v>7958084</v>
      </c>
      <c r="AF59" s="2598">
        <v>740707</v>
      </c>
      <c r="AG59" s="2662">
        <f>SUM(AE59:AF59)</f>
        <v>8698791</v>
      </c>
      <c r="AH59" s="2663">
        <f>X59-AA59</f>
        <v>10076701</v>
      </c>
      <c r="AI59" s="2612">
        <f>X59-AD59</f>
        <v>10076701</v>
      </c>
      <c r="AJ59" s="2664">
        <f>X59-AG59</f>
        <v>10076701</v>
      </c>
      <c r="AK59" s="2489"/>
      <c r="AL59" s="2600">
        <v>0</v>
      </c>
      <c r="AM59" s="2601">
        <v>0</v>
      </c>
      <c r="AN59" s="2489"/>
      <c r="AO59" s="2440"/>
      <c r="AP59" s="2440"/>
      <c r="AQ59" s="2440"/>
      <c r="AR59" s="2440"/>
      <c r="AS59" s="2440"/>
      <c r="AT59" s="2440"/>
      <c r="AU59" s="2440"/>
      <c r="AV59" s="2440"/>
      <c r="AW59" s="2440"/>
      <c r="AX59" s="2440"/>
      <c r="AY59" s="2440"/>
      <c r="AZ59" s="2440"/>
      <c r="BA59" s="2614"/>
      <c r="BF59" s="2614"/>
      <c r="BG59" s="2614"/>
      <c r="BH59" s="2614"/>
      <c r="BI59" s="2614"/>
      <c r="BJ59" s="2614"/>
      <c r="BK59" s="2614"/>
      <c r="BL59" s="2614"/>
      <c r="BM59" s="2614"/>
      <c r="BN59" s="2614"/>
      <c r="BO59" s="2614"/>
      <c r="BP59" s="2614"/>
      <c r="BQ59" s="2614"/>
      <c r="BR59" s="2614"/>
    </row>
    <row r="60" spans="1:70" s="2614" customFormat="1" ht="24.95" customHeight="1">
      <c r="A60" s="2678">
        <f>+IF(OCTUBRE!A60=0,"",OCTUBRE!A60)</f>
        <v>1130112</v>
      </c>
      <c r="B60" s="2713" t="str">
        <f>+IF(OCTUBRE!B60=0,"",OCTUBRE!B60)</f>
        <v>IPS PUBLICAS</v>
      </c>
      <c r="C60" s="2680">
        <f t="shared" ref="C60:N60" si="69">SUM(C61:C62)</f>
        <v>45194994</v>
      </c>
      <c r="D60" s="2714">
        <f t="shared" si="69"/>
        <v>0</v>
      </c>
      <c r="E60" s="2714">
        <f t="shared" si="69"/>
        <v>2788353</v>
      </c>
      <c r="F60" s="2714">
        <f t="shared" si="69"/>
        <v>47983347</v>
      </c>
      <c r="G60" s="2714">
        <f t="shared" si="69"/>
        <v>305697827</v>
      </c>
      <c r="H60" s="2714">
        <f t="shared" si="69"/>
        <v>6330341</v>
      </c>
      <c r="I60" s="2714">
        <f t="shared" si="69"/>
        <v>312028168</v>
      </c>
      <c r="J60" s="2714">
        <f t="shared" si="69"/>
        <v>22578447</v>
      </c>
      <c r="K60" s="2714">
        <f t="shared" si="69"/>
        <v>316880</v>
      </c>
      <c r="L60" s="2714">
        <f t="shared" si="69"/>
        <v>22895327</v>
      </c>
      <c r="M60" s="2714">
        <f t="shared" si="69"/>
        <v>-264044821</v>
      </c>
      <c r="N60" s="2681">
        <f t="shared" si="69"/>
        <v>25088020</v>
      </c>
      <c r="P60" s="2680">
        <f>SUM(P61:P62)</f>
        <v>0</v>
      </c>
      <c r="Q60" s="2681">
        <f>SUM(Q61:Q62)</f>
        <v>881038</v>
      </c>
      <c r="R60" s="2489"/>
      <c r="S60" s="2705" t="str">
        <f>+IF(OCTUBRE!S60=0,"",OCTUBRE!S60)</f>
        <v>1010402-2</v>
      </c>
      <c r="T60" s="2706" t="str">
        <f>+IF(OCTUBRE!T60=0,"",OCTUBRE!T60)</f>
        <v>I.C.B.F.</v>
      </c>
      <c r="U60" s="2661">
        <f>+ENERO!U60</f>
        <v>12417094</v>
      </c>
      <c r="V60" s="2612">
        <f>OCTUBRE!V60+NOVIEMBRE!AL60</f>
        <v>2000000</v>
      </c>
      <c r="W60" s="2612">
        <f>OCTUBRE!W60+NOVIEMBRE!AM60</f>
        <v>0</v>
      </c>
      <c r="X60" s="2662">
        <f>SUM(U60:W60)</f>
        <v>14417094</v>
      </c>
      <c r="Y60" s="2663">
        <f>OCTUBRE!AA60</f>
        <v>11937569</v>
      </c>
      <c r="Z60" s="2598">
        <v>1111060</v>
      </c>
      <c r="AA60" s="2662">
        <f>SUM(Y60:Z60)</f>
        <v>13048629</v>
      </c>
      <c r="AB60" s="2663">
        <f>OCTUBRE!AD60</f>
        <v>11937569</v>
      </c>
      <c r="AC60" s="2598">
        <v>1111060</v>
      </c>
      <c r="AD60" s="2662">
        <f>SUM(AB60:AC60)</f>
        <v>13048629</v>
      </c>
      <c r="AE60" s="2663">
        <f>OCTUBRE!AG60</f>
        <v>11937569</v>
      </c>
      <c r="AF60" s="2598">
        <v>1111060</v>
      </c>
      <c r="AG60" s="2662">
        <f>SUM(AE60:AF60)</f>
        <v>13048629</v>
      </c>
      <c r="AH60" s="2663">
        <f>X60-AA60</f>
        <v>1368465</v>
      </c>
      <c r="AI60" s="2612">
        <f>X60-AD60</f>
        <v>1368465</v>
      </c>
      <c r="AJ60" s="2664">
        <f>X60-AG60</f>
        <v>1368465</v>
      </c>
      <c r="AK60" s="2489"/>
      <c r="AL60" s="2600">
        <v>2000000</v>
      </c>
      <c r="AM60" s="2601">
        <v>0</v>
      </c>
      <c r="AN60" s="2489"/>
      <c r="AO60" s="2440"/>
      <c r="AP60" s="2440"/>
      <c r="AQ60" s="2440"/>
      <c r="AR60" s="2440"/>
      <c r="AS60" s="2440"/>
      <c r="AT60" s="2440"/>
      <c r="AU60" s="2440"/>
      <c r="AV60" s="2440"/>
      <c r="AW60" s="2440"/>
      <c r="AX60" s="2440"/>
      <c r="AY60" s="2440"/>
      <c r="AZ60" s="2440"/>
    </row>
    <row r="61" spans="1:70" s="2702" customFormat="1" ht="24.95" customHeight="1">
      <c r="A61" s="2592" t="str">
        <f>+IF(OCTUBRE!A61=0,"",OCTUBRE!A61)</f>
        <v>1130112-1</v>
      </c>
      <c r="B61" s="2725" t="str">
        <f>+CONCATENATE("Vigencia ",INSTRUCCIONES!$F$3)</f>
        <v>Vigencia 2017</v>
      </c>
      <c r="C61" s="2594">
        <f>+ENERO!C61</f>
        <v>45194994</v>
      </c>
      <c r="D61" s="2595">
        <f>OCTUBRE!D61+NOVIEMBRE!P61</f>
        <v>0</v>
      </c>
      <c r="E61" s="2595">
        <f>OCTUBRE!E61+NOVIEMBRE!Q61</f>
        <v>0</v>
      </c>
      <c r="F61" s="2595">
        <f>SUM(C61:E61)</f>
        <v>45194994</v>
      </c>
      <c r="G61" s="2595">
        <f>OCTUBRE!I61</f>
        <v>301893256</v>
      </c>
      <c r="H61" s="2598">
        <v>6202515</v>
      </c>
      <c r="I61" s="2595">
        <f>SUM(G61:H61)</f>
        <v>308095771</v>
      </c>
      <c r="J61" s="2595">
        <f>OCTUBRE!L61</f>
        <v>18773876</v>
      </c>
      <c r="K61" s="2598">
        <v>189054</v>
      </c>
      <c r="L61" s="2595">
        <f>SUM(J61:K61)</f>
        <v>18962930</v>
      </c>
      <c r="M61" s="2595">
        <f>F61-I61</f>
        <v>-262900777</v>
      </c>
      <c r="N61" s="2596">
        <f>F61-L61</f>
        <v>26232064</v>
      </c>
      <c r="O61" s="2614"/>
      <c r="P61" s="2600">
        <v>0</v>
      </c>
      <c r="Q61" s="2601">
        <v>0</v>
      </c>
      <c r="R61" s="2489"/>
      <c r="S61" s="2659">
        <f>+IF(OCTUBRE!S61=0,"",OCTUBRE!S61)</f>
        <v>1010499</v>
      </c>
      <c r="T61" s="2660" t="str">
        <f>+IF(OCTUBRE!T61=0,"",OCTUBRE!T61)</f>
        <v>Vigencias Anteriores</v>
      </c>
      <c r="U61" s="2661">
        <f>+ENERO!U61</f>
        <v>0</v>
      </c>
      <c r="V61" s="2612">
        <f>OCTUBRE!V61+NOVIEMBRE!AL61</f>
        <v>0</v>
      </c>
      <c r="W61" s="2612">
        <f>OCTUBRE!W61+NOVIEMBRE!AM61</f>
        <v>0</v>
      </c>
      <c r="X61" s="2662">
        <f>SUM(U61:W61)</f>
        <v>0</v>
      </c>
      <c r="Y61" s="2663">
        <f>OCTUBRE!AA61</f>
        <v>0</v>
      </c>
      <c r="Z61" s="2598">
        <v>0</v>
      </c>
      <c r="AA61" s="2662">
        <f>SUM(Y61:Z61)</f>
        <v>0</v>
      </c>
      <c r="AB61" s="2663">
        <f>OCTUBRE!AD61</f>
        <v>0</v>
      </c>
      <c r="AC61" s="2598">
        <v>0</v>
      </c>
      <c r="AD61" s="2662">
        <f>SUM(AB61:AC61)</f>
        <v>0</v>
      </c>
      <c r="AE61" s="2663">
        <f>OCTUBRE!AG61</f>
        <v>0</v>
      </c>
      <c r="AF61" s="2598">
        <v>0</v>
      </c>
      <c r="AG61" s="2662">
        <f>SUM(AE61:AF61)</f>
        <v>0</v>
      </c>
      <c r="AH61" s="2663">
        <f>X61-AA61</f>
        <v>0</v>
      </c>
      <c r="AI61" s="2612">
        <f>X61-AD61</f>
        <v>0</v>
      </c>
      <c r="AJ61" s="2664">
        <f>X61-AG61</f>
        <v>0</v>
      </c>
      <c r="AK61" s="2489"/>
      <c r="AL61" s="2600">
        <v>0</v>
      </c>
      <c r="AM61" s="2601">
        <v>0</v>
      </c>
      <c r="AN61" s="2489"/>
      <c r="AO61" s="2440"/>
      <c r="AP61" s="2771"/>
      <c r="AQ61" s="2440"/>
      <c r="AR61" s="2440"/>
      <c r="AS61" s="2440"/>
      <c r="AT61" s="2440"/>
      <c r="AU61" s="2771"/>
      <c r="AV61" s="2771"/>
      <c r="AW61" s="2440"/>
      <c r="AX61" s="2440"/>
      <c r="AY61" s="2440"/>
      <c r="AZ61" s="2440"/>
      <c r="BA61" s="2614"/>
      <c r="BF61" s="2614"/>
      <c r="BG61" s="2614"/>
      <c r="BH61" s="2614"/>
      <c r="BI61" s="2614"/>
      <c r="BJ61" s="2614"/>
      <c r="BK61" s="2614"/>
      <c r="BL61" s="2614"/>
      <c r="BM61" s="2614"/>
      <c r="BN61" s="2614"/>
      <c r="BO61" s="2614"/>
      <c r="BP61" s="2614"/>
      <c r="BQ61" s="2614"/>
      <c r="BR61" s="2614"/>
    </row>
    <row r="62" spans="1:70" s="2702" customFormat="1" ht="24.95" customHeight="1">
      <c r="A62" s="2592" t="str">
        <f>+IF(OCTUBRE!A62=0,"",OCTUBRE!A62)</f>
        <v>1130112-2</v>
      </c>
      <c r="B62" s="2725" t="str">
        <f>+IF(OCTUBRE!B62=0,"",OCTUBRE!B62)</f>
        <v>Vigencia Anterior</v>
      </c>
      <c r="C62" s="2594">
        <f>+ENERO!C62</f>
        <v>0</v>
      </c>
      <c r="D62" s="2595">
        <f>OCTUBRE!D62+NOVIEMBRE!P62</f>
        <v>0</v>
      </c>
      <c r="E62" s="2595">
        <f>OCTUBRE!E62+NOVIEMBRE!Q62</f>
        <v>2788353</v>
      </c>
      <c r="F62" s="2595">
        <f>SUM(C62:E62)</f>
        <v>2788353</v>
      </c>
      <c r="G62" s="2595">
        <f>OCTUBRE!I62</f>
        <v>3804571</v>
      </c>
      <c r="H62" s="2598">
        <v>127826</v>
      </c>
      <c r="I62" s="2595">
        <f>SUM(G62:H62)</f>
        <v>3932397</v>
      </c>
      <c r="J62" s="2595">
        <f>OCTUBRE!L62</f>
        <v>3804571</v>
      </c>
      <c r="K62" s="2598">
        <v>127826</v>
      </c>
      <c r="L62" s="2595">
        <f>SUM(J62:K62)</f>
        <v>3932397</v>
      </c>
      <c r="M62" s="2595">
        <f>F62-I62</f>
        <v>-1144044</v>
      </c>
      <c r="N62" s="2596">
        <f>F62-L62</f>
        <v>-1144044</v>
      </c>
      <c r="O62" s="2614"/>
      <c r="P62" s="2600">
        <v>0</v>
      </c>
      <c r="Q62" s="2601">
        <v>881038</v>
      </c>
      <c r="R62" s="2489"/>
      <c r="S62" s="2579" t="str">
        <f>+IF(OCTUBRE!S62=0,"",OCTUBRE!S62)</f>
        <v/>
      </c>
      <c r="T62" s="2580" t="str">
        <f>+IF(OCTUBRE!T62=0,"",OCTUBRE!T62)</f>
        <v/>
      </c>
      <c r="U62" s="2581"/>
      <c r="V62" s="2581"/>
      <c r="W62" s="2581"/>
      <c r="X62" s="2581"/>
      <c r="Y62" s="2581"/>
      <c r="Z62" s="2581"/>
      <c r="AA62" s="2581"/>
      <c r="AB62" s="2581"/>
      <c r="AC62" s="2581"/>
      <c r="AD62" s="2581"/>
      <c r="AE62" s="2581"/>
      <c r="AF62" s="2581"/>
      <c r="AG62" s="2581"/>
      <c r="AH62" s="2581"/>
      <c r="AI62" s="2581"/>
      <c r="AJ62" s="2582"/>
      <c r="AK62" s="2607"/>
      <c r="AL62" s="2769"/>
      <c r="AM62" s="2770"/>
      <c r="AN62" s="2489"/>
      <c r="AO62" s="2440"/>
      <c r="AP62" s="2440"/>
      <c r="AQ62" s="2440"/>
      <c r="AR62" s="2440"/>
      <c r="AS62" s="2440"/>
      <c r="AT62" s="2440"/>
      <c r="AU62" s="2440"/>
      <c r="AV62" s="2440"/>
      <c r="AW62" s="2440"/>
      <c r="AX62" s="2440"/>
      <c r="AY62" s="2440"/>
      <c r="AZ62" s="2440"/>
      <c r="BA62" s="2614"/>
      <c r="BF62" s="2614"/>
      <c r="BG62" s="2614"/>
      <c r="BH62" s="2614"/>
      <c r="BI62" s="2614"/>
      <c r="BJ62" s="2614"/>
      <c r="BK62" s="2614"/>
      <c r="BL62" s="2614"/>
      <c r="BM62" s="2614"/>
      <c r="BN62" s="2614"/>
      <c r="BO62" s="2614"/>
      <c r="BP62" s="2614"/>
      <c r="BQ62" s="2614"/>
      <c r="BR62" s="2614"/>
    </row>
    <row r="63" spans="1:70" s="2614" customFormat="1" ht="24.95" customHeight="1">
      <c r="A63" s="2678">
        <f>+IF(OCTUBRE!A63=0,"",OCTUBRE!A63)</f>
        <v>1130113</v>
      </c>
      <c r="B63" s="2713" t="str">
        <f>+IF(OCTUBRE!B63=0,"",OCTUBRE!B63)</f>
        <v>COMPAÑIAS DE SEGUROS  - ACCIDENTES DE TRANSITO (SOAT)</v>
      </c>
      <c r="C63" s="2680">
        <f t="shared" ref="C63:N63" si="70">SUM(C64:C65)</f>
        <v>5110724757</v>
      </c>
      <c r="D63" s="2714">
        <f t="shared" si="70"/>
        <v>0</v>
      </c>
      <c r="E63" s="2714">
        <f t="shared" si="70"/>
        <v>966670545</v>
      </c>
      <c r="F63" s="2714">
        <f t="shared" si="70"/>
        <v>6077395302</v>
      </c>
      <c r="G63" s="2714">
        <f t="shared" si="70"/>
        <v>2903298618</v>
      </c>
      <c r="H63" s="2714">
        <f t="shared" si="70"/>
        <v>226188627</v>
      </c>
      <c r="I63" s="2714">
        <f t="shared" si="70"/>
        <v>3129487245</v>
      </c>
      <c r="J63" s="2714">
        <f t="shared" si="70"/>
        <v>1520630329</v>
      </c>
      <c r="K63" s="2714">
        <f t="shared" si="70"/>
        <v>195991268</v>
      </c>
      <c r="L63" s="2714">
        <f t="shared" si="70"/>
        <v>1716621597</v>
      </c>
      <c r="M63" s="2714">
        <f t="shared" si="70"/>
        <v>2947908057</v>
      </c>
      <c r="N63" s="2681">
        <f t="shared" si="70"/>
        <v>4360773705</v>
      </c>
      <c r="P63" s="2680">
        <f>SUM(P64:P65)</f>
        <v>0</v>
      </c>
      <c r="Q63" s="2681">
        <f>SUM(Q64:Q65)</f>
        <v>159119044</v>
      </c>
      <c r="R63" s="2489"/>
      <c r="S63" s="2622">
        <f>+IF(OCTUBRE!S63=0,"",OCTUBRE!S63)</f>
        <v>1020010</v>
      </c>
      <c r="T63" s="2623" t="str">
        <f>+IF(OCTUBRE!T63=0,"",OCTUBRE!T63)</f>
        <v>Gastos de Operación</v>
      </c>
      <c r="U63" s="2624">
        <f t="shared" ref="U63:AJ63" si="71">U65+U83+U90+U104</f>
        <v>23745928633</v>
      </c>
      <c r="V63" s="2625">
        <f t="shared" si="71"/>
        <v>1216411716</v>
      </c>
      <c r="W63" s="2625">
        <f t="shared" si="71"/>
        <v>7773065851</v>
      </c>
      <c r="X63" s="2626">
        <f t="shared" si="71"/>
        <v>32735406200</v>
      </c>
      <c r="Y63" s="2627">
        <f t="shared" si="71"/>
        <v>31214728280</v>
      </c>
      <c r="Z63" s="2625">
        <f t="shared" si="71"/>
        <v>547632750</v>
      </c>
      <c r="AA63" s="2626">
        <f t="shared" si="71"/>
        <v>31762361030</v>
      </c>
      <c r="AB63" s="2627">
        <f t="shared" si="71"/>
        <v>24650114558</v>
      </c>
      <c r="AC63" s="2625">
        <f t="shared" si="71"/>
        <v>2372779314</v>
      </c>
      <c r="AD63" s="2626">
        <f t="shared" si="71"/>
        <v>27022893872</v>
      </c>
      <c r="AE63" s="2627">
        <f t="shared" si="71"/>
        <v>16937339555</v>
      </c>
      <c r="AF63" s="2625">
        <f t="shared" si="71"/>
        <v>1316930372</v>
      </c>
      <c r="AG63" s="2626">
        <f t="shared" si="71"/>
        <v>18254269927</v>
      </c>
      <c r="AH63" s="2627">
        <f t="shared" si="71"/>
        <v>973045170</v>
      </c>
      <c r="AI63" s="2625">
        <f t="shared" si="71"/>
        <v>5712512328</v>
      </c>
      <c r="AJ63" s="2628">
        <f t="shared" si="71"/>
        <v>14481136273</v>
      </c>
      <c r="AK63" s="2489"/>
      <c r="AL63" s="2627">
        <f>AL65+AL83+AL90+AL104</f>
        <v>-84000000</v>
      </c>
      <c r="AM63" s="2628">
        <f>AM65+AM83+AM90+AM104</f>
        <v>800000000</v>
      </c>
      <c r="AN63" s="2489"/>
      <c r="AO63" s="2440"/>
      <c r="AP63" s="2440"/>
      <c r="AQ63" s="2440"/>
      <c r="AR63" s="2440"/>
      <c r="AS63" s="2440"/>
      <c r="AT63" s="2440"/>
      <c r="AU63" s="2440"/>
      <c r="AV63" s="2440"/>
      <c r="AW63" s="2440"/>
      <c r="AX63" s="2440"/>
      <c r="AY63" s="2440"/>
      <c r="AZ63" s="2440"/>
    </row>
    <row r="64" spans="1:70" s="2702" customFormat="1" ht="24.95" customHeight="1">
      <c r="A64" s="2592" t="str">
        <f>+IF(OCTUBRE!A64=0,"",OCTUBRE!A64)</f>
        <v>1130113-1</v>
      </c>
      <c r="B64" s="2725" t="str">
        <f>+CONCATENATE("Vigencia ",INSTRUCCIONES!$F$3)</f>
        <v>Vigencia 2017</v>
      </c>
      <c r="C64" s="2594">
        <f>+ENERO!C64</f>
        <v>5110724757</v>
      </c>
      <c r="D64" s="2595">
        <f>OCTUBRE!D64+NOVIEMBRE!P64</f>
        <v>0</v>
      </c>
      <c r="E64" s="2595">
        <f>OCTUBRE!E64+NOVIEMBRE!Q64</f>
        <v>0</v>
      </c>
      <c r="F64" s="2595">
        <f>SUM(C64:E64)</f>
        <v>5110724757</v>
      </c>
      <c r="G64" s="2595">
        <f>OCTUBRE!I64</f>
        <v>1936628073</v>
      </c>
      <c r="H64" s="2598">
        <v>226188627</v>
      </c>
      <c r="I64" s="2595">
        <f>SUM(G64:H64)</f>
        <v>2162816700</v>
      </c>
      <c r="J64" s="2595">
        <f>OCTUBRE!L64</f>
        <v>553959784</v>
      </c>
      <c r="K64" s="2598">
        <v>195991268</v>
      </c>
      <c r="L64" s="2595">
        <f>SUM(J64:K64)</f>
        <v>749951052</v>
      </c>
      <c r="M64" s="2595">
        <f>F64-I64</f>
        <v>2947908057</v>
      </c>
      <c r="N64" s="2596">
        <f>F64-L64</f>
        <v>4360773705</v>
      </c>
      <c r="O64" s="2614"/>
      <c r="P64" s="2600">
        <v>0</v>
      </c>
      <c r="Q64" s="2601">
        <v>0</v>
      </c>
      <c r="R64" s="2489"/>
      <c r="S64" s="2579" t="str">
        <f>+IF(OCTUBRE!S64=0,"",OCTUBRE!S64)</f>
        <v/>
      </c>
      <c r="T64" s="2580" t="str">
        <f>+IF(OCTUBRE!T64=0,"",OCTUBRE!T64)</f>
        <v/>
      </c>
      <c r="U64" s="2581"/>
      <c r="V64" s="2581"/>
      <c r="W64" s="2581"/>
      <c r="X64" s="2581"/>
      <c r="Y64" s="2581"/>
      <c r="Z64" s="2581"/>
      <c r="AA64" s="2581"/>
      <c r="AB64" s="2581"/>
      <c r="AC64" s="2581"/>
      <c r="AD64" s="2581"/>
      <c r="AE64" s="2581"/>
      <c r="AF64" s="2581"/>
      <c r="AG64" s="2581"/>
      <c r="AH64" s="2581"/>
      <c r="AI64" s="2581"/>
      <c r="AJ64" s="2582"/>
      <c r="AK64" s="2489"/>
      <c r="AL64" s="2643"/>
      <c r="AM64" s="2644"/>
      <c r="AN64" s="2489"/>
      <c r="AO64" s="2440"/>
      <c r="AP64" s="2440"/>
      <c r="AQ64" s="2440"/>
      <c r="AR64" s="2440"/>
      <c r="AS64" s="2440"/>
      <c r="AT64" s="2440"/>
      <c r="AU64" s="2440"/>
      <c r="AV64" s="2440"/>
      <c r="AW64" s="2440"/>
      <c r="AX64" s="2440"/>
      <c r="AY64" s="2440"/>
      <c r="AZ64" s="2440"/>
      <c r="BA64" s="2614"/>
      <c r="BB64" s="2614"/>
      <c r="BC64" s="2614"/>
      <c r="BD64" s="2614"/>
      <c r="BE64" s="2614"/>
      <c r="BF64" s="2614"/>
      <c r="BG64" s="2614"/>
      <c r="BH64" s="2614"/>
      <c r="BI64" s="2614"/>
      <c r="BJ64" s="2614"/>
      <c r="BK64" s="2614"/>
      <c r="BL64" s="2614"/>
      <c r="BM64" s="2614"/>
      <c r="BN64" s="2614"/>
      <c r="BO64" s="2614"/>
      <c r="BP64" s="2614"/>
      <c r="BQ64" s="2614"/>
      <c r="BR64" s="2614"/>
    </row>
    <row r="65" spans="1:70" s="2702" customFormat="1" ht="24.95" customHeight="1">
      <c r="A65" s="2592" t="str">
        <f>+IF(OCTUBRE!A65=0,"",OCTUBRE!A65)</f>
        <v>1130113-2</v>
      </c>
      <c r="B65" s="2725" t="str">
        <f>+IF(OCTUBRE!B65=0,"",OCTUBRE!B65)</f>
        <v>Vigencia Anterior</v>
      </c>
      <c r="C65" s="2594">
        <f>+ENERO!C65</f>
        <v>0</v>
      </c>
      <c r="D65" s="2595">
        <f>OCTUBRE!D65+NOVIEMBRE!P65</f>
        <v>0</v>
      </c>
      <c r="E65" s="2595">
        <f>OCTUBRE!E65+NOVIEMBRE!Q65</f>
        <v>966670545</v>
      </c>
      <c r="F65" s="2595">
        <f>SUM(C65:E65)</f>
        <v>966670545</v>
      </c>
      <c r="G65" s="2595">
        <f>OCTUBRE!I65</f>
        <v>966670545</v>
      </c>
      <c r="H65" s="2598">
        <v>0</v>
      </c>
      <c r="I65" s="2595">
        <f>SUM(G65:H65)</f>
        <v>966670545</v>
      </c>
      <c r="J65" s="2595">
        <f>OCTUBRE!L65</f>
        <v>966670545</v>
      </c>
      <c r="K65" s="2598">
        <v>0</v>
      </c>
      <c r="L65" s="2595">
        <f>SUM(J65:K65)</f>
        <v>966670545</v>
      </c>
      <c r="M65" s="2595">
        <f>F65-I65</f>
        <v>0</v>
      </c>
      <c r="N65" s="2596">
        <f>F65-L65</f>
        <v>0</v>
      </c>
      <c r="O65" s="2614"/>
      <c r="P65" s="2600">
        <v>0</v>
      </c>
      <c r="Q65" s="2601">
        <v>159119044</v>
      </c>
      <c r="R65" s="2489"/>
      <c r="S65" s="2651">
        <f>+IF(OCTUBRE!S65=0,"",OCTUBRE!S65)</f>
        <v>1020100</v>
      </c>
      <c r="T65" s="2652" t="str">
        <f>+IF(OCTUBRE!T65=0,"",OCTUBRE!T65)</f>
        <v>Servicios Personales Asociados a Nómina</v>
      </c>
      <c r="U65" s="2624">
        <f t="shared" ref="U65:AJ65" si="72">SUM(U66:U69)+U81</f>
        <v>1210753694</v>
      </c>
      <c r="V65" s="2625">
        <f t="shared" si="72"/>
        <v>45342000</v>
      </c>
      <c r="W65" s="2625">
        <f t="shared" si="72"/>
        <v>147363018</v>
      </c>
      <c r="X65" s="2626">
        <f t="shared" si="72"/>
        <v>1403458712</v>
      </c>
      <c r="Y65" s="2627">
        <f t="shared" si="72"/>
        <v>1006195050</v>
      </c>
      <c r="Z65" s="2625">
        <f t="shared" si="72"/>
        <v>89325621</v>
      </c>
      <c r="AA65" s="2626">
        <f t="shared" si="72"/>
        <v>1095520671</v>
      </c>
      <c r="AB65" s="2627">
        <f t="shared" si="72"/>
        <v>1006195050</v>
      </c>
      <c r="AC65" s="2625">
        <f t="shared" si="72"/>
        <v>89325621</v>
      </c>
      <c r="AD65" s="2626">
        <f t="shared" si="72"/>
        <v>1095520671</v>
      </c>
      <c r="AE65" s="2627">
        <f t="shared" si="72"/>
        <v>1006195050</v>
      </c>
      <c r="AF65" s="2625">
        <f t="shared" si="72"/>
        <v>89325621</v>
      </c>
      <c r="AG65" s="2626">
        <f t="shared" si="72"/>
        <v>1095520671</v>
      </c>
      <c r="AH65" s="2627">
        <f t="shared" si="72"/>
        <v>307938041</v>
      </c>
      <c r="AI65" s="2625">
        <f t="shared" si="72"/>
        <v>307938041</v>
      </c>
      <c r="AJ65" s="2628">
        <f t="shared" si="72"/>
        <v>307938041</v>
      </c>
      <c r="AK65" s="2489"/>
      <c r="AL65" s="2627">
        <f>SUM(AL66:AL69)+AL81</f>
        <v>-30000000</v>
      </c>
      <c r="AM65" s="2628">
        <f>SUM(AM66:AM69)+AM81</f>
        <v>0</v>
      </c>
      <c r="AN65" s="2489"/>
      <c r="AO65" s="2440"/>
      <c r="AP65" s="2440"/>
      <c r="AQ65" s="2440"/>
      <c r="AR65" s="2440"/>
      <c r="AS65" s="2440"/>
      <c r="AT65" s="2440"/>
      <c r="AU65" s="2440"/>
      <c r="AV65" s="2440"/>
      <c r="AW65" s="2440"/>
      <c r="AX65" s="2440"/>
      <c r="AY65" s="2440"/>
      <c r="AZ65" s="2440"/>
      <c r="BA65" s="2614"/>
      <c r="BB65" s="2614"/>
      <c r="BC65" s="2614"/>
      <c r="BD65" s="2614"/>
      <c r="BE65" s="2614"/>
      <c r="BF65" s="2614"/>
      <c r="BG65" s="2614"/>
      <c r="BH65" s="2614"/>
      <c r="BI65" s="2614"/>
      <c r="BJ65" s="2614"/>
      <c r="BK65" s="2614"/>
      <c r="BL65" s="2614"/>
      <c r="BM65" s="2614"/>
      <c r="BN65" s="2614"/>
      <c r="BO65" s="2614"/>
      <c r="BP65" s="2614"/>
      <c r="BQ65" s="2614"/>
      <c r="BR65" s="2614"/>
    </row>
    <row r="66" spans="1:70" s="2614" customFormat="1" ht="24.95" customHeight="1">
      <c r="A66" s="2678">
        <f>+IF(OCTUBRE!A66=0,"",OCTUBRE!A66)</f>
        <v>1130114</v>
      </c>
      <c r="B66" s="2713" t="str">
        <f>+IF(OCTUBRE!B66=0,"",OCTUBRE!B66)</f>
        <v xml:space="preserve">COMPAÑIAS DE SEGUROS  - PLANES DE SALUD  </v>
      </c>
      <c r="C66" s="2680">
        <f t="shared" ref="C66:N66" si="73">SUM(C67:C68)</f>
        <v>0</v>
      </c>
      <c r="D66" s="2714">
        <f t="shared" si="73"/>
        <v>0</v>
      </c>
      <c r="E66" s="2714">
        <f t="shared" si="73"/>
        <v>150738943</v>
      </c>
      <c r="F66" s="2714">
        <f t="shared" si="73"/>
        <v>150738943</v>
      </c>
      <c r="G66" s="2714">
        <f t="shared" si="73"/>
        <v>492855219</v>
      </c>
      <c r="H66" s="2714">
        <f t="shared" si="73"/>
        <v>15566006</v>
      </c>
      <c r="I66" s="2714">
        <f t="shared" si="73"/>
        <v>508421225</v>
      </c>
      <c r="J66" s="2714">
        <f t="shared" si="73"/>
        <v>231325896</v>
      </c>
      <c r="K66" s="2714">
        <f t="shared" si="73"/>
        <v>39648989</v>
      </c>
      <c r="L66" s="2714">
        <f t="shared" si="73"/>
        <v>270974885</v>
      </c>
      <c r="M66" s="2714">
        <f t="shared" si="73"/>
        <v>-357682282</v>
      </c>
      <c r="N66" s="2681">
        <f t="shared" si="73"/>
        <v>-120235942</v>
      </c>
      <c r="P66" s="2680">
        <f>SUM(P67:P68)</f>
        <v>0</v>
      </c>
      <c r="Q66" s="2681">
        <f>SUM(Q67:Q68)</f>
        <v>127458335</v>
      </c>
      <c r="R66" s="2489"/>
      <c r="S66" s="2659">
        <f>+IF(OCTUBRE!S66=0,"",OCTUBRE!S66)</f>
        <v>1020101</v>
      </c>
      <c r="T66" s="2660" t="str">
        <f>+IF(OCTUBRE!T66=0,"",OCTUBRE!T66)</f>
        <v>Sueldos del Personal de nómina</v>
      </c>
      <c r="U66" s="2661">
        <f>+ENERO!U66</f>
        <v>893219355</v>
      </c>
      <c r="V66" s="2612">
        <f>OCTUBRE!V66+NOVIEMBRE!AL66</f>
        <v>-30250000</v>
      </c>
      <c r="W66" s="2612">
        <f>OCTUBRE!W66+NOVIEMBRE!AM66</f>
        <v>30541458</v>
      </c>
      <c r="X66" s="2662">
        <f>SUM(U66:W66)</f>
        <v>893510813</v>
      </c>
      <c r="Y66" s="2663">
        <f>OCTUBRE!AA66</f>
        <v>700137786</v>
      </c>
      <c r="Z66" s="2598">
        <v>70539075</v>
      </c>
      <c r="AA66" s="2662">
        <f>SUM(Y66:Z66)</f>
        <v>770676861</v>
      </c>
      <c r="AB66" s="2663">
        <f>OCTUBRE!AD66</f>
        <v>700137786</v>
      </c>
      <c r="AC66" s="2598">
        <v>70539075</v>
      </c>
      <c r="AD66" s="2662">
        <f>SUM(AB66:AC66)</f>
        <v>770676861</v>
      </c>
      <c r="AE66" s="2663">
        <f>OCTUBRE!AG66</f>
        <v>700137786</v>
      </c>
      <c r="AF66" s="2598">
        <v>70539075</v>
      </c>
      <c r="AG66" s="2662">
        <f>SUM(AE66:AF66)</f>
        <v>770676861</v>
      </c>
      <c r="AH66" s="2663">
        <f>X66-AA66</f>
        <v>122833952</v>
      </c>
      <c r="AI66" s="2612">
        <f>X66-AD66</f>
        <v>122833952</v>
      </c>
      <c r="AJ66" s="2664">
        <f>X66-AG66</f>
        <v>122833952</v>
      </c>
      <c r="AK66" s="2489"/>
      <c r="AL66" s="2600">
        <v>-30250000</v>
      </c>
      <c r="AM66" s="2601">
        <v>0</v>
      </c>
      <c r="AN66" s="2489"/>
      <c r="AO66" s="2440"/>
      <c r="AP66" s="2440"/>
      <c r="AQ66" s="2440"/>
      <c r="AR66" s="2440"/>
      <c r="AS66" s="2440"/>
      <c r="AT66" s="2440"/>
      <c r="AU66" s="2440"/>
      <c r="AV66" s="2440"/>
      <c r="AW66" s="2440"/>
      <c r="AX66" s="2440"/>
      <c r="AY66" s="2440"/>
      <c r="AZ66" s="2440"/>
    </row>
    <row r="67" spans="1:70" s="2702" customFormat="1" ht="24.95" customHeight="1">
      <c r="A67" s="2592" t="str">
        <f>+IF(OCTUBRE!A67=0,"",OCTUBRE!A67)</f>
        <v>1130114-1</v>
      </c>
      <c r="B67" s="2725" t="str">
        <f>+CONCATENATE("Vigencia ",INSTRUCCIONES!$F$3)</f>
        <v>Vigencia 2017</v>
      </c>
      <c r="C67" s="2594">
        <f>+ENERO!C67</f>
        <v>0</v>
      </c>
      <c r="D67" s="2595">
        <f>OCTUBRE!D67+NOVIEMBRE!P67</f>
        <v>0</v>
      </c>
      <c r="E67" s="2595">
        <f>OCTUBRE!E67+NOVIEMBRE!Q67</f>
        <v>95233830</v>
      </c>
      <c r="F67" s="2595">
        <f>SUM(C67:E67)</f>
        <v>95233830</v>
      </c>
      <c r="G67" s="2595">
        <f>OCTUBRE!I67</f>
        <v>437350106</v>
      </c>
      <c r="H67" s="2598">
        <v>15566006</v>
      </c>
      <c r="I67" s="2595">
        <f>SUM(G67:H67)</f>
        <v>452916112</v>
      </c>
      <c r="J67" s="2595">
        <f>OCTUBRE!L67</f>
        <v>175820783</v>
      </c>
      <c r="K67" s="2598">
        <v>39648989</v>
      </c>
      <c r="L67" s="2595">
        <f>SUM(J67:K67)</f>
        <v>215469772</v>
      </c>
      <c r="M67" s="2595">
        <f>F67-I67</f>
        <v>-357682282</v>
      </c>
      <c r="N67" s="2596">
        <f>F67-L67</f>
        <v>-120235942</v>
      </c>
      <c r="O67" s="2614"/>
      <c r="P67" s="2600">
        <v>0</v>
      </c>
      <c r="Q67" s="2601">
        <v>93178056</v>
      </c>
      <c r="R67" s="2489"/>
      <c r="S67" s="2659">
        <f>+IF(OCTUBRE!S67=0,"",OCTUBRE!S67)</f>
        <v>1020102</v>
      </c>
      <c r="T67" s="2660" t="str">
        <f>+IF(OCTUBRE!T67=0,"",OCTUBRE!T67)</f>
        <v>Horas Extras,Dominic.,Festivos y Rec. Nocturnos</v>
      </c>
      <c r="U67" s="2661">
        <f>+ENERO!U67</f>
        <v>36988810</v>
      </c>
      <c r="V67" s="2612">
        <f>OCTUBRE!V67+NOVIEMBRE!AL67</f>
        <v>27623000</v>
      </c>
      <c r="W67" s="2612">
        <f>OCTUBRE!W67+NOVIEMBRE!AM67</f>
        <v>39509971</v>
      </c>
      <c r="X67" s="2662">
        <f>SUM(U67:W67)</f>
        <v>104121781</v>
      </c>
      <c r="Y67" s="2663">
        <f>OCTUBRE!AA67</f>
        <v>84131498</v>
      </c>
      <c r="Z67" s="2598">
        <v>9569733</v>
      </c>
      <c r="AA67" s="2662">
        <f>SUM(Y67:Z67)</f>
        <v>93701231</v>
      </c>
      <c r="AB67" s="2663">
        <f>OCTUBRE!AD67</f>
        <v>84131498</v>
      </c>
      <c r="AC67" s="2598">
        <v>9569733</v>
      </c>
      <c r="AD67" s="2662">
        <f>SUM(AB67:AC67)</f>
        <v>93701231</v>
      </c>
      <c r="AE67" s="2663">
        <f>OCTUBRE!AG67</f>
        <v>84131498</v>
      </c>
      <c r="AF67" s="2598">
        <v>9569733</v>
      </c>
      <c r="AG67" s="2662">
        <f>SUM(AE67:AF67)</f>
        <v>93701231</v>
      </c>
      <c r="AH67" s="2663">
        <f>X67-AA67</f>
        <v>10420550</v>
      </c>
      <c r="AI67" s="2612">
        <f>X67-AD67</f>
        <v>10420550</v>
      </c>
      <c r="AJ67" s="2664">
        <f>X67-AG67</f>
        <v>10420550</v>
      </c>
      <c r="AK67" s="2489"/>
      <c r="AL67" s="2600">
        <v>0</v>
      </c>
      <c r="AM67" s="2601">
        <v>0</v>
      </c>
      <c r="AN67" s="2489"/>
      <c r="AO67" s="2440"/>
      <c r="AP67" s="2440"/>
      <c r="AQ67" s="2440"/>
      <c r="AR67" s="2440"/>
      <c r="AS67" s="2440"/>
      <c r="AT67" s="2440"/>
      <c r="AU67" s="2440"/>
      <c r="AV67" s="2440"/>
      <c r="AW67" s="2440"/>
      <c r="AX67" s="2440"/>
      <c r="AY67" s="2440"/>
      <c r="AZ67" s="2440"/>
      <c r="BA67" s="2614"/>
      <c r="BB67" s="2614"/>
      <c r="BC67" s="2614"/>
      <c r="BD67" s="2614"/>
      <c r="BE67" s="2614"/>
      <c r="BF67" s="2614"/>
      <c r="BG67" s="2614"/>
      <c r="BH67" s="2614"/>
      <c r="BI67" s="2614"/>
      <c r="BJ67" s="2614"/>
      <c r="BK67" s="2614"/>
      <c r="BL67" s="2614"/>
      <c r="BM67" s="2614"/>
      <c r="BN67" s="2614"/>
      <c r="BO67" s="2614"/>
      <c r="BP67" s="2614"/>
      <c r="BQ67" s="2614"/>
      <c r="BR67" s="2614"/>
    </row>
    <row r="68" spans="1:70" s="2702" customFormat="1" ht="24.95" customHeight="1">
      <c r="A68" s="2592" t="str">
        <f>+IF(OCTUBRE!A68=0,"",OCTUBRE!A68)</f>
        <v>1130114-2</v>
      </c>
      <c r="B68" s="2725" t="str">
        <f>+IF(OCTUBRE!B68=0,"",OCTUBRE!B68)</f>
        <v>Vigencia Anterior</v>
      </c>
      <c r="C68" s="2594">
        <f>+ENERO!C68</f>
        <v>0</v>
      </c>
      <c r="D68" s="2595">
        <f>OCTUBRE!D68+NOVIEMBRE!P68</f>
        <v>0</v>
      </c>
      <c r="E68" s="2595">
        <f>OCTUBRE!E68+NOVIEMBRE!Q68</f>
        <v>55505113</v>
      </c>
      <c r="F68" s="2595">
        <f>SUM(C68:E68)</f>
        <v>55505113</v>
      </c>
      <c r="G68" s="2595">
        <f>OCTUBRE!I68</f>
        <v>55505113</v>
      </c>
      <c r="H68" s="2598">
        <v>0</v>
      </c>
      <c r="I68" s="2595">
        <f>SUM(G68:H68)</f>
        <v>55505113</v>
      </c>
      <c r="J68" s="2595">
        <f>OCTUBRE!L68</f>
        <v>55505113</v>
      </c>
      <c r="K68" s="2598">
        <v>0</v>
      </c>
      <c r="L68" s="2595">
        <f>SUM(J68:K68)</f>
        <v>55505113</v>
      </c>
      <c r="M68" s="2595">
        <f>F68-I68</f>
        <v>0</v>
      </c>
      <c r="N68" s="2596">
        <f>F68-L68</f>
        <v>0</v>
      </c>
      <c r="O68" s="2614"/>
      <c r="P68" s="2600">
        <v>0</v>
      </c>
      <c r="Q68" s="2601">
        <v>34280279</v>
      </c>
      <c r="R68" s="2489"/>
      <c r="S68" s="2659">
        <f>+IF(OCTUBRE!S68=0,"",OCTUBRE!S68)</f>
        <v>1020103</v>
      </c>
      <c r="T68" s="2660" t="str">
        <f>+IF(OCTUBRE!T68=0,"",OCTUBRE!T68)</f>
        <v>Prima Técnica</v>
      </c>
      <c r="U68" s="2661">
        <f>+ENERO!U68</f>
        <v>0</v>
      </c>
      <c r="V68" s="2612">
        <f>OCTUBRE!V68+NOVIEMBRE!AL68</f>
        <v>0</v>
      </c>
      <c r="W68" s="2612">
        <f>OCTUBRE!W68+NOVIEMBRE!AM68</f>
        <v>0</v>
      </c>
      <c r="X68" s="2662">
        <f>SUM(U68:W68)</f>
        <v>0</v>
      </c>
      <c r="Y68" s="2663">
        <f>OCTUBRE!AA68</f>
        <v>0</v>
      </c>
      <c r="Z68" s="2598">
        <v>0</v>
      </c>
      <c r="AA68" s="2662">
        <f>SUM(Y68:Z68)</f>
        <v>0</v>
      </c>
      <c r="AB68" s="2663">
        <f>OCTUBRE!AD68</f>
        <v>0</v>
      </c>
      <c r="AC68" s="2598">
        <v>0</v>
      </c>
      <c r="AD68" s="2662">
        <f>SUM(AB68:AC68)</f>
        <v>0</v>
      </c>
      <c r="AE68" s="2663">
        <f>OCTUBRE!AG68</f>
        <v>0</v>
      </c>
      <c r="AF68" s="2598">
        <v>0</v>
      </c>
      <c r="AG68" s="2662">
        <f>SUM(AE68:AF68)</f>
        <v>0</v>
      </c>
      <c r="AH68" s="2663">
        <f>X68-AA68</f>
        <v>0</v>
      </c>
      <c r="AI68" s="2612">
        <f>X68-AD68</f>
        <v>0</v>
      </c>
      <c r="AJ68" s="2664">
        <f>X68-AG68</f>
        <v>0</v>
      </c>
      <c r="AK68" s="2489"/>
      <c r="AL68" s="2600">
        <v>0</v>
      </c>
      <c r="AM68" s="2601">
        <v>0</v>
      </c>
      <c r="AN68" s="2489"/>
      <c r="AO68" s="2440"/>
      <c r="AP68" s="2440"/>
      <c r="AQ68" s="2440"/>
      <c r="AR68" s="2440"/>
      <c r="AS68" s="2440"/>
      <c r="AT68" s="2440"/>
      <c r="AU68" s="2440"/>
      <c r="AV68" s="2440"/>
      <c r="AW68" s="2440"/>
      <c r="AX68" s="2440"/>
      <c r="AY68" s="2440"/>
      <c r="AZ68" s="2440"/>
      <c r="BA68" s="2614"/>
      <c r="BB68" s="2614"/>
      <c r="BC68" s="2614"/>
      <c r="BD68" s="2614"/>
      <c r="BE68" s="2614"/>
      <c r="BF68" s="2614"/>
      <c r="BG68" s="2614"/>
      <c r="BH68" s="2614"/>
      <c r="BI68" s="2614"/>
      <c r="BJ68" s="2614"/>
      <c r="BK68" s="2614"/>
      <c r="BL68" s="2614"/>
      <c r="BM68" s="2614"/>
      <c r="BN68" s="2614"/>
      <c r="BO68" s="2614"/>
      <c r="BP68" s="2614"/>
      <c r="BQ68" s="2614"/>
      <c r="BR68" s="2614"/>
    </row>
    <row r="69" spans="1:70" s="2614" customFormat="1" ht="24.95" customHeight="1">
      <c r="A69" s="2678">
        <f>+IF(OCTUBRE!A69=0,"",OCTUBRE!A69)</f>
        <v>1130115</v>
      </c>
      <c r="B69" s="2713" t="str">
        <f>+IF(OCTUBRE!B69=0,"",OCTUBRE!B69)</f>
        <v>ENTIDADES DE REGIMEN ESPECIAL (Magisterio, Fuerza Pca.)</v>
      </c>
      <c r="C69" s="2680">
        <f t="shared" ref="C69:N69" si="74">SUM(C70:C71)</f>
        <v>1373481412</v>
      </c>
      <c r="D69" s="2714">
        <f t="shared" si="74"/>
        <v>0</v>
      </c>
      <c r="E69" s="2714">
        <f t="shared" si="74"/>
        <v>2106059262</v>
      </c>
      <c r="F69" s="2714">
        <f t="shared" si="74"/>
        <v>3479540674</v>
      </c>
      <c r="G69" s="2714">
        <f t="shared" si="74"/>
        <v>5071081920</v>
      </c>
      <c r="H69" s="2714">
        <f t="shared" si="74"/>
        <v>436704480</v>
      </c>
      <c r="I69" s="2714">
        <f t="shared" si="74"/>
        <v>5507786400</v>
      </c>
      <c r="J69" s="2714">
        <f t="shared" si="74"/>
        <v>2867775366</v>
      </c>
      <c r="K69" s="2714">
        <f t="shared" si="74"/>
        <v>100917550</v>
      </c>
      <c r="L69" s="2714">
        <f t="shared" si="74"/>
        <v>2968692916</v>
      </c>
      <c r="M69" s="2714">
        <f t="shared" si="74"/>
        <v>-2028245726</v>
      </c>
      <c r="N69" s="2681">
        <f t="shared" si="74"/>
        <v>510847758</v>
      </c>
      <c r="P69" s="2680">
        <f>SUM(P70:P71)</f>
        <v>0</v>
      </c>
      <c r="Q69" s="2681">
        <f>SUM(Q70:Q71)</f>
        <v>3438926</v>
      </c>
      <c r="R69" s="2489"/>
      <c r="S69" s="2659">
        <f>+IF(OCTUBRE!S69=0,"",OCTUBRE!S69)</f>
        <v>1020104</v>
      </c>
      <c r="T69" s="2660" t="str">
        <f>+IF(OCTUBRE!T69=0,"",OCTUBRE!T69)</f>
        <v>Otros</v>
      </c>
      <c r="U69" s="2661">
        <f t="shared" ref="U69:AJ69" si="75">SUM(U70:U80)</f>
        <v>280545529</v>
      </c>
      <c r="V69" s="2612">
        <f t="shared" si="75"/>
        <v>47969000</v>
      </c>
      <c r="W69" s="2612">
        <f t="shared" si="75"/>
        <v>77311589</v>
      </c>
      <c r="X69" s="2662">
        <f t="shared" si="75"/>
        <v>405826118</v>
      </c>
      <c r="Y69" s="2663">
        <f t="shared" si="75"/>
        <v>221925766</v>
      </c>
      <c r="Z69" s="2691">
        <f t="shared" si="75"/>
        <v>9216813</v>
      </c>
      <c r="AA69" s="2662">
        <f t="shared" si="75"/>
        <v>231142579</v>
      </c>
      <c r="AB69" s="2663">
        <f t="shared" si="75"/>
        <v>221925766</v>
      </c>
      <c r="AC69" s="2691">
        <f t="shared" si="75"/>
        <v>9216813</v>
      </c>
      <c r="AD69" s="2662">
        <f t="shared" si="75"/>
        <v>231142579</v>
      </c>
      <c r="AE69" s="2663">
        <f t="shared" si="75"/>
        <v>221925766</v>
      </c>
      <c r="AF69" s="2691">
        <f t="shared" si="75"/>
        <v>9216813</v>
      </c>
      <c r="AG69" s="2662">
        <f t="shared" si="75"/>
        <v>231142579</v>
      </c>
      <c r="AH69" s="2663">
        <f t="shared" si="75"/>
        <v>174683539</v>
      </c>
      <c r="AI69" s="2612">
        <f t="shared" si="75"/>
        <v>174683539</v>
      </c>
      <c r="AJ69" s="2664">
        <f t="shared" si="75"/>
        <v>174683539</v>
      </c>
      <c r="AK69" s="2489"/>
      <c r="AL69" s="2692">
        <f>SUM(AL70:AL80)</f>
        <v>250000</v>
      </c>
      <c r="AM69" s="2693">
        <f>SUM(AM70:AM80)</f>
        <v>0</v>
      </c>
      <c r="AN69" s="2489"/>
      <c r="AO69" s="2440"/>
      <c r="AP69" s="2440"/>
      <c r="AQ69" s="2440"/>
      <c r="AR69" s="2440"/>
      <c r="AS69" s="2440"/>
      <c r="AT69" s="2440"/>
      <c r="AU69" s="2440"/>
      <c r="AV69" s="2440"/>
      <c r="AW69" s="2440"/>
      <c r="AX69" s="2440"/>
      <c r="AY69" s="2440"/>
      <c r="AZ69" s="2440"/>
    </row>
    <row r="70" spans="1:70" s="2702" customFormat="1" ht="24.95" customHeight="1">
      <c r="A70" s="2592" t="str">
        <f>+IF(OCTUBRE!A70=0,"",OCTUBRE!A70)</f>
        <v>1130115-1</v>
      </c>
      <c r="B70" s="2725" t="str">
        <f>+CONCATENATE("Vigencia ",INSTRUCCIONES!$F$3)</f>
        <v>Vigencia 2017</v>
      </c>
      <c r="C70" s="2594">
        <f>+ENERO!C70</f>
        <v>1373481412</v>
      </c>
      <c r="D70" s="2595">
        <f>OCTUBRE!D70+NOVIEMBRE!P70</f>
        <v>0</v>
      </c>
      <c r="E70" s="2595">
        <f>OCTUBRE!E70+NOVIEMBRE!Q70</f>
        <v>0</v>
      </c>
      <c r="F70" s="2595">
        <f>SUM(C70:E70)</f>
        <v>1373481412</v>
      </c>
      <c r="G70" s="2595">
        <f>OCTUBRE!I70</f>
        <v>2964882564</v>
      </c>
      <c r="H70" s="2598">
        <v>436155266</v>
      </c>
      <c r="I70" s="2595">
        <f>SUM(G70:H70)</f>
        <v>3401037830</v>
      </c>
      <c r="J70" s="2595">
        <f>OCTUBRE!L70</f>
        <v>761576010</v>
      </c>
      <c r="K70" s="2598">
        <v>100368336</v>
      </c>
      <c r="L70" s="2595">
        <f>SUM(J70:K70)</f>
        <v>861944346</v>
      </c>
      <c r="M70" s="2595">
        <f>F70-I70</f>
        <v>-2027556418</v>
      </c>
      <c r="N70" s="2596">
        <f>F70-L70</f>
        <v>511537066</v>
      </c>
      <c r="O70" s="2614"/>
      <c r="P70" s="2600">
        <v>0</v>
      </c>
      <c r="Q70" s="2601">
        <v>0</v>
      </c>
      <c r="R70" s="2489"/>
      <c r="S70" s="2705" t="str">
        <f>+IF(OCTUBRE!S70=0,"",OCTUBRE!S70)</f>
        <v>1020104-1</v>
      </c>
      <c r="T70" s="2706" t="str">
        <f>+IF(OCTUBRE!T70=0,"",OCTUBRE!T70)</f>
        <v xml:space="preserve">Prima de Navidad </v>
      </c>
      <c r="U70" s="2661">
        <f>+ENERO!U70</f>
        <v>72165521</v>
      </c>
      <c r="V70" s="2612">
        <f>OCTUBRE!V70+NOVIEMBRE!AL70</f>
        <v>0</v>
      </c>
      <c r="W70" s="2612">
        <f>OCTUBRE!W70+NOVIEMBRE!AM70</f>
        <v>0</v>
      </c>
      <c r="X70" s="2662">
        <f t="shared" ref="X70:X81" si="76">SUM(U70:W70)</f>
        <v>72165521</v>
      </c>
      <c r="Y70" s="2663">
        <f>OCTUBRE!AA70</f>
        <v>0</v>
      </c>
      <c r="Z70" s="2598">
        <v>0</v>
      </c>
      <c r="AA70" s="2662">
        <f t="shared" ref="AA70:AA81" si="77">SUM(Y70:Z70)</f>
        <v>0</v>
      </c>
      <c r="AB70" s="2663">
        <f>OCTUBRE!AD70</f>
        <v>0</v>
      </c>
      <c r="AC70" s="2598">
        <v>0</v>
      </c>
      <c r="AD70" s="2662">
        <f t="shared" ref="AD70:AD81" si="78">SUM(AB70:AC70)</f>
        <v>0</v>
      </c>
      <c r="AE70" s="2663">
        <f>OCTUBRE!AG70</f>
        <v>0</v>
      </c>
      <c r="AF70" s="2598">
        <v>0</v>
      </c>
      <c r="AG70" s="2662">
        <f t="shared" ref="AG70:AG81" si="79">SUM(AE70:AF70)</f>
        <v>0</v>
      </c>
      <c r="AH70" s="2663">
        <f t="shared" ref="AH70:AH81" si="80">X70-AA70</f>
        <v>72165521</v>
      </c>
      <c r="AI70" s="2612">
        <f t="shared" ref="AI70:AI81" si="81">X70-AD70</f>
        <v>72165521</v>
      </c>
      <c r="AJ70" s="2664">
        <f t="shared" ref="AJ70:AJ81" si="82">X70-AG70</f>
        <v>72165521</v>
      </c>
      <c r="AK70" s="2489"/>
      <c r="AL70" s="2600">
        <v>0</v>
      </c>
      <c r="AM70" s="2601">
        <v>0</v>
      </c>
      <c r="AN70" s="2489"/>
      <c r="AO70" s="2440"/>
      <c r="AP70" s="2440"/>
      <c r="AQ70" s="2440"/>
      <c r="AR70" s="2440"/>
      <c r="AS70" s="2440"/>
      <c r="AT70" s="2440"/>
      <c r="AU70" s="2440"/>
      <c r="AV70" s="2440"/>
      <c r="AW70" s="2440"/>
      <c r="AX70" s="2440"/>
      <c r="AY70" s="2440"/>
      <c r="AZ70" s="2440"/>
      <c r="BA70" s="2614"/>
      <c r="BB70" s="2614"/>
      <c r="BC70" s="2614"/>
      <c r="BD70" s="2614"/>
      <c r="BE70" s="2614"/>
      <c r="BF70" s="2614"/>
      <c r="BG70" s="2614"/>
      <c r="BH70" s="2614"/>
      <c r="BI70" s="2614"/>
      <c r="BJ70" s="2614"/>
      <c r="BK70" s="2614"/>
      <c r="BL70" s="2614"/>
      <c r="BM70" s="2614"/>
      <c r="BN70" s="2614"/>
      <c r="BO70" s="2614"/>
      <c r="BP70" s="2614"/>
      <c r="BQ70" s="2614"/>
      <c r="BR70" s="2614"/>
    </row>
    <row r="71" spans="1:70" s="2702" customFormat="1" ht="24.95" customHeight="1">
      <c r="A71" s="2592" t="str">
        <f>+IF(OCTUBRE!A71=0,"",OCTUBRE!A71)</f>
        <v>1130115-2</v>
      </c>
      <c r="B71" s="2725" t="str">
        <f>+IF(OCTUBRE!B71=0,"",OCTUBRE!B71)</f>
        <v>Vigencia Anterior</v>
      </c>
      <c r="C71" s="2594">
        <f>+ENERO!C71</f>
        <v>0</v>
      </c>
      <c r="D71" s="2595">
        <f>OCTUBRE!D71+NOVIEMBRE!P71</f>
        <v>0</v>
      </c>
      <c r="E71" s="2595">
        <f>OCTUBRE!E71+NOVIEMBRE!Q71</f>
        <v>2106059262</v>
      </c>
      <c r="F71" s="2595">
        <f>SUM(C71:E71)</f>
        <v>2106059262</v>
      </c>
      <c r="G71" s="2595">
        <f>OCTUBRE!I71</f>
        <v>2106199356</v>
      </c>
      <c r="H71" s="2598">
        <v>549214</v>
      </c>
      <c r="I71" s="2595">
        <f>SUM(G71:H71)</f>
        <v>2106748570</v>
      </c>
      <c r="J71" s="2595">
        <f>OCTUBRE!L71</f>
        <v>2106199356</v>
      </c>
      <c r="K71" s="2598">
        <v>549214</v>
      </c>
      <c r="L71" s="2595">
        <f>SUM(J71:K71)</f>
        <v>2106748570</v>
      </c>
      <c r="M71" s="2595">
        <f>F71-I71</f>
        <v>-689308</v>
      </c>
      <c r="N71" s="2596">
        <f>F71-L71</f>
        <v>-689308</v>
      </c>
      <c r="O71" s="2614"/>
      <c r="P71" s="2600">
        <v>0</v>
      </c>
      <c r="Q71" s="2601">
        <v>3438926</v>
      </c>
      <c r="R71" s="2489"/>
      <c r="S71" s="2705" t="str">
        <f>+IF(OCTUBRE!S71=0,"",OCTUBRE!S71)</f>
        <v>1020104-2</v>
      </c>
      <c r="T71" s="2706" t="str">
        <f>+IF(OCTUBRE!T71=0,"",OCTUBRE!T71)</f>
        <v>Prima Vida Cara</v>
      </c>
      <c r="U71" s="2661">
        <f>+ENERO!U71</f>
        <v>65329386</v>
      </c>
      <c r="V71" s="2612">
        <f>OCTUBRE!V71+NOVIEMBRE!AL71</f>
        <v>0</v>
      </c>
      <c r="W71" s="2612">
        <f>OCTUBRE!W71+NOVIEMBRE!AM71</f>
        <v>69429213</v>
      </c>
      <c r="X71" s="2662">
        <f t="shared" si="76"/>
        <v>134758599</v>
      </c>
      <c r="Y71" s="2663">
        <f>OCTUBRE!AA71</f>
        <v>69429074</v>
      </c>
      <c r="Z71" s="2598">
        <v>0</v>
      </c>
      <c r="AA71" s="2662">
        <f t="shared" si="77"/>
        <v>69429074</v>
      </c>
      <c r="AB71" s="2663">
        <f>OCTUBRE!AD71</f>
        <v>69429074</v>
      </c>
      <c r="AC71" s="2598">
        <v>0</v>
      </c>
      <c r="AD71" s="2662">
        <f t="shared" si="78"/>
        <v>69429074</v>
      </c>
      <c r="AE71" s="2663">
        <f>OCTUBRE!AG71</f>
        <v>69429074</v>
      </c>
      <c r="AF71" s="2598">
        <v>0</v>
      </c>
      <c r="AG71" s="2662">
        <f t="shared" si="79"/>
        <v>69429074</v>
      </c>
      <c r="AH71" s="2663">
        <f t="shared" si="80"/>
        <v>65329525</v>
      </c>
      <c r="AI71" s="2612">
        <f t="shared" si="81"/>
        <v>65329525</v>
      </c>
      <c r="AJ71" s="2664">
        <f t="shared" si="82"/>
        <v>65329525</v>
      </c>
      <c r="AK71" s="2489"/>
      <c r="AL71" s="2600">
        <v>0</v>
      </c>
      <c r="AM71" s="2601">
        <v>0</v>
      </c>
      <c r="AN71" s="2489"/>
      <c r="AO71" s="2440"/>
      <c r="AP71" s="2440"/>
      <c r="AQ71" s="2440"/>
      <c r="AR71" s="2440"/>
      <c r="AS71" s="2440"/>
      <c r="AT71" s="2440"/>
      <c r="AU71" s="2440"/>
      <c r="AV71" s="2440"/>
      <c r="AW71" s="2440"/>
      <c r="AX71" s="2440"/>
      <c r="AY71" s="2440"/>
      <c r="AZ71" s="2440"/>
      <c r="BA71" s="2614"/>
      <c r="BB71" s="2614"/>
      <c r="BC71" s="2614"/>
      <c r="BD71" s="2614"/>
      <c r="BE71" s="2614"/>
      <c r="BF71" s="2614"/>
      <c r="BG71" s="2614"/>
      <c r="BH71" s="2614"/>
      <c r="BI71" s="2614"/>
      <c r="BJ71" s="2614"/>
      <c r="BK71" s="2614"/>
      <c r="BL71" s="2614"/>
      <c r="BM71" s="2614"/>
      <c r="BN71" s="2614"/>
      <c r="BO71" s="2614"/>
      <c r="BP71" s="2614"/>
      <c r="BQ71" s="2614"/>
      <c r="BR71" s="2614"/>
    </row>
    <row r="72" spans="1:70" s="2614" customFormat="1" ht="24.95" customHeight="1">
      <c r="A72" s="2678">
        <f>+IF(OCTUBRE!A72=0,"",OCTUBRE!A72)</f>
        <v>1130116</v>
      </c>
      <c r="B72" s="2713" t="str">
        <f>+IF(OCTUBRE!B72=0,"",OCTUBRE!B72)</f>
        <v>ADMINISTRADORAS DE RIESGOS PROFESIONALES</v>
      </c>
      <c r="C72" s="2680">
        <f t="shared" ref="C72:N72" si="83">SUM(C73:C74)</f>
        <v>474083630</v>
      </c>
      <c r="D72" s="2714">
        <f t="shared" si="83"/>
        <v>0</v>
      </c>
      <c r="E72" s="2714">
        <f t="shared" si="83"/>
        <v>206614627</v>
      </c>
      <c r="F72" s="2714">
        <f t="shared" si="83"/>
        <v>680698257</v>
      </c>
      <c r="G72" s="2714">
        <f t="shared" si="83"/>
        <v>367502713</v>
      </c>
      <c r="H72" s="2714">
        <f t="shared" si="83"/>
        <v>14918948</v>
      </c>
      <c r="I72" s="2714">
        <f t="shared" si="83"/>
        <v>382421661</v>
      </c>
      <c r="J72" s="2714">
        <f t="shared" si="83"/>
        <v>251561754</v>
      </c>
      <c r="K72" s="2714">
        <f t="shared" si="83"/>
        <v>23652897</v>
      </c>
      <c r="L72" s="2714">
        <f t="shared" si="83"/>
        <v>275214651</v>
      </c>
      <c r="M72" s="2714">
        <f t="shared" si="83"/>
        <v>298276596</v>
      </c>
      <c r="N72" s="2681">
        <f t="shared" si="83"/>
        <v>405483606</v>
      </c>
      <c r="P72" s="2680">
        <f>SUM(P73:P74)</f>
        <v>0</v>
      </c>
      <c r="Q72" s="2681">
        <f>SUM(Q73:Q74)</f>
        <v>2273653</v>
      </c>
      <c r="R72" s="2489"/>
      <c r="S72" s="2705" t="str">
        <f>+IF(OCTUBRE!S72=0,"",OCTUBRE!S72)</f>
        <v>1020104-3</v>
      </c>
      <c r="T72" s="2706" t="str">
        <f>+IF(OCTUBRE!T72=0,"",OCTUBRE!T72)</f>
        <v>Prima de Vacaciones</v>
      </c>
      <c r="U72" s="2661">
        <f>+ENERO!U72</f>
        <v>34829886</v>
      </c>
      <c r="V72" s="2612">
        <f>OCTUBRE!V72+NOVIEMBRE!AL72</f>
        <v>0</v>
      </c>
      <c r="W72" s="2612">
        <f>OCTUBRE!W72+NOVIEMBRE!AM72</f>
        <v>1314922</v>
      </c>
      <c r="X72" s="2662">
        <f t="shared" si="76"/>
        <v>36144808</v>
      </c>
      <c r="Y72" s="2663">
        <f>OCTUBRE!AA72</f>
        <v>20884638</v>
      </c>
      <c r="Z72" s="2598">
        <v>1349111</v>
      </c>
      <c r="AA72" s="2662">
        <f t="shared" si="77"/>
        <v>22233749</v>
      </c>
      <c r="AB72" s="2663">
        <f>OCTUBRE!AD72</f>
        <v>20884638</v>
      </c>
      <c r="AC72" s="2598">
        <v>1349111</v>
      </c>
      <c r="AD72" s="2662">
        <f t="shared" si="78"/>
        <v>22233749</v>
      </c>
      <c r="AE72" s="2663">
        <f>OCTUBRE!AG72</f>
        <v>20884638</v>
      </c>
      <c r="AF72" s="2598">
        <v>1349111</v>
      </c>
      <c r="AG72" s="2662">
        <f t="shared" si="79"/>
        <v>22233749</v>
      </c>
      <c r="AH72" s="2663">
        <f t="shared" si="80"/>
        <v>13911059</v>
      </c>
      <c r="AI72" s="2612">
        <f t="shared" si="81"/>
        <v>13911059</v>
      </c>
      <c r="AJ72" s="2664">
        <f t="shared" si="82"/>
        <v>13911059</v>
      </c>
      <c r="AK72" s="2489"/>
      <c r="AL72" s="2600">
        <v>0</v>
      </c>
      <c r="AM72" s="2601">
        <v>0</v>
      </c>
      <c r="AN72" s="2489"/>
      <c r="AO72" s="2440"/>
      <c r="AP72" s="2440"/>
      <c r="AQ72" s="2440"/>
      <c r="AR72" s="2440"/>
      <c r="AS72" s="2440"/>
      <c r="AT72" s="2440"/>
      <c r="AU72" s="2440"/>
      <c r="AV72" s="2440"/>
      <c r="AW72" s="2440"/>
      <c r="AX72" s="2440"/>
      <c r="AY72" s="2440"/>
      <c r="AZ72" s="2440"/>
    </row>
    <row r="73" spans="1:70" s="2702" customFormat="1" ht="24.95" customHeight="1">
      <c r="A73" s="2592" t="str">
        <f>+IF(OCTUBRE!A73=0,"",OCTUBRE!A73)</f>
        <v>1130116-1</v>
      </c>
      <c r="B73" s="2725" t="str">
        <f>+CONCATENATE("Vigencia ",INSTRUCCIONES!$F$3)</f>
        <v>Vigencia 2017</v>
      </c>
      <c r="C73" s="2594">
        <f>+ENERO!C73</f>
        <v>474083630</v>
      </c>
      <c r="D73" s="2595">
        <f>OCTUBRE!D73+NOVIEMBRE!P73</f>
        <v>0</v>
      </c>
      <c r="E73" s="2595">
        <f>OCTUBRE!E73+NOVIEMBRE!Q73</f>
        <v>0</v>
      </c>
      <c r="F73" s="2595">
        <f>SUM(C73:E73)</f>
        <v>474083630</v>
      </c>
      <c r="G73" s="2595">
        <f>OCTUBRE!I73</f>
        <v>160888086</v>
      </c>
      <c r="H73" s="2598">
        <v>14918948</v>
      </c>
      <c r="I73" s="2595">
        <f>SUM(G73:H73)</f>
        <v>175807034</v>
      </c>
      <c r="J73" s="2595">
        <f>OCTUBRE!L73</f>
        <v>44947127</v>
      </c>
      <c r="K73" s="2598">
        <v>23652897</v>
      </c>
      <c r="L73" s="2595">
        <f>SUM(J73:K73)</f>
        <v>68600024</v>
      </c>
      <c r="M73" s="2595">
        <f>F73-I73</f>
        <v>298276596</v>
      </c>
      <c r="N73" s="2596">
        <f>F73-L73</f>
        <v>405483606</v>
      </c>
      <c r="O73" s="2614"/>
      <c r="P73" s="2600">
        <v>0</v>
      </c>
      <c r="Q73" s="2601">
        <v>0</v>
      </c>
      <c r="R73" s="2489"/>
      <c r="S73" s="2705" t="str">
        <f>+IF(OCTUBRE!S73=0,"",OCTUBRE!S73)</f>
        <v>1020104-4</v>
      </c>
      <c r="T73" s="2706" t="str">
        <f>+IF(OCTUBRE!T73=0,"",OCTUBRE!T73)</f>
        <v>Prima Clima</v>
      </c>
      <c r="U73" s="2661">
        <f>+ENERO!U73</f>
        <v>0</v>
      </c>
      <c r="V73" s="2612">
        <f>OCTUBRE!V73+NOVIEMBRE!AL73</f>
        <v>0</v>
      </c>
      <c r="W73" s="2612">
        <f>OCTUBRE!W73+NOVIEMBRE!AM73</f>
        <v>0</v>
      </c>
      <c r="X73" s="2662">
        <f t="shared" si="76"/>
        <v>0</v>
      </c>
      <c r="Y73" s="2663">
        <f>OCTUBRE!AA73</f>
        <v>0</v>
      </c>
      <c r="Z73" s="2598">
        <v>0</v>
      </c>
      <c r="AA73" s="2662">
        <f t="shared" si="77"/>
        <v>0</v>
      </c>
      <c r="AB73" s="2663">
        <f>OCTUBRE!AD73</f>
        <v>0</v>
      </c>
      <c r="AC73" s="2598">
        <v>0</v>
      </c>
      <c r="AD73" s="2662">
        <f t="shared" si="78"/>
        <v>0</v>
      </c>
      <c r="AE73" s="2663">
        <f>OCTUBRE!AG73</f>
        <v>0</v>
      </c>
      <c r="AF73" s="2598">
        <v>0</v>
      </c>
      <c r="AG73" s="2662">
        <f t="shared" si="79"/>
        <v>0</v>
      </c>
      <c r="AH73" s="2663">
        <f t="shared" si="80"/>
        <v>0</v>
      </c>
      <c r="AI73" s="2612">
        <f t="shared" si="81"/>
        <v>0</v>
      </c>
      <c r="AJ73" s="2664">
        <f t="shared" si="82"/>
        <v>0</v>
      </c>
      <c r="AK73" s="2489"/>
      <c r="AL73" s="2600">
        <v>0</v>
      </c>
      <c r="AM73" s="2601">
        <v>0</v>
      </c>
      <c r="AN73" s="2489"/>
      <c r="AO73" s="2440"/>
      <c r="AP73" s="2440"/>
      <c r="AQ73" s="2440"/>
      <c r="AR73" s="2440"/>
      <c r="AS73" s="2440"/>
      <c r="AT73" s="2440"/>
      <c r="AU73" s="2440"/>
      <c r="AV73" s="2440"/>
      <c r="AW73" s="2440"/>
      <c r="AX73" s="2440"/>
      <c r="AY73" s="2440"/>
      <c r="AZ73" s="2440"/>
      <c r="BA73" s="2614"/>
      <c r="BB73" s="2614"/>
      <c r="BC73" s="2614"/>
      <c r="BD73" s="2614"/>
      <c r="BE73" s="2614"/>
      <c r="BF73" s="2614"/>
      <c r="BG73" s="2614"/>
      <c r="BH73" s="2614"/>
      <c r="BI73" s="2614"/>
      <c r="BJ73" s="2614"/>
      <c r="BK73" s="2614"/>
      <c r="BL73" s="2614"/>
      <c r="BM73" s="2614"/>
      <c r="BN73" s="2614"/>
      <c r="BO73" s="2614"/>
      <c r="BP73" s="2614"/>
      <c r="BQ73" s="2614"/>
      <c r="BR73" s="2614"/>
    </row>
    <row r="74" spans="1:70" s="2702" customFormat="1" ht="24.95" customHeight="1">
      <c r="A74" s="2592" t="str">
        <f>+IF(OCTUBRE!A74=0,"",OCTUBRE!A74)</f>
        <v>1130116-2</v>
      </c>
      <c r="B74" s="2725" t="str">
        <f>+IF(OCTUBRE!B74=0,"",OCTUBRE!B74)</f>
        <v>Vigencia Anterior</v>
      </c>
      <c r="C74" s="2594">
        <f>+ENERO!C74</f>
        <v>0</v>
      </c>
      <c r="D74" s="2595">
        <f>OCTUBRE!D74+NOVIEMBRE!P74</f>
        <v>0</v>
      </c>
      <c r="E74" s="2595">
        <f>OCTUBRE!E74+NOVIEMBRE!Q74</f>
        <v>206614627</v>
      </c>
      <c r="F74" s="2595">
        <f>SUM(C74:E74)</f>
        <v>206614627</v>
      </c>
      <c r="G74" s="2595">
        <f>OCTUBRE!I74</f>
        <v>206614627</v>
      </c>
      <c r="H74" s="2598">
        <v>0</v>
      </c>
      <c r="I74" s="2595">
        <f>SUM(G74:H74)</f>
        <v>206614627</v>
      </c>
      <c r="J74" s="2595">
        <f>OCTUBRE!L74</f>
        <v>206614627</v>
      </c>
      <c r="K74" s="2598">
        <v>0</v>
      </c>
      <c r="L74" s="2595">
        <f>SUM(J74:K74)</f>
        <v>206614627</v>
      </c>
      <c r="M74" s="2595">
        <f>F74-I74</f>
        <v>0</v>
      </c>
      <c r="N74" s="2596">
        <f>F74-L74</f>
        <v>0</v>
      </c>
      <c r="O74" s="2614"/>
      <c r="P74" s="2600">
        <v>0</v>
      </c>
      <c r="Q74" s="2601">
        <v>2273653</v>
      </c>
      <c r="R74" s="2489"/>
      <c r="S74" s="2705" t="str">
        <f>+IF(OCTUBRE!S74=0,"",OCTUBRE!S74)</f>
        <v>1020104-5</v>
      </c>
      <c r="T74" s="2706" t="str">
        <f>+IF(OCTUBRE!T74=0,"",OCTUBRE!T74)</f>
        <v>Prima de Servicios</v>
      </c>
      <c r="U74" s="2661">
        <f>+ENERO!U74</f>
        <v>36082760</v>
      </c>
      <c r="V74" s="2612">
        <f>OCTUBRE!V74+NOVIEMBRE!AL74</f>
        <v>0</v>
      </c>
      <c r="W74" s="2612">
        <f>OCTUBRE!W74+NOVIEMBRE!AM74</f>
        <v>2192113</v>
      </c>
      <c r="X74" s="2662">
        <f t="shared" si="76"/>
        <v>38274873</v>
      </c>
      <c r="Y74" s="2663">
        <f>OCTUBRE!AA74</f>
        <v>34648253</v>
      </c>
      <c r="Z74" s="2598">
        <v>0</v>
      </c>
      <c r="AA74" s="2662">
        <f t="shared" si="77"/>
        <v>34648253</v>
      </c>
      <c r="AB74" s="2663">
        <f>OCTUBRE!AD74</f>
        <v>34648253</v>
      </c>
      <c r="AC74" s="2598">
        <v>0</v>
      </c>
      <c r="AD74" s="2662">
        <f t="shared" si="78"/>
        <v>34648253</v>
      </c>
      <c r="AE74" s="2663">
        <f>OCTUBRE!AG74</f>
        <v>34648253</v>
      </c>
      <c r="AF74" s="2598">
        <v>0</v>
      </c>
      <c r="AG74" s="2662">
        <f t="shared" si="79"/>
        <v>34648253</v>
      </c>
      <c r="AH74" s="2663">
        <f t="shared" si="80"/>
        <v>3626620</v>
      </c>
      <c r="AI74" s="2612">
        <f t="shared" si="81"/>
        <v>3626620</v>
      </c>
      <c r="AJ74" s="2664">
        <f t="shared" si="82"/>
        <v>3626620</v>
      </c>
      <c r="AK74" s="2489"/>
      <c r="AL74" s="2600">
        <v>0</v>
      </c>
      <c r="AM74" s="2601">
        <v>0</v>
      </c>
      <c r="AN74" s="2489"/>
      <c r="AO74" s="2440"/>
      <c r="AP74" s="2440"/>
      <c r="AQ74" s="2440"/>
      <c r="AR74" s="2440"/>
      <c r="AS74" s="2440"/>
      <c r="AT74" s="2440"/>
      <c r="AU74" s="2440"/>
      <c r="AV74" s="2440"/>
      <c r="AW74" s="2440"/>
      <c r="AX74" s="2440"/>
      <c r="AY74" s="2440"/>
      <c r="AZ74" s="2440"/>
      <c r="BA74" s="2614"/>
      <c r="BB74" s="2614"/>
      <c r="BC74" s="2614"/>
      <c r="BD74" s="2614"/>
      <c r="BE74" s="2614"/>
      <c r="BF74" s="2614"/>
      <c r="BG74" s="2614"/>
      <c r="BH74" s="2614"/>
      <c r="BI74" s="2614"/>
      <c r="BJ74" s="2614"/>
      <c r="BK74" s="2614"/>
      <c r="BL74" s="2614"/>
      <c r="BM74" s="2614"/>
      <c r="BN74" s="2614"/>
      <c r="BO74" s="2614"/>
      <c r="BP74" s="2614"/>
      <c r="BQ74" s="2614"/>
      <c r="BR74" s="2614"/>
    </row>
    <row r="75" spans="1:70" s="2614" customFormat="1" ht="24.95" customHeight="1">
      <c r="A75" s="2678">
        <f>+IF(OCTUBRE!A75=0,"",OCTUBRE!A75)</f>
        <v>1130117</v>
      </c>
      <c r="B75" s="2713" t="str">
        <f>+IF(OCTUBRE!B75=0,"",OCTUBRE!B75)</f>
        <v>CUOTAS DE RECUPERACION</v>
      </c>
      <c r="C75" s="2680">
        <f t="shared" ref="C75:N75" si="84">SUM(C76:C77)</f>
        <v>52000000</v>
      </c>
      <c r="D75" s="2714">
        <f t="shared" si="84"/>
        <v>0</v>
      </c>
      <c r="E75" s="2714">
        <f t="shared" si="84"/>
        <v>602749</v>
      </c>
      <c r="F75" s="2714">
        <f t="shared" si="84"/>
        <v>52602749</v>
      </c>
      <c r="G75" s="2714">
        <f t="shared" si="84"/>
        <v>31367263</v>
      </c>
      <c r="H75" s="2714">
        <f t="shared" si="84"/>
        <v>0</v>
      </c>
      <c r="I75" s="2714">
        <f t="shared" si="84"/>
        <v>31367263</v>
      </c>
      <c r="J75" s="2714">
        <f t="shared" si="84"/>
        <v>1509049</v>
      </c>
      <c r="K75" s="2714">
        <f t="shared" si="84"/>
        <v>0</v>
      </c>
      <c r="L75" s="2714">
        <f t="shared" si="84"/>
        <v>1509049</v>
      </c>
      <c r="M75" s="2714">
        <f t="shared" si="84"/>
        <v>21235486</v>
      </c>
      <c r="N75" s="2681">
        <f t="shared" si="84"/>
        <v>51093700</v>
      </c>
      <c r="P75" s="2680">
        <f>SUM(P76:P77)</f>
        <v>0</v>
      </c>
      <c r="Q75" s="2681">
        <f>SUM(Q76:Q77)</f>
        <v>0</v>
      </c>
      <c r="R75" s="2489"/>
      <c r="S75" s="2705" t="str">
        <f>+IF(OCTUBRE!S75=0,"",OCTUBRE!S75)</f>
        <v>1020104-8</v>
      </c>
      <c r="T75" s="2706" t="str">
        <f>+IF(OCTUBRE!T75=0,"",OCTUBRE!T75)</f>
        <v>Bonific. por Servicios Prestados</v>
      </c>
      <c r="U75" s="2661">
        <f>+ENERO!U75</f>
        <v>17770724</v>
      </c>
      <c r="V75" s="2612">
        <f>OCTUBRE!V75+NOVIEMBRE!AL75</f>
        <v>14000000</v>
      </c>
      <c r="W75" s="2612">
        <f>OCTUBRE!W75+NOVIEMBRE!AM75</f>
        <v>694013</v>
      </c>
      <c r="X75" s="2662">
        <f t="shared" si="76"/>
        <v>32464737</v>
      </c>
      <c r="Y75" s="2663">
        <f>OCTUBRE!AA75</f>
        <v>22458801</v>
      </c>
      <c r="Z75" s="2598">
        <v>1533076</v>
      </c>
      <c r="AA75" s="2662">
        <f t="shared" si="77"/>
        <v>23991877</v>
      </c>
      <c r="AB75" s="2663">
        <f>OCTUBRE!AD75</f>
        <v>22458801</v>
      </c>
      <c r="AC75" s="2598">
        <v>1533076</v>
      </c>
      <c r="AD75" s="2662">
        <f t="shared" si="78"/>
        <v>23991877</v>
      </c>
      <c r="AE75" s="2663">
        <f>OCTUBRE!AG75</f>
        <v>22458801</v>
      </c>
      <c r="AF75" s="2598">
        <v>1533076</v>
      </c>
      <c r="AG75" s="2662">
        <f t="shared" si="79"/>
        <v>23991877</v>
      </c>
      <c r="AH75" s="2663">
        <f t="shared" si="80"/>
        <v>8472860</v>
      </c>
      <c r="AI75" s="2612">
        <f t="shared" si="81"/>
        <v>8472860</v>
      </c>
      <c r="AJ75" s="2664">
        <f t="shared" si="82"/>
        <v>8472860</v>
      </c>
      <c r="AK75" s="2489"/>
      <c r="AL75" s="2600">
        <v>0</v>
      </c>
      <c r="AM75" s="2601">
        <v>0</v>
      </c>
      <c r="AN75" s="2489"/>
      <c r="AO75" s="2440"/>
      <c r="AP75" s="2440"/>
      <c r="AQ75" s="2440"/>
      <c r="AR75" s="2440"/>
      <c r="AS75" s="2440"/>
      <c r="AT75" s="2440"/>
      <c r="AU75" s="2440"/>
      <c r="AV75" s="2440"/>
      <c r="AW75" s="2440"/>
      <c r="AX75" s="2440"/>
      <c r="AY75" s="2440"/>
      <c r="AZ75" s="2440"/>
    </row>
    <row r="76" spans="1:70" s="2702" customFormat="1" ht="24.95" customHeight="1">
      <c r="A76" s="2592" t="str">
        <f>+IF(OCTUBRE!A76=0,"",OCTUBRE!A76)</f>
        <v>1130117-1</v>
      </c>
      <c r="B76" s="2725" t="str">
        <f>+CONCATENATE("Vigencia ",INSTRUCCIONES!$F$3)</f>
        <v>Vigencia 2017</v>
      </c>
      <c r="C76" s="2594">
        <f>+ENERO!C76</f>
        <v>52000000</v>
      </c>
      <c r="D76" s="2595">
        <f>OCTUBRE!D76+NOVIEMBRE!P76</f>
        <v>0</v>
      </c>
      <c r="E76" s="2595">
        <f>OCTUBRE!E76+NOVIEMBRE!Q76</f>
        <v>0</v>
      </c>
      <c r="F76" s="2595">
        <f t="shared" ref="F76:F83" si="85">SUM(C76:E76)</f>
        <v>52000000</v>
      </c>
      <c r="G76" s="2595">
        <f>OCTUBRE!I76</f>
        <v>30764514</v>
      </c>
      <c r="H76" s="2598">
        <v>0</v>
      </c>
      <c r="I76" s="2595">
        <f t="shared" ref="I76:I83" si="86">SUM(G76:H76)</f>
        <v>30764514</v>
      </c>
      <c r="J76" s="2595">
        <f>OCTUBRE!L76</f>
        <v>906300</v>
      </c>
      <c r="K76" s="2598">
        <v>0</v>
      </c>
      <c r="L76" s="2595">
        <f t="shared" ref="L76:L83" si="87">SUM(J76:K76)</f>
        <v>906300</v>
      </c>
      <c r="M76" s="2595">
        <f t="shared" ref="M76:M83" si="88">F76-I76</f>
        <v>21235486</v>
      </c>
      <c r="N76" s="2596">
        <f t="shared" ref="N76:N83" si="89">F76-L76</f>
        <v>51093700</v>
      </c>
      <c r="O76" s="2614"/>
      <c r="P76" s="2600">
        <v>0</v>
      </c>
      <c r="Q76" s="2601">
        <v>0</v>
      </c>
      <c r="R76" s="2489"/>
      <c r="S76" s="2705" t="str">
        <f>+IF(OCTUBRE!S76=0,"",OCTUBRE!S76)</f>
        <v>1020104-9</v>
      </c>
      <c r="T76" s="2706" t="str">
        <f>+IF(OCTUBRE!T76=0,"",OCTUBRE!T76)</f>
        <v>Auxilio de Transporte</v>
      </c>
      <c r="U76" s="2661">
        <f>+ENERO!U76</f>
        <v>1703268</v>
      </c>
      <c r="V76" s="2612">
        <f>OCTUBRE!V76+NOVIEMBRE!AL76</f>
        <v>505000</v>
      </c>
      <c r="W76" s="2612">
        <f>OCTUBRE!W76+NOVIEMBRE!AM76</f>
        <v>0</v>
      </c>
      <c r="X76" s="2662">
        <f t="shared" si="76"/>
        <v>2208268</v>
      </c>
      <c r="Y76" s="2663">
        <f>OCTUBRE!AA76</f>
        <v>1870620</v>
      </c>
      <c r="Z76" s="2598">
        <v>166280</v>
      </c>
      <c r="AA76" s="2662">
        <f t="shared" si="77"/>
        <v>2036900</v>
      </c>
      <c r="AB76" s="2663">
        <f>OCTUBRE!AD76</f>
        <v>1870620</v>
      </c>
      <c r="AC76" s="2598">
        <v>166280</v>
      </c>
      <c r="AD76" s="2662">
        <f t="shared" si="78"/>
        <v>2036900</v>
      </c>
      <c r="AE76" s="2663">
        <f>OCTUBRE!AG76</f>
        <v>1870620</v>
      </c>
      <c r="AF76" s="2598">
        <v>166280</v>
      </c>
      <c r="AG76" s="2662">
        <f t="shared" si="79"/>
        <v>2036900</v>
      </c>
      <c r="AH76" s="2663">
        <f t="shared" si="80"/>
        <v>171368</v>
      </c>
      <c r="AI76" s="2612">
        <f t="shared" si="81"/>
        <v>171368</v>
      </c>
      <c r="AJ76" s="2664">
        <f t="shared" si="82"/>
        <v>171368</v>
      </c>
      <c r="AK76" s="2489"/>
      <c r="AL76" s="2600">
        <v>250000</v>
      </c>
      <c r="AM76" s="2601">
        <v>0</v>
      </c>
      <c r="AN76" s="2489"/>
      <c r="AO76" s="2440"/>
      <c r="AP76" s="2440"/>
      <c r="AQ76" s="2773"/>
      <c r="AR76" s="2440"/>
      <c r="AS76" s="2440"/>
      <c r="AT76" s="2440"/>
      <c r="AU76" s="2440"/>
      <c r="AV76" s="2440"/>
      <c r="AW76" s="2440"/>
      <c r="AX76" s="2440"/>
      <c r="AY76" s="2440"/>
      <c r="AZ76" s="2440"/>
      <c r="BA76" s="2614"/>
      <c r="BB76" s="2614"/>
      <c r="BC76" s="2614"/>
      <c r="BD76" s="2614"/>
      <c r="BE76" s="2614"/>
      <c r="BF76" s="2614"/>
      <c r="BG76" s="2614"/>
      <c r="BH76" s="2614"/>
      <c r="BI76" s="2614"/>
      <c r="BJ76" s="2614"/>
      <c r="BK76" s="2614"/>
      <c r="BL76" s="2614"/>
      <c r="BM76" s="2614"/>
      <c r="BN76" s="2614"/>
      <c r="BO76" s="2614"/>
      <c r="BP76" s="2614"/>
      <c r="BQ76" s="2614"/>
      <c r="BR76" s="2614"/>
    </row>
    <row r="77" spans="1:70" s="2702" customFormat="1" ht="24.95" customHeight="1">
      <c r="A77" s="2592" t="str">
        <f>+IF(OCTUBRE!A77=0,"",OCTUBRE!A77)</f>
        <v>1130117-2</v>
      </c>
      <c r="B77" s="2725" t="str">
        <f>+IF(OCTUBRE!B77=0,"",OCTUBRE!B77)</f>
        <v>Vigencia Anterior</v>
      </c>
      <c r="C77" s="2594">
        <f>+ENERO!C77</f>
        <v>0</v>
      </c>
      <c r="D77" s="2595">
        <f>OCTUBRE!D77+NOVIEMBRE!P77</f>
        <v>0</v>
      </c>
      <c r="E77" s="2595">
        <f>OCTUBRE!E77+NOVIEMBRE!Q77</f>
        <v>602749</v>
      </c>
      <c r="F77" s="2595">
        <f t="shared" si="85"/>
        <v>602749</v>
      </c>
      <c r="G77" s="2595">
        <f>OCTUBRE!I77</f>
        <v>602749</v>
      </c>
      <c r="H77" s="2598">
        <v>0</v>
      </c>
      <c r="I77" s="2595">
        <f t="shared" si="86"/>
        <v>602749</v>
      </c>
      <c r="J77" s="2595">
        <f>OCTUBRE!L77</f>
        <v>602749</v>
      </c>
      <c r="K77" s="2598">
        <v>0</v>
      </c>
      <c r="L77" s="2595">
        <f t="shared" si="87"/>
        <v>602749</v>
      </c>
      <c r="M77" s="2595">
        <f t="shared" si="88"/>
        <v>0</v>
      </c>
      <c r="N77" s="2596">
        <f t="shared" si="89"/>
        <v>0</v>
      </c>
      <c r="O77" s="2614"/>
      <c r="P77" s="2600">
        <v>0</v>
      </c>
      <c r="Q77" s="2601">
        <v>0</v>
      </c>
      <c r="R77" s="2489"/>
      <c r="S77" s="2705" t="str">
        <f>+IF(OCTUBRE!S77=0,"",OCTUBRE!S77)</f>
        <v>1020104-10</v>
      </c>
      <c r="T77" s="2706" t="str">
        <f>+IF(OCTUBRE!T77=0,"",OCTUBRE!T77)</f>
        <v>Subsidio de Alimentación</v>
      </c>
      <c r="U77" s="2661">
        <f>+ENERO!U77</f>
        <v>1200000</v>
      </c>
      <c r="V77" s="2612">
        <f>OCTUBRE!V77+NOVIEMBRE!AL77</f>
        <v>464000</v>
      </c>
      <c r="W77" s="2612">
        <f>OCTUBRE!W77+NOVIEMBRE!AM77</f>
        <v>371291</v>
      </c>
      <c r="X77" s="2662">
        <f t="shared" si="76"/>
        <v>2035291</v>
      </c>
      <c r="Y77" s="2663">
        <f>OCTUBRE!AA77</f>
        <v>1431740</v>
      </c>
      <c r="Z77" s="2598">
        <v>114512</v>
      </c>
      <c r="AA77" s="2662">
        <f t="shared" si="77"/>
        <v>1546252</v>
      </c>
      <c r="AB77" s="2663">
        <f>OCTUBRE!AD77</f>
        <v>1431740</v>
      </c>
      <c r="AC77" s="2598">
        <v>114512</v>
      </c>
      <c r="AD77" s="2662">
        <f t="shared" si="78"/>
        <v>1546252</v>
      </c>
      <c r="AE77" s="2663">
        <f>OCTUBRE!AG77</f>
        <v>1431740</v>
      </c>
      <c r="AF77" s="2598">
        <v>114512</v>
      </c>
      <c r="AG77" s="2662">
        <f t="shared" si="79"/>
        <v>1546252</v>
      </c>
      <c r="AH77" s="2663">
        <f t="shared" si="80"/>
        <v>489039</v>
      </c>
      <c r="AI77" s="2612">
        <f t="shared" si="81"/>
        <v>489039</v>
      </c>
      <c r="AJ77" s="2664">
        <f t="shared" si="82"/>
        <v>489039</v>
      </c>
      <c r="AK77" s="2489"/>
      <c r="AL77" s="2600">
        <v>0</v>
      </c>
      <c r="AM77" s="2601">
        <v>0</v>
      </c>
      <c r="AN77" s="2489"/>
      <c r="AO77" s="2440"/>
      <c r="AP77" s="2440"/>
      <c r="AQ77" s="2440"/>
      <c r="AR77" s="2440"/>
      <c r="AS77" s="2440"/>
      <c r="AT77" s="2440"/>
      <c r="AU77" s="2440"/>
      <c r="AV77" s="2440"/>
      <c r="AW77" s="2440"/>
      <c r="AX77" s="2440"/>
      <c r="AY77" s="2440"/>
      <c r="AZ77" s="2440"/>
      <c r="BA77" s="2614"/>
      <c r="BB77" s="2614"/>
      <c r="BC77" s="2614"/>
      <c r="BD77" s="2614"/>
      <c r="BE77" s="2614"/>
      <c r="BF77" s="2614"/>
      <c r="BG77" s="2614"/>
      <c r="BH77" s="2614"/>
      <c r="BI77" s="2614"/>
      <c r="BJ77" s="2614"/>
      <c r="BK77" s="2614"/>
      <c r="BL77" s="2614"/>
      <c r="BM77" s="2614"/>
      <c r="BN77" s="2614"/>
      <c r="BO77" s="2614"/>
      <c r="BP77" s="2614"/>
      <c r="BQ77" s="2614"/>
      <c r="BR77" s="2614"/>
    </row>
    <row r="78" spans="1:70" s="2702" customFormat="1" ht="24.95" customHeight="1">
      <c r="A78" s="2678">
        <f>+IF(OCTUBRE!A78=0,"",OCTUBRE!A78)</f>
        <v>1130118</v>
      </c>
      <c r="B78" s="2713" t="str">
        <f>+IF(OCTUBRE!B78=0,"",OCTUBRE!B78)</f>
        <v>PARTICULARES   (Venta de Contado)</v>
      </c>
      <c r="C78" s="2680">
        <f>SUM(C79:C80)</f>
        <v>435000000</v>
      </c>
      <c r="D78" s="2714">
        <f>SUM(D79:D80)</f>
        <v>0</v>
      </c>
      <c r="E78" s="2714">
        <f>SUM(E79:E80)</f>
        <v>3704196</v>
      </c>
      <c r="F78" s="2714">
        <f t="shared" si="85"/>
        <v>438704196</v>
      </c>
      <c r="G78" s="2714">
        <f>SUM(G79:G80)</f>
        <v>423607534</v>
      </c>
      <c r="H78" s="2714">
        <f>SUM(H79:H80)</f>
        <v>62130263</v>
      </c>
      <c r="I78" s="2714">
        <f t="shared" si="86"/>
        <v>485737797</v>
      </c>
      <c r="J78" s="2714">
        <f>SUM(J79:J80)</f>
        <v>423607534</v>
      </c>
      <c r="K78" s="2714">
        <f>SUM(K79:K80)</f>
        <v>62130263</v>
      </c>
      <c r="L78" s="2714">
        <f t="shared" si="87"/>
        <v>485737797</v>
      </c>
      <c r="M78" s="2714">
        <f t="shared" si="88"/>
        <v>-47033601</v>
      </c>
      <c r="N78" s="2681">
        <f t="shared" si="89"/>
        <v>-47033601</v>
      </c>
      <c r="O78" s="2614"/>
      <c r="P78" s="2680">
        <f>SUM(P79:P80)</f>
        <v>0</v>
      </c>
      <c r="Q78" s="2681">
        <f>SUM(Q79:Q80)</f>
        <v>1871196</v>
      </c>
      <c r="R78" s="2489"/>
      <c r="S78" s="2705" t="str">
        <f>+IF(OCTUBRE!S78=0,"",OCTUBRE!S78)</f>
        <v>1020104-12</v>
      </c>
      <c r="T78" s="2706" t="str">
        <f>+IF(OCTUBRE!T78=0,"",OCTUBRE!T78)</f>
        <v>Indemnizaciones por Vacaciones o Supresión de Cargos por Reestructuración</v>
      </c>
      <c r="U78" s="2661">
        <f>+ENERO!U78</f>
        <v>0</v>
      </c>
      <c r="V78" s="2612">
        <f>OCTUBRE!V78+NOVIEMBRE!AL78</f>
        <v>0</v>
      </c>
      <c r="W78" s="2612">
        <f>OCTUBRE!W78+NOVIEMBRE!AM78</f>
        <v>0</v>
      </c>
      <c r="X78" s="2662">
        <f t="shared" si="76"/>
        <v>0</v>
      </c>
      <c r="Y78" s="2663">
        <f>OCTUBRE!AA78</f>
        <v>0</v>
      </c>
      <c r="Z78" s="2598">
        <v>0</v>
      </c>
      <c r="AA78" s="2662">
        <f t="shared" si="77"/>
        <v>0</v>
      </c>
      <c r="AB78" s="2663">
        <f>OCTUBRE!AD78</f>
        <v>0</v>
      </c>
      <c r="AC78" s="2598">
        <v>0</v>
      </c>
      <c r="AD78" s="2662">
        <f t="shared" si="78"/>
        <v>0</v>
      </c>
      <c r="AE78" s="2663">
        <f>OCTUBRE!AG78</f>
        <v>0</v>
      </c>
      <c r="AF78" s="2598">
        <v>0</v>
      </c>
      <c r="AG78" s="2662">
        <f t="shared" si="79"/>
        <v>0</v>
      </c>
      <c r="AH78" s="2663">
        <f t="shared" si="80"/>
        <v>0</v>
      </c>
      <c r="AI78" s="2612">
        <f t="shared" si="81"/>
        <v>0</v>
      </c>
      <c r="AJ78" s="2664">
        <f t="shared" si="82"/>
        <v>0</v>
      </c>
      <c r="AK78" s="2489"/>
      <c r="AL78" s="2600">
        <v>0</v>
      </c>
      <c r="AM78" s="2601">
        <v>0</v>
      </c>
      <c r="AN78" s="2489"/>
      <c r="AO78" s="2440"/>
      <c r="AP78" s="2440"/>
      <c r="AQ78" s="2440"/>
      <c r="AR78" s="2440"/>
      <c r="AS78" s="2440"/>
      <c r="AT78" s="2440"/>
      <c r="AU78" s="2440"/>
      <c r="AV78" s="2440"/>
      <c r="AW78" s="2440"/>
      <c r="AX78" s="2440"/>
      <c r="AY78" s="2440"/>
      <c r="AZ78" s="2440"/>
      <c r="BA78" s="2614"/>
      <c r="BB78" s="2614"/>
      <c r="BC78" s="2614"/>
      <c r="BD78" s="2614"/>
      <c r="BE78" s="2614"/>
      <c r="BF78" s="2614"/>
      <c r="BG78" s="2614"/>
      <c r="BH78" s="2614"/>
      <c r="BI78" s="2614"/>
      <c r="BJ78" s="2614"/>
      <c r="BK78" s="2614"/>
      <c r="BL78" s="2614"/>
      <c r="BM78" s="2614"/>
      <c r="BN78" s="2614"/>
      <c r="BO78" s="2614"/>
      <c r="BP78" s="2614"/>
      <c r="BQ78" s="2614"/>
      <c r="BR78" s="2614"/>
    </row>
    <row r="79" spans="1:70" s="2614" customFormat="1" ht="24.95" customHeight="1">
      <c r="A79" s="2592" t="str">
        <f>+IF(OCTUBRE!A79=0,"",OCTUBRE!A79)</f>
        <v>1130118-1</v>
      </c>
      <c r="B79" s="2725" t="str">
        <f>+CONCATENATE("Vigencia ",INSTRUCCIONES!$F$3)</f>
        <v>Vigencia 2017</v>
      </c>
      <c r="C79" s="2594">
        <f>+ENERO!C79</f>
        <v>435000000</v>
      </c>
      <c r="D79" s="2595">
        <f>OCTUBRE!D79+NOVIEMBRE!P79</f>
        <v>0</v>
      </c>
      <c r="E79" s="2595">
        <f>OCTUBRE!E79+NOVIEMBRE!Q79</f>
        <v>0</v>
      </c>
      <c r="F79" s="2595">
        <f t="shared" si="85"/>
        <v>435000000</v>
      </c>
      <c r="G79" s="2595">
        <f>OCTUBRE!I79</f>
        <v>417222217</v>
      </c>
      <c r="H79" s="2598">
        <v>60715554</v>
      </c>
      <c r="I79" s="2595">
        <f t="shared" si="86"/>
        <v>477937771</v>
      </c>
      <c r="J79" s="2595">
        <f>OCTUBRE!L79</f>
        <v>417222217</v>
      </c>
      <c r="K79" s="2598">
        <v>60715554</v>
      </c>
      <c r="L79" s="2595">
        <f t="shared" si="87"/>
        <v>477937771</v>
      </c>
      <c r="M79" s="2595">
        <f t="shared" si="88"/>
        <v>-42937771</v>
      </c>
      <c r="N79" s="2596">
        <f t="shared" si="89"/>
        <v>-42937771</v>
      </c>
      <c r="P79" s="2600">
        <v>0</v>
      </c>
      <c r="Q79" s="2601">
        <v>0</v>
      </c>
      <c r="R79" s="2489"/>
      <c r="S79" s="2705" t="str">
        <f>+IF(OCTUBRE!S79=0,"",OCTUBRE!S79)</f>
        <v>1020104-13</v>
      </c>
      <c r="T79" s="2706" t="str">
        <f>+IF(OCTUBRE!T79=0,"",OCTUBRE!T79)</f>
        <v>Bonificación Especial por Recreación</v>
      </c>
      <c r="U79" s="2661">
        <f>+ENERO!U79</f>
        <v>2582164</v>
      </c>
      <c r="V79" s="2612">
        <f>OCTUBRE!V79+NOVIEMBRE!AL79</f>
        <v>3000000</v>
      </c>
      <c r="W79" s="2612">
        <f>OCTUBRE!W79+NOVIEMBRE!AM79</f>
        <v>222542</v>
      </c>
      <c r="X79" s="2662">
        <f t="shared" si="76"/>
        <v>5804706</v>
      </c>
      <c r="Y79" s="2663">
        <f>OCTUBRE!AA79</f>
        <v>3017956</v>
      </c>
      <c r="Z79" s="2598">
        <v>157650</v>
      </c>
      <c r="AA79" s="2662">
        <f t="shared" si="77"/>
        <v>3175606</v>
      </c>
      <c r="AB79" s="2663">
        <f>OCTUBRE!AD79</f>
        <v>3017956</v>
      </c>
      <c r="AC79" s="2598">
        <v>157650</v>
      </c>
      <c r="AD79" s="2662">
        <f t="shared" si="78"/>
        <v>3175606</v>
      </c>
      <c r="AE79" s="2663">
        <f>OCTUBRE!AG79</f>
        <v>3017956</v>
      </c>
      <c r="AF79" s="2598">
        <v>157650</v>
      </c>
      <c r="AG79" s="2662">
        <f t="shared" si="79"/>
        <v>3175606</v>
      </c>
      <c r="AH79" s="2663">
        <f t="shared" si="80"/>
        <v>2629100</v>
      </c>
      <c r="AI79" s="2612">
        <f t="shared" si="81"/>
        <v>2629100</v>
      </c>
      <c r="AJ79" s="2664">
        <f t="shared" si="82"/>
        <v>2629100</v>
      </c>
      <c r="AK79" s="2489"/>
      <c r="AL79" s="2600">
        <v>0</v>
      </c>
      <c r="AM79" s="2601">
        <v>0</v>
      </c>
      <c r="AN79" s="2489"/>
      <c r="AO79" s="2440"/>
      <c r="AP79" s="2440"/>
      <c r="AQ79" s="2440"/>
      <c r="AR79" s="2440"/>
      <c r="AS79" s="2440"/>
      <c r="AT79" s="2440"/>
      <c r="AU79" s="2440"/>
      <c r="AV79" s="2440"/>
      <c r="AW79" s="2440"/>
      <c r="AX79" s="2440"/>
      <c r="AY79" s="2440"/>
      <c r="AZ79" s="2440"/>
      <c r="BL79" s="2489"/>
    </row>
    <row r="80" spans="1:70" s="2489" customFormat="1" ht="24.95" customHeight="1">
      <c r="A80" s="2592" t="str">
        <f>+IF(OCTUBRE!A80=0,"",OCTUBRE!A80)</f>
        <v>1130118-2</v>
      </c>
      <c r="B80" s="2725" t="str">
        <f>+IF(OCTUBRE!B80=0,"",OCTUBRE!B80)</f>
        <v>Vigencia Anterior</v>
      </c>
      <c r="C80" s="2594">
        <f>+ENERO!C80</f>
        <v>0</v>
      </c>
      <c r="D80" s="2595">
        <f>OCTUBRE!D80+NOVIEMBRE!P80</f>
        <v>0</v>
      </c>
      <c r="E80" s="2595">
        <f>OCTUBRE!E80+NOVIEMBRE!Q80</f>
        <v>3704196</v>
      </c>
      <c r="F80" s="2595">
        <f t="shared" si="85"/>
        <v>3704196</v>
      </c>
      <c r="G80" s="2595">
        <f>OCTUBRE!I80</f>
        <v>6385317</v>
      </c>
      <c r="H80" s="2598">
        <v>1414709</v>
      </c>
      <c r="I80" s="2595">
        <f t="shared" si="86"/>
        <v>7800026</v>
      </c>
      <c r="J80" s="2595">
        <f>OCTUBRE!L80</f>
        <v>6385317</v>
      </c>
      <c r="K80" s="2598">
        <v>1414709</v>
      </c>
      <c r="L80" s="2595">
        <f t="shared" si="87"/>
        <v>7800026</v>
      </c>
      <c r="M80" s="2595">
        <f t="shared" si="88"/>
        <v>-4095830</v>
      </c>
      <c r="N80" s="2596">
        <f t="shared" si="89"/>
        <v>-4095830</v>
      </c>
      <c r="O80" s="2614"/>
      <c r="P80" s="2600">
        <v>0</v>
      </c>
      <c r="Q80" s="2601">
        <v>1871196</v>
      </c>
      <c r="S80" s="2705" t="str">
        <f>+IF(OCTUBRE!S80=0,"",OCTUBRE!S80)</f>
        <v>1020104-14</v>
      </c>
      <c r="T80" s="2706" t="str">
        <f>+IF(OCTUBRE!T80=0,"",OCTUBRE!T80)</f>
        <v/>
      </c>
      <c r="U80" s="2661">
        <f>+ENERO!U80</f>
        <v>48881820</v>
      </c>
      <c r="V80" s="2612">
        <f>OCTUBRE!V80+NOVIEMBRE!AL80</f>
        <v>30000000</v>
      </c>
      <c r="W80" s="2612">
        <f>OCTUBRE!W80+NOVIEMBRE!AM80</f>
        <v>3087495</v>
      </c>
      <c r="X80" s="2662">
        <f t="shared" si="76"/>
        <v>81969315</v>
      </c>
      <c r="Y80" s="2663">
        <f>OCTUBRE!AA80</f>
        <v>68184684</v>
      </c>
      <c r="Z80" s="2598">
        <v>5896184</v>
      </c>
      <c r="AA80" s="2662">
        <f t="shared" si="77"/>
        <v>74080868</v>
      </c>
      <c r="AB80" s="2663">
        <f>OCTUBRE!AD80</f>
        <v>68184684</v>
      </c>
      <c r="AC80" s="2598">
        <v>5896184</v>
      </c>
      <c r="AD80" s="2662">
        <f t="shared" si="78"/>
        <v>74080868</v>
      </c>
      <c r="AE80" s="2663">
        <f>OCTUBRE!AG80</f>
        <v>68184684</v>
      </c>
      <c r="AF80" s="2598">
        <v>5896184</v>
      </c>
      <c r="AG80" s="2662">
        <f t="shared" si="79"/>
        <v>74080868</v>
      </c>
      <c r="AH80" s="2663">
        <f t="shared" si="80"/>
        <v>7888447</v>
      </c>
      <c r="AI80" s="2612">
        <f t="shared" si="81"/>
        <v>7888447</v>
      </c>
      <c r="AJ80" s="2664">
        <f t="shared" si="82"/>
        <v>7888447</v>
      </c>
      <c r="AL80" s="2600">
        <v>0</v>
      </c>
      <c r="AM80" s="2601">
        <v>0</v>
      </c>
      <c r="AO80" s="2440"/>
      <c r="AP80" s="2440"/>
      <c r="AQ80" s="2440"/>
      <c r="AR80" s="2440"/>
      <c r="AS80" s="2440"/>
      <c r="AT80" s="2440"/>
      <c r="AU80" s="2440"/>
      <c r="AV80" s="2440"/>
      <c r="AW80" s="2440"/>
      <c r="AX80" s="2440"/>
      <c r="AY80" s="2440"/>
      <c r="AZ80" s="2440"/>
      <c r="BA80" s="2614"/>
      <c r="BC80" s="2614"/>
      <c r="BD80" s="2614"/>
      <c r="BE80" s="2614"/>
      <c r="BL80" s="2614"/>
      <c r="BM80" s="2614"/>
      <c r="BN80" s="2614"/>
      <c r="BO80" s="2614"/>
      <c r="BP80" s="2614"/>
      <c r="BQ80" s="2614"/>
      <c r="BR80" s="2614"/>
    </row>
    <row r="81" spans="1:70" s="2614" customFormat="1" ht="24.95" customHeight="1">
      <c r="A81" s="2678">
        <f>+IF(OCTUBRE!A81=0,"",OCTUBRE!A81)</f>
        <v>1130119</v>
      </c>
      <c r="B81" s="2774" t="str">
        <f>+IF(OCTUBRE!B81=0,"",OCTUBRE!B81)</f>
        <v>Digitar nombre de Nuevo Rubro. Si lo Requiere</v>
      </c>
      <c r="C81" s="2680">
        <f>ENERO!C81</f>
        <v>0</v>
      </c>
      <c r="D81" s="2714">
        <f t="shared" ref="D81:Q81" si="90">SUM(D82:D83)</f>
        <v>0</v>
      </c>
      <c r="E81" s="2714">
        <f t="shared" si="90"/>
        <v>0</v>
      </c>
      <c r="F81" s="2714">
        <f t="shared" si="90"/>
        <v>0</v>
      </c>
      <c r="G81" s="2714">
        <f t="shared" si="90"/>
        <v>0</v>
      </c>
      <c r="H81" s="2714">
        <f t="shared" si="90"/>
        <v>0</v>
      </c>
      <c r="I81" s="2714">
        <f t="shared" si="90"/>
        <v>0</v>
      </c>
      <c r="J81" s="2714">
        <f t="shared" si="90"/>
        <v>0</v>
      </c>
      <c r="K81" s="2714">
        <f t="shared" si="90"/>
        <v>0</v>
      </c>
      <c r="L81" s="2714">
        <f t="shared" si="90"/>
        <v>0</v>
      </c>
      <c r="M81" s="2714">
        <f t="shared" si="90"/>
        <v>0</v>
      </c>
      <c r="N81" s="2681">
        <f t="shared" si="90"/>
        <v>0</v>
      </c>
      <c r="P81" s="2680">
        <f t="shared" si="90"/>
        <v>0</v>
      </c>
      <c r="Q81" s="2681">
        <f t="shared" si="90"/>
        <v>0</v>
      </c>
      <c r="R81" s="2489"/>
      <c r="S81" s="2659">
        <f>+IF(OCTUBRE!S81=0,"",OCTUBRE!S81)</f>
        <v>1020199</v>
      </c>
      <c r="T81" s="2660" t="str">
        <f>+IF(OCTUBRE!T81=0,"",OCTUBRE!T81)</f>
        <v>Vigencias Anteriores</v>
      </c>
      <c r="U81" s="2661">
        <f>+ENERO!U81</f>
        <v>0</v>
      </c>
      <c r="V81" s="2612">
        <f>OCTUBRE!V81+NOVIEMBRE!AL81</f>
        <v>0</v>
      </c>
      <c r="W81" s="2612">
        <f>OCTUBRE!W81+NOVIEMBRE!AM81</f>
        <v>0</v>
      </c>
      <c r="X81" s="2662">
        <f t="shared" si="76"/>
        <v>0</v>
      </c>
      <c r="Y81" s="2663">
        <f>OCTUBRE!AA81</f>
        <v>0</v>
      </c>
      <c r="Z81" s="2598">
        <v>0</v>
      </c>
      <c r="AA81" s="2662">
        <f t="shared" si="77"/>
        <v>0</v>
      </c>
      <c r="AB81" s="2663">
        <f>OCTUBRE!AD81</f>
        <v>0</v>
      </c>
      <c r="AC81" s="2598">
        <v>0</v>
      </c>
      <c r="AD81" s="2662">
        <f t="shared" si="78"/>
        <v>0</v>
      </c>
      <c r="AE81" s="2663">
        <f>OCTUBRE!AG81</f>
        <v>0</v>
      </c>
      <c r="AF81" s="2598">
        <v>0</v>
      </c>
      <c r="AG81" s="2662">
        <f t="shared" si="79"/>
        <v>0</v>
      </c>
      <c r="AH81" s="2663">
        <f t="shared" si="80"/>
        <v>0</v>
      </c>
      <c r="AI81" s="2612">
        <f t="shared" si="81"/>
        <v>0</v>
      </c>
      <c r="AJ81" s="2664">
        <f t="shared" si="82"/>
        <v>0</v>
      </c>
      <c r="AK81" s="2489"/>
      <c r="AL81" s="2600">
        <v>0</v>
      </c>
      <c r="AM81" s="2601">
        <v>0</v>
      </c>
      <c r="AN81" s="2489"/>
      <c r="AO81" s="2440"/>
      <c r="AP81" s="2440"/>
      <c r="AQ81" s="2440"/>
      <c r="AR81" s="2440"/>
      <c r="AS81" s="2440"/>
      <c r="AT81" s="2440"/>
      <c r="AU81" s="2440"/>
      <c r="AV81" s="2440"/>
      <c r="AW81" s="2440"/>
      <c r="AX81" s="2440"/>
      <c r="AY81" s="2440"/>
      <c r="AZ81" s="2440"/>
      <c r="BA81" s="2489"/>
      <c r="BC81" s="2489"/>
      <c r="BD81" s="2489"/>
      <c r="BE81" s="2489"/>
    </row>
    <row r="82" spans="1:70" s="2614" customFormat="1" ht="24.95" customHeight="1">
      <c r="A82" s="2592" t="str">
        <f>+IF(OCTUBRE!A82=0,"",OCTUBRE!A82)</f>
        <v>1130119-1</v>
      </c>
      <c r="B82" s="2725" t="str">
        <f>+CONCATENATE("Vigencia ",INSTRUCCIONES!$F$3)</f>
        <v>Vigencia 2017</v>
      </c>
      <c r="C82" s="2594">
        <f>+ENERO!C82</f>
        <v>0</v>
      </c>
      <c r="D82" s="2595">
        <f>OCTUBRE!D82+NOVIEMBRE!P82</f>
        <v>0</v>
      </c>
      <c r="E82" s="2595">
        <f>OCTUBRE!E82+NOVIEMBRE!Q82</f>
        <v>0</v>
      </c>
      <c r="F82" s="2595">
        <f t="shared" si="85"/>
        <v>0</v>
      </c>
      <c r="G82" s="2595">
        <f>OCTUBRE!I82</f>
        <v>0</v>
      </c>
      <c r="H82" s="2598">
        <v>0</v>
      </c>
      <c r="I82" s="2595">
        <f t="shared" si="86"/>
        <v>0</v>
      </c>
      <c r="J82" s="2595">
        <f>OCTUBRE!L82</f>
        <v>0</v>
      </c>
      <c r="K82" s="2598">
        <v>0</v>
      </c>
      <c r="L82" s="2595">
        <f t="shared" si="87"/>
        <v>0</v>
      </c>
      <c r="M82" s="2595">
        <f t="shared" si="88"/>
        <v>0</v>
      </c>
      <c r="N82" s="2596">
        <f t="shared" si="89"/>
        <v>0</v>
      </c>
      <c r="P82" s="2600">
        <v>0</v>
      </c>
      <c r="Q82" s="2601">
        <v>0</v>
      </c>
      <c r="R82" s="2489"/>
      <c r="S82" s="2579" t="str">
        <f>+IF(OCTUBRE!S82=0,"",OCTUBRE!S82)</f>
        <v/>
      </c>
      <c r="T82" s="2580" t="str">
        <f>+IF(OCTUBRE!T82=0,"",OCTUBRE!T82)</f>
        <v/>
      </c>
      <c r="U82" s="2581"/>
      <c r="V82" s="2581"/>
      <c r="W82" s="2581"/>
      <c r="X82" s="2581"/>
      <c r="Y82" s="2581"/>
      <c r="Z82" s="2581"/>
      <c r="AA82" s="2581"/>
      <c r="AB82" s="2581"/>
      <c r="AC82" s="2581"/>
      <c r="AD82" s="2581"/>
      <c r="AE82" s="2581"/>
      <c r="AF82" s="2581"/>
      <c r="AG82" s="2581"/>
      <c r="AH82" s="2581"/>
      <c r="AI82" s="2581"/>
      <c r="AJ82" s="2582"/>
      <c r="AK82" s="2489"/>
      <c r="AL82" s="2769"/>
      <c r="AM82" s="2770"/>
      <c r="AN82" s="2489"/>
      <c r="AO82" s="2440"/>
      <c r="AP82" s="2440"/>
      <c r="AQ82" s="2440"/>
      <c r="AR82" s="2440"/>
      <c r="AS82" s="2440"/>
      <c r="AT82" s="2440"/>
      <c r="AU82" s="2440"/>
      <c r="AV82" s="2440"/>
      <c r="AW82" s="2440"/>
      <c r="AX82" s="2440"/>
      <c r="AY82" s="2440"/>
      <c r="AZ82" s="2440"/>
      <c r="BN82" s="2489"/>
      <c r="BO82" s="2489"/>
      <c r="BP82" s="2489"/>
      <c r="BQ82" s="2489"/>
      <c r="BR82" s="2489"/>
    </row>
    <row r="83" spans="1:70" s="2614" customFormat="1" ht="24.95" customHeight="1" thickBot="1">
      <c r="A83" s="2592" t="str">
        <f>+IF(OCTUBRE!A83=0,"",OCTUBRE!A83)</f>
        <v>1130119-2</v>
      </c>
      <c r="B83" s="2775" t="str">
        <f>+IF(OCTUBRE!B83=0,"",OCTUBRE!B83)</f>
        <v>Vigencia Anterior</v>
      </c>
      <c r="C83" s="2635">
        <f>+ENERO!C83</f>
        <v>0</v>
      </c>
      <c r="D83" s="2636">
        <f>OCTUBRE!D83+NOVIEMBRE!P83</f>
        <v>0</v>
      </c>
      <c r="E83" s="2636">
        <f>OCTUBRE!E83+NOVIEMBRE!Q83</f>
        <v>0</v>
      </c>
      <c r="F83" s="2636">
        <f t="shared" si="85"/>
        <v>0</v>
      </c>
      <c r="G83" s="2636">
        <f>OCTUBRE!I83</f>
        <v>0</v>
      </c>
      <c r="H83" s="2639">
        <v>0</v>
      </c>
      <c r="I83" s="2636">
        <f t="shared" si="86"/>
        <v>0</v>
      </c>
      <c r="J83" s="2636">
        <f>OCTUBRE!L83</f>
        <v>0</v>
      </c>
      <c r="K83" s="2639">
        <v>0</v>
      </c>
      <c r="L83" s="2636">
        <f t="shared" si="87"/>
        <v>0</v>
      </c>
      <c r="M83" s="2636">
        <f t="shared" si="88"/>
        <v>0</v>
      </c>
      <c r="N83" s="2637">
        <f t="shared" si="89"/>
        <v>0</v>
      </c>
      <c r="P83" s="2600">
        <v>0</v>
      </c>
      <c r="Q83" s="2601">
        <v>0</v>
      </c>
      <c r="R83" s="2489"/>
      <c r="S83" s="2651">
        <f>+IF(OCTUBRE!S83=0,"",OCTUBRE!S83)</f>
        <v>1020200</v>
      </c>
      <c r="T83" s="2652" t="str">
        <f>+IF(OCTUBRE!T83=0,"",OCTUBRE!T83)</f>
        <v>Servicios Personales Indirectos</v>
      </c>
      <c r="U83" s="2624">
        <f t="shared" ref="U83:AJ83" si="91">SUM(U84:U88)</f>
        <v>22232471701</v>
      </c>
      <c r="V83" s="2625">
        <f t="shared" si="91"/>
        <v>1287609636</v>
      </c>
      <c r="W83" s="2625">
        <f t="shared" si="91"/>
        <v>7333605163</v>
      </c>
      <c r="X83" s="2626">
        <f t="shared" si="91"/>
        <v>30853686500</v>
      </c>
      <c r="Y83" s="2627">
        <f t="shared" si="91"/>
        <v>29965578215</v>
      </c>
      <c r="Z83" s="2625">
        <f t="shared" si="91"/>
        <v>431178335</v>
      </c>
      <c r="AA83" s="2626">
        <f t="shared" si="91"/>
        <v>30396756550</v>
      </c>
      <c r="AB83" s="2627">
        <f t="shared" si="91"/>
        <v>23400964493</v>
      </c>
      <c r="AC83" s="2625">
        <f t="shared" si="91"/>
        <v>2256324899</v>
      </c>
      <c r="AD83" s="2626">
        <f t="shared" si="91"/>
        <v>25657289392</v>
      </c>
      <c r="AE83" s="2627">
        <f t="shared" si="91"/>
        <v>15688189490</v>
      </c>
      <c r="AF83" s="2625">
        <f t="shared" si="91"/>
        <v>1200475957</v>
      </c>
      <c r="AG83" s="2626">
        <f t="shared" si="91"/>
        <v>16888665447</v>
      </c>
      <c r="AH83" s="2627">
        <f t="shared" si="91"/>
        <v>456929950</v>
      </c>
      <c r="AI83" s="2625">
        <f t="shared" si="91"/>
        <v>5196397108</v>
      </c>
      <c r="AJ83" s="2628">
        <f t="shared" si="91"/>
        <v>13965021053</v>
      </c>
      <c r="AK83" s="2489"/>
      <c r="AL83" s="2627">
        <f>SUM(AL84:AL88)</f>
        <v>0</v>
      </c>
      <c r="AM83" s="2628">
        <f>SUM(AM84:AM88)</f>
        <v>800000000</v>
      </c>
      <c r="AN83" s="2489"/>
      <c r="AO83" s="2440"/>
      <c r="AP83" s="2440"/>
      <c r="AQ83" s="2440"/>
      <c r="AR83" s="2440"/>
      <c r="AS83" s="2440"/>
      <c r="AT83" s="2440"/>
      <c r="AU83" s="2440"/>
      <c r="AV83" s="2440"/>
      <c r="AW83" s="2440"/>
      <c r="AX83" s="2440"/>
      <c r="AY83" s="2440"/>
      <c r="AZ83" s="2440"/>
      <c r="BM83" s="2489"/>
    </row>
    <row r="84" spans="1:70" s="2614" customFormat="1" ht="24.95" customHeight="1" thickBot="1">
      <c r="A84" s="2776" t="str">
        <f>+IF(OCTUBRE!A84=0,"",OCTUBRE!A84)</f>
        <v/>
      </c>
      <c r="B84" s="2777" t="str">
        <f>+IF(OCTUBRE!B84=0,"",OCTUBRE!B84)</f>
        <v/>
      </c>
      <c r="C84" s="2440"/>
      <c r="D84" s="2440"/>
      <c r="E84" s="2440"/>
      <c r="F84" s="2440"/>
      <c r="G84" s="2440"/>
      <c r="H84" s="2440"/>
      <c r="I84" s="2440"/>
      <c r="J84" s="2440"/>
      <c r="K84" s="2440"/>
      <c r="L84" s="2440"/>
      <c r="M84" s="2440"/>
      <c r="N84" s="2675"/>
      <c r="O84" s="2778"/>
      <c r="P84" s="2779"/>
      <c r="Q84" s="2648"/>
      <c r="R84" s="2489"/>
      <c r="S84" s="2659" t="str">
        <f>+IF(OCTUBRE!S84=0,"",OCTUBRE!S84)</f>
        <v>1020200-1</v>
      </c>
      <c r="T84" s="2660" t="str">
        <f>+IF(OCTUBRE!T84=0,"",OCTUBRE!T84)</f>
        <v>Remuneración y Honorarios por Servicios Técnicos y Profesionales</v>
      </c>
      <c r="U84" s="2661">
        <f>+ENERO!U84</f>
        <v>1000000000</v>
      </c>
      <c r="V84" s="2612">
        <f>OCTUBRE!V84+NOVIEMBRE!AL84</f>
        <v>2918458000</v>
      </c>
      <c r="W84" s="2612">
        <f>OCTUBRE!W84+NOVIEMBRE!AM84</f>
        <v>1300000000</v>
      </c>
      <c r="X84" s="2662">
        <f>SUM(U84:W84)</f>
        <v>5218458000</v>
      </c>
      <c r="Y84" s="2663">
        <f>OCTUBRE!AA84</f>
        <v>5170675058</v>
      </c>
      <c r="Z84" s="2598">
        <v>12771069</v>
      </c>
      <c r="AA84" s="2662">
        <f>SUM(Y84:Z84)</f>
        <v>5183446127</v>
      </c>
      <c r="AB84" s="2663">
        <f>OCTUBRE!AD84</f>
        <v>3476311815</v>
      </c>
      <c r="AC84" s="2598">
        <v>573736664</v>
      </c>
      <c r="AD84" s="2662">
        <f>SUM(AB84:AC84)</f>
        <v>4050048479</v>
      </c>
      <c r="AE84" s="2663">
        <f>OCTUBRE!AG84</f>
        <v>2793991539</v>
      </c>
      <c r="AF84" s="2598">
        <v>462453227</v>
      </c>
      <c r="AG84" s="2662">
        <f>SUM(AE84:AF84)</f>
        <v>3256444766</v>
      </c>
      <c r="AH84" s="2663">
        <f>X84-AA84</f>
        <v>35011873</v>
      </c>
      <c r="AI84" s="2612">
        <f>X84-AD84</f>
        <v>1168409521</v>
      </c>
      <c r="AJ84" s="2664">
        <f>X84-AG84</f>
        <v>1962013234</v>
      </c>
      <c r="AK84" s="2489"/>
      <c r="AL84" s="2600">
        <v>0</v>
      </c>
      <c r="AM84" s="2601">
        <v>0</v>
      </c>
      <c r="AN84" s="2489"/>
      <c r="AO84" s="2440"/>
      <c r="AP84" s="2440"/>
      <c r="AQ84" s="2440"/>
      <c r="AR84" s="2440"/>
      <c r="AS84" s="2440"/>
      <c r="AT84" s="2440"/>
      <c r="AU84" s="2440"/>
      <c r="AV84" s="2440"/>
      <c r="AW84" s="2440"/>
      <c r="AX84" s="2440"/>
      <c r="AY84" s="2440"/>
      <c r="AZ84" s="2440"/>
    </row>
    <row r="85" spans="1:70" s="2614" customFormat="1" ht="24.95" customHeight="1">
      <c r="A85" s="2780">
        <f>+IF(OCTUBRE!A85=0,"",OCTUBRE!A85)</f>
        <v>11302</v>
      </c>
      <c r="B85" s="2781" t="str">
        <f>+IF(OCTUBRE!B85=0,"",OCTUBRE!B85)</f>
        <v>Otras Ventas de Servicios de Salud</v>
      </c>
      <c r="C85" s="2782">
        <f t="shared" ref="C85:N85" si="92">SUM(C86:C92)</f>
        <v>0</v>
      </c>
      <c r="D85" s="2783">
        <f t="shared" si="92"/>
        <v>0</v>
      </c>
      <c r="E85" s="2783">
        <f t="shared" si="92"/>
        <v>0</v>
      </c>
      <c r="F85" s="2783">
        <f t="shared" si="92"/>
        <v>0</v>
      </c>
      <c r="G85" s="2783">
        <f t="shared" si="92"/>
        <v>0</v>
      </c>
      <c r="H85" s="2783">
        <f t="shared" si="92"/>
        <v>0</v>
      </c>
      <c r="I85" s="2783">
        <f t="shared" si="92"/>
        <v>0</v>
      </c>
      <c r="J85" s="2783">
        <f t="shared" si="92"/>
        <v>0</v>
      </c>
      <c r="K85" s="2783">
        <f t="shared" si="92"/>
        <v>0</v>
      </c>
      <c r="L85" s="2783">
        <f t="shared" si="92"/>
        <v>0</v>
      </c>
      <c r="M85" s="2783">
        <f t="shared" si="92"/>
        <v>0</v>
      </c>
      <c r="N85" s="2784">
        <f t="shared" si="92"/>
        <v>0</v>
      </c>
      <c r="P85" s="2680">
        <f>SUM(P86:P92)</f>
        <v>0</v>
      </c>
      <c r="Q85" s="2681">
        <f>SUM(Q86:Q92)</f>
        <v>0</v>
      </c>
      <c r="R85" s="2489"/>
      <c r="S85" s="2659" t="str">
        <f>+IF(OCTUBRE!S85=0,"",OCTUBRE!S85)</f>
        <v>1020200-2</v>
      </c>
      <c r="T85" s="2660" t="str">
        <f>+IF(OCTUBRE!T85=0,"",OCTUBRE!T85)</f>
        <v>Personal Supernumerario</v>
      </c>
      <c r="U85" s="2661">
        <f>+ENERO!U85</f>
        <v>0</v>
      </c>
      <c r="V85" s="2612">
        <f>OCTUBRE!V85+NOVIEMBRE!AL85</f>
        <v>0</v>
      </c>
      <c r="W85" s="2612">
        <f>OCTUBRE!W85+NOVIEMBRE!AM85</f>
        <v>0</v>
      </c>
      <c r="X85" s="2662">
        <f>SUM(U85:W85)</f>
        <v>0</v>
      </c>
      <c r="Y85" s="2663">
        <f>OCTUBRE!AA85</f>
        <v>0</v>
      </c>
      <c r="Z85" s="2598">
        <v>0</v>
      </c>
      <c r="AA85" s="2662">
        <f>SUM(Y85:Z85)</f>
        <v>0</v>
      </c>
      <c r="AB85" s="2663">
        <f>OCTUBRE!AD85</f>
        <v>0</v>
      </c>
      <c r="AC85" s="2598">
        <v>0</v>
      </c>
      <c r="AD85" s="2662">
        <f>SUM(AB85:AC85)</f>
        <v>0</v>
      </c>
      <c r="AE85" s="2663">
        <f>OCTUBRE!AG85</f>
        <v>0</v>
      </c>
      <c r="AF85" s="2598">
        <v>0</v>
      </c>
      <c r="AG85" s="2662">
        <f>SUM(AE85:AF85)</f>
        <v>0</v>
      </c>
      <c r="AH85" s="2663">
        <f>X85-AA85</f>
        <v>0</v>
      </c>
      <c r="AI85" s="2612">
        <f>X85-AD85</f>
        <v>0</v>
      </c>
      <c r="AJ85" s="2664">
        <f>X85-AG85</f>
        <v>0</v>
      </c>
      <c r="AK85" s="2489"/>
      <c r="AL85" s="2600">
        <v>0</v>
      </c>
      <c r="AM85" s="2601">
        <v>0</v>
      </c>
      <c r="AN85" s="2489"/>
      <c r="AO85" s="2440"/>
      <c r="AP85" s="2440"/>
      <c r="AQ85" s="2440"/>
      <c r="AR85" s="2440"/>
      <c r="AS85" s="2440"/>
      <c r="AT85" s="2440"/>
      <c r="AU85" s="2440"/>
      <c r="AV85" s="2440"/>
      <c r="AW85" s="2440"/>
      <c r="AX85" s="2440"/>
      <c r="AY85" s="2440"/>
      <c r="AZ85" s="2440"/>
      <c r="BL85" s="2489"/>
    </row>
    <row r="86" spans="1:70" s="2489" customFormat="1" ht="24.95" customHeight="1">
      <c r="A86" s="2785">
        <f>+IF(OCTUBRE!A86=0,"",OCTUBRE!A86)</f>
        <v>1130201</v>
      </c>
      <c r="B86" s="2786" t="str">
        <f>+IF(OCTUBRE!B86=0,"",OCTUBRE!B86)</f>
        <v/>
      </c>
      <c r="C86" s="2787">
        <f>+ENERO!C86</f>
        <v>0</v>
      </c>
      <c r="D86" s="2595">
        <f>OCTUBRE!D86+NOVIEMBRE!P86</f>
        <v>0</v>
      </c>
      <c r="E86" s="2595">
        <f>OCTUBRE!E86+NOVIEMBRE!Q86</f>
        <v>0</v>
      </c>
      <c r="F86" s="2595">
        <f t="shared" ref="F86:F92" si="93">SUM(C86:E86)</f>
        <v>0</v>
      </c>
      <c r="G86" s="2595">
        <f>OCTUBRE!I86</f>
        <v>0</v>
      </c>
      <c r="H86" s="2598">
        <v>0</v>
      </c>
      <c r="I86" s="2595">
        <f t="shared" ref="I86:I92" si="94">SUM(G86:H86)</f>
        <v>0</v>
      </c>
      <c r="J86" s="2595">
        <f>OCTUBRE!L86</f>
        <v>0</v>
      </c>
      <c r="K86" s="2598">
        <v>0</v>
      </c>
      <c r="L86" s="2595">
        <f t="shared" ref="L86:L92" si="95">SUM(J86:K86)</f>
        <v>0</v>
      </c>
      <c r="M86" s="2595">
        <f t="shared" ref="M86:M92" si="96">F86-I86</f>
        <v>0</v>
      </c>
      <c r="N86" s="2596">
        <f t="shared" ref="N86:N92" si="97">F86-L86</f>
        <v>0</v>
      </c>
      <c r="O86" s="2614"/>
      <c r="P86" s="2600">
        <v>0</v>
      </c>
      <c r="Q86" s="2601">
        <v>0</v>
      </c>
      <c r="S86" s="2659" t="str">
        <f>+IF(OCTUBRE!S86=0,"",OCTUBRE!S86)</f>
        <v>1020200-4</v>
      </c>
      <c r="T86" s="2660" t="str">
        <f>+IF(OCTUBRE!T86=0,"",OCTUBRE!T86)</f>
        <v>Otros Honorarios</v>
      </c>
      <c r="U86" s="2661">
        <f>+ENERO!U86</f>
        <v>19000000000</v>
      </c>
      <c r="V86" s="2612">
        <f>OCTUBRE!V86+NOVIEMBRE!AL86</f>
        <v>-3445446678</v>
      </c>
      <c r="W86" s="2612">
        <f>OCTUBRE!W86+NOVIEMBRE!AM86</f>
        <v>2850000000</v>
      </c>
      <c r="X86" s="2662">
        <f>SUM(U86:W86)</f>
        <v>18404553322</v>
      </c>
      <c r="Y86" s="2663">
        <f>OCTUBRE!AA86</f>
        <v>18392621476</v>
      </c>
      <c r="Z86" s="2598">
        <v>10952246</v>
      </c>
      <c r="AA86" s="2662">
        <f>SUM(Y86:Z86)</f>
        <v>18403573722</v>
      </c>
      <c r="AB86" s="2663">
        <f>OCTUBRE!AD86</f>
        <v>13522370997</v>
      </c>
      <c r="AC86" s="2598">
        <v>1275133215</v>
      </c>
      <c r="AD86" s="2662">
        <f>SUM(AB86:AC86)</f>
        <v>14797504212</v>
      </c>
      <c r="AE86" s="2663">
        <f>OCTUBRE!AG86</f>
        <v>6491916270</v>
      </c>
      <c r="AF86" s="2598">
        <v>330567710</v>
      </c>
      <c r="AG86" s="2662">
        <f>SUM(AE86:AF86)</f>
        <v>6822483980</v>
      </c>
      <c r="AH86" s="2663">
        <f>X86-AA86</f>
        <v>979600</v>
      </c>
      <c r="AI86" s="2612">
        <f>X86-AD86</f>
        <v>3607049110</v>
      </c>
      <c r="AJ86" s="2664">
        <f>X86-AG86</f>
        <v>11582069342</v>
      </c>
      <c r="AL86" s="2600">
        <v>0</v>
      </c>
      <c r="AM86" s="2601">
        <v>0</v>
      </c>
      <c r="AO86" s="2440"/>
      <c r="AP86" s="2440"/>
      <c r="AQ86" s="2440"/>
      <c r="AR86" s="2440"/>
      <c r="AS86" s="2440"/>
      <c r="AT86" s="2440"/>
      <c r="AU86" s="2440"/>
      <c r="AV86" s="2440"/>
      <c r="AW86" s="2440"/>
      <c r="AX86" s="2440"/>
      <c r="AY86" s="2440"/>
      <c r="AZ86" s="2440"/>
      <c r="BA86" s="2614"/>
      <c r="BC86" s="2614"/>
      <c r="BD86" s="2614"/>
      <c r="BE86" s="2614"/>
      <c r="BL86" s="2614"/>
      <c r="BM86" s="2614"/>
      <c r="BN86" s="2614"/>
      <c r="BO86" s="2614"/>
      <c r="BP86" s="2614"/>
      <c r="BQ86" s="2614"/>
      <c r="BR86" s="2614"/>
    </row>
    <row r="87" spans="1:70" s="2614" customFormat="1" ht="24.95" customHeight="1">
      <c r="A87" s="2785">
        <f>+IF(OCTUBRE!A87=0,"",OCTUBRE!A87)</f>
        <v>1130202</v>
      </c>
      <c r="B87" s="2786" t="str">
        <f>+IF(OCTUBRE!B87=0,"",OCTUBRE!B87)</f>
        <v/>
      </c>
      <c r="C87" s="2787">
        <f>+ENERO!C87</f>
        <v>0</v>
      </c>
      <c r="D87" s="2595">
        <f>OCTUBRE!D87+NOVIEMBRE!P87</f>
        <v>0</v>
      </c>
      <c r="E87" s="2595">
        <f>OCTUBRE!E87+NOVIEMBRE!Q87</f>
        <v>0</v>
      </c>
      <c r="F87" s="2595">
        <f t="shared" si="93"/>
        <v>0</v>
      </c>
      <c r="G87" s="2595">
        <f>OCTUBRE!I87</f>
        <v>0</v>
      </c>
      <c r="H87" s="2598">
        <v>0</v>
      </c>
      <c r="I87" s="2595">
        <f t="shared" si="94"/>
        <v>0</v>
      </c>
      <c r="J87" s="2595">
        <f>OCTUBRE!L87</f>
        <v>0</v>
      </c>
      <c r="K87" s="2598">
        <v>0</v>
      </c>
      <c r="L87" s="2595">
        <f t="shared" si="95"/>
        <v>0</v>
      </c>
      <c r="M87" s="2595">
        <f t="shared" si="96"/>
        <v>0</v>
      </c>
      <c r="N87" s="2596">
        <f t="shared" si="97"/>
        <v>0</v>
      </c>
      <c r="P87" s="2600">
        <v>0</v>
      </c>
      <c r="Q87" s="2601">
        <v>0</v>
      </c>
      <c r="R87" s="2489"/>
      <c r="S87" s="2659" t="str">
        <f>+IF(OCTUBRE!S87=0,"",OCTUBRE!S87)</f>
        <v/>
      </c>
      <c r="T87" s="2660" t="str">
        <f>+IF(OCTUBRE!T87=0,"",OCTUBRE!T87)</f>
        <v/>
      </c>
      <c r="U87" s="2661">
        <f>+ENERO!U87</f>
        <v>0</v>
      </c>
      <c r="V87" s="2612">
        <f>OCTUBRE!V87+NOVIEMBRE!AL87</f>
        <v>0</v>
      </c>
      <c r="W87" s="2612">
        <f>OCTUBRE!W87+NOVIEMBRE!AM87</f>
        <v>0</v>
      </c>
      <c r="X87" s="2662">
        <f>SUM(U87:W87)</f>
        <v>0</v>
      </c>
      <c r="Y87" s="2663">
        <f>OCTUBRE!AA87</f>
        <v>0</v>
      </c>
      <c r="Z87" s="2598">
        <v>0</v>
      </c>
      <c r="AA87" s="2662">
        <f>SUM(Y87:Z87)</f>
        <v>0</v>
      </c>
      <c r="AB87" s="2663">
        <f>OCTUBRE!AD87</f>
        <v>0</v>
      </c>
      <c r="AC87" s="2598">
        <v>0</v>
      </c>
      <c r="AD87" s="2662">
        <f>SUM(AB87:AC87)</f>
        <v>0</v>
      </c>
      <c r="AE87" s="2663">
        <f>OCTUBRE!AG87</f>
        <v>0</v>
      </c>
      <c r="AF87" s="2598">
        <v>0</v>
      </c>
      <c r="AG87" s="2662">
        <f>SUM(AE87:AF87)</f>
        <v>0</v>
      </c>
      <c r="AH87" s="2663">
        <f>X87-AA87</f>
        <v>0</v>
      </c>
      <c r="AI87" s="2612">
        <f>X87-AD87</f>
        <v>0</v>
      </c>
      <c r="AJ87" s="2664">
        <f>X87-AG87</f>
        <v>0</v>
      </c>
      <c r="AK87" s="2489"/>
      <c r="AL87" s="2600">
        <v>0</v>
      </c>
      <c r="AM87" s="2601">
        <v>0</v>
      </c>
      <c r="AN87" s="2489"/>
      <c r="AO87" s="2440"/>
      <c r="AP87" s="2440"/>
      <c r="AQ87" s="2440"/>
      <c r="AR87" s="2440"/>
      <c r="AS87" s="2440"/>
      <c r="AT87" s="2440"/>
      <c r="AU87" s="2440"/>
      <c r="AV87" s="2440"/>
      <c r="AW87" s="2440"/>
      <c r="AX87" s="2440"/>
      <c r="AY87" s="2440"/>
      <c r="AZ87" s="2440"/>
      <c r="BA87" s="2489"/>
      <c r="BC87" s="2489"/>
      <c r="BD87" s="2489"/>
      <c r="BE87" s="2489"/>
    </row>
    <row r="88" spans="1:70" s="2614" customFormat="1" ht="24.95" customHeight="1">
      <c r="A88" s="2785">
        <f>+IF(OCTUBRE!A88=0,"",OCTUBRE!A88)</f>
        <v>1130203</v>
      </c>
      <c r="B88" s="2788" t="str">
        <f>+IF(OCTUBRE!B88=0,"",OCTUBRE!B88)</f>
        <v>CONVENIOS CON LA NACION LIGADOS A LA VENTA DE SERVICIOS</v>
      </c>
      <c r="C88" s="2787">
        <f>+ENERO!C88</f>
        <v>0</v>
      </c>
      <c r="D88" s="2595">
        <f>OCTUBRE!D88+NOVIEMBRE!P88</f>
        <v>0</v>
      </c>
      <c r="E88" s="2595">
        <f>OCTUBRE!E88+NOVIEMBRE!Q88</f>
        <v>0</v>
      </c>
      <c r="F88" s="2595">
        <f t="shared" si="93"/>
        <v>0</v>
      </c>
      <c r="G88" s="2595">
        <f>OCTUBRE!I88</f>
        <v>0</v>
      </c>
      <c r="H88" s="2598">
        <v>0</v>
      </c>
      <c r="I88" s="2595">
        <f t="shared" si="94"/>
        <v>0</v>
      </c>
      <c r="J88" s="2595">
        <f>OCTUBRE!L88</f>
        <v>0</v>
      </c>
      <c r="K88" s="2598">
        <v>0</v>
      </c>
      <c r="L88" s="2595">
        <f t="shared" si="95"/>
        <v>0</v>
      </c>
      <c r="M88" s="2595">
        <f t="shared" si="96"/>
        <v>0</v>
      </c>
      <c r="N88" s="2596">
        <f t="shared" si="97"/>
        <v>0</v>
      </c>
      <c r="P88" s="2600">
        <v>0</v>
      </c>
      <c r="Q88" s="2601">
        <v>0</v>
      </c>
      <c r="R88" s="2489"/>
      <c r="S88" s="2659">
        <f>+IF(OCTUBRE!S88=0,"",OCTUBRE!S88)</f>
        <v>1020299</v>
      </c>
      <c r="T88" s="2660" t="str">
        <f>+IF(OCTUBRE!T88=0,"",OCTUBRE!T88)</f>
        <v>Vigencias Anteriores</v>
      </c>
      <c r="U88" s="2661">
        <f>+ENERO!U88</f>
        <v>2232471701</v>
      </c>
      <c r="V88" s="2612">
        <f>OCTUBRE!V88+NOVIEMBRE!AL88</f>
        <v>1814598314</v>
      </c>
      <c r="W88" s="2612">
        <f>OCTUBRE!W88+NOVIEMBRE!AM88</f>
        <v>3183605163</v>
      </c>
      <c r="X88" s="2662">
        <f>SUM(U88:W88)</f>
        <v>7230675178</v>
      </c>
      <c r="Y88" s="2663">
        <f>OCTUBRE!AA88</f>
        <v>6402281681</v>
      </c>
      <c r="Z88" s="2598">
        <v>407455020</v>
      </c>
      <c r="AA88" s="2662">
        <f>SUM(Y88:Z88)</f>
        <v>6809736701</v>
      </c>
      <c r="AB88" s="2663">
        <f>OCTUBRE!AD88</f>
        <v>6402281681</v>
      </c>
      <c r="AC88" s="2598">
        <v>407455020</v>
      </c>
      <c r="AD88" s="2662">
        <f>SUM(AB88:AC88)</f>
        <v>6809736701</v>
      </c>
      <c r="AE88" s="2663">
        <f>OCTUBRE!AG88</f>
        <v>6402281681</v>
      </c>
      <c r="AF88" s="2598">
        <v>407455020</v>
      </c>
      <c r="AG88" s="2662">
        <f>SUM(AE88:AF88)</f>
        <v>6809736701</v>
      </c>
      <c r="AH88" s="2663">
        <f>X88-AA88</f>
        <v>420938477</v>
      </c>
      <c r="AI88" s="2612">
        <f>X88-AD88</f>
        <v>420938477</v>
      </c>
      <c r="AJ88" s="2664">
        <f>X88-AG88</f>
        <v>420938477</v>
      </c>
      <c r="AK88" s="2489"/>
      <c r="AL88" s="2600">
        <v>0</v>
      </c>
      <c r="AM88" s="2601">
        <v>800000000</v>
      </c>
      <c r="AN88" s="2489"/>
      <c r="AO88" s="2440"/>
      <c r="AP88" s="2440"/>
      <c r="AQ88" s="2440"/>
      <c r="AR88" s="2440"/>
      <c r="AS88" s="2440"/>
      <c r="AT88" s="2440"/>
      <c r="AU88" s="2440"/>
      <c r="AV88" s="2440"/>
      <c r="AW88" s="2440"/>
      <c r="AX88" s="2440"/>
      <c r="AY88" s="2440"/>
      <c r="AZ88" s="2440"/>
      <c r="BN88" s="2489"/>
      <c r="BO88" s="2489"/>
      <c r="BP88" s="2489"/>
      <c r="BQ88" s="2489"/>
      <c r="BR88" s="2489"/>
    </row>
    <row r="89" spans="1:70" s="2614" customFormat="1" ht="24.95" customHeight="1">
      <c r="A89" s="2785">
        <f>+IF(OCTUBRE!A89=0,"",OCTUBRE!A89)</f>
        <v>1130204</v>
      </c>
      <c r="B89" s="2788" t="str">
        <f>+IF(OCTUBRE!B89=0,"",OCTUBRE!B89)</f>
        <v>CONVENIOS CON EL DEPARTAMENTO LIGADOS A LA VENTA SERVICIOS</v>
      </c>
      <c r="C89" s="2787">
        <f>+ENERO!C89</f>
        <v>0</v>
      </c>
      <c r="D89" s="2595">
        <f>OCTUBRE!D89+NOVIEMBRE!P89</f>
        <v>0</v>
      </c>
      <c r="E89" s="2595">
        <f>OCTUBRE!E89+NOVIEMBRE!Q89</f>
        <v>0</v>
      </c>
      <c r="F89" s="2595">
        <f t="shared" si="93"/>
        <v>0</v>
      </c>
      <c r="G89" s="2595">
        <f>OCTUBRE!I89</f>
        <v>0</v>
      </c>
      <c r="H89" s="2598">
        <v>0</v>
      </c>
      <c r="I89" s="2595">
        <f t="shared" si="94"/>
        <v>0</v>
      </c>
      <c r="J89" s="2595">
        <f>OCTUBRE!L89</f>
        <v>0</v>
      </c>
      <c r="K89" s="2598">
        <v>0</v>
      </c>
      <c r="L89" s="2595">
        <f t="shared" si="95"/>
        <v>0</v>
      </c>
      <c r="M89" s="2595">
        <f t="shared" si="96"/>
        <v>0</v>
      </c>
      <c r="N89" s="2596">
        <f t="shared" si="97"/>
        <v>0</v>
      </c>
      <c r="P89" s="2600">
        <v>0</v>
      </c>
      <c r="Q89" s="2601">
        <v>0</v>
      </c>
      <c r="R89" s="2489"/>
      <c r="S89" s="2579" t="str">
        <f>+IF(OCTUBRE!S89=0,"",OCTUBRE!S89)</f>
        <v/>
      </c>
      <c r="T89" s="2580" t="str">
        <f>+IF(OCTUBRE!T89=0,"",OCTUBRE!T89)</f>
        <v/>
      </c>
      <c r="U89" s="2581"/>
      <c r="V89" s="2581"/>
      <c r="W89" s="2581"/>
      <c r="X89" s="2581"/>
      <c r="Y89" s="2581"/>
      <c r="Z89" s="2581"/>
      <c r="AA89" s="2581"/>
      <c r="AB89" s="2581"/>
      <c r="AC89" s="2581"/>
      <c r="AD89" s="2581"/>
      <c r="AE89" s="2581"/>
      <c r="AF89" s="2581"/>
      <c r="AG89" s="2581"/>
      <c r="AH89" s="2581"/>
      <c r="AI89" s="2581"/>
      <c r="AJ89" s="2582"/>
      <c r="AK89" s="2489"/>
      <c r="AL89" s="2769"/>
      <c r="AM89" s="2770"/>
      <c r="AN89" s="2489"/>
      <c r="AO89" s="2440"/>
      <c r="AP89" s="2440"/>
      <c r="AQ89" s="2440"/>
      <c r="AR89" s="2440"/>
      <c r="AS89" s="2440"/>
      <c r="AT89" s="2440"/>
      <c r="AU89" s="2440"/>
      <c r="AV89" s="2440"/>
      <c r="AW89" s="2440"/>
      <c r="AX89" s="2440"/>
      <c r="AY89" s="2440"/>
      <c r="AZ89" s="2440"/>
      <c r="BM89" s="2489"/>
    </row>
    <row r="90" spans="1:70" s="2778" customFormat="1" ht="24.95" customHeight="1">
      <c r="A90" s="2785">
        <f>+IF(OCTUBRE!A90=0,"",OCTUBRE!A90)</f>
        <v>1130205</v>
      </c>
      <c r="B90" s="2788" t="str">
        <f>+IF(OCTUBRE!B90=0,"",OCTUBRE!B90)</f>
        <v>CONVENIOS CON EL MUNICIPIO LIGADOS A LA VENTA DE SERVICIOS</v>
      </c>
      <c r="C90" s="2787">
        <f>+ENERO!C90</f>
        <v>0</v>
      </c>
      <c r="D90" s="2595">
        <f>OCTUBRE!D90+NOVIEMBRE!P90</f>
        <v>0</v>
      </c>
      <c r="E90" s="2595">
        <f>OCTUBRE!E90+NOVIEMBRE!Q90</f>
        <v>0</v>
      </c>
      <c r="F90" s="2595">
        <f t="shared" si="93"/>
        <v>0</v>
      </c>
      <c r="G90" s="2595">
        <f>OCTUBRE!I90</f>
        <v>0</v>
      </c>
      <c r="H90" s="2598">
        <v>0</v>
      </c>
      <c r="I90" s="2595">
        <f t="shared" si="94"/>
        <v>0</v>
      </c>
      <c r="J90" s="2595">
        <f>OCTUBRE!L90</f>
        <v>0</v>
      </c>
      <c r="K90" s="2598">
        <v>0</v>
      </c>
      <c r="L90" s="2595">
        <f t="shared" si="95"/>
        <v>0</v>
      </c>
      <c r="M90" s="2595">
        <f t="shared" si="96"/>
        <v>0</v>
      </c>
      <c r="N90" s="2596">
        <f t="shared" si="97"/>
        <v>0</v>
      </c>
      <c r="O90" s="2614"/>
      <c r="P90" s="2600">
        <v>0</v>
      </c>
      <c r="Q90" s="2601">
        <v>0</v>
      </c>
      <c r="R90" s="2789"/>
      <c r="S90" s="2651">
        <f>+IF(OCTUBRE!S90=0,"",OCTUBRE!S90)</f>
        <v>1020300</v>
      </c>
      <c r="T90" s="2652" t="str">
        <f>+IF(OCTUBRE!T90=0,"",OCTUBRE!T90)</f>
        <v>Contribuciones Inherentes nómina al Sector Privado</v>
      </c>
      <c r="U90" s="2624">
        <f t="shared" ref="U90:AJ90" si="98">U91+U96+U102</f>
        <v>259627762</v>
      </c>
      <c r="V90" s="2625">
        <f t="shared" si="98"/>
        <v>-131539920</v>
      </c>
      <c r="W90" s="2625">
        <f t="shared" si="98"/>
        <v>292097670</v>
      </c>
      <c r="X90" s="2626">
        <f t="shared" si="98"/>
        <v>420185512</v>
      </c>
      <c r="Y90" s="2627">
        <f t="shared" si="98"/>
        <v>204354797</v>
      </c>
      <c r="Z90" s="2625">
        <f t="shared" si="98"/>
        <v>23076434</v>
      </c>
      <c r="AA90" s="2626">
        <f t="shared" si="98"/>
        <v>227431231</v>
      </c>
      <c r="AB90" s="2627">
        <f t="shared" si="98"/>
        <v>204354797</v>
      </c>
      <c r="AC90" s="2625">
        <f t="shared" si="98"/>
        <v>23076434</v>
      </c>
      <c r="AD90" s="2626">
        <f t="shared" si="98"/>
        <v>227431231</v>
      </c>
      <c r="AE90" s="2627">
        <f t="shared" si="98"/>
        <v>204354797</v>
      </c>
      <c r="AF90" s="2625">
        <f t="shared" si="98"/>
        <v>23076434</v>
      </c>
      <c r="AG90" s="2626">
        <f t="shared" si="98"/>
        <v>227431231</v>
      </c>
      <c r="AH90" s="2627">
        <f t="shared" si="98"/>
        <v>192754281</v>
      </c>
      <c r="AI90" s="2625">
        <f t="shared" si="98"/>
        <v>192754281</v>
      </c>
      <c r="AJ90" s="2628">
        <f t="shared" si="98"/>
        <v>192754281</v>
      </c>
      <c r="AK90" s="2489"/>
      <c r="AL90" s="2627">
        <f>AL91+AL96+AL102</f>
        <v>-54000000</v>
      </c>
      <c r="AM90" s="2628">
        <f>AM91+AM96+AM102</f>
        <v>0</v>
      </c>
      <c r="AN90" s="2789"/>
      <c r="AO90" s="2790"/>
      <c r="AP90" s="2790"/>
      <c r="AQ90" s="2790"/>
      <c r="AR90" s="2790"/>
      <c r="AS90" s="2790"/>
      <c r="AT90" s="2790"/>
      <c r="AU90" s="2790"/>
      <c r="AV90" s="2790"/>
      <c r="AW90" s="2790"/>
      <c r="AX90" s="2790"/>
      <c r="AY90" s="2790"/>
      <c r="AZ90" s="2790"/>
      <c r="BM90" s="2614"/>
      <c r="BN90" s="2614"/>
      <c r="BO90" s="2614"/>
      <c r="BP90" s="2614"/>
      <c r="BQ90" s="2614"/>
      <c r="BR90" s="2614"/>
    </row>
    <row r="91" spans="1:70" s="2778" customFormat="1" ht="24.95" customHeight="1">
      <c r="A91" s="2785">
        <f>+IF(OCTUBRE!A91=0,"",OCTUBRE!A91)</f>
        <v>1130206</v>
      </c>
      <c r="B91" s="2788" t="str">
        <f>+IF(OCTUBRE!B91=0,"",OCTUBRE!B91)</f>
        <v>OTROS CONVENIOS LIGADOS A LA VENTA DE SERVICIOS</v>
      </c>
      <c r="C91" s="2787">
        <f>+ENERO!C91</f>
        <v>0</v>
      </c>
      <c r="D91" s="2595">
        <f>OCTUBRE!D91+NOVIEMBRE!P91</f>
        <v>0</v>
      </c>
      <c r="E91" s="2595">
        <f>OCTUBRE!E91+NOVIEMBRE!Q91</f>
        <v>0</v>
      </c>
      <c r="F91" s="2595">
        <f t="shared" si="93"/>
        <v>0</v>
      </c>
      <c r="G91" s="2595">
        <f>OCTUBRE!I91</f>
        <v>0</v>
      </c>
      <c r="H91" s="2598">
        <v>0</v>
      </c>
      <c r="I91" s="2595">
        <f t="shared" si="94"/>
        <v>0</v>
      </c>
      <c r="J91" s="2595">
        <f>OCTUBRE!L91</f>
        <v>0</v>
      </c>
      <c r="K91" s="2598">
        <v>0</v>
      </c>
      <c r="L91" s="2595">
        <f t="shared" si="95"/>
        <v>0</v>
      </c>
      <c r="M91" s="2595">
        <f t="shared" si="96"/>
        <v>0</v>
      </c>
      <c r="N91" s="2596">
        <f t="shared" si="97"/>
        <v>0</v>
      </c>
      <c r="O91" s="2614"/>
      <c r="P91" s="2600">
        <v>0</v>
      </c>
      <c r="Q91" s="2601">
        <v>0</v>
      </c>
      <c r="R91" s="2789"/>
      <c r="S91" s="2659">
        <f>+IF(OCTUBRE!S91=0,"",OCTUBRE!S91)</f>
        <v>1020301</v>
      </c>
      <c r="T91" s="2660" t="str">
        <f>+IF(OCTUBRE!T91=0,"",OCTUBRE!T91)</f>
        <v>Contribuciones - SGP - Aportes Patronales - Cuentas Maestras</v>
      </c>
      <c r="U91" s="2661">
        <f t="shared" ref="U91:AJ91" si="99">SUM(U92:U95)</f>
        <v>0</v>
      </c>
      <c r="V91" s="2612">
        <f t="shared" si="99"/>
        <v>2200000</v>
      </c>
      <c r="W91" s="2612">
        <f t="shared" si="99"/>
        <v>193557750</v>
      </c>
      <c r="X91" s="2662">
        <f t="shared" si="99"/>
        <v>195757750</v>
      </c>
      <c r="Y91" s="2663">
        <f t="shared" si="99"/>
        <v>74763697</v>
      </c>
      <c r="Z91" s="2691">
        <f t="shared" si="99"/>
        <v>18013327</v>
      </c>
      <c r="AA91" s="2662">
        <f t="shared" si="99"/>
        <v>92777024</v>
      </c>
      <c r="AB91" s="2663">
        <f t="shared" si="99"/>
        <v>74763697</v>
      </c>
      <c r="AC91" s="2691">
        <f t="shared" si="99"/>
        <v>18013327</v>
      </c>
      <c r="AD91" s="2662">
        <f t="shared" si="99"/>
        <v>92777024</v>
      </c>
      <c r="AE91" s="2663">
        <f t="shared" si="99"/>
        <v>74763697</v>
      </c>
      <c r="AF91" s="2691">
        <f t="shared" si="99"/>
        <v>18013327</v>
      </c>
      <c r="AG91" s="2662">
        <f t="shared" si="99"/>
        <v>92777024</v>
      </c>
      <c r="AH91" s="2663">
        <f t="shared" si="99"/>
        <v>102980726</v>
      </c>
      <c r="AI91" s="2612">
        <f t="shared" si="99"/>
        <v>102980726</v>
      </c>
      <c r="AJ91" s="2664">
        <f t="shared" si="99"/>
        <v>102980726</v>
      </c>
      <c r="AK91" s="2489"/>
      <c r="AL91" s="2692">
        <f>SUM(AL92:AL95)</f>
        <v>2200000</v>
      </c>
      <c r="AM91" s="2693">
        <f>SUM(AM92:AM95)</f>
        <v>0</v>
      </c>
      <c r="AN91" s="2789"/>
      <c r="AO91" s="2790"/>
      <c r="AP91" s="2790"/>
      <c r="AQ91" s="2790"/>
      <c r="AR91" s="2790"/>
      <c r="AS91" s="2790"/>
      <c r="AT91" s="2790"/>
      <c r="AU91" s="2790"/>
      <c r="AV91" s="2790"/>
      <c r="AW91" s="2790"/>
      <c r="AX91" s="2790"/>
      <c r="AY91" s="2790"/>
      <c r="AZ91" s="2790"/>
      <c r="BL91" s="2789"/>
      <c r="BM91" s="2614"/>
      <c r="BN91" s="2614"/>
      <c r="BO91" s="2614"/>
      <c r="BP91" s="2614"/>
      <c r="BQ91" s="2614"/>
      <c r="BR91" s="2614"/>
    </row>
    <row r="92" spans="1:70" s="2778" customFormat="1" ht="24.95" customHeight="1" thickBot="1">
      <c r="A92" s="2785">
        <f>+IF(OCTUBRE!A92=0,"",OCTUBRE!A92)</f>
        <v>1130207</v>
      </c>
      <c r="B92" s="2791" t="str">
        <f>+IF(OCTUBRE!B92=0,"",OCTUBRE!B92)</f>
        <v>Vigencia Anterior</v>
      </c>
      <c r="C92" s="2792">
        <f>+ENERO!C92</f>
        <v>0</v>
      </c>
      <c r="D92" s="2636">
        <f>OCTUBRE!D92+NOVIEMBRE!P92</f>
        <v>0</v>
      </c>
      <c r="E92" s="2636">
        <f>OCTUBRE!E92+NOVIEMBRE!Q92</f>
        <v>0</v>
      </c>
      <c r="F92" s="2636">
        <f t="shared" si="93"/>
        <v>0</v>
      </c>
      <c r="G92" s="2636">
        <f>OCTUBRE!I92</f>
        <v>0</v>
      </c>
      <c r="H92" s="2639">
        <v>0</v>
      </c>
      <c r="I92" s="2636">
        <f t="shared" si="94"/>
        <v>0</v>
      </c>
      <c r="J92" s="2636">
        <f>OCTUBRE!L92</f>
        <v>0</v>
      </c>
      <c r="K92" s="2639">
        <v>0</v>
      </c>
      <c r="L92" s="2636">
        <f t="shared" si="95"/>
        <v>0</v>
      </c>
      <c r="M92" s="2636">
        <f t="shared" si="96"/>
        <v>0</v>
      </c>
      <c r="N92" s="2637">
        <f t="shared" si="97"/>
        <v>0</v>
      </c>
      <c r="O92" s="2614"/>
      <c r="P92" s="2600">
        <v>0</v>
      </c>
      <c r="Q92" s="2601">
        <v>0</v>
      </c>
      <c r="R92" s="2789"/>
      <c r="S92" s="2705" t="str">
        <f>+IF(OCTUBRE!S92=0,"",OCTUBRE!S92)</f>
        <v>1020301-1</v>
      </c>
      <c r="T92" s="2706" t="str">
        <f>+IF(OCTUBRE!T92=0,"",OCTUBRE!T92)</f>
        <v>E.P.S. - Aportes cuentas maestras</v>
      </c>
      <c r="U92" s="2661">
        <f>+ENERO!U92</f>
        <v>0</v>
      </c>
      <c r="V92" s="2612">
        <f>OCTUBRE!V92+NOVIEMBRE!AL92</f>
        <v>0</v>
      </c>
      <c r="W92" s="2612">
        <f>OCTUBRE!W92+NOVIEMBRE!AM92</f>
        <v>40900445</v>
      </c>
      <c r="X92" s="2662">
        <f>SUM(U92:W92)</f>
        <v>40900445</v>
      </c>
      <c r="Y92" s="2663">
        <f>OCTUBRE!AA92</f>
        <v>28728430</v>
      </c>
      <c r="Z92" s="2598">
        <v>6889013</v>
      </c>
      <c r="AA92" s="2662">
        <f>SUM(Y92:Z92)</f>
        <v>35617443</v>
      </c>
      <c r="AB92" s="2663">
        <f>OCTUBRE!AD92</f>
        <v>28728430</v>
      </c>
      <c r="AC92" s="2598">
        <v>6889013</v>
      </c>
      <c r="AD92" s="2662">
        <f>SUM(AB92:AC92)</f>
        <v>35617443</v>
      </c>
      <c r="AE92" s="2663">
        <f>OCTUBRE!AG92</f>
        <v>28728430</v>
      </c>
      <c r="AF92" s="2598">
        <v>6889013</v>
      </c>
      <c r="AG92" s="2662">
        <f>SUM(AE92:AF92)</f>
        <v>35617443</v>
      </c>
      <c r="AH92" s="2663">
        <f>X92-AA92</f>
        <v>5283002</v>
      </c>
      <c r="AI92" s="2612">
        <f>X92-AD92</f>
        <v>5283002</v>
      </c>
      <c r="AJ92" s="2664">
        <f>X92-AG92</f>
        <v>5283002</v>
      </c>
      <c r="AK92" s="2489"/>
      <c r="AL92" s="2600">
        <v>0</v>
      </c>
      <c r="AM92" s="2601">
        <v>0</v>
      </c>
      <c r="AN92" s="2789"/>
      <c r="AO92" s="2790"/>
      <c r="AP92" s="2790"/>
      <c r="AQ92" s="2790"/>
      <c r="AR92" s="2790"/>
      <c r="AS92" s="2790"/>
      <c r="AT92" s="2790"/>
      <c r="AU92" s="2790"/>
      <c r="AV92" s="2790"/>
      <c r="AW92" s="2790"/>
      <c r="AX92" s="2790"/>
      <c r="AY92" s="2790"/>
      <c r="AZ92" s="2790"/>
      <c r="BL92" s="2789"/>
    </row>
    <row r="93" spans="1:70" s="2778" customFormat="1" ht="24.95" customHeight="1" thickBot="1">
      <c r="A93" s="2776" t="str">
        <f>+IF(OCTUBRE!A93=0,"",OCTUBRE!A93)</f>
        <v/>
      </c>
      <c r="B93" s="2777" t="str">
        <f>+IF(OCTUBRE!B93=0,"",OCTUBRE!B93)</f>
        <v/>
      </c>
      <c r="C93" s="2440"/>
      <c r="D93" s="2440"/>
      <c r="E93" s="2440"/>
      <c r="F93" s="2440"/>
      <c r="G93" s="2440"/>
      <c r="H93" s="2440"/>
      <c r="I93" s="2440"/>
      <c r="J93" s="2440"/>
      <c r="K93" s="2440"/>
      <c r="L93" s="2440"/>
      <c r="M93" s="2440"/>
      <c r="N93" s="2675"/>
      <c r="P93" s="2779"/>
      <c r="Q93" s="2648"/>
      <c r="R93" s="2789"/>
      <c r="S93" s="2705" t="str">
        <f>+IF(OCTUBRE!S93=0,"",OCTUBRE!S93)</f>
        <v>1020301-2</v>
      </c>
      <c r="T93" s="2706" t="str">
        <f>+IF(OCTUBRE!T93=0,"",OCTUBRE!T93)</f>
        <v>Fondos pensionales - Aportes cuentas maestras</v>
      </c>
      <c r="U93" s="2661">
        <f>+ENERO!U93</f>
        <v>0</v>
      </c>
      <c r="V93" s="2612">
        <f>OCTUBRE!V93+NOVIEMBRE!AL93</f>
        <v>0</v>
      </c>
      <c r="W93" s="2612">
        <f>OCTUBRE!W93+NOVIEMBRE!AM93</f>
        <v>114718500</v>
      </c>
      <c r="X93" s="2662">
        <f>SUM(U93:W93)</f>
        <v>114718500</v>
      </c>
      <c r="Y93" s="2663">
        <f>OCTUBRE!AA93</f>
        <v>38129482</v>
      </c>
      <c r="Z93" s="2598">
        <v>9202371</v>
      </c>
      <c r="AA93" s="2662">
        <f>SUM(Y93:Z93)</f>
        <v>47331853</v>
      </c>
      <c r="AB93" s="2663">
        <f>OCTUBRE!AD93</f>
        <v>38129482</v>
      </c>
      <c r="AC93" s="2598">
        <v>9202371</v>
      </c>
      <c r="AD93" s="2662">
        <f>SUM(AB93:AC93)</f>
        <v>47331853</v>
      </c>
      <c r="AE93" s="2663">
        <f>OCTUBRE!AG93</f>
        <v>38129482</v>
      </c>
      <c r="AF93" s="2598">
        <v>9202371</v>
      </c>
      <c r="AG93" s="2662">
        <f>SUM(AE93:AF93)</f>
        <v>47331853</v>
      </c>
      <c r="AH93" s="2663">
        <f>X93-AA93</f>
        <v>67386647</v>
      </c>
      <c r="AI93" s="2612">
        <f>X93-AD93</f>
        <v>67386647</v>
      </c>
      <c r="AJ93" s="2664">
        <f>X93-AG93</f>
        <v>67386647</v>
      </c>
      <c r="AK93" s="2489"/>
      <c r="AL93" s="2600">
        <v>0</v>
      </c>
      <c r="AM93" s="2601">
        <v>0</v>
      </c>
      <c r="AN93" s="2789"/>
      <c r="AO93" s="2790"/>
      <c r="AP93" s="2790"/>
      <c r="AQ93" s="2790"/>
      <c r="AR93" s="2790"/>
      <c r="AS93" s="2790"/>
      <c r="AT93" s="2790"/>
      <c r="AU93" s="2790"/>
      <c r="AV93" s="2790"/>
      <c r="AW93" s="2790"/>
      <c r="AX93" s="2790"/>
      <c r="AY93" s="2790"/>
      <c r="AZ93" s="2790"/>
      <c r="BL93" s="2789"/>
    </row>
    <row r="94" spans="1:70" s="2778" customFormat="1" ht="31.5" customHeight="1">
      <c r="A94" s="2793">
        <f>+IF(OCTUBRE!A94=0,"",OCTUBRE!A94)</f>
        <v>11303</v>
      </c>
      <c r="B94" s="2794" t="str">
        <f>+IF(OCTUBRE!B94=0,"",OCTUBRE!B94)</f>
        <v>Aportes (No ligados a la venta de servicios de salud)</v>
      </c>
      <c r="C94" s="2782">
        <f>SUM(C95:C102)</f>
        <v>0</v>
      </c>
      <c r="D94" s="2783">
        <f t="shared" ref="D94:N94" si="100">SUM(D95:D102)</f>
        <v>0</v>
      </c>
      <c r="E94" s="2783">
        <f t="shared" si="100"/>
        <v>298256831</v>
      </c>
      <c r="F94" s="2783">
        <f t="shared" si="100"/>
        <v>298256831</v>
      </c>
      <c r="G94" s="2783">
        <f t="shared" si="100"/>
        <v>298256831</v>
      </c>
      <c r="H94" s="2783">
        <f t="shared" si="100"/>
        <v>0</v>
      </c>
      <c r="I94" s="2783">
        <f t="shared" si="100"/>
        <v>298256831</v>
      </c>
      <c r="J94" s="2783">
        <f t="shared" si="100"/>
        <v>298256831</v>
      </c>
      <c r="K94" s="2783">
        <f t="shared" si="100"/>
        <v>0</v>
      </c>
      <c r="L94" s="2783">
        <f t="shared" si="100"/>
        <v>298256831</v>
      </c>
      <c r="M94" s="2783">
        <f t="shared" si="100"/>
        <v>0</v>
      </c>
      <c r="N94" s="2784">
        <f t="shared" si="100"/>
        <v>0</v>
      </c>
      <c r="O94" s="2614"/>
      <c r="P94" s="2680">
        <f>SUM(P95:P102)</f>
        <v>0</v>
      </c>
      <c r="Q94" s="2681">
        <f>SUM(Q95:Q102)</f>
        <v>0</v>
      </c>
      <c r="R94" s="2789"/>
      <c r="S94" s="2705" t="str">
        <f>+IF(OCTUBRE!S94=0,"",OCTUBRE!S94)</f>
        <v>1020301-3</v>
      </c>
      <c r="T94" s="2706" t="str">
        <f>+IF(OCTUBRE!T94=0,"",OCTUBRE!T94)</f>
        <v>Fondos de cesantías - Aportes cuentas maestras</v>
      </c>
      <c r="U94" s="2661">
        <f>+ENERO!U94</f>
        <v>0</v>
      </c>
      <c r="V94" s="2612">
        <f>OCTUBRE!V94+NOVIEMBRE!AL94</f>
        <v>0</v>
      </c>
      <c r="W94" s="2612">
        <f>OCTUBRE!W94+NOVIEMBRE!AM94</f>
        <v>28200000</v>
      </c>
      <c r="X94" s="2662">
        <f>SUM(U94:W94)</f>
        <v>28200000</v>
      </c>
      <c r="Y94" s="2663">
        <f>OCTUBRE!AA94</f>
        <v>0</v>
      </c>
      <c r="Z94" s="2598">
        <v>0</v>
      </c>
      <c r="AA94" s="2662">
        <f>SUM(Y94:Z94)</f>
        <v>0</v>
      </c>
      <c r="AB94" s="2663">
        <f>OCTUBRE!AD94</f>
        <v>0</v>
      </c>
      <c r="AC94" s="2598">
        <v>0</v>
      </c>
      <c r="AD94" s="2662">
        <f>SUM(AB94:AC94)</f>
        <v>0</v>
      </c>
      <c r="AE94" s="2663">
        <f>OCTUBRE!AG94</f>
        <v>0</v>
      </c>
      <c r="AF94" s="2598">
        <v>0</v>
      </c>
      <c r="AG94" s="2662">
        <f>SUM(AE94:AF94)</f>
        <v>0</v>
      </c>
      <c r="AH94" s="2663">
        <f>X94-AA94</f>
        <v>28200000</v>
      </c>
      <c r="AI94" s="2612">
        <f>X94-AD94</f>
        <v>28200000</v>
      </c>
      <c r="AJ94" s="2664">
        <f>X94-AG94</f>
        <v>28200000</v>
      </c>
      <c r="AK94" s="2489"/>
      <c r="AL94" s="2600">
        <v>0</v>
      </c>
      <c r="AM94" s="2601">
        <v>0</v>
      </c>
      <c r="AN94" s="2789"/>
      <c r="AO94" s="2790"/>
      <c r="AP94" s="2790"/>
      <c r="AQ94" s="2790"/>
      <c r="AR94" s="2790"/>
      <c r="AS94" s="2790"/>
      <c r="AT94" s="2790"/>
      <c r="AU94" s="2790"/>
      <c r="AV94" s="2790"/>
      <c r="AW94" s="2790"/>
      <c r="AX94" s="2790"/>
      <c r="AY94" s="2790"/>
      <c r="AZ94" s="2790"/>
      <c r="BL94" s="2789"/>
    </row>
    <row r="95" spans="1:70" s="2778" customFormat="1" ht="24.95" customHeight="1">
      <c r="A95" s="2795" t="str">
        <f>+IF(OCTUBRE!A95=0,"",OCTUBRE!A95)</f>
        <v>11303-1</v>
      </c>
      <c r="B95" s="2796" t="str">
        <f>+IF(OCTUBRE!B95=0,"",OCTUBRE!B95)</f>
        <v>CONVENIOS CON LA NACION NO LIGADOS A LA VENTA DE SERVICIOS</v>
      </c>
      <c r="C95" s="2787">
        <f>+ENERO!C95</f>
        <v>0</v>
      </c>
      <c r="D95" s="2595">
        <f>OCTUBRE!D95+NOVIEMBRE!P95</f>
        <v>0</v>
      </c>
      <c r="E95" s="2595">
        <f>OCTUBRE!E95+NOVIEMBRE!Q95</f>
        <v>0</v>
      </c>
      <c r="F95" s="2595">
        <f t="shared" ref="F95:F102" si="101">SUM(C95:E95)</f>
        <v>0</v>
      </c>
      <c r="G95" s="2595">
        <f>OCTUBRE!I95</f>
        <v>0</v>
      </c>
      <c r="H95" s="2598">
        <v>0</v>
      </c>
      <c r="I95" s="2595">
        <f t="shared" ref="I95:I102" si="102">SUM(G95:H95)</f>
        <v>0</v>
      </c>
      <c r="J95" s="2595">
        <f>OCTUBRE!L95</f>
        <v>0</v>
      </c>
      <c r="K95" s="2598">
        <v>0</v>
      </c>
      <c r="L95" s="2595">
        <f t="shared" ref="L95:L102" si="103">SUM(J95:K95)</f>
        <v>0</v>
      </c>
      <c r="M95" s="2595">
        <f t="shared" ref="M95:M102" si="104">F95-I95</f>
        <v>0</v>
      </c>
      <c r="N95" s="2596">
        <f t="shared" ref="N95:N102" si="105">F95-L95</f>
        <v>0</v>
      </c>
      <c r="O95" s="2614"/>
      <c r="P95" s="2600">
        <v>0</v>
      </c>
      <c r="Q95" s="2601">
        <v>0</v>
      </c>
      <c r="R95" s="2789"/>
      <c r="S95" s="2705" t="str">
        <f>+IF(OCTUBRE!S95=0,"",OCTUBRE!S95)</f>
        <v>1020301-4</v>
      </c>
      <c r="T95" s="2706" t="str">
        <f>+IF(OCTUBRE!T95=0,"",OCTUBRE!T95)</f>
        <v>Riesgos laborales - Aportes cuentas maestras</v>
      </c>
      <c r="U95" s="2661">
        <f>+ENERO!U95</f>
        <v>0</v>
      </c>
      <c r="V95" s="2612">
        <f>OCTUBRE!V95+NOVIEMBRE!AL95</f>
        <v>2200000</v>
      </c>
      <c r="W95" s="2612">
        <f>OCTUBRE!W95+NOVIEMBRE!AM95</f>
        <v>9738805</v>
      </c>
      <c r="X95" s="2662">
        <f>SUM(U95:W95)</f>
        <v>11938805</v>
      </c>
      <c r="Y95" s="2663">
        <f>OCTUBRE!AA95</f>
        <v>7905785</v>
      </c>
      <c r="Z95" s="2598">
        <v>1921943</v>
      </c>
      <c r="AA95" s="2662">
        <f>SUM(Y95:Z95)</f>
        <v>9827728</v>
      </c>
      <c r="AB95" s="2663">
        <f>OCTUBRE!AD95</f>
        <v>7905785</v>
      </c>
      <c r="AC95" s="2598">
        <v>1921943</v>
      </c>
      <c r="AD95" s="2662">
        <f>SUM(AB95:AC95)</f>
        <v>9827728</v>
      </c>
      <c r="AE95" s="2663">
        <f>OCTUBRE!AG95</f>
        <v>7905785</v>
      </c>
      <c r="AF95" s="2598">
        <v>1921943</v>
      </c>
      <c r="AG95" s="2662">
        <f>SUM(AE95:AF95)</f>
        <v>9827728</v>
      </c>
      <c r="AH95" s="2663">
        <f>X95-AA95</f>
        <v>2111077</v>
      </c>
      <c r="AI95" s="2612">
        <f>X95-AD95</f>
        <v>2111077</v>
      </c>
      <c r="AJ95" s="2664">
        <f>X95-AG95</f>
        <v>2111077</v>
      </c>
      <c r="AK95" s="2489"/>
      <c r="AL95" s="2600">
        <v>2200000</v>
      </c>
      <c r="AM95" s="2601">
        <v>0</v>
      </c>
      <c r="AN95" s="2789"/>
      <c r="AO95" s="2790"/>
      <c r="AP95" s="2790"/>
      <c r="AQ95" s="2790"/>
      <c r="AR95" s="2790"/>
      <c r="AS95" s="2790"/>
      <c r="AT95" s="2790"/>
      <c r="AU95" s="2790"/>
      <c r="AV95" s="2790"/>
      <c r="AW95" s="2790"/>
      <c r="AX95" s="2790"/>
      <c r="AY95" s="2790"/>
      <c r="AZ95" s="2790"/>
      <c r="BL95" s="2789"/>
    </row>
    <row r="96" spans="1:70" s="2789" customFormat="1" ht="24.95" customHeight="1">
      <c r="A96" s="2795" t="str">
        <f>+IF(OCTUBRE!A96=0,"",OCTUBRE!A96)</f>
        <v>11303-2</v>
      </c>
      <c r="B96" s="2796" t="str">
        <f>+IF(OCTUBRE!B96=0,"",OCTUBRE!B96)</f>
        <v>CONVENIOS CON EL DEPARTAMENTO NO LIGADOS A LA VENTA SERVICIOS</v>
      </c>
      <c r="C96" s="2787">
        <f>+ENERO!C96</f>
        <v>0</v>
      </c>
      <c r="D96" s="2595">
        <f>OCTUBRE!D96+NOVIEMBRE!P96</f>
        <v>0</v>
      </c>
      <c r="E96" s="2595">
        <f>OCTUBRE!E96+NOVIEMBRE!Q96</f>
        <v>125236928</v>
      </c>
      <c r="F96" s="2595">
        <f t="shared" si="101"/>
        <v>125236928</v>
      </c>
      <c r="G96" s="2595">
        <f>OCTUBRE!I96</f>
        <v>125236928</v>
      </c>
      <c r="H96" s="2598">
        <v>0</v>
      </c>
      <c r="I96" s="2595">
        <f t="shared" si="102"/>
        <v>125236928</v>
      </c>
      <c r="J96" s="2595">
        <f>OCTUBRE!L96</f>
        <v>125236928</v>
      </c>
      <c r="K96" s="2598">
        <v>0</v>
      </c>
      <c r="L96" s="2595">
        <f t="shared" si="103"/>
        <v>125236928</v>
      </c>
      <c r="M96" s="2595">
        <f t="shared" si="104"/>
        <v>0</v>
      </c>
      <c r="N96" s="2596">
        <f t="shared" si="105"/>
        <v>0</v>
      </c>
      <c r="O96" s="2614"/>
      <c r="P96" s="2600">
        <v>0</v>
      </c>
      <c r="Q96" s="2601">
        <v>0</v>
      </c>
      <c r="S96" s="2659">
        <f>+IF(OCTUBRE!S96=0,"",OCTUBRE!S96)</f>
        <v>1020302</v>
      </c>
      <c r="T96" s="2660" t="str">
        <f>+IF(OCTUBRE!T96=0,"",OCTUBRE!T96)</f>
        <v>Contribuciones - Otros</v>
      </c>
      <c r="U96" s="2661">
        <f t="shared" ref="U96:AJ96" si="106">SUM(U97:U101)</f>
        <v>259627762</v>
      </c>
      <c r="V96" s="2612">
        <f t="shared" si="106"/>
        <v>-55200000</v>
      </c>
      <c r="W96" s="2612">
        <f t="shared" si="106"/>
        <v>20000000</v>
      </c>
      <c r="X96" s="2662">
        <f t="shared" si="106"/>
        <v>224427762</v>
      </c>
      <c r="Y96" s="2663">
        <f t="shared" si="106"/>
        <v>129591100</v>
      </c>
      <c r="Z96" s="2691">
        <f t="shared" si="106"/>
        <v>5063107</v>
      </c>
      <c r="AA96" s="2662">
        <f t="shared" si="106"/>
        <v>134654207</v>
      </c>
      <c r="AB96" s="2663">
        <f t="shared" si="106"/>
        <v>129591100</v>
      </c>
      <c r="AC96" s="2691">
        <f t="shared" si="106"/>
        <v>5063107</v>
      </c>
      <c r="AD96" s="2662">
        <f t="shared" si="106"/>
        <v>134654207</v>
      </c>
      <c r="AE96" s="2663">
        <f t="shared" si="106"/>
        <v>129591100</v>
      </c>
      <c r="AF96" s="2691">
        <f t="shared" si="106"/>
        <v>5063107</v>
      </c>
      <c r="AG96" s="2662">
        <f t="shared" si="106"/>
        <v>134654207</v>
      </c>
      <c r="AH96" s="2663">
        <f t="shared" si="106"/>
        <v>89773555</v>
      </c>
      <c r="AI96" s="2612">
        <f t="shared" si="106"/>
        <v>89773555</v>
      </c>
      <c r="AJ96" s="2664">
        <f t="shared" si="106"/>
        <v>89773555</v>
      </c>
      <c r="AL96" s="2797">
        <f>SUM(AL97:AL101)</f>
        <v>-56200000</v>
      </c>
      <c r="AM96" s="2798">
        <f>SUM(AM97:AM101)</f>
        <v>0</v>
      </c>
      <c r="AO96" s="2790"/>
      <c r="AP96" s="2790"/>
      <c r="AQ96" s="2790"/>
      <c r="AR96" s="2790"/>
      <c r="AS96" s="2790"/>
      <c r="AT96" s="2790"/>
      <c r="AU96" s="2790"/>
      <c r="AV96" s="2790"/>
      <c r="AW96" s="2790"/>
      <c r="AX96" s="2790"/>
      <c r="AY96" s="2790"/>
      <c r="AZ96" s="2790"/>
      <c r="BA96" s="2778"/>
      <c r="BC96" s="2778"/>
      <c r="BD96" s="2778"/>
      <c r="BE96" s="2778"/>
      <c r="BL96" s="2778"/>
      <c r="BM96" s="2778"/>
      <c r="BN96" s="2778"/>
      <c r="BO96" s="2778"/>
      <c r="BP96" s="2778"/>
      <c r="BQ96" s="2778"/>
      <c r="BR96" s="2778"/>
    </row>
    <row r="97" spans="1:70" s="2778" customFormat="1" ht="24.95" customHeight="1">
      <c r="A97" s="2795" t="str">
        <f>+IF(OCTUBRE!A97=0,"",OCTUBRE!A97)</f>
        <v>11303-3</v>
      </c>
      <c r="B97" s="2796" t="str">
        <f>+IF(OCTUBRE!B97=0,"",OCTUBRE!B97)</f>
        <v>CONVENIOS CON EL MUNICIPIO NO LIGADOS A LA VENTA DE SERVICIOS</v>
      </c>
      <c r="C97" s="2787">
        <f>+ENERO!C97</f>
        <v>0</v>
      </c>
      <c r="D97" s="2595">
        <f>OCTUBRE!D97+NOVIEMBRE!P97</f>
        <v>0</v>
      </c>
      <c r="E97" s="2595">
        <f>OCTUBRE!E97+NOVIEMBRE!Q97</f>
        <v>0</v>
      </c>
      <c r="F97" s="2595">
        <f t="shared" si="101"/>
        <v>0</v>
      </c>
      <c r="G97" s="2595">
        <f>OCTUBRE!I97</f>
        <v>0</v>
      </c>
      <c r="H97" s="2598">
        <v>0</v>
      </c>
      <c r="I97" s="2595">
        <f t="shared" si="102"/>
        <v>0</v>
      </c>
      <c r="J97" s="2595">
        <f>OCTUBRE!L97</f>
        <v>0</v>
      </c>
      <c r="K97" s="2598">
        <v>0</v>
      </c>
      <c r="L97" s="2595">
        <f t="shared" si="103"/>
        <v>0</v>
      </c>
      <c r="M97" s="2595">
        <f t="shared" si="104"/>
        <v>0</v>
      </c>
      <c r="N97" s="2596">
        <f t="shared" si="105"/>
        <v>0</v>
      </c>
      <c r="O97" s="2614"/>
      <c r="P97" s="2600">
        <v>0</v>
      </c>
      <c r="Q97" s="2601">
        <v>0</v>
      </c>
      <c r="R97" s="2789"/>
      <c r="S97" s="2705" t="str">
        <f>+IF(OCTUBRE!S97=0,"",OCTUBRE!S97)</f>
        <v>1020302-1</v>
      </c>
      <c r="T97" s="2706" t="str">
        <f>+IF(OCTUBRE!T97=0,"",OCTUBRE!T97)</f>
        <v>Aportes a E.P.S.- Con sit. Fondos</v>
      </c>
      <c r="U97" s="2661">
        <f>+ENERO!U97</f>
        <v>52772649</v>
      </c>
      <c r="V97" s="2612">
        <f>OCTUBRE!V97+NOVIEMBRE!AL97</f>
        <v>-7000000</v>
      </c>
      <c r="W97" s="2612">
        <f>OCTUBRE!W97+NOVIEMBRE!AM97</f>
        <v>0</v>
      </c>
      <c r="X97" s="2662">
        <f t="shared" ref="X97:X102" si="107">SUM(U97:W97)</f>
        <v>45772649</v>
      </c>
      <c r="Y97" s="2663">
        <f>OCTUBRE!AA97</f>
        <v>37010174</v>
      </c>
      <c r="Z97" s="2598">
        <v>0</v>
      </c>
      <c r="AA97" s="2662">
        <f t="shared" ref="AA97:AA102" si="108">SUM(Y97:Z97)</f>
        <v>37010174</v>
      </c>
      <c r="AB97" s="2663">
        <f>OCTUBRE!AD97</f>
        <v>37010174</v>
      </c>
      <c r="AC97" s="2598">
        <v>0</v>
      </c>
      <c r="AD97" s="2662">
        <f t="shared" ref="AD97:AD102" si="109">SUM(AB97:AC97)</f>
        <v>37010174</v>
      </c>
      <c r="AE97" s="2663">
        <f>OCTUBRE!AG97</f>
        <v>37010174</v>
      </c>
      <c r="AF97" s="2598">
        <v>0</v>
      </c>
      <c r="AG97" s="2662">
        <f t="shared" ref="AG97:AG102" si="110">SUM(AE97:AF97)</f>
        <v>37010174</v>
      </c>
      <c r="AH97" s="2663">
        <f t="shared" ref="AH97:AH102" si="111">X97-AA97</f>
        <v>8762475</v>
      </c>
      <c r="AI97" s="2612">
        <f t="shared" ref="AI97:AI102" si="112">X97-AD97</f>
        <v>8762475</v>
      </c>
      <c r="AJ97" s="2664">
        <f t="shared" ref="AJ97:AJ102" si="113">X97-AG97</f>
        <v>8762475</v>
      </c>
      <c r="AK97" s="2789"/>
      <c r="AL97" s="2600">
        <v>-7000000</v>
      </c>
      <c r="AM97" s="2601">
        <v>0</v>
      </c>
      <c r="AN97" s="2789"/>
      <c r="AO97" s="2790"/>
      <c r="AP97" s="2790"/>
      <c r="AQ97" s="2790"/>
      <c r="AR97" s="2790"/>
      <c r="AS97" s="2790"/>
      <c r="AT97" s="2790"/>
      <c r="AU97" s="2790"/>
      <c r="AV97" s="2790"/>
      <c r="AW97" s="2790"/>
      <c r="AX97" s="2790"/>
      <c r="AY97" s="2790"/>
      <c r="AZ97" s="2790"/>
      <c r="BC97" s="2789"/>
      <c r="BD97" s="2789"/>
      <c r="BE97" s="2789"/>
    </row>
    <row r="98" spans="1:70" s="2778" customFormat="1" ht="24.95" customHeight="1">
      <c r="A98" s="2795" t="str">
        <f>+IF(OCTUBRE!A98=0,"",OCTUBRE!A98)</f>
        <v>11303-4</v>
      </c>
      <c r="B98" s="2796" t="str">
        <f>+IF(OCTUBRE!B98=0,"",OCTUBRE!B98)</f>
        <v>OTROS CONVENIOS NO LIGADOS A LA VENTA DE SERVICIOS</v>
      </c>
      <c r="C98" s="2787">
        <f>+ENERO!C98</f>
        <v>0</v>
      </c>
      <c r="D98" s="2595">
        <f>OCTUBRE!D98+NOVIEMBRE!P98</f>
        <v>0</v>
      </c>
      <c r="E98" s="2595">
        <f>OCTUBRE!E98+NOVIEMBRE!Q98</f>
        <v>0</v>
      </c>
      <c r="F98" s="2595">
        <f t="shared" si="101"/>
        <v>0</v>
      </c>
      <c r="G98" s="2595">
        <f>OCTUBRE!I98</f>
        <v>0</v>
      </c>
      <c r="H98" s="2598">
        <v>0</v>
      </c>
      <c r="I98" s="2595">
        <f t="shared" si="102"/>
        <v>0</v>
      </c>
      <c r="J98" s="2595">
        <f>OCTUBRE!L98</f>
        <v>0</v>
      </c>
      <c r="K98" s="2598">
        <v>0</v>
      </c>
      <c r="L98" s="2595">
        <f t="shared" si="103"/>
        <v>0</v>
      </c>
      <c r="M98" s="2595">
        <f t="shared" si="104"/>
        <v>0</v>
      </c>
      <c r="N98" s="2596">
        <f t="shared" si="105"/>
        <v>0</v>
      </c>
      <c r="O98" s="2614"/>
      <c r="P98" s="2600">
        <v>0</v>
      </c>
      <c r="Q98" s="2601">
        <v>0</v>
      </c>
      <c r="R98" s="2789"/>
      <c r="S98" s="2705" t="str">
        <f>+IF(OCTUBRE!S98=0,"",OCTUBRE!S98)</f>
        <v>1020302-2</v>
      </c>
      <c r="T98" s="2706" t="str">
        <f>+IF(OCTUBRE!T98=0,"",OCTUBRE!T98)</f>
        <v>Aportes Fondos Pensionales - Con Sit. Fondos</v>
      </c>
      <c r="U98" s="2661">
        <f>+ENERO!U98</f>
        <v>103712246</v>
      </c>
      <c r="V98" s="2612">
        <f>OCTUBRE!V98+NOVIEMBRE!AL98</f>
        <v>-45000000</v>
      </c>
      <c r="W98" s="2612">
        <f>OCTUBRE!W98+NOVIEMBRE!AM98</f>
        <v>0</v>
      </c>
      <c r="X98" s="2662">
        <f t="shared" si="107"/>
        <v>58712246</v>
      </c>
      <c r="Y98" s="2663">
        <f>OCTUBRE!AA98</f>
        <v>50124903</v>
      </c>
      <c r="Z98" s="2598">
        <v>0</v>
      </c>
      <c r="AA98" s="2662">
        <f t="shared" si="108"/>
        <v>50124903</v>
      </c>
      <c r="AB98" s="2663">
        <f>OCTUBRE!AD98</f>
        <v>50124903</v>
      </c>
      <c r="AC98" s="2598">
        <v>0</v>
      </c>
      <c r="AD98" s="2662">
        <f t="shared" si="109"/>
        <v>50124903</v>
      </c>
      <c r="AE98" s="2663">
        <f>OCTUBRE!AG98</f>
        <v>50124903</v>
      </c>
      <c r="AF98" s="2598">
        <v>0</v>
      </c>
      <c r="AG98" s="2662">
        <f t="shared" si="110"/>
        <v>50124903</v>
      </c>
      <c r="AH98" s="2663">
        <f t="shared" si="111"/>
        <v>8587343</v>
      </c>
      <c r="AI98" s="2612">
        <f t="shared" si="112"/>
        <v>8587343</v>
      </c>
      <c r="AJ98" s="2664">
        <f t="shared" si="113"/>
        <v>8587343</v>
      </c>
      <c r="AK98" s="2789"/>
      <c r="AL98" s="2600">
        <v>-40000000</v>
      </c>
      <c r="AM98" s="2601">
        <v>0</v>
      </c>
      <c r="AN98" s="2789"/>
      <c r="AO98" s="2790"/>
      <c r="AP98" s="2790"/>
      <c r="AQ98" s="2790"/>
      <c r="AR98" s="2790"/>
      <c r="AS98" s="2790"/>
      <c r="AT98" s="2790"/>
      <c r="AU98" s="2790"/>
      <c r="AV98" s="2790"/>
      <c r="AW98" s="2790"/>
      <c r="AX98" s="2790"/>
      <c r="AY98" s="2790"/>
      <c r="AZ98" s="2790"/>
      <c r="BN98" s="2789"/>
      <c r="BO98" s="2789"/>
      <c r="BP98" s="2789"/>
      <c r="BQ98" s="2789"/>
      <c r="BR98" s="2789"/>
    </row>
    <row r="99" spans="1:70" s="2778" customFormat="1" ht="24.95" customHeight="1">
      <c r="A99" s="2795" t="str">
        <f>+IF(OCTUBRE!A99=0,"",OCTUBRE!A99)</f>
        <v>11303-5</v>
      </c>
      <c r="B99" s="2796" t="str">
        <f>+IF(OCTUBRE!B99=0,"",OCTUBRE!B99)</f>
        <v>APORTES PATRONALES - MUNICIPIO / DEPARTAMENTO</v>
      </c>
      <c r="C99" s="2787">
        <f>+ENERO!C99</f>
        <v>0</v>
      </c>
      <c r="D99" s="2595">
        <f>OCTUBRE!D99+NOVIEMBRE!P99</f>
        <v>0</v>
      </c>
      <c r="E99" s="2595">
        <f>OCTUBRE!E99+NOVIEMBRE!Q99</f>
        <v>0</v>
      </c>
      <c r="F99" s="2595">
        <f t="shared" si="101"/>
        <v>0</v>
      </c>
      <c r="G99" s="2595">
        <f>OCTUBRE!I99</f>
        <v>0</v>
      </c>
      <c r="H99" s="2799">
        <v>0</v>
      </c>
      <c r="I99" s="2595">
        <f t="shared" si="102"/>
        <v>0</v>
      </c>
      <c r="J99" s="2595">
        <f>OCTUBRE!L99</f>
        <v>0</v>
      </c>
      <c r="K99" s="2799">
        <v>0</v>
      </c>
      <c r="L99" s="2595">
        <f t="shared" si="103"/>
        <v>0</v>
      </c>
      <c r="M99" s="2595">
        <f t="shared" si="104"/>
        <v>0</v>
      </c>
      <c r="N99" s="2596">
        <f t="shared" si="105"/>
        <v>0</v>
      </c>
      <c r="O99" s="2614"/>
      <c r="P99" s="2594">
        <v>0</v>
      </c>
      <c r="Q99" s="2800">
        <v>0</v>
      </c>
      <c r="R99" s="2789"/>
      <c r="S99" s="2705" t="str">
        <f>+IF(OCTUBRE!S99=0,"",OCTUBRE!S99)</f>
        <v>1020302-3</v>
      </c>
      <c r="T99" s="2706" t="str">
        <f>+IF(OCTUBRE!T99=0,"",OCTUBRE!T99)</f>
        <v xml:space="preserve">Aportes a Fondos de Cesantia - Con Sit. de Fondos </v>
      </c>
      <c r="U99" s="2661">
        <f>+ENERO!U99</f>
        <v>72193404</v>
      </c>
      <c r="V99" s="2612">
        <f>OCTUBRE!V99+NOVIEMBRE!AL99</f>
        <v>0</v>
      </c>
      <c r="W99" s="2612">
        <f>OCTUBRE!W99+NOVIEMBRE!AM99</f>
        <v>0</v>
      </c>
      <c r="X99" s="2662">
        <f t="shared" si="107"/>
        <v>72193404</v>
      </c>
      <c r="Y99" s="2663">
        <f>OCTUBRE!AA99</f>
        <v>3390328</v>
      </c>
      <c r="Z99" s="2598">
        <v>1821218</v>
      </c>
      <c r="AA99" s="2662">
        <f t="shared" si="108"/>
        <v>5211546</v>
      </c>
      <c r="AB99" s="2663">
        <f>OCTUBRE!AD99</f>
        <v>3390328</v>
      </c>
      <c r="AC99" s="2598">
        <v>1821218</v>
      </c>
      <c r="AD99" s="2662">
        <f t="shared" si="109"/>
        <v>5211546</v>
      </c>
      <c r="AE99" s="2663">
        <f>OCTUBRE!AG99</f>
        <v>3390328</v>
      </c>
      <c r="AF99" s="2598">
        <v>1821218</v>
      </c>
      <c r="AG99" s="2662">
        <f t="shared" si="110"/>
        <v>5211546</v>
      </c>
      <c r="AH99" s="2663">
        <f t="shared" si="111"/>
        <v>66981858</v>
      </c>
      <c r="AI99" s="2612">
        <f t="shared" si="112"/>
        <v>66981858</v>
      </c>
      <c r="AJ99" s="2664">
        <f t="shared" si="113"/>
        <v>66981858</v>
      </c>
      <c r="AK99" s="2789"/>
      <c r="AL99" s="2600">
        <v>0</v>
      </c>
      <c r="AM99" s="2601">
        <v>0</v>
      </c>
      <c r="AN99" s="2789"/>
      <c r="AO99" s="2790"/>
      <c r="AP99" s="2790"/>
      <c r="AQ99" s="2790"/>
      <c r="AR99" s="2790"/>
      <c r="AS99" s="2790"/>
      <c r="AT99" s="2790"/>
      <c r="AU99" s="2790"/>
      <c r="AV99" s="2790"/>
      <c r="AW99" s="2790"/>
      <c r="AX99" s="2790"/>
      <c r="AY99" s="2790"/>
      <c r="AZ99" s="2790"/>
      <c r="BM99" s="2789"/>
    </row>
    <row r="100" spans="1:70" s="2614" customFormat="1" ht="24.95" customHeight="1">
      <c r="A100" s="2795" t="str">
        <f>+IF(OCTUBRE!A100=0,"",OCTUBRE!A100)</f>
        <v>11303-6</v>
      </c>
      <c r="B100" s="2796" t="str">
        <f>+IF(OCTUBRE!B100=0,"",OCTUBRE!B100)</f>
        <v>RECURSOS PARA PROGRAMA DE SANEAMIENTO FINANCIERO</v>
      </c>
      <c r="C100" s="2787">
        <f>+ENERO!C100</f>
        <v>0</v>
      </c>
      <c r="D100" s="2595">
        <f>OCTUBRE!D100+NOVIEMBRE!P100</f>
        <v>0</v>
      </c>
      <c r="E100" s="2595">
        <f>OCTUBRE!E100+NOVIEMBRE!Q100</f>
        <v>0</v>
      </c>
      <c r="F100" s="2595">
        <f t="shared" si="101"/>
        <v>0</v>
      </c>
      <c r="G100" s="2595">
        <f>OCTUBRE!I100</f>
        <v>0</v>
      </c>
      <c r="H100" s="2598">
        <v>0</v>
      </c>
      <c r="I100" s="2595">
        <f t="shared" si="102"/>
        <v>0</v>
      </c>
      <c r="J100" s="2595">
        <f>OCTUBRE!L100</f>
        <v>0</v>
      </c>
      <c r="K100" s="2598">
        <v>0</v>
      </c>
      <c r="L100" s="2595">
        <f t="shared" si="103"/>
        <v>0</v>
      </c>
      <c r="M100" s="2595">
        <f t="shared" si="104"/>
        <v>0</v>
      </c>
      <c r="N100" s="2596">
        <f t="shared" si="105"/>
        <v>0</v>
      </c>
      <c r="P100" s="2600">
        <v>0</v>
      </c>
      <c r="Q100" s="2601">
        <v>0</v>
      </c>
      <c r="R100" s="2489"/>
      <c r="S100" s="2705" t="str">
        <f>+IF(OCTUBRE!S100=0,"",OCTUBRE!S100)</f>
        <v>1020302-4</v>
      </c>
      <c r="T100" s="2706" t="str">
        <f>+IF(OCTUBRE!T100=0,"",OCTUBRE!T100)</f>
        <v>Aporte a ARL. - Con Sit. de Fondos</v>
      </c>
      <c r="U100" s="2661">
        <f>+ENERO!U100</f>
        <v>20885552</v>
      </c>
      <c r="V100" s="2612">
        <f>OCTUBRE!V100+NOVIEMBRE!AL100</f>
        <v>-9200000</v>
      </c>
      <c r="W100" s="2612">
        <f>OCTUBRE!W100+NOVIEMBRE!AM100</f>
        <v>0</v>
      </c>
      <c r="X100" s="2662">
        <f t="shared" si="107"/>
        <v>11685552</v>
      </c>
      <c r="Y100" s="2663">
        <f>OCTUBRE!AA100</f>
        <v>9831767</v>
      </c>
      <c r="Z100" s="2598">
        <v>0</v>
      </c>
      <c r="AA100" s="2662">
        <f t="shared" si="108"/>
        <v>9831767</v>
      </c>
      <c r="AB100" s="2663">
        <f>OCTUBRE!AD100</f>
        <v>9831767</v>
      </c>
      <c r="AC100" s="2598">
        <v>0</v>
      </c>
      <c r="AD100" s="2662">
        <f t="shared" si="109"/>
        <v>9831767</v>
      </c>
      <c r="AE100" s="2663">
        <f>OCTUBRE!AG100</f>
        <v>9831767</v>
      </c>
      <c r="AF100" s="2598">
        <v>0</v>
      </c>
      <c r="AG100" s="2662">
        <f t="shared" si="110"/>
        <v>9831767</v>
      </c>
      <c r="AH100" s="2663">
        <f t="shared" si="111"/>
        <v>1853785</v>
      </c>
      <c r="AI100" s="2612">
        <f t="shared" si="112"/>
        <v>1853785</v>
      </c>
      <c r="AJ100" s="2664">
        <f t="shared" si="113"/>
        <v>1853785</v>
      </c>
      <c r="AK100" s="2789"/>
      <c r="AL100" s="2600">
        <v>-9200000</v>
      </c>
      <c r="AM100" s="2601">
        <v>0</v>
      </c>
      <c r="AN100" s="2489"/>
      <c r="AO100" s="2440"/>
      <c r="AP100" s="2440"/>
      <c r="AQ100" s="2440"/>
      <c r="AR100" s="2440"/>
      <c r="AS100" s="2440"/>
      <c r="AT100" s="2440"/>
      <c r="AU100" s="2440"/>
      <c r="AV100" s="2440"/>
      <c r="AW100" s="2440"/>
      <c r="AX100" s="2440"/>
      <c r="AY100" s="2440"/>
      <c r="AZ100" s="2440"/>
      <c r="BM100" s="2778"/>
      <c r="BN100" s="2778"/>
      <c r="BO100" s="2778"/>
      <c r="BP100" s="2778"/>
      <c r="BQ100" s="2778"/>
      <c r="BR100" s="2778"/>
    </row>
    <row r="101" spans="1:70" s="2614" customFormat="1" ht="24.95" customHeight="1">
      <c r="A101" s="2795" t="str">
        <f>+IF(OCTUBRE!A101=0,"",OCTUBRE!A101)</f>
        <v>11303-7</v>
      </c>
      <c r="B101" s="2796" t="str">
        <f>+IF(OCTUBRE!B101=0,"",OCTUBRE!B101)</f>
        <v/>
      </c>
      <c r="C101" s="2787">
        <f>+ENERO!C101</f>
        <v>0</v>
      </c>
      <c r="D101" s="2595">
        <f>OCTUBRE!D101+NOVIEMBRE!P101</f>
        <v>0</v>
      </c>
      <c r="E101" s="2595">
        <f>OCTUBRE!E101+NOVIEMBRE!Q101</f>
        <v>0</v>
      </c>
      <c r="F101" s="2595">
        <f t="shared" si="101"/>
        <v>0</v>
      </c>
      <c r="G101" s="2595">
        <f>OCTUBRE!I101</f>
        <v>0</v>
      </c>
      <c r="H101" s="2598">
        <v>0</v>
      </c>
      <c r="I101" s="2595">
        <f t="shared" si="102"/>
        <v>0</v>
      </c>
      <c r="J101" s="2595">
        <f>OCTUBRE!L101</f>
        <v>0</v>
      </c>
      <c r="K101" s="2598">
        <v>0</v>
      </c>
      <c r="L101" s="2595">
        <f t="shared" si="103"/>
        <v>0</v>
      </c>
      <c r="M101" s="2595">
        <f t="shared" si="104"/>
        <v>0</v>
      </c>
      <c r="N101" s="2596">
        <f t="shared" si="105"/>
        <v>0</v>
      </c>
      <c r="P101" s="2600">
        <v>0</v>
      </c>
      <c r="Q101" s="2601">
        <v>0</v>
      </c>
      <c r="R101" s="2489"/>
      <c r="S101" s="2705" t="str">
        <f>+IF(OCTUBRE!S101=0,"",OCTUBRE!S101)</f>
        <v>1020302-5</v>
      </c>
      <c r="T101" s="2706" t="str">
        <f>+IF(OCTUBRE!T101=0,"",OCTUBRE!T101)</f>
        <v>Aporte a Caja Compensación Familiar</v>
      </c>
      <c r="U101" s="2661">
        <f>+ENERO!U101</f>
        <v>10063911</v>
      </c>
      <c r="V101" s="2612">
        <f>OCTUBRE!V101+NOVIEMBRE!AL101</f>
        <v>6000000</v>
      </c>
      <c r="W101" s="2612">
        <f>OCTUBRE!W101+NOVIEMBRE!AM101</f>
        <v>20000000</v>
      </c>
      <c r="X101" s="2662">
        <f t="shared" si="107"/>
        <v>36063911</v>
      </c>
      <c r="Y101" s="2663">
        <f>OCTUBRE!AA101</f>
        <v>29233928</v>
      </c>
      <c r="Z101" s="2598">
        <v>3241889</v>
      </c>
      <c r="AA101" s="2662">
        <f t="shared" si="108"/>
        <v>32475817</v>
      </c>
      <c r="AB101" s="2663">
        <f>OCTUBRE!AD101</f>
        <v>29233928</v>
      </c>
      <c r="AC101" s="2598">
        <v>3241889</v>
      </c>
      <c r="AD101" s="2662">
        <f t="shared" si="109"/>
        <v>32475817</v>
      </c>
      <c r="AE101" s="2663">
        <f>OCTUBRE!AG101</f>
        <v>29233928</v>
      </c>
      <c r="AF101" s="2598">
        <v>3241889</v>
      </c>
      <c r="AG101" s="2662">
        <f t="shared" si="110"/>
        <v>32475817</v>
      </c>
      <c r="AH101" s="2663">
        <f t="shared" si="111"/>
        <v>3588094</v>
      </c>
      <c r="AI101" s="2612">
        <f t="shared" si="112"/>
        <v>3588094</v>
      </c>
      <c r="AJ101" s="2664">
        <f t="shared" si="113"/>
        <v>3588094</v>
      </c>
      <c r="AK101" s="2789"/>
      <c r="AL101" s="2600">
        <v>0</v>
      </c>
      <c r="AM101" s="2601">
        <v>0</v>
      </c>
      <c r="AN101" s="2489"/>
      <c r="AO101" s="2440"/>
      <c r="AP101" s="2440"/>
      <c r="AQ101" s="2440"/>
      <c r="AR101" s="2440"/>
      <c r="AS101" s="2440"/>
      <c r="AT101" s="2440"/>
      <c r="AU101" s="2440"/>
      <c r="AV101" s="2440"/>
      <c r="AW101" s="2440"/>
      <c r="AX101" s="2440"/>
      <c r="AY101" s="2440"/>
      <c r="AZ101" s="2440"/>
      <c r="BM101" s="2778"/>
      <c r="BN101" s="2778"/>
      <c r="BO101" s="2778"/>
      <c r="BP101" s="2778"/>
      <c r="BQ101" s="2778"/>
      <c r="BR101" s="2778"/>
    </row>
    <row r="102" spans="1:70" s="2614" customFormat="1" ht="24.95" customHeight="1" thickBot="1">
      <c r="A102" s="2795" t="str">
        <f>+IF(OCTUBRE!A102=0,"",OCTUBRE!A102)</f>
        <v>11303-8</v>
      </c>
      <c r="B102" s="2791" t="str">
        <f>+IF(OCTUBRE!B102=0,"",OCTUBRE!B102)</f>
        <v>Vigencia Anterior</v>
      </c>
      <c r="C102" s="2792">
        <f>+ENERO!C102</f>
        <v>0</v>
      </c>
      <c r="D102" s="2636">
        <f>OCTUBRE!D102+NOVIEMBRE!P102</f>
        <v>0</v>
      </c>
      <c r="E102" s="2636">
        <f>OCTUBRE!E102+NOVIEMBRE!Q102</f>
        <v>173019903</v>
      </c>
      <c r="F102" s="2636">
        <f t="shared" si="101"/>
        <v>173019903</v>
      </c>
      <c r="G102" s="2636">
        <f>OCTUBRE!I102</f>
        <v>173019903</v>
      </c>
      <c r="H102" s="2639">
        <v>0</v>
      </c>
      <c r="I102" s="2636">
        <f t="shared" si="102"/>
        <v>173019903</v>
      </c>
      <c r="J102" s="2636">
        <f>OCTUBRE!L102</f>
        <v>173019903</v>
      </c>
      <c r="K102" s="2639">
        <v>0</v>
      </c>
      <c r="L102" s="2636">
        <f t="shared" si="103"/>
        <v>173019903</v>
      </c>
      <c r="M102" s="2636">
        <f t="shared" si="104"/>
        <v>0</v>
      </c>
      <c r="N102" s="2637">
        <f t="shared" si="105"/>
        <v>0</v>
      </c>
      <c r="P102" s="2600">
        <v>0</v>
      </c>
      <c r="Q102" s="2601">
        <v>0</v>
      </c>
      <c r="R102" s="2489"/>
      <c r="S102" s="2659">
        <f>+IF(OCTUBRE!S102=0,"",OCTUBRE!S102)</f>
        <v>1020399</v>
      </c>
      <c r="T102" s="2660" t="str">
        <f>+IF(OCTUBRE!T102=0,"",OCTUBRE!T102)</f>
        <v>Vigencias Anteriores</v>
      </c>
      <c r="U102" s="2661">
        <f>+ENERO!U102</f>
        <v>0</v>
      </c>
      <c r="V102" s="2612">
        <f>OCTUBRE!V102+NOVIEMBRE!AL102</f>
        <v>-78539920</v>
      </c>
      <c r="W102" s="2612">
        <f>OCTUBRE!W102+NOVIEMBRE!AM102</f>
        <v>78539920</v>
      </c>
      <c r="X102" s="2662">
        <f t="shared" si="107"/>
        <v>0</v>
      </c>
      <c r="Y102" s="2663">
        <f>OCTUBRE!AA102</f>
        <v>0</v>
      </c>
      <c r="Z102" s="2598">
        <v>0</v>
      </c>
      <c r="AA102" s="2662">
        <f t="shared" si="108"/>
        <v>0</v>
      </c>
      <c r="AB102" s="2663">
        <f>OCTUBRE!AD102</f>
        <v>0</v>
      </c>
      <c r="AC102" s="2598">
        <v>0</v>
      </c>
      <c r="AD102" s="2662">
        <f t="shared" si="109"/>
        <v>0</v>
      </c>
      <c r="AE102" s="2663">
        <f>OCTUBRE!AG102</f>
        <v>0</v>
      </c>
      <c r="AF102" s="2598">
        <v>0</v>
      </c>
      <c r="AG102" s="2662">
        <f t="shared" si="110"/>
        <v>0</v>
      </c>
      <c r="AH102" s="2663">
        <f t="shared" si="111"/>
        <v>0</v>
      </c>
      <c r="AI102" s="2612">
        <f t="shared" si="112"/>
        <v>0</v>
      </c>
      <c r="AJ102" s="2664">
        <f t="shared" si="113"/>
        <v>0</v>
      </c>
      <c r="AK102" s="2489"/>
      <c r="AL102" s="2600">
        <v>0</v>
      </c>
      <c r="AM102" s="2601">
        <v>0</v>
      </c>
      <c r="AN102" s="2489"/>
      <c r="AO102" s="2440"/>
      <c r="AP102" s="2440"/>
      <c r="AQ102" s="2440"/>
      <c r="AR102" s="2440"/>
      <c r="AS102" s="2440"/>
      <c r="AT102" s="2440"/>
      <c r="AU102" s="2440"/>
      <c r="AV102" s="2440"/>
      <c r="AW102" s="2440"/>
      <c r="AX102" s="2440"/>
      <c r="AY102" s="2440"/>
      <c r="AZ102" s="2440"/>
    </row>
    <row r="103" spans="1:70" s="2614" customFormat="1" ht="24.95" customHeight="1" thickBot="1">
      <c r="A103" s="2801" t="str">
        <f>+IF(OCTUBRE!A103=0,"",OCTUBRE!A103)</f>
        <v/>
      </c>
      <c r="B103" s="2802" t="str">
        <f>+IF(OCTUBRE!B103=0,"",OCTUBRE!B103)</f>
        <v/>
      </c>
      <c r="C103" s="2803"/>
      <c r="D103" s="2803"/>
      <c r="E103" s="2803"/>
      <c r="F103" s="2803"/>
      <c r="G103" s="2803"/>
      <c r="H103" s="2803"/>
      <c r="I103" s="2803"/>
      <c r="J103" s="2803"/>
      <c r="K103" s="2803"/>
      <c r="L103" s="2803"/>
      <c r="M103" s="2803"/>
      <c r="N103" s="2804"/>
      <c r="P103" s="2805"/>
      <c r="Q103" s="2804"/>
      <c r="R103" s="2489"/>
      <c r="S103" s="2579" t="str">
        <f>+IF(OCTUBRE!S103=0,"",OCTUBRE!S103)</f>
        <v/>
      </c>
      <c r="T103" s="2580" t="str">
        <f>+IF(OCTUBRE!T103=0,"",OCTUBRE!T103)</f>
        <v/>
      </c>
      <c r="U103" s="2581"/>
      <c r="V103" s="2581"/>
      <c r="W103" s="2581"/>
      <c r="X103" s="2581"/>
      <c r="Y103" s="2581"/>
      <c r="Z103" s="2581"/>
      <c r="AA103" s="2581"/>
      <c r="AB103" s="2581"/>
      <c r="AC103" s="2581"/>
      <c r="AD103" s="2581"/>
      <c r="AE103" s="2581"/>
      <c r="AF103" s="2581"/>
      <c r="AG103" s="2581"/>
      <c r="AH103" s="2581"/>
      <c r="AI103" s="2581"/>
      <c r="AJ103" s="2582"/>
      <c r="AK103" s="2489"/>
      <c r="AL103" s="2769"/>
      <c r="AM103" s="2770"/>
      <c r="AN103" s="2489"/>
      <c r="AO103" s="2440"/>
      <c r="AP103" s="2440"/>
      <c r="AQ103" s="2440"/>
      <c r="AR103" s="2440"/>
      <c r="AS103" s="2440"/>
      <c r="AT103" s="2440"/>
      <c r="AU103" s="2440"/>
      <c r="AV103" s="2440"/>
      <c r="AW103" s="2440"/>
      <c r="AX103" s="2440"/>
      <c r="AY103" s="2440"/>
      <c r="AZ103" s="2440"/>
    </row>
    <row r="104" spans="1:70" s="2614" customFormat="1" ht="24.95" customHeight="1">
      <c r="A104" s="2793">
        <f>+IF(OCTUBRE!A104=0,"",OCTUBRE!A104)</f>
        <v>11304</v>
      </c>
      <c r="B104" s="2794" t="str">
        <f>+IF(OCTUBRE!B104=0,"",OCTUBRE!B104)</f>
        <v>Otros ingresos corrientes</v>
      </c>
      <c r="C104" s="2782">
        <f>SUM(C105:C111)</f>
        <v>667440000</v>
      </c>
      <c r="D104" s="2783">
        <f t="shared" ref="D104:N104" si="114">SUM(D105:D111)</f>
        <v>0</v>
      </c>
      <c r="E104" s="2783">
        <f t="shared" si="114"/>
        <v>109905401</v>
      </c>
      <c r="F104" s="2783">
        <f t="shared" si="114"/>
        <v>777345401</v>
      </c>
      <c r="G104" s="2783">
        <f t="shared" si="114"/>
        <v>934888355</v>
      </c>
      <c r="H104" s="2783">
        <f t="shared" si="114"/>
        <v>189135688</v>
      </c>
      <c r="I104" s="2783">
        <f t="shared" si="114"/>
        <v>1124024043</v>
      </c>
      <c r="J104" s="2783">
        <f t="shared" si="114"/>
        <v>632703495</v>
      </c>
      <c r="K104" s="2783">
        <f t="shared" si="114"/>
        <v>90581124</v>
      </c>
      <c r="L104" s="2783">
        <f t="shared" si="114"/>
        <v>723284619</v>
      </c>
      <c r="M104" s="2783">
        <f t="shared" si="114"/>
        <v>-346678642</v>
      </c>
      <c r="N104" s="2784">
        <f t="shared" si="114"/>
        <v>54060782</v>
      </c>
      <c r="P104" s="2680">
        <f>SUM(P105:P111)</f>
        <v>0</v>
      </c>
      <c r="Q104" s="2681">
        <f>SUM(Q105:Q111)</f>
        <v>29140960</v>
      </c>
      <c r="R104" s="2489"/>
      <c r="S104" s="2651">
        <f>+IF(OCTUBRE!S104=0,"",OCTUBRE!S104)</f>
        <v>1020400</v>
      </c>
      <c r="T104" s="2652" t="str">
        <f>+IF(OCTUBRE!T104=0,"",OCTUBRE!T104)</f>
        <v>Contribuciones Inherentes nómina del Sector Publico</v>
      </c>
      <c r="U104" s="2624">
        <f t="shared" ref="U104:AJ104" si="115">U105+U108</f>
        <v>43075476</v>
      </c>
      <c r="V104" s="2625">
        <f t="shared" si="115"/>
        <v>15000000</v>
      </c>
      <c r="W104" s="2625">
        <f t="shared" si="115"/>
        <v>0</v>
      </c>
      <c r="X104" s="2626">
        <f t="shared" si="115"/>
        <v>58075476</v>
      </c>
      <c r="Y104" s="2627">
        <f t="shared" si="115"/>
        <v>38600218</v>
      </c>
      <c r="Z104" s="2625">
        <f t="shared" si="115"/>
        <v>4052360</v>
      </c>
      <c r="AA104" s="2626">
        <f t="shared" si="115"/>
        <v>42652578</v>
      </c>
      <c r="AB104" s="2627">
        <f t="shared" si="115"/>
        <v>38600218</v>
      </c>
      <c r="AC104" s="2625">
        <f t="shared" si="115"/>
        <v>4052360</v>
      </c>
      <c r="AD104" s="2626">
        <f t="shared" si="115"/>
        <v>42652578</v>
      </c>
      <c r="AE104" s="2627">
        <f t="shared" si="115"/>
        <v>38600218</v>
      </c>
      <c r="AF104" s="2625">
        <f t="shared" si="115"/>
        <v>4052360</v>
      </c>
      <c r="AG104" s="2626">
        <f t="shared" si="115"/>
        <v>42652578</v>
      </c>
      <c r="AH104" s="2627">
        <f t="shared" si="115"/>
        <v>15422898</v>
      </c>
      <c r="AI104" s="2625">
        <f t="shared" si="115"/>
        <v>15422898</v>
      </c>
      <c r="AJ104" s="2628">
        <f t="shared" si="115"/>
        <v>15422898</v>
      </c>
      <c r="AK104" s="2489"/>
      <c r="AL104" s="2627">
        <f>AL105+AL108</f>
        <v>0</v>
      </c>
      <c r="AM104" s="2628">
        <f>AM105+AM108</f>
        <v>0</v>
      </c>
      <c r="AN104" s="2489"/>
      <c r="AO104" s="2440"/>
      <c r="AP104" s="2440"/>
      <c r="AQ104" s="2440"/>
      <c r="AR104" s="2440"/>
      <c r="AS104" s="2440"/>
      <c r="AT104" s="2440"/>
      <c r="AU104" s="2440"/>
      <c r="AV104" s="2440"/>
      <c r="AW104" s="2440"/>
      <c r="AX104" s="2440"/>
      <c r="AY104" s="2440"/>
      <c r="AZ104" s="2440"/>
    </row>
    <row r="105" spans="1:70" s="2614" customFormat="1" ht="24.95" customHeight="1">
      <c r="A105" s="2795" t="str">
        <f>+IF(OCTUBRE!A105=0,"",OCTUBRE!A105)</f>
        <v>11304-1</v>
      </c>
      <c r="B105" s="2796" t="str">
        <f>+IF(OCTUBRE!B105=0,"",OCTUBRE!B105)</f>
        <v>ARRENDAMIENTO Y ALQUILER DE BIENES MUEBLES E INMUEBLES</v>
      </c>
      <c r="C105" s="2787">
        <f>+ENERO!C105</f>
        <v>667440000</v>
      </c>
      <c r="D105" s="2595">
        <f>OCTUBRE!D105+NOVIEMBRE!P105</f>
        <v>0</v>
      </c>
      <c r="E105" s="2595">
        <f>OCTUBRE!E105+NOVIEMBRE!Q105</f>
        <v>0</v>
      </c>
      <c r="F105" s="2595">
        <f t="shared" ref="F105:F111" si="116">SUM(C105:E105)</f>
        <v>667440000</v>
      </c>
      <c r="G105" s="2595">
        <f>OCTUBRE!I105</f>
        <v>718371500</v>
      </c>
      <c r="H105" s="2598">
        <v>64308160</v>
      </c>
      <c r="I105" s="2595">
        <f t="shared" ref="I105:I111" si="117">SUM(G105:H105)</f>
        <v>782679660</v>
      </c>
      <c r="J105" s="2595">
        <f>OCTUBRE!L105</f>
        <v>494769077</v>
      </c>
      <c r="K105" s="2598">
        <v>37131379</v>
      </c>
      <c r="L105" s="2595">
        <f t="shared" ref="L105:L111" si="118">SUM(J105:K105)</f>
        <v>531900456</v>
      </c>
      <c r="M105" s="2595">
        <f t="shared" ref="M105:M111" si="119">F105-I105</f>
        <v>-115239660</v>
      </c>
      <c r="N105" s="2596">
        <f t="shared" ref="N105:N111" si="120">F105-L105</f>
        <v>135539544</v>
      </c>
      <c r="P105" s="2600">
        <v>0</v>
      </c>
      <c r="Q105" s="2601">
        <v>0</v>
      </c>
      <c r="R105" s="2489"/>
      <c r="S105" s="2659">
        <f>+IF(OCTUBRE!S105=0,"",OCTUBRE!S105)</f>
        <v>1020402</v>
      </c>
      <c r="T105" s="2660" t="str">
        <f>+IF(OCTUBRE!T105=0,"",OCTUBRE!T105)</f>
        <v>Contribuciones - Otros</v>
      </c>
      <c r="U105" s="2661">
        <f t="shared" ref="U105:AJ105" si="121">SUM(U106:U107)</f>
        <v>43075476</v>
      </c>
      <c r="V105" s="2612">
        <f t="shared" si="121"/>
        <v>15000000</v>
      </c>
      <c r="W105" s="2612">
        <f t="shared" si="121"/>
        <v>0</v>
      </c>
      <c r="X105" s="2662">
        <f t="shared" si="121"/>
        <v>58075476</v>
      </c>
      <c r="Y105" s="2663">
        <f t="shared" si="121"/>
        <v>38600218</v>
      </c>
      <c r="Z105" s="2691">
        <f t="shared" si="121"/>
        <v>4052360</v>
      </c>
      <c r="AA105" s="2662">
        <f t="shared" si="121"/>
        <v>42652578</v>
      </c>
      <c r="AB105" s="2663">
        <f t="shared" si="121"/>
        <v>38600218</v>
      </c>
      <c r="AC105" s="2691">
        <f t="shared" si="121"/>
        <v>4052360</v>
      </c>
      <c r="AD105" s="2662">
        <f t="shared" si="121"/>
        <v>42652578</v>
      </c>
      <c r="AE105" s="2663">
        <f t="shared" si="121"/>
        <v>38600218</v>
      </c>
      <c r="AF105" s="2691">
        <f t="shared" si="121"/>
        <v>4052360</v>
      </c>
      <c r="AG105" s="2662">
        <f t="shared" si="121"/>
        <v>42652578</v>
      </c>
      <c r="AH105" s="2663">
        <f t="shared" si="121"/>
        <v>15422898</v>
      </c>
      <c r="AI105" s="2612">
        <f t="shared" si="121"/>
        <v>15422898</v>
      </c>
      <c r="AJ105" s="2664">
        <f t="shared" si="121"/>
        <v>15422898</v>
      </c>
      <c r="AK105" s="2607"/>
      <c r="AL105" s="2692">
        <f>SUM(AL106:AL107)</f>
        <v>0</v>
      </c>
      <c r="AM105" s="2693">
        <f>SUM(AM106:AM107)</f>
        <v>0</v>
      </c>
      <c r="AN105" s="2489"/>
      <c r="AO105" s="2440"/>
      <c r="AP105" s="2440"/>
      <c r="AQ105" s="2440"/>
      <c r="AR105" s="2440"/>
      <c r="AS105" s="2440"/>
      <c r="AT105" s="2440"/>
      <c r="AU105" s="2440"/>
      <c r="AV105" s="2440"/>
      <c r="AW105" s="2440"/>
      <c r="AX105" s="2440"/>
      <c r="AY105" s="2440"/>
      <c r="AZ105" s="2440"/>
    </row>
    <row r="106" spans="1:70" s="2614" customFormat="1" ht="24.95" customHeight="1">
      <c r="A106" s="2795" t="str">
        <f>+IF(OCTUBRE!A106=0,"",OCTUBRE!A106)</f>
        <v>11304-2</v>
      </c>
      <c r="B106" s="2806" t="str">
        <f>+IF(OCTUBRE!B106=0,"",OCTUBRE!B106)</f>
        <v>COMERCIALIZACIÓN DE MERCANCÍAS</v>
      </c>
      <c r="C106" s="2787">
        <f>+ENERO!C106</f>
        <v>0</v>
      </c>
      <c r="D106" s="2595">
        <f>OCTUBRE!D106+NOVIEMBRE!P106</f>
        <v>0</v>
      </c>
      <c r="E106" s="2595">
        <f>OCTUBRE!E106+NOVIEMBRE!Q106</f>
        <v>0</v>
      </c>
      <c r="F106" s="2595">
        <f t="shared" si="116"/>
        <v>0</v>
      </c>
      <c r="G106" s="2595">
        <f>OCTUBRE!I106</f>
        <v>0</v>
      </c>
      <c r="H106" s="2598">
        <v>0</v>
      </c>
      <c r="I106" s="2595">
        <f t="shared" si="117"/>
        <v>0</v>
      </c>
      <c r="J106" s="2595">
        <f>OCTUBRE!L106</f>
        <v>0</v>
      </c>
      <c r="K106" s="2598">
        <v>0</v>
      </c>
      <c r="L106" s="2595">
        <f t="shared" si="118"/>
        <v>0</v>
      </c>
      <c r="M106" s="2595">
        <f t="shared" si="119"/>
        <v>0</v>
      </c>
      <c r="N106" s="2596">
        <f t="shared" si="120"/>
        <v>0</v>
      </c>
      <c r="P106" s="2600">
        <v>0</v>
      </c>
      <c r="Q106" s="2601">
        <v>0</v>
      </c>
      <c r="R106" s="2489"/>
      <c r="S106" s="2705" t="str">
        <f>+IF(OCTUBRE!S106=0,"",OCTUBRE!S106)</f>
        <v>1020402-1</v>
      </c>
      <c r="T106" s="2706" t="str">
        <f>+IF(OCTUBRE!T106=0,"",OCTUBRE!T106)</f>
        <v>S.E.N.A.</v>
      </c>
      <c r="U106" s="2661">
        <f>+ENERO!U106</f>
        <v>25928061</v>
      </c>
      <c r="V106" s="2612">
        <f>OCTUBRE!V106+NOVIEMBRE!AL106</f>
        <v>0</v>
      </c>
      <c r="W106" s="2612">
        <f>OCTUBRE!W106+NOVIEMBRE!AM106</f>
        <v>0</v>
      </c>
      <c r="X106" s="2662">
        <f>SUM(U106:W106)</f>
        <v>25928061</v>
      </c>
      <c r="Y106" s="2663">
        <f>OCTUBRE!AA106</f>
        <v>15608873</v>
      </c>
      <c r="Z106" s="2598">
        <v>1620944</v>
      </c>
      <c r="AA106" s="2662">
        <f>SUM(Y106:Z106)</f>
        <v>17229817</v>
      </c>
      <c r="AB106" s="2663">
        <f>OCTUBRE!AD106</f>
        <v>15608873</v>
      </c>
      <c r="AC106" s="2598">
        <v>1620944</v>
      </c>
      <c r="AD106" s="2662">
        <f>SUM(AB106:AC106)</f>
        <v>17229817</v>
      </c>
      <c r="AE106" s="2663">
        <f>OCTUBRE!AG106</f>
        <v>15608873</v>
      </c>
      <c r="AF106" s="2598">
        <v>1620944</v>
      </c>
      <c r="AG106" s="2662">
        <f>SUM(AE106:AF106)</f>
        <v>17229817</v>
      </c>
      <c r="AH106" s="2663">
        <f>X106-AA106</f>
        <v>8698244</v>
      </c>
      <c r="AI106" s="2612">
        <f>X106-AD106</f>
        <v>8698244</v>
      </c>
      <c r="AJ106" s="2664">
        <f>X106-AG106</f>
        <v>8698244</v>
      </c>
      <c r="AK106" s="2489"/>
      <c r="AL106" s="2600">
        <v>0</v>
      </c>
      <c r="AM106" s="2601">
        <v>0</v>
      </c>
      <c r="AN106" s="2489"/>
      <c r="AO106" s="2440"/>
      <c r="AP106" s="2440"/>
      <c r="AQ106" s="2440"/>
      <c r="AR106" s="2440"/>
      <c r="AS106" s="2440"/>
      <c r="AT106" s="2440"/>
      <c r="AU106" s="2440"/>
      <c r="AV106" s="2440"/>
      <c r="AW106" s="2440"/>
      <c r="AX106" s="2440"/>
      <c r="AY106" s="2440"/>
      <c r="AZ106" s="2440"/>
    </row>
    <row r="107" spans="1:70" s="2614" customFormat="1" ht="24.95" customHeight="1">
      <c r="A107" s="2795" t="str">
        <f>+IF(OCTUBRE!A107=0,"",OCTUBRE!A107)</f>
        <v>11304-3</v>
      </c>
      <c r="B107" s="2796" t="str">
        <f>+IF(OCTUBRE!B107=0,"",OCTUBRE!B107)</f>
        <v>Bienestar Social</v>
      </c>
      <c r="C107" s="2787">
        <f>+ENERO!C107</f>
        <v>0</v>
      </c>
      <c r="D107" s="2595">
        <f>OCTUBRE!D107+NOVIEMBRE!P107</f>
        <v>0</v>
      </c>
      <c r="E107" s="2595">
        <f>OCTUBRE!E107+NOVIEMBRE!Q107</f>
        <v>0</v>
      </c>
      <c r="F107" s="2595">
        <f t="shared" si="116"/>
        <v>0</v>
      </c>
      <c r="G107" s="2595">
        <f>OCTUBRE!I107</f>
        <v>445983</v>
      </c>
      <c r="H107" s="2598">
        <v>0</v>
      </c>
      <c r="I107" s="2595">
        <f t="shared" si="117"/>
        <v>445983</v>
      </c>
      <c r="J107" s="2595">
        <f>OCTUBRE!L107</f>
        <v>445983</v>
      </c>
      <c r="K107" s="2598">
        <v>0</v>
      </c>
      <c r="L107" s="2595">
        <f t="shared" si="118"/>
        <v>445983</v>
      </c>
      <c r="M107" s="2595">
        <f t="shared" si="119"/>
        <v>-445983</v>
      </c>
      <c r="N107" s="2596">
        <f t="shared" si="120"/>
        <v>-445983</v>
      </c>
      <c r="P107" s="2600">
        <v>0</v>
      </c>
      <c r="Q107" s="2601">
        <v>0</v>
      </c>
      <c r="R107" s="2489"/>
      <c r="S107" s="2705" t="str">
        <f>+IF(OCTUBRE!S107=0,"",OCTUBRE!S107)</f>
        <v>1020402-2</v>
      </c>
      <c r="T107" s="2706" t="str">
        <f>+IF(OCTUBRE!T107=0,"",OCTUBRE!T107)</f>
        <v>I.C.B.F.</v>
      </c>
      <c r="U107" s="2661">
        <f>+ENERO!U107</f>
        <v>17147415</v>
      </c>
      <c r="V107" s="2612">
        <f>OCTUBRE!V107+NOVIEMBRE!AL107</f>
        <v>15000000</v>
      </c>
      <c r="W107" s="2612">
        <f>OCTUBRE!W107+NOVIEMBRE!AM107</f>
        <v>0</v>
      </c>
      <c r="X107" s="2662">
        <f>SUM(U107:W107)</f>
        <v>32147415</v>
      </c>
      <c r="Y107" s="2663">
        <f>OCTUBRE!AA107</f>
        <v>22991345</v>
      </c>
      <c r="Z107" s="2598">
        <v>2431416</v>
      </c>
      <c r="AA107" s="2662">
        <f>SUM(Y107:Z107)</f>
        <v>25422761</v>
      </c>
      <c r="AB107" s="2663">
        <f>OCTUBRE!AD107</f>
        <v>22991345</v>
      </c>
      <c r="AC107" s="2598">
        <v>2431416</v>
      </c>
      <c r="AD107" s="2662">
        <f>SUM(AB107:AC107)</f>
        <v>25422761</v>
      </c>
      <c r="AE107" s="2663">
        <f>OCTUBRE!AG107</f>
        <v>22991345</v>
      </c>
      <c r="AF107" s="2598">
        <v>2431416</v>
      </c>
      <c r="AG107" s="2662">
        <f>SUM(AE107:AF107)</f>
        <v>25422761</v>
      </c>
      <c r="AH107" s="2663">
        <f>X107-AA107</f>
        <v>6724654</v>
      </c>
      <c r="AI107" s="2612">
        <f>X107-AD107</f>
        <v>6724654</v>
      </c>
      <c r="AJ107" s="2664">
        <f>X107-AG107</f>
        <v>6724654</v>
      </c>
      <c r="AK107" s="2489"/>
      <c r="AL107" s="2600">
        <v>0</v>
      </c>
      <c r="AM107" s="2601">
        <v>0</v>
      </c>
      <c r="AN107" s="2489"/>
      <c r="AO107" s="2440"/>
      <c r="AP107" s="2440"/>
      <c r="AQ107" s="2440"/>
      <c r="AR107" s="2440"/>
      <c r="AS107" s="2440"/>
      <c r="AT107" s="2440"/>
      <c r="AU107" s="2440"/>
      <c r="AV107" s="2440"/>
      <c r="AW107" s="2440"/>
      <c r="AX107" s="2440"/>
      <c r="AY107" s="2440"/>
      <c r="AZ107" s="2440"/>
    </row>
    <row r="108" spans="1:70" s="2614" customFormat="1" ht="24.95" customHeight="1">
      <c r="A108" s="2795" t="str">
        <f>+IF(OCTUBRE!A108=0,"",OCTUBRE!A108)</f>
        <v>11304-4</v>
      </c>
      <c r="B108" s="2796" t="str">
        <f>+IF(OCTUBRE!B108=0,"",OCTUBRE!B108)</f>
        <v>Fondo de la Vivienda</v>
      </c>
      <c r="C108" s="2787">
        <f>+ENERO!C108</f>
        <v>0</v>
      </c>
      <c r="D108" s="2595">
        <f>OCTUBRE!D108+NOVIEMBRE!P108</f>
        <v>0</v>
      </c>
      <c r="E108" s="2595">
        <f>OCTUBRE!E108+NOVIEMBRE!Q108</f>
        <v>0</v>
      </c>
      <c r="F108" s="2595">
        <f t="shared" si="116"/>
        <v>0</v>
      </c>
      <c r="G108" s="2595">
        <f>OCTUBRE!I108</f>
        <v>26500157</v>
      </c>
      <c r="H108" s="2598">
        <v>3679543</v>
      </c>
      <c r="I108" s="2595">
        <f t="shared" si="117"/>
        <v>30179700</v>
      </c>
      <c r="J108" s="2595">
        <f>OCTUBRE!L108</f>
        <v>26500157</v>
      </c>
      <c r="K108" s="2598">
        <v>3679543</v>
      </c>
      <c r="L108" s="2595">
        <f t="shared" si="118"/>
        <v>30179700</v>
      </c>
      <c r="M108" s="2595">
        <f t="shared" si="119"/>
        <v>-30179700</v>
      </c>
      <c r="N108" s="2596">
        <f t="shared" si="120"/>
        <v>-30179700</v>
      </c>
      <c r="P108" s="2600">
        <v>0</v>
      </c>
      <c r="Q108" s="2601">
        <v>0</v>
      </c>
      <c r="R108" s="2489"/>
      <c r="S108" s="2659">
        <f>+IF(OCTUBRE!S108=0,"",OCTUBRE!S108)</f>
        <v>1020499</v>
      </c>
      <c r="T108" s="2660" t="str">
        <f>+IF(OCTUBRE!T108=0,"",OCTUBRE!T108)</f>
        <v>Vigencias Anteriores</v>
      </c>
      <c r="U108" s="2661">
        <f>+ENERO!U108</f>
        <v>0</v>
      </c>
      <c r="V108" s="2612">
        <f>OCTUBRE!V108+NOVIEMBRE!AL108</f>
        <v>0</v>
      </c>
      <c r="W108" s="2612">
        <f>OCTUBRE!W108+NOVIEMBRE!AM108</f>
        <v>0</v>
      </c>
      <c r="X108" s="2662">
        <f>SUM(U108:W108)</f>
        <v>0</v>
      </c>
      <c r="Y108" s="2663">
        <f>OCTUBRE!AA108</f>
        <v>0</v>
      </c>
      <c r="Z108" s="2598">
        <v>0</v>
      </c>
      <c r="AA108" s="2662">
        <f>SUM(Y108:Z108)</f>
        <v>0</v>
      </c>
      <c r="AB108" s="2663">
        <f>OCTUBRE!AD108</f>
        <v>0</v>
      </c>
      <c r="AC108" s="2598">
        <v>0</v>
      </c>
      <c r="AD108" s="2662">
        <f>SUM(AB108:AC108)</f>
        <v>0</v>
      </c>
      <c r="AE108" s="2663">
        <f>OCTUBRE!AG108</f>
        <v>0</v>
      </c>
      <c r="AF108" s="2598">
        <v>0</v>
      </c>
      <c r="AG108" s="2662">
        <f>SUM(AE108:AF108)</f>
        <v>0</v>
      </c>
      <c r="AH108" s="2663">
        <f>X108-AA108</f>
        <v>0</v>
      </c>
      <c r="AI108" s="2612">
        <f>X108-AD108</f>
        <v>0</v>
      </c>
      <c r="AJ108" s="2664">
        <f>X108-AG108</f>
        <v>0</v>
      </c>
      <c r="AK108" s="2489"/>
      <c r="AL108" s="2600">
        <v>0</v>
      </c>
      <c r="AM108" s="2601">
        <v>0</v>
      </c>
      <c r="AN108" s="2489"/>
      <c r="AO108" s="2440"/>
      <c r="AP108" s="2440"/>
      <c r="AQ108" s="2440"/>
      <c r="AR108" s="2440"/>
      <c r="AS108" s="2440"/>
      <c r="AT108" s="2440"/>
      <c r="AU108" s="2440"/>
      <c r="AV108" s="2440"/>
      <c r="AW108" s="2440"/>
      <c r="AX108" s="2440"/>
      <c r="AY108" s="2440"/>
      <c r="AZ108" s="2440"/>
    </row>
    <row r="109" spans="1:70" s="2614" customFormat="1" ht="24.95" customHeight="1">
      <c r="A109" s="2795" t="str">
        <f>+IF(OCTUBRE!A109=0,"",OCTUBRE!A109)</f>
        <v>11304-5</v>
      </c>
      <c r="B109" s="2796" t="str">
        <f>+IF(OCTUBRE!B109=0,"",OCTUBRE!B109)</f>
        <v xml:space="preserve">Aprovechamientos </v>
      </c>
      <c r="C109" s="2787">
        <f>+ENERO!C109</f>
        <v>0</v>
      </c>
      <c r="D109" s="2595">
        <f>OCTUBRE!D109+NOVIEMBRE!P109</f>
        <v>0</v>
      </c>
      <c r="E109" s="2595">
        <f>OCTUBRE!E109+NOVIEMBRE!Q109</f>
        <v>0</v>
      </c>
      <c r="F109" s="2595">
        <f t="shared" si="116"/>
        <v>0</v>
      </c>
      <c r="G109" s="2595">
        <f>OCTUBRE!I109</f>
        <v>0</v>
      </c>
      <c r="H109" s="2598">
        <v>0</v>
      </c>
      <c r="I109" s="2595">
        <f t="shared" si="117"/>
        <v>0</v>
      </c>
      <c r="J109" s="2595">
        <f>OCTUBRE!L109</f>
        <v>0</v>
      </c>
      <c r="K109" s="2598">
        <v>0</v>
      </c>
      <c r="L109" s="2595">
        <f t="shared" si="118"/>
        <v>0</v>
      </c>
      <c r="M109" s="2595">
        <f t="shared" si="119"/>
        <v>0</v>
      </c>
      <c r="N109" s="2596">
        <f t="shared" si="120"/>
        <v>0</v>
      </c>
      <c r="P109" s="2600">
        <v>0</v>
      </c>
      <c r="Q109" s="2601">
        <v>0</v>
      </c>
      <c r="R109" s="2489"/>
      <c r="S109" s="2579" t="str">
        <f>+IF(OCTUBRE!S109=0,"",OCTUBRE!S109)</f>
        <v/>
      </c>
      <c r="T109" s="2580" t="str">
        <f>+IF(OCTUBRE!T109=0,"",OCTUBRE!T109)</f>
        <v/>
      </c>
      <c r="U109" s="2581"/>
      <c r="V109" s="2581"/>
      <c r="W109" s="2581"/>
      <c r="X109" s="2581"/>
      <c r="Y109" s="2581"/>
      <c r="Z109" s="2581"/>
      <c r="AA109" s="2581"/>
      <c r="AB109" s="2581"/>
      <c r="AC109" s="2581"/>
      <c r="AD109" s="2581"/>
      <c r="AE109" s="2581"/>
      <c r="AF109" s="2581"/>
      <c r="AG109" s="2581"/>
      <c r="AH109" s="2581"/>
      <c r="AI109" s="2581"/>
      <c r="AJ109" s="2582"/>
      <c r="AK109" s="2607"/>
      <c r="AL109" s="2769"/>
      <c r="AM109" s="2770"/>
      <c r="AN109" s="2489"/>
      <c r="AO109" s="2440"/>
      <c r="AP109" s="2440"/>
      <c r="AQ109" s="2440"/>
      <c r="AR109" s="2440"/>
      <c r="AS109" s="2440"/>
      <c r="AT109" s="2440"/>
      <c r="AU109" s="2440"/>
      <c r="AV109" s="2440"/>
      <c r="AW109" s="2440"/>
      <c r="AX109" s="2440"/>
      <c r="AY109" s="2440"/>
      <c r="AZ109" s="2440"/>
    </row>
    <row r="110" spans="1:70" s="2614" customFormat="1" ht="24.95" customHeight="1">
      <c r="A110" s="2795" t="str">
        <f>+IF(OCTUBRE!A110=0,"",OCTUBRE!A110)</f>
        <v>11304-6</v>
      </c>
      <c r="B110" s="2796" t="str">
        <f>+IF(OCTUBRE!B110=0,"",OCTUBRE!B110)</f>
        <v>Otros</v>
      </c>
      <c r="C110" s="2787">
        <f>+ENERO!C110</f>
        <v>0</v>
      </c>
      <c r="D110" s="2595">
        <f>OCTUBRE!D110+NOVIEMBRE!P110</f>
        <v>0</v>
      </c>
      <c r="E110" s="2595">
        <f>OCTUBRE!E110+NOVIEMBRE!Q110</f>
        <v>109905401</v>
      </c>
      <c r="F110" s="2595">
        <f t="shared" si="116"/>
        <v>109905401</v>
      </c>
      <c r="G110" s="2595">
        <f>OCTUBRE!I110</f>
        <v>189570715</v>
      </c>
      <c r="H110" s="2598">
        <v>121147985</v>
      </c>
      <c r="I110" s="2595">
        <f t="shared" si="117"/>
        <v>310718700</v>
      </c>
      <c r="J110" s="2595">
        <f>OCTUBRE!L110</f>
        <v>110988278</v>
      </c>
      <c r="K110" s="2598">
        <v>49770202</v>
      </c>
      <c r="L110" s="2595">
        <f t="shared" si="118"/>
        <v>160758480</v>
      </c>
      <c r="M110" s="2595">
        <f t="shared" si="119"/>
        <v>-200813299</v>
      </c>
      <c r="N110" s="2596">
        <f t="shared" si="120"/>
        <v>-50853079</v>
      </c>
      <c r="P110" s="2600">
        <v>0</v>
      </c>
      <c r="Q110" s="2601">
        <v>29140960</v>
      </c>
      <c r="R110" s="2489"/>
      <c r="S110" s="2622">
        <f>+IF(OCTUBRE!S110=0,"",OCTUBRE!S110)</f>
        <v>2000000</v>
      </c>
      <c r="T110" s="2807" t="str">
        <f>+IF(OCTUBRE!T110=0,"",OCTUBRE!T110)</f>
        <v>GASTOS GENERALES</v>
      </c>
      <c r="U110" s="2808">
        <f t="shared" ref="U110:AJ110" si="122">U112+U145</f>
        <v>7574161274</v>
      </c>
      <c r="V110" s="2809">
        <f t="shared" si="122"/>
        <v>-119912192</v>
      </c>
      <c r="W110" s="2809">
        <f t="shared" si="122"/>
        <v>3783747105</v>
      </c>
      <c r="X110" s="2810">
        <f t="shared" si="122"/>
        <v>11237996187</v>
      </c>
      <c r="Y110" s="2608">
        <f t="shared" si="122"/>
        <v>8753611119</v>
      </c>
      <c r="Z110" s="2809">
        <f t="shared" si="122"/>
        <v>328948271</v>
      </c>
      <c r="AA110" s="2810">
        <f t="shared" si="122"/>
        <v>9082559390</v>
      </c>
      <c r="AB110" s="2608">
        <f t="shared" si="122"/>
        <v>7592554548</v>
      </c>
      <c r="AC110" s="2809">
        <f t="shared" si="122"/>
        <v>646308652</v>
      </c>
      <c r="AD110" s="2810">
        <f t="shared" si="122"/>
        <v>8238863200</v>
      </c>
      <c r="AE110" s="2608">
        <f t="shared" si="122"/>
        <v>4760833234</v>
      </c>
      <c r="AF110" s="2809">
        <f t="shared" si="122"/>
        <v>678987812</v>
      </c>
      <c r="AG110" s="2810">
        <f t="shared" si="122"/>
        <v>5439821046</v>
      </c>
      <c r="AH110" s="2608">
        <f t="shared" si="122"/>
        <v>2155436797</v>
      </c>
      <c r="AI110" s="2809">
        <f t="shared" si="122"/>
        <v>2999132987</v>
      </c>
      <c r="AJ110" s="2609">
        <f t="shared" si="122"/>
        <v>5798175141</v>
      </c>
      <c r="AK110" s="2607"/>
      <c r="AL110" s="2627">
        <f>AL112+AL145</f>
        <v>157800000</v>
      </c>
      <c r="AM110" s="2628">
        <f>AM112+AM145</f>
        <v>305590398</v>
      </c>
      <c r="AN110" s="2489"/>
      <c r="AO110" s="2440"/>
      <c r="AP110" s="2440"/>
      <c r="AQ110" s="2440"/>
      <c r="AR110" s="2440"/>
      <c r="AS110" s="2440"/>
      <c r="AT110" s="2440"/>
      <c r="AU110" s="2440"/>
      <c r="AV110" s="2440"/>
      <c r="AW110" s="2440"/>
      <c r="AX110" s="2440"/>
      <c r="AY110" s="2440"/>
      <c r="AZ110" s="2440"/>
    </row>
    <row r="111" spans="1:70" s="2614" customFormat="1" ht="24.95" customHeight="1" thickBot="1">
      <c r="A111" s="2795" t="str">
        <f>+IF(OCTUBRE!A111=0,"",OCTUBRE!A111)</f>
        <v>11304-7</v>
      </c>
      <c r="B111" s="2811" t="str">
        <f>+IF(OCTUBRE!B111=0,"",OCTUBRE!B111)</f>
        <v>Vigencia Anterior</v>
      </c>
      <c r="C111" s="2792">
        <f>+ENERO!C111</f>
        <v>0</v>
      </c>
      <c r="D111" s="2636">
        <f>OCTUBRE!D111+NOVIEMBRE!P111</f>
        <v>0</v>
      </c>
      <c r="E111" s="2636">
        <f>OCTUBRE!E111+NOVIEMBRE!Q111</f>
        <v>0</v>
      </c>
      <c r="F111" s="2636">
        <f t="shared" si="116"/>
        <v>0</v>
      </c>
      <c r="G111" s="2636">
        <f>OCTUBRE!I111</f>
        <v>0</v>
      </c>
      <c r="H111" s="2639">
        <v>0</v>
      </c>
      <c r="I111" s="2636">
        <f t="shared" si="117"/>
        <v>0</v>
      </c>
      <c r="J111" s="2636">
        <f>OCTUBRE!L111</f>
        <v>0</v>
      </c>
      <c r="K111" s="2639">
        <v>0</v>
      </c>
      <c r="L111" s="2636">
        <f t="shared" si="118"/>
        <v>0</v>
      </c>
      <c r="M111" s="2636">
        <f t="shared" si="119"/>
        <v>0</v>
      </c>
      <c r="N111" s="2637">
        <f t="shared" si="120"/>
        <v>0</v>
      </c>
      <c r="P111" s="2600">
        <v>0</v>
      </c>
      <c r="Q111" s="2601">
        <v>0</v>
      </c>
      <c r="R111" s="2489"/>
      <c r="S111" s="2579" t="str">
        <f>+IF(OCTUBRE!S111=0,"",OCTUBRE!S111)</f>
        <v/>
      </c>
      <c r="T111" s="2580" t="str">
        <f>+IF(OCTUBRE!T111=0,"",OCTUBRE!T111)</f>
        <v/>
      </c>
      <c r="U111" s="2581"/>
      <c r="V111" s="2581"/>
      <c r="W111" s="2581"/>
      <c r="X111" s="2581"/>
      <c r="Y111" s="2581"/>
      <c r="Z111" s="2581"/>
      <c r="AA111" s="2581"/>
      <c r="AB111" s="2581"/>
      <c r="AC111" s="2581"/>
      <c r="AD111" s="2581"/>
      <c r="AE111" s="2581"/>
      <c r="AF111" s="2581"/>
      <c r="AG111" s="2581"/>
      <c r="AH111" s="2581"/>
      <c r="AI111" s="2581"/>
      <c r="AJ111" s="2582"/>
      <c r="AK111" s="2489"/>
      <c r="AL111" s="2583"/>
      <c r="AM111" s="2584"/>
      <c r="AN111" s="2489"/>
      <c r="AO111" s="2440"/>
      <c r="AP111" s="2440"/>
      <c r="AQ111" s="2440"/>
      <c r="AR111" s="2440"/>
      <c r="AS111" s="2440"/>
      <c r="AT111" s="2440"/>
      <c r="AU111" s="2440"/>
      <c r="AV111" s="2440"/>
      <c r="AW111" s="2440"/>
      <c r="AX111" s="2440"/>
      <c r="AY111" s="2440"/>
      <c r="AZ111" s="2440"/>
    </row>
    <row r="112" spans="1:70" s="2614" customFormat="1" ht="24.95" customHeight="1" thickBot="1">
      <c r="A112" s="2801" t="str">
        <f>+IF(OCTUBRE!A112=0,"",OCTUBRE!A112)</f>
        <v/>
      </c>
      <c r="B112" s="2802" t="str">
        <f>+IF(OCTUBRE!B112=0,"",OCTUBRE!B112)</f>
        <v/>
      </c>
      <c r="C112" s="2803"/>
      <c r="D112" s="2803"/>
      <c r="E112" s="2803"/>
      <c r="F112" s="2803"/>
      <c r="G112" s="2803"/>
      <c r="H112" s="2803"/>
      <c r="I112" s="2803"/>
      <c r="J112" s="2803"/>
      <c r="K112" s="2803"/>
      <c r="L112" s="2803"/>
      <c r="M112" s="2803"/>
      <c r="N112" s="2804"/>
      <c r="P112" s="2805"/>
      <c r="Q112" s="2804"/>
      <c r="R112" s="2489"/>
      <c r="S112" s="2622">
        <f>+IF(OCTUBRE!S112=0,"",OCTUBRE!S112)</f>
        <v>2010000</v>
      </c>
      <c r="T112" s="2623" t="str">
        <f>+IF(OCTUBRE!T112=0,"",OCTUBRE!T112)</f>
        <v>Gastos de Administración</v>
      </c>
      <c r="U112" s="2624">
        <f t="shared" ref="U112:AJ112" si="123">U114+U123+U141</f>
        <v>4915028612</v>
      </c>
      <c r="V112" s="2625">
        <f t="shared" si="123"/>
        <v>865312594</v>
      </c>
      <c r="W112" s="2625">
        <f t="shared" si="123"/>
        <v>1933747105</v>
      </c>
      <c r="X112" s="2626">
        <f t="shared" si="123"/>
        <v>7714088311</v>
      </c>
      <c r="Y112" s="2627">
        <f t="shared" si="123"/>
        <v>6396883967</v>
      </c>
      <c r="Z112" s="2625">
        <f t="shared" si="123"/>
        <v>242485231</v>
      </c>
      <c r="AA112" s="2626">
        <f t="shared" si="123"/>
        <v>6639369198</v>
      </c>
      <c r="AB112" s="2627">
        <f t="shared" si="123"/>
        <v>5661971210</v>
      </c>
      <c r="AC112" s="2625">
        <f t="shared" si="123"/>
        <v>513830957</v>
      </c>
      <c r="AD112" s="2626">
        <f t="shared" si="123"/>
        <v>6175802167</v>
      </c>
      <c r="AE112" s="2627">
        <f t="shared" si="123"/>
        <v>3787057459</v>
      </c>
      <c r="AF112" s="2625">
        <f t="shared" si="123"/>
        <v>569147702</v>
      </c>
      <c r="AG112" s="2626">
        <f t="shared" si="123"/>
        <v>4356205161</v>
      </c>
      <c r="AH112" s="2627">
        <f t="shared" si="123"/>
        <v>1074719113</v>
      </c>
      <c r="AI112" s="2625">
        <f t="shared" si="123"/>
        <v>1538286144</v>
      </c>
      <c r="AJ112" s="2628">
        <f t="shared" si="123"/>
        <v>3357883150</v>
      </c>
      <c r="AK112" s="2489"/>
      <c r="AL112" s="2627">
        <f>AL114+AL123+AL141</f>
        <v>77800000</v>
      </c>
      <c r="AM112" s="2628">
        <f>AM114+AM123+AM141</f>
        <v>105590398</v>
      </c>
      <c r="AN112" s="2489"/>
      <c r="AO112" s="2440"/>
      <c r="AP112" s="2440"/>
      <c r="AQ112" s="2440"/>
      <c r="AR112" s="2440"/>
      <c r="AS112" s="2440"/>
      <c r="AT112" s="2440"/>
      <c r="AU112" s="2440"/>
      <c r="AV112" s="2440"/>
      <c r="AW112" s="2440"/>
      <c r="AX112" s="2440"/>
      <c r="AY112" s="2440"/>
      <c r="AZ112" s="2440"/>
    </row>
    <row r="113" spans="1:52" s="2614" customFormat="1" ht="24.95" customHeight="1" thickBot="1">
      <c r="A113" s="2510">
        <f>+IF(OCTUBRE!A113=0,"",OCTUBRE!A113)</f>
        <v>2000</v>
      </c>
      <c r="B113" s="2658" t="str">
        <f>+IF(OCTUBRE!B113=0,"",OCTUBRE!B113)</f>
        <v>INGRESOS DE CAPITAL</v>
      </c>
      <c r="C113" s="2812">
        <f>SUM(C115:C124)</f>
        <v>9052927194</v>
      </c>
      <c r="D113" s="2813">
        <f>SUM(D115:D124)</f>
        <v>0</v>
      </c>
      <c r="E113" s="2813">
        <f t="shared" ref="E113:N113" si="124">SUM(E115:E124)</f>
        <v>4488823</v>
      </c>
      <c r="F113" s="2813">
        <f t="shared" si="124"/>
        <v>9057416017</v>
      </c>
      <c r="G113" s="2813">
        <f t="shared" si="124"/>
        <v>186609885</v>
      </c>
      <c r="H113" s="2813">
        <f t="shared" si="124"/>
        <v>153024140</v>
      </c>
      <c r="I113" s="2813">
        <f t="shared" si="124"/>
        <v>339634025</v>
      </c>
      <c r="J113" s="2813">
        <f t="shared" si="124"/>
        <v>186609885</v>
      </c>
      <c r="K113" s="2813">
        <f t="shared" si="124"/>
        <v>153024140</v>
      </c>
      <c r="L113" s="2813">
        <f t="shared" si="124"/>
        <v>339634025</v>
      </c>
      <c r="M113" s="2813">
        <f t="shared" si="124"/>
        <v>8717781992</v>
      </c>
      <c r="N113" s="2814">
        <f t="shared" si="124"/>
        <v>8717781992</v>
      </c>
      <c r="O113" s="2778"/>
      <c r="P113" s="2560">
        <f>SUM(P115:P124)</f>
        <v>0</v>
      </c>
      <c r="Q113" s="2562">
        <f>SUM(Q115:Q124)</f>
        <v>972442</v>
      </c>
      <c r="R113" s="2489"/>
      <c r="S113" s="2579" t="str">
        <f>+IF(OCTUBRE!S113=0,"",OCTUBRE!S113)</f>
        <v/>
      </c>
      <c r="T113" s="2580" t="str">
        <f>+IF(OCTUBRE!T113=0,"",OCTUBRE!T113)</f>
        <v/>
      </c>
      <c r="U113" s="2581"/>
      <c r="V113" s="2581"/>
      <c r="W113" s="2581"/>
      <c r="X113" s="2581"/>
      <c r="Y113" s="2581"/>
      <c r="Z113" s="2581"/>
      <c r="AA113" s="2581"/>
      <c r="AB113" s="2581"/>
      <c r="AC113" s="2581"/>
      <c r="AD113" s="2581"/>
      <c r="AE113" s="2581"/>
      <c r="AF113" s="2581"/>
      <c r="AG113" s="2581"/>
      <c r="AH113" s="2581"/>
      <c r="AI113" s="2581"/>
      <c r="AJ113" s="2582"/>
      <c r="AK113" s="2489"/>
      <c r="AL113" s="2583"/>
      <c r="AM113" s="2584"/>
      <c r="AN113" s="2489"/>
      <c r="AO113" s="2440"/>
      <c r="AP113" s="2440"/>
      <c r="AQ113" s="2440"/>
      <c r="AR113" s="2440"/>
      <c r="AS113" s="2440"/>
      <c r="AT113" s="2440"/>
      <c r="AU113" s="2440"/>
      <c r="AV113" s="2440"/>
      <c r="AW113" s="2440"/>
      <c r="AX113" s="2440"/>
      <c r="AY113" s="2440"/>
      <c r="AZ113" s="2440"/>
    </row>
    <row r="114" spans="1:52" s="2614" customFormat="1" ht="24.95" customHeight="1" thickBot="1">
      <c r="A114" s="2801" t="str">
        <f>+IF(OCTUBRE!A114=0,"",OCTUBRE!A114)</f>
        <v/>
      </c>
      <c r="B114" s="2802" t="str">
        <f>+IF(OCTUBRE!B114=0,"",OCTUBRE!B114)</f>
        <v/>
      </c>
      <c r="C114" s="2803"/>
      <c r="D114" s="2803"/>
      <c r="E114" s="2803"/>
      <c r="F114" s="2803"/>
      <c r="G114" s="2803"/>
      <c r="H114" s="2803"/>
      <c r="I114" s="2803"/>
      <c r="J114" s="2803"/>
      <c r="K114" s="2803"/>
      <c r="L114" s="2803"/>
      <c r="M114" s="2803"/>
      <c r="N114" s="2804"/>
      <c r="P114" s="2805"/>
      <c r="Q114" s="2804"/>
      <c r="R114" s="2489"/>
      <c r="S114" s="2651">
        <f>+IF(OCTUBRE!S114=0,"",OCTUBRE!S114)</f>
        <v>2010100</v>
      </c>
      <c r="T114" s="2652" t="str">
        <f>+IF(OCTUBRE!T114=0,"",OCTUBRE!T114)</f>
        <v>Adquisición de bienes</v>
      </c>
      <c r="U114" s="2624">
        <f t="shared" ref="U114:AJ114" si="125">SUM(U115:U121)</f>
        <v>256200000</v>
      </c>
      <c r="V114" s="2625">
        <f t="shared" si="125"/>
        <v>640959419</v>
      </c>
      <c r="W114" s="2625">
        <f t="shared" si="125"/>
        <v>380000000</v>
      </c>
      <c r="X114" s="2626">
        <f t="shared" si="125"/>
        <v>1277159419</v>
      </c>
      <c r="Y114" s="2627">
        <f t="shared" si="125"/>
        <v>290423777</v>
      </c>
      <c r="Z114" s="2625">
        <f t="shared" si="125"/>
        <v>86788401</v>
      </c>
      <c r="AA114" s="2626">
        <f t="shared" si="125"/>
        <v>377212178</v>
      </c>
      <c r="AB114" s="2627">
        <f t="shared" si="125"/>
        <v>274931825</v>
      </c>
      <c r="AC114" s="2625">
        <f t="shared" si="125"/>
        <v>29109858</v>
      </c>
      <c r="AD114" s="2626">
        <f t="shared" si="125"/>
        <v>304041683</v>
      </c>
      <c r="AE114" s="2627">
        <f t="shared" si="125"/>
        <v>220867531</v>
      </c>
      <c r="AF114" s="2625">
        <f t="shared" si="125"/>
        <v>8306045</v>
      </c>
      <c r="AG114" s="2626">
        <f t="shared" si="125"/>
        <v>229173576</v>
      </c>
      <c r="AH114" s="2627">
        <f t="shared" si="125"/>
        <v>899947241</v>
      </c>
      <c r="AI114" s="2625">
        <f t="shared" si="125"/>
        <v>973117736</v>
      </c>
      <c r="AJ114" s="2628">
        <f t="shared" si="125"/>
        <v>1047985843</v>
      </c>
      <c r="AK114" s="2489"/>
      <c r="AL114" s="2627">
        <f>SUM(AL115:AL121)</f>
        <v>0</v>
      </c>
      <c r="AM114" s="2628">
        <f>SUM(AM115:AM121)</f>
        <v>50000000</v>
      </c>
      <c r="AN114" s="2489"/>
      <c r="AO114" s="2440"/>
      <c r="AP114" s="2440"/>
      <c r="AQ114" s="2440"/>
      <c r="AR114" s="2440"/>
      <c r="AS114" s="2440"/>
      <c r="AT114" s="2440"/>
      <c r="AU114" s="2440"/>
      <c r="AV114" s="2440"/>
      <c r="AW114" s="2440"/>
      <c r="AX114" s="2440"/>
      <c r="AY114" s="2440"/>
      <c r="AZ114" s="2440"/>
    </row>
    <row r="115" spans="1:52" s="2614" customFormat="1" ht="24.95" customHeight="1">
      <c r="A115" s="2815">
        <f>+IF(OCTUBRE!A115=0,"",OCTUBRE!A115)</f>
        <v>2100</v>
      </c>
      <c r="B115" s="2786" t="str">
        <f>+IF(OCTUBRE!B115=0,"",OCTUBRE!B115)</f>
        <v>CREDITO INTERNO</v>
      </c>
      <c r="C115" s="2594">
        <f>+ENERO!C115</f>
        <v>0</v>
      </c>
      <c r="D115" s="2816">
        <f>OCTUBRE!D115+NOVIEMBRE!P115</f>
        <v>0</v>
      </c>
      <c r="E115" s="2816">
        <f>OCTUBRE!E115+NOVIEMBRE!Q115</f>
        <v>0</v>
      </c>
      <c r="F115" s="2817">
        <f t="shared" ref="F115:F124" si="126">SUM(C115:E115)</f>
        <v>0</v>
      </c>
      <c r="G115" s="2818">
        <f>OCTUBRE!I115</f>
        <v>0</v>
      </c>
      <c r="H115" s="2598">
        <v>0</v>
      </c>
      <c r="I115" s="2817">
        <f t="shared" ref="I115:I124" si="127">SUM(G115:H115)</f>
        <v>0</v>
      </c>
      <c r="J115" s="2818">
        <f>OCTUBRE!L115</f>
        <v>0</v>
      </c>
      <c r="K115" s="2598">
        <v>0</v>
      </c>
      <c r="L115" s="2819">
        <f t="shared" ref="L115:L124" si="128">SUM(J115:K115)</f>
        <v>0</v>
      </c>
      <c r="M115" s="2820">
        <f t="shared" ref="M115:M124" si="129">F115-I115</f>
        <v>0</v>
      </c>
      <c r="N115" s="2819">
        <f t="shared" ref="N115:N124" si="130">F115-L115</f>
        <v>0</v>
      </c>
      <c r="O115" s="2778"/>
      <c r="P115" s="2600">
        <v>0</v>
      </c>
      <c r="Q115" s="2601">
        <v>0</v>
      </c>
      <c r="R115" s="2489"/>
      <c r="S115" s="2659" t="str">
        <f>+IF(OCTUBRE!S115=0,"",OCTUBRE!S115)</f>
        <v>2010100-1</v>
      </c>
      <c r="T115" s="2660" t="str">
        <f>+IF(OCTUBRE!T115=0,"",OCTUBRE!T115)</f>
        <v>Compra de Equipos</v>
      </c>
      <c r="U115" s="2661">
        <f>+ENERO!U115</f>
        <v>175000000</v>
      </c>
      <c r="V115" s="2612">
        <f>OCTUBRE!V115+NOVIEMBRE!AL115</f>
        <v>740000000</v>
      </c>
      <c r="W115" s="2612">
        <f>OCTUBRE!W115+NOVIEMBRE!AM115</f>
        <v>0</v>
      </c>
      <c r="X115" s="2662">
        <f t="shared" ref="X115:X121" si="131">SUM(U115:W115)</f>
        <v>915000000</v>
      </c>
      <c r="Y115" s="2663">
        <f>OCTUBRE!AA115</f>
        <v>66959653</v>
      </c>
      <c r="Z115" s="2598">
        <v>4337000</v>
      </c>
      <c r="AA115" s="2662">
        <f t="shared" ref="AA115:AA121" si="132">SUM(Y115:Z115)</f>
        <v>71296653</v>
      </c>
      <c r="AB115" s="2663">
        <f>OCTUBRE!AD115</f>
        <v>66757359</v>
      </c>
      <c r="AC115" s="2598">
        <v>1050000</v>
      </c>
      <c r="AD115" s="2662">
        <f t="shared" ref="AD115:AD121" si="133">SUM(AB115:AC115)</f>
        <v>67807359</v>
      </c>
      <c r="AE115" s="2663">
        <f>OCTUBRE!AG115</f>
        <v>54533576</v>
      </c>
      <c r="AF115" s="2598">
        <v>1050000</v>
      </c>
      <c r="AG115" s="2662">
        <f t="shared" ref="AG115:AG121" si="134">SUM(AE115:AF115)</f>
        <v>55583576</v>
      </c>
      <c r="AH115" s="2663">
        <f t="shared" ref="AH115:AH121" si="135">X115-AA115</f>
        <v>843703347</v>
      </c>
      <c r="AI115" s="2612">
        <f t="shared" ref="AI115:AI121" si="136">X115-AD115</f>
        <v>847192641</v>
      </c>
      <c r="AJ115" s="2664">
        <f t="shared" ref="AJ115:AJ121" si="137">X115-AG115</f>
        <v>859416424</v>
      </c>
      <c r="AK115" s="2489"/>
      <c r="AL115" s="2600">
        <v>0</v>
      </c>
      <c r="AM115" s="2601">
        <v>0</v>
      </c>
      <c r="AN115" s="2489"/>
      <c r="AO115" s="2440"/>
      <c r="AP115" s="2440"/>
      <c r="AQ115" s="2440"/>
      <c r="AR115" s="2440"/>
      <c r="AS115" s="2440"/>
      <c r="AT115" s="2440"/>
      <c r="AU115" s="2440"/>
      <c r="AV115" s="2440"/>
      <c r="AW115" s="2440"/>
      <c r="AX115" s="2440"/>
      <c r="AY115" s="2440"/>
      <c r="AZ115" s="2440"/>
    </row>
    <row r="116" spans="1:52" s="2614" customFormat="1" ht="24.95" customHeight="1">
      <c r="A116" s="2815" t="str">
        <f>+IF(OCTUBRE!A116=0,"",OCTUBRE!A116)</f>
        <v>2100-1</v>
      </c>
      <c r="B116" s="2788" t="str">
        <f>+IF(OCTUBRE!B116=0,"",OCTUBRE!B116)</f>
        <v>Vigencia Anterior</v>
      </c>
      <c r="C116" s="2594">
        <f>+ENERO!C116</f>
        <v>0</v>
      </c>
      <c r="D116" s="2816">
        <f>OCTUBRE!D116+NOVIEMBRE!P116</f>
        <v>0</v>
      </c>
      <c r="E116" s="2816">
        <f>OCTUBRE!E116+NOVIEMBRE!Q116</f>
        <v>0</v>
      </c>
      <c r="F116" s="2817">
        <f t="shared" si="126"/>
        <v>0</v>
      </c>
      <c r="G116" s="2818">
        <f>OCTUBRE!I116</f>
        <v>0</v>
      </c>
      <c r="H116" s="2598">
        <v>0</v>
      </c>
      <c r="I116" s="2817">
        <f t="shared" si="127"/>
        <v>0</v>
      </c>
      <c r="J116" s="2818">
        <f>OCTUBRE!L116</f>
        <v>0</v>
      </c>
      <c r="K116" s="2598">
        <v>0</v>
      </c>
      <c r="L116" s="2819">
        <f t="shared" si="128"/>
        <v>0</v>
      </c>
      <c r="M116" s="2820">
        <f t="shared" si="129"/>
        <v>0</v>
      </c>
      <c r="N116" s="2819">
        <f t="shared" si="130"/>
        <v>0</v>
      </c>
      <c r="O116" s="2778"/>
      <c r="P116" s="2600">
        <v>0</v>
      </c>
      <c r="Q116" s="2601">
        <v>0</v>
      </c>
      <c r="R116" s="2489"/>
      <c r="S116" s="2659" t="str">
        <f>+IF(OCTUBRE!S116=0,"",OCTUBRE!S116)</f>
        <v>2010100-2</v>
      </c>
      <c r="T116" s="2660" t="str">
        <f>+IF(OCTUBRE!T116=0,"",OCTUBRE!T116)</f>
        <v>Materiales</v>
      </c>
      <c r="U116" s="2661">
        <f>+ENERO!U116</f>
        <v>76200000</v>
      </c>
      <c r="V116" s="2612">
        <f>OCTUBRE!V116+NOVIEMBRE!AL116</f>
        <v>-10000000</v>
      </c>
      <c r="W116" s="2612">
        <f>OCTUBRE!W116+NOVIEMBRE!AM116</f>
        <v>130000000</v>
      </c>
      <c r="X116" s="2662">
        <f t="shared" si="131"/>
        <v>196200000</v>
      </c>
      <c r="Y116" s="2663">
        <f>OCTUBRE!AA116</f>
        <v>110273660</v>
      </c>
      <c r="Z116" s="2598">
        <v>80908526</v>
      </c>
      <c r="AA116" s="2662">
        <f t="shared" si="132"/>
        <v>191182186</v>
      </c>
      <c r="AB116" s="2663">
        <f>OCTUBRE!AD116</f>
        <v>94984002</v>
      </c>
      <c r="AC116" s="2598">
        <v>26516983</v>
      </c>
      <c r="AD116" s="2662">
        <f t="shared" si="133"/>
        <v>121500985</v>
      </c>
      <c r="AE116" s="2663">
        <f>OCTUBRE!AG116</f>
        <v>55299391</v>
      </c>
      <c r="AF116" s="2598">
        <v>3779827</v>
      </c>
      <c r="AG116" s="2662">
        <f t="shared" si="134"/>
        <v>59079218</v>
      </c>
      <c r="AH116" s="2663">
        <f t="shared" si="135"/>
        <v>5017814</v>
      </c>
      <c r="AI116" s="2612">
        <f t="shared" si="136"/>
        <v>74699015</v>
      </c>
      <c r="AJ116" s="2664">
        <f t="shared" si="137"/>
        <v>137120782</v>
      </c>
      <c r="AK116" s="2489"/>
      <c r="AL116" s="2600">
        <v>0</v>
      </c>
      <c r="AM116" s="2601">
        <v>0</v>
      </c>
      <c r="AN116" s="2489"/>
      <c r="AO116" s="2440"/>
      <c r="AP116" s="2440"/>
      <c r="AQ116" s="2440"/>
      <c r="AR116" s="2440"/>
      <c r="AS116" s="2440"/>
      <c r="AT116" s="2440"/>
      <c r="AU116" s="2440"/>
      <c r="AV116" s="2440"/>
      <c r="AW116" s="2440"/>
      <c r="AX116" s="2440"/>
      <c r="AY116" s="2440"/>
      <c r="AZ116" s="2440"/>
    </row>
    <row r="117" spans="1:52" s="2614" customFormat="1" ht="24.95" customHeight="1">
      <c r="A117" s="2815">
        <f>+IF(OCTUBRE!A117=0,"",OCTUBRE!A117)</f>
        <v>2200</v>
      </c>
      <c r="B117" s="2786" t="str">
        <f>+IF(OCTUBRE!B117=0,"",OCTUBRE!B117)</f>
        <v>CREDITO EXTERNO</v>
      </c>
      <c r="C117" s="2594">
        <f>+ENERO!C117</f>
        <v>0</v>
      </c>
      <c r="D117" s="2816">
        <f>OCTUBRE!D117+NOVIEMBRE!P117</f>
        <v>0</v>
      </c>
      <c r="E117" s="2816">
        <f>OCTUBRE!E117+NOVIEMBRE!Q117</f>
        <v>0</v>
      </c>
      <c r="F117" s="2817">
        <f t="shared" si="126"/>
        <v>0</v>
      </c>
      <c r="G117" s="2818">
        <f>OCTUBRE!I117</f>
        <v>0</v>
      </c>
      <c r="H117" s="2598">
        <v>0</v>
      </c>
      <c r="I117" s="2817">
        <f t="shared" si="127"/>
        <v>0</v>
      </c>
      <c r="J117" s="2818">
        <f>OCTUBRE!L117</f>
        <v>0</v>
      </c>
      <c r="K117" s="2598">
        <v>0</v>
      </c>
      <c r="L117" s="2819">
        <f t="shared" si="128"/>
        <v>0</v>
      </c>
      <c r="M117" s="2820">
        <f t="shared" si="129"/>
        <v>0</v>
      </c>
      <c r="N117" s="2819">
        <f t="shared" si="130"/>
        <v>0</v>
      </c>
      <c r="O117" s="2778"/>
      <c r="P117" s="2600">
        <v>0</v>
      </c>
      <c r="Q117" s="2601">
        <v>0</v>
      </c>
      <c r="R117" s="2489"/>
      <c r="S117" s="2659" t="str">
        <f>+IF(OCTUBRE!S117=0,"",OCTUBRE!S117)</f>
        <v>2010100-3</v>
      </c>
      <c r="T117" s="2660" t="str">
        <f>+IF(OCTUBRE!T117=0,"",OCTUBRE!T117)</f>
        <v>Salud Ocupacional</v>
      </c>
      <c r="U117" s="2661">
        <f>+ENERO!U117</f>
        <v>5000000</v>
      </c>
      <c r="V117" s="2612">
        <f>OCTUBRE!V117+NOVIEMBRE!AL117</f>
        <v>0</v>
      </c>
      <c r="W117" s="2612">
        <f>OCTUBRE!W117+NOVIEMBRE!AM117</f>
        <v>0</v>
      </c>
      <c r="X117" s="2662">
        <f t="shared" si="131"/>
        <v>5000000</v>
      </c>
      <c r="Y117" s="2663">
        <f>OCTUBRE!AA117</f>
        <v>2231045</v>
      </c>
      <c r="Z117" s="2598">
        <v>24557</v>
      </c>
      <c r="AA117" s="2662">
        <f t="shared" si="132"/>
        <v>2255602</v>
      </c>
      <c r="AB117" s="2663">
        <f>OCTUBRE!AD117</f>
        <v>2231045</v>
      </c>
      <c r="AC117" s="2598">
        <v>24557</v>
      </c>
      <c r="AD117" s="2662">
        <f t="shared" si="133"/>
        <v>2255602</v>
      </c>
      <c r="AE117" s="2663">
        <f>OCTUBRE!AG117</f>
        <v>75145</v>
      </c>
      <c r="AF117" s="2598">
        <v>1957900</v>
      </c>
      <c r="AG117" s="2662">
        <f t="shared" si="134"/>
        <v>2033045</v>
      </c>
      <c r="AH117" s="2663">
        <f t="shared" si="135"/>
        <v>2744398</v>
      </c>
      <c r="AI117" s="2612">
        <f t="shared" si="136"/>
        <v>2744398</v>
      </c>
      <c r="AJ117" s="2664">
        <f t="shared" si="137"/>
        <v>2966955</v>
      </c>
      <c r="AK117" s="2489"/>
      <c r="AL117" s="2600">
        <v>0</v>
      </c>
      <c r="AM117" s="2601">
        <v>0</v>
      </c>
      <c r="AN117" s="2489"/>
      <c r="AO117" s="2440"/>
      <c r="AP117" s="2440"/>
      <c r="AQ117" s="2440"/>
      <c r="AR117" s="2440"/>
      <c r="AS117" s="2440"/>
      <c r="AT117" s="2440"/>
      <c r="AU117" s="2440"/>
      <c r="AV117" s="2440"/>
      <c r="AW117" s="2440"/>
      <c r="AX117" s="2440"/>
      <c r="AY117" s="2440"/>
      <c r="AZ117" s="2440"/>
    </row>
    <row r="118" spans="1:52" s="2614" customFormat="1" ht="24.95" customHeight="1">
      <c r="A118" s="2821" t="str">
        <f>+IF(OCTUBRE!A118=0,"",OCTUBRE!A118)</f>
        <v>2200-1</v>
      </c>
      <c r="B118" s="2788" t="str">
        <f>+IF(OCTUBRE!B118=0,"",OCTUBRE!B118)</f>
        <v>Vigencia Anterior</v>
      </c>
      <c r="C118" s="2594">
        <f>+ENERO!C118</f>
        <v>0</v>
      </c>
      <c r="D118" s="2816">
        <f>OCTUBRE!D118+NOVIEMBRE!P118</f>
        <v>0</v>
      </c>
      <c r="E118" s="2816">
        <f>OCTUBRE!E118+NOVIEMBRE!Q118</f>
        <v>0</v>
      </c>
      <c r="F118" s="2817">
        <f t="shared" si="126"/>
        <v>0</v>
      </c>
      <c r="G118" s="2818">
        <f>OCTUBRE!I118</f>
        <v>0</v>
      </c>
      <c r="H118" s="2598">
        <v>0</v>
      </c>
      <c r="I118" s="2817">
        <f t="shared" si="127"/>
        <v>0</v>
      </c>
      <c r="J118" s="2818">
        <f>OCTUBRE!L118</f>
        <v>0</v>
      </c>
      <c r="K118" s="2598">
        <v>0</v>
      </c>
      <c r="L118" s="2819">
        <f t="shared" si="128"/>
        <v>0</v>
      </c>
      <c r="M118" s="2820">
        <f t="shared" si="129"/>
        <v>0</v>
      </c>
      <c r="N118" s="2819">
        <f t="shared" si="130"/>
        <v>0</v>
      </c>
      <c r="O118" s="2778"/>
      <c r="P118" s="2600">
        <v>0</v>
      </c>
      <c r="Q118" s="2601">
        <v>0</v>
      </c>
      <c r="R118" s="2489"/>
      <c r="S118" s="2659" t="str">
        <f>+IF(OCTUBRE!S118=0,"",OCTUBRE!S118)</f>
        <v>2010100-4</v>
      </c>
      <c r="T118" s="2660" t="str">
        <f>+IF(OCTUBRE!T118=0,"",OCTUBRE!T118)</f>
        <v/>
      </c>
      <c r="U118" s="2661">
        <f>+ENERO!U118</f>
        <v>0</v>
      </c>
      <c r="V118" s="2612">
        <f>OCTUBRE!V118+NOVIEMBRE!AL118</f>
        <v>0</v>
      </c>
      <c r="W118" s="2612">
        <f>OCTUBRE!W118+NOVIEMBRE!AM118</f>
        <v>0</v>
      </c>
      <c r="X118" s="2662">
        <f t="shared" si="131"/>
        <v>0</v>
      </c>
      <c r="Y118" s="2663">
        <f>OCTUBRE!AA118</f>
        <v>0</v>
      </c>
      <c r="Z118" s="2598">
        <v>0</v>
      </c>
      <c r="AA118" s="2662">
        <f t="shared" si="132"/>
        <v>0</v>
      </c>
      <c r="AB118" s="2663">
        <f>OCTUBRE!AD118</f>
        <v>0</v>
      </c>
      <c r="AC118" s="2598">
        <v>0</v>
      </c>
      <c r="AD118" s="2662">
        <f t="shared" si="133"/>
        <v>0</v>
      </c>
      <c r="AE118" s="2663">
        <f>OCTUBRE!AG118</f>
        <v>0</v>
      </c>
      <c r="AF118" s="2598">
        <v>0</v>
      </c>
      <c r="AG118" s="2662">
        <f t="shared" si="134"/>
        <v>0</v>
      </c>
      <c r="AH118" s="2663">
        <f t="shared" si="135"/>
        <v>0</v>
      </c>
      <c r="AI118" s="2612">
        <f t="shared" si="136"/>
        <v>0</v>
      </c>
      <c r="AJ118" s="2664">
        <f t="shared" si="137"/>
        <v>0</v>
      </c>
      <c r="AK118" s="2489"/>
      <c r="AL118" s="2600">
        <v>0</v>
      </c>
      <c r="AM118" s="2601">
        <v>0</v>
      </c>
      <c r="AN118" s="2489"/>
      <c r="AO118" s="2440"/>
      <c r="AP118" s="2440"/>
      <c r="AQ118" s="2440"/>
      <c r="AR118" s="2440"/>
      <c r="AS118" s="2440"/>
      <c r="AT118" s="2440"/>
      <c r="AU118" s="2440"/>
      <c r="AV118" s="2440"/>
      <c r="AW118" s="2440"/>
      <c r="AX118" s="2440"/>
      <c r="AY118" s="2440"/>
      <c r="AZ118" s="2440"/>
    </row>
    <row r="119" spans="1:52" s="2614" customFormat="1" ht="24.95" customHeight="1">
      <c r="A119" s="2815">
        <f>+IF(OCTUBRE!A119=0,"",OCTUBRE!A119)</f>
        <v>2300</v>
      </c>
      <c r="B119" s="2786" t="str">
        <f>+IF(OCTUBRE!B119=0,"",OCTUBRE!B119)</f>
        <v>RENDIMIENTOS FINANCIEROS</v>
      </c>
      <c r="C119" s="2594">
        <f>+ENERO!C119</f>
        <v>0</v>
      </c>
      <c r="D119" s="2816">
        <f>OCTUBRE!D119+NOVIEMBRE!P119</f>
        <v>0</v>
      </c>
      <c r="E119" s="2816">
        <f>OCTUBRE!E119+NOVIEMBRE!Q119</f>
        <v>4488823</v>
      </c>
      <c r="F119" s="2817">
        <f t="shared" si="126"/>
        <v>4488823</v>
      </c>
      <c r="G119" s="2597">
        <f>OCTUBRE!I119</f>
        <v>4865615</v>
      </c>
      <c r="H119" s="2598">
        <v>604769</v>
      </c>
      <c r="I119" s="2822">
        <f t="shared" si="127"/>
        <v>5470384</v>
      </c>
      <c r="J119" s="2597">
        <f>OCTUBRE!L119</f>
        <v>4865615</v>
      </c>
      <c r="K119" s="2598">
        <v>604769</v>
      </c>
      <c r="L119" s="2596">
        <f t="shared" si="128"/>
        <v>5470384</v>
      </c>
      <c r="M119" s="2730">
        <f t="shared" si="129"/>
        <v>-981561</v>
      </c>
      <c r="N119" s="2596">
        <f t="shared" si="130"/>
        <v>-981561</v>
      </c>
      <c r="O119" s="2778"/>
      <c r="P119" s="2600">
        <v>0</v>
      </c>
      <c r="Q119" s="2601">
        <v>972442</v>
      </c>
      <c r="R119" s="2489"/>
      <c r="S119" s="2659" t="str">
        <f>+IF(OCTUBRE!S119=0,"",OCTUBRE!S119)</f>
        <v>2010100-5</v>
      </c>
      <c r="T119" s="2660" t="str">
        <f>+IF(OCTUBRE!T119=0,"",OCTUBRE!T119)</f>
        <v/>
      </c>
      <c r="U119" s="2661">
        <f>+ENERO!U119</f>
        <v>0</v>
      </c>
      <c r="V119" s="2612">
        <f>OCTUBRE!V119+NOVIEMBRE!AL119</f>
        <v>0</v>
      </c>
      <c r="W119" s="2612">
        <f>OCTUBRE!W119+NOVIEMBRE!AM119</f>
        <v>0</v>
      </c>
      <c r="X119" s="2662">
        <f t="shared" si="131"/>
        <v>0</v>
      </c>
      <c r="Y119" s="2663">
        <f>OCTUBRE!AA119</f>
        <v>0</v>
      </c>
      <c r="Z119" s="2598">
        <v>0</v>
      </c>
      <c r="AA119" s="2662">
        <f t="shared" si="132"/>
        <v>0</v>
      </c>
      <c r="AB119" s="2663">
        <f>OCTUBRE!AD119</f>
        <v>0</v>
      </c>
      <c r="AC119" s="2598">
        <v>0</v>
      </c>
      <c r="AD119" s="2662">
        <f t="shared" si="133"/>
        <v>0</v>
      </c>
      <c r="AE119" s="2663">
        <f>OCTUBRE!AG119</f>
        <v>0</v>
      </c>
      <c r="AF119" s="2598">
        <v>0</v>
      </c>
      <c r="AG119" s="2662">
        <f t="shared" si="134"/>
        <v>0</v>
      </c>
      <c r="AH119" s="2663">
        <f t="shared" si="135"/>
        <v>0</v>
      </c>
      <c r="AI119" s="2612">
        <f t="shared" si="136"/>
        <v>0</v>
      </c>
      <c r="AJ119" s="2664">
        <f t="shared" si="137"/>
        <v>0</v>
      </c>
      <c r="AK119" s="2489"/>
      <c r="AL119" s="2600">
        <v>0</v>
      </c>
      <c r="AM119" s="2601">
        <v>0</v>
      </c>
      <c r="AN119" s="2489"/>
      <c r="AO119" s="2440"/>
      <c r="AP119" s="2440"/>
      <c r="AQ119" s="2440"/>
      <c r="AR119" s="2440"/>
      <c r="AS119" s="2440"/>
      <c r="AT119" s="2440"/>
      <c r="AU119" s="2440"/>
      <c r="AV119" s="2440"/>
      <c r="AW119" s="2440"/>
      <c r="AX119" s="2440"/>
      <c r="AY119" s="2440"/>
      <c r="AZ119" s="2440"/>
    </row>
    <row r="120" spans="1:52" s="2614" customFormat="1" ht="24.95" customHeight="1">
      <c r="A120" s="2823">
        <f>+IF(OCTUBRE!A120=0,"",OCTUBRE!A120)</f>
        <v>2400</v>
      </c>
      <c r="B120" s="2788" t="str">
        <f>+IF(OCTUBRE!B120=0,"",OCTUBRE!B120)</f>
        <v>VENTA DE ACTIVOS</v>
      </c>
      <c r="C120" s="2594">
        <f>+ENERO!C120</f>
        <v>0</v>
      </c>
      <c r="D120" s="2816">
        <f>OCTUBRE!D120+NOVIEMBRE!P120</f>
        <v>0</v>
      </c>
      <c r="E120" s="2816">
        <f>OCTUBRE!E120+NOVIEMBRE!Q120</f>
        <v>0</v>
      </c>
      <c r="F120" s="2817">
        <f t="shared" si="126"/>
        <v>0</v>
      </c>
      <c r="G120" s="2597">
        <f>OCTUBRE!I120</f>
        <v>0</v>
      </c>
      <c r="H120" s="2598">
        <v>0</v>
      </c>
      <c r="I120" s="2822">
        <f t="shared" si="127"/>
        <v>0</v>
      </c>
      <c r="J120" s="2597">
        <f>OCTUBRE!L120</f>
        <v>0</v>
      </c>
      <c r="K120" s="2598">
        <v>0</v>
      </c>
      <c r="L120" s="2596">
        <f t="shared" si="128"/>
        <v>0</v>
      </c>
      <c r="M120" s="2730">
        <f t="shared" si="129"/>
        <v>0</v>
      </c>
      <c r="N120" s="2596">
        <f t="shared" si="130"/>
        <v>0</v>
      </c>
      <c r="P120" s="2600">
        <v>0</v>
      </c>
      <c r="Q120" s="2601">
        <v>0</v>
      </c>
      <c r="R120" s="2489"/>
      <c r="S120" s="2659" t="str">
        <f>+IF(OCTUBRE!S120=0,"",OCTUBRE!S120)</f>
        <v>2010100-6</v>
      </c>
      <c r="T120" s="2660" t="str">
        <f>+IF(OCTUBRE!T120=0,"",OCTUBRE!T120)</f>
        <v/>
      </c>
      <c r="U120" s="2661">
        <f>+ENERO!U120</f>
        <v>0</v>
      </c>
      <c r="V120" s="2612">
        <f>OCTUBRE!V120+NOVIEMBRE!AL120</f>
        <v>0</v>
      </c>
      <c r="W120" s="2612">
        <f>OCTUBRE!W120+NOVIEMBRE!AM120</f>
        <v>0</v>
      </c>
      <c r="X120" s="2662">
        <f t="shared" si="131"/>
        <v>0</v>
      </c>
      <c r="Y120" s="2663">
        <f>OCTUBRE!AA120</f>
        <v>0</v>
      </c>
      <c r="Z120" s="2598">
        <v>0</v>
      </c>
      <c r="AA120" s="2662">
        <f t="shared" si="132"/>
        <v>0</v>
      </c>
      <c r="AB120" s="2663">
        <f>OCTUBRE!AD120</f>
        <v>0</v>
      </c>
      <c r="AC120" s="2598">
        <v>0</v>
      </c>
      <c r="AD120" s="2662">
        <f t="shared" si="133"/>
        <v>0</v>
      </c>
      <c r="AE120" s="2663">
        <f>OCTUBRE!AG120</f>
        <v>0</v>
      </c>
      <c r="AF120" s="2598">
        <v>0</v>
      </c>
      <c r="AG120" s="2662">
        <f t="shared" si="134"/>
        <v>0</v>
      </c>
      <c r="AH120" s="2663">
        <f t="shared" si="135"/>
        <v>0</v>
      </c>
      <c r="AI120" s="2612">
        <f t="shared" si="136"/>
        <v>0</v>
      </c>
      <c r="AJ120" s="2664">
        <f t="shared" si="137"/>
        <v>0</v>
      </c>
      <c r="AK120" s="2489"/>
      <c r="AL120" s="2600">
        <v>0</v>
      </c>
      <c r="AM120" s="2601">
        <v>0</v>
      </c>
      <c r="AN120" s="2489"/>
      <c r="AO120" s="2440"/>
      <c r="AP120" s="2440"/>
      <c r="AQ120" s="2440"/>
      <c r="AR120" s="2440"/>
      <c r="AS120" s="2440"/>
      <c r="AT120" s="2440"/>
      <c r="AU120" s="2440"/>
      <c r="AV120" s="2440"/>
      <c r="AW120" s="2440"/>
      <c r="AX120" s="2440"/>
      <c r="AY120" s="2440"/>
      <c r="AZ120" s="2440"/>
    </row>
    <row r="121" spans="1:52" s="2614" customFormat="1" ht="24.95" customHeight="1">
      <c r="A121" s="2823">
        <f>+IF(OCTUBRE!A121=0,"",OCTUBRE!A121)</f>
        <v>2500</v>
      </c>
      <c r="B121" s="2788" t="str">
        <f>+IF(OCTUBRE!B121=0,"",OCTUBRE!B121)</f>
        <v>DONACIONES</v>
      </c>
      <c r="C121" s="2594">
        <f>+ENERO!C121</f>
        <v>0</v>
      </c>
      <c r="D121" s="2816">
        <f>OCTUBRE!D121+NOVIEMBRE!P121</f>
        <v>0</v>
      </c>
      <c r="E121" s="2816">
        <f>OCTUBRE!E121+NOVIEMBRE!Q121</f>
        <v>0</v>
      </c>
      <c r="F121" s="2817">
        <f t="shared" si="126"/>
        <v>0</v>
      </c>
      <c r="G121" s="2597">
        <f>OCTUBRE!I121</f>
        <v>0</v>
      </c>
      <c r="H121" s="2598">
        <v>0</v>
      </c>
      <c r="I121" s="2822">
        <f t="shared" si="127"/>
        <v>0</v>
      </c>
      <c r="J121" s="2597">
        <f>OCTUBRE!L121</f>
        <v>0</v>
      </c>
      <c r="K121" s="2598">
        <v>0</v>
      </c>
      <c r="L121" s="2596">
        <f t="shared" si="128"/>
        <v>0</v>
      </c>
      <c r="M121" s="2730">
        <f t="shared" si="129"/>
        <v>0</v>
      </c>
      <c r="N121" s="2596">
        <f t="shared" si="130"/>
        <v>0</v>
      </c>
      <c r="P121" s="2600">
        <v>0</v>
      </c>
      <c r="Q121" s="2601">
        <v>0</v>
      </c>
      <c r="R121" s="2489"/>
      <c r="S121" s="2659">
        <f>+IF(OCTUBRE!S121=0,"",OCTUBRE!S121)</f>
        <v>2010199</v>
      </c>
      <c r="T121" s="2660" t="str">
        <f>+IF(OCTUBRE!T121=0,"",OCTUBRE!T121)</f>
        <v>Vigencias Anteriores</v>
      </c>
      <c r="U121" s="2661">
        <f>+ENERO!U121</f>
        <v>0</v>
      </c>
      <c r="V121" s="2612">
        <f>OCTUBRE!V121+NOVIEMBRE!AL121</f>
        <v>-89040581</v>
      </c>
      <c r="W121" s="2612">
        <f>OCTUBRE!W121+NOVIEMBRE!AM121</f>
        <v>250000000</v>
      </c>
      <c r="X121" s="2662">
        <f t="shared" si="131"/>
        <v>160959419</v>
      </c>
      <c r="Y121" s="2663">
        <f>OCTUBRE!AA121</f>
        <v>110959419</v>
      </c>
      <c r="Z121" s="2598">
        <v>1518318</v>
      </c>
      <c r="AA121" s="2662">
        <f t="shared" si="132"/>
        <v>112477737</v>
      </c>
      <c r="AB121" s="2663">
        <f>OCTUBRE!AD121</f>
        <v>110959419</v>
      </c>
      <c r="AC121" s="2598">
        <v>1518318</v>
      </c>
      <c r="AD121" s="2662">
        <f t="shared" si="133"/>
        <v>112477737</v>
      </c>
      <c r="AE121" s="2663">
        <f>OCTUBRE!AG121</f>
        <v>110959419</v>
      </c>
      <c r="AF121" s="2598">
        <v>1518318</v>
      </c>
      <c r="AG121" s="2662">
        <f t="shared" si="134"/>
        <v>112477737</v>
      </c>
      <c r="AH121" s="2663">
        <f t="shared" si="135"/>
        <v>48481682</v>
      </c>
      <c r="AI121" s="2612">
        <f t="shared" si="136"/>
        <v>48481682</v>
      </c>
      <c r="AJ121" s="2664">
        <f t="shared" si="137"/>
        <v>48481682</v>
      </c>
      <c r="AK121" s="2489"/>
      <c r="AL121" s="2600">
        <v>0</v>
      </c>
      <c r="AM121" s="2601">
        <v>50000000</v>
      </c>
      <c r="AN121" s="2489"/>
      <c r="AO121" s="2440"/>
      <c r="AP121" s="2440"/>
      <c r="AQ121" s="2440"/>
      <c r="AR121" s="2440"/>
      <c r="AS121" s="2440"/>
      <c r="AT121" s="2440"/>
      <c r="AU121" s="2440"/>
      <c r="AV121" s="2440"/>
      <c r="AW121" s="2440"/>
      <c r="AX121" s="2440"/>
      <c r="AY121" s="2440"/>
      <c r="AZ121" s="2440"/>
    </row>
    <row r="122" spans="1:52" s="2614" customFormat="1" ht="24.95" customHeight="1">
      <c r="A122" s="2823">
        <f>+IF(OCTUBRE!A122=0,"",OCTUBRE!A122)</f>
        <v>2600</v>
      </c>
      <c r="B122" s="2788" t="str">
        <f>+IF(OCTUBRE!B122=0,"",OCTUBRE!B122)</f>
        <v>RECUPERACIÓN DE CARTERA (AÑO 2015 Y ANTERIORES)</v>
      </c>
      <c r="C122" s="2594">
        <f>+ENERO!C122</f>
        <v>9052927194</v>
      </c>
      <c r="D122" s="2816">
        <f>OCTUBRE!D122+NOVIEMBRE!P122</f>
        <v>0</v>
      </c>
      <c r="E122" s="2816">
        <f>OCTUBRE!E122+NOVIEMBRE!Q122</f>
        <v>0</v>
      </c>
      <c r="F122" s="2817">
        <f t="shared" si="126"/>
        <v>9052927194</v>
      </c>
      <c r="G122" s="2597">
        <f>OCTUBRE!I122</f>
        <v>181744270</v>
      </c>
      <c r="H122" s="2598">
        <v>0</v>
      </c>
      <c r="I122" s="2822">
        <f t="shared" si="127"/>
        <v>181744270</v>
      </c>
      <c r="J122" s="2597">
        <f>OCTUBRE!L122</f>
        <v>181744270</v>
      </c>
      <c r="K122" s="2598">
        <v>0</v>
      </c>
      <c r="L122" s="2596">
        <f t="shared" si="128"/>
        <v>181744270</v>
      </c>
      <c r="M122" s="2730">
        <f t="shared" si="129"/>
        <v>8871182924</v>
      </c>
      <c r="N122" s="2596">
        <f t="shared" si="130"/>
        <v>8871182924</v>
      </c>
      <c r="P122" s="2600">
        <v>0</v>
      </c>
      <c r="Q122" s="2601">
        <v>0</v>
      </c>
      <c r="R122" s="2489"/>
      <c r="S122" s="2579" t="str">
        <f>+IF(OCTUBRE!S122=0,"",OCTUBRE!S122)</f>
        <v/>
      </c>
      <c r="T122" s="2580" t="str">
        <f>+IF(OCTUBRE!T122=0,"",OCTUBRE!T122)</f>
        <v/>
      </c>
      <c r="U122" s="2581"/>
      <c r="V122" s="2581"/>
      <c r="W122" s="2581"/>
      <c r="X122" s="2581"/>
      <c r="Y122" s="2581"/>
      <c r="Z122" s="2581"/>
      <c r="AA122" s="2581"/>
      <c r="AB122" s="2581"/>
      <c r="AC122" s="2581"/>
      <c r="AD122" s="2581"/>
      <c r="AE122" s="2581"/>
      <c r="AF122" s="2581"/>
      <c r="AG122" s="2581"/>
      <c r="AH122" s="2581"/>
      <c r="AI122" s="2581"/>
      <c r="AJ122" s="2582"/>
      <c r="AK122" s="2489"/>
      <c r="AL122" s="2769"/>
      <c r="AM122" s="2770"/>
      <c r="AN122" s="2489"/>
      <c r="AO122" s="2440"/>
      <c r="AP122" s="2440"/>
      <c r="AQ122" s="2440"/>
      <c r="AR122" s="2440"/>
      <c r="AS122" s="2440"/>
      <c r="AT122" s="2440"/>
      <c r="AU122" s="2440"/>
      <c r="AV122" s="2440"/>
      <c r="AW122" s="2440"/>
      <c r="AX122" s="2440"/>
      <c r="AY122" s="2440"/>
      <c r="AZ122" s="2440"/>
    </row>
    <row r="123" spans="1:52" s="2614" customFormat="1" ht="24.95" customHeight="1">
      <c r="A123" s="2824">
        <f>+IF(OCTUBRE!A123=0,"",OCTUBRE!A123)</f>
        <v>2700</v>
      </c>
      <c r="B123" s="2788" t="str">
        <f>+IF(OCTUBRE!B123=0,"",OCTUBRE!B123)</f>
        <v>OTROS INGRESOS DE CAPITAL</v>
      </c>
      <c r="C123" s="2594">
        <f>+ENERO!C123</f>
        <v>0</v>
      </c>
      <c r="D123" s="2816">
        <f>OCTUBRE!D123+NOVIEMBRE!P123</f>
        <v>0</v>
      </c>
      <c r="E123" s="2816">
        <f>OCTUBRE!E123+NOVIEMBRE!Q123</f>
        <v>0</v>
      </c>
      <c r="F123" s="2817">
        <f t="shared" si="126"/>
        <v>0</v>
      </c>
      <c r="G123" s="2597">
        <f>OCTUBRE!I123</f>
        <v>0</v>
      </c>
      <c r="H123" s="2598">
        <f>149237225+1112098+1841020+229028</f>
        <v>152419371</v>
      </c>
      <c r="I123" s="2822">
        <f t="shared" si="127"/>
        <v>152419371</v>
      </c>
      <c r="J123" s="2597">
        <f>OCTUBRE!L123</f>
        <v>0</v>
      </c>
      <c r="K123" s="2598">
        <f>149237225+1112098+1841020+229028</f>
        <v>152419371</v>
      </c>
      <c r="L123" s="2596">
        <f t="shared" si="128"/>
        <v>152419371</v>
      </c>
      <c r="M123" s="2730">
        <f t="shared" si="129"/>
        <v>-152419371</v>
      </c>
      <c r="N123" s="2596">
        <f t="shared" si="130"/>
        <v>-152419371</v>
      </c>
      <c r="P123" s="2600">
        <v>0</v>
      </c>
      <c r="Q123" s="2601">
        <v>0</v>
      </c>
      <c r="R123" s="2489"/>
      <c r="S123" s="2651">
        <f>+IF(OCTUBRE!S123=0,"",OCTUBRE!S123)</f>
        <v>2010200</v>
      </c>
      <c r="T123" s="2652" t="str">
        <f>+IF(OCTUBRE!T123=0,"",OCTUBRE!T123)</f>
        <v>Adquisición de Servicios</v>
      </c>
      <c r="U123" s="2624">
        <f t="shared" ref="U123:AJ123" si="138">SUM(U124:U139)</f>
        <v>4658828612</v>
      </c>
      <c r="V123" s="2625">
        <f t="shared" si="138"/>
        <v>221460997</v>
      </c>
      <c r="W123" s="2625">
        <f t="shared" si="138"/>
        <v>1553747105</v>
      </c>
      <c r="X123" s="2626">
        <f t="shared" si="138"/>
        <v>6434036714</v>
      </c>
      <c r="Y123" s="2627">
        <f t="shared" si="138"/>
        <v>6103568012</v>
      </c>
      <c r="Z123" s="2625">
        <f t="shared" si="138"/>
        <v>155696830</v>
      </c>
      <c r="AA123" s="2626">
        <f t="shared" si="138"/>
        <v>6259264842</v>
      </c>
      <c r="AB123" s="2627">
        <f t="shared" si="138"/>
        <v>5384147207</v>
      </c>
      <c r="AC123" s="2625">
        <f t="shared" si="138"/>
        <v>484721099</v>
      </c>
      <c r="AD123" s="2626">
        <f t="shared" si="138"/>
        <v>5868868306</v>
      </c>
      <c r="AE123" s="2627">
        <f t="shared" si="138"/>
        <v>3563297750</v>
      </c>
      <c r="AF123" s="2625">
        <f t="shared" si="138"/>
        <v>560841657</v>
      </c>
      <c r="AG123" s="2626">
        <f t="shared" si="138"/>
        <v>4124139407</v>
      </c>
      <c r="AH123" s="2627">
        <f t="shared" si="138"/>
        <v>174771872</v>
      </c>
      <c r="AI123" s="2625">
        <f t="shared" si="138"/>
        <v>565168408</v>
      </c>
      <c r="AJ123" s="2628">
        <f t="shared" si="138"/>
        <v>2309897307</v>
      </c>
      <c r="AK123" s="2489"/>
      <c r="AL123" s="2627">
        <f>SUM(AL124:AL139)</f>
        <v>77800000</v>
      </c>
      <c r="AM123" s="2628">
        <f>SUM(AM124:AM139)</f>
        <v>55590398</v>
      </c>
      <c r="AN123" s="2489"/>
      <c r="AO123" s="2440"/>
      <c r="AP123" s="2440"/>
      <c r="AQ123" s="2440"/>
      <c r="AR123" s="2440"/>
      <c r="AS123" s="2440"/>
      <c r="AT123" s="2440"/>
      <c r="AU123" s="2440"/>
      <c r="AV123" s="2440"/>
      <c r="AW123" s="2440"/>
      <c r="AX123" s="2440"/>
      <c r="AY123" s="2440"/>
      <c r="AZ123" s="2440"/>
    </row>
    <row r="124" spans="1:52" s="2614" customFormat="1" ht="24.95" customHeight="1" thickBot="1">
      <c r="A124" s="2825">
        <f>+IF(OCTUBRE!A124=0,"",OCTUBRE!A124)</f>
        <v>2800</v>
      </c>
      <c r="B124" s="2826" t="str">
        <f>+IF(OCTUBRE!B124=0,"",OCTUBRE!B124)</f>
        <v/>
      </c>
      <c r="C124" s="2635">
        <f>+ENERO!C124</f>
        <v>0</v>
      </c>
      <c r="D124" s="2827">
        <f>OCTUBRE!D124+NOVIEMBRE!P124</f>
        <v>0</v>
      </c>
      <c r="E124" s="2827">
        <f>OCTUBRE!E124+NOVIEMBRE!Q124</f>
        <v>0</v>
      </c>
      <c r="F124" s="2828">
        <f t="shared" si="126"/>
        <v>0</v>
      </c>
      <c r="G124" s="2638">
        <f>OCTUBRE!I124</f>
        <v>0</v>
      </c>
      <c r="H124" s="2639"/>
      <c r="I124" s="2829">
        <f t="shared" si="127"/>
        <v>0</v>
      </c>
      <c r="J124" s="2638">
        <f>OCTUBRE!L124</f>
        <v>0</v>
      </c>
      <c r="K124" s="2639">
        <v>0</v>
      </c>
      <c r="L124" s="2637">
        <f t="shared" si="128"/>
        <v>0</v>
      </c>
      <c r="M124" s="2830">
        <f t="shared" si="129"/>
        <v>0</v>
      </c>
      <c r="N124" s="2637">
        <f t="shared" si="130"/>
        <v>0</v>
      </c>
      <c r="P124" s="2641">
        <v>0</v>
      </c>
      <c r="Q124" s="2642">
        <v>0</v>
      </c>
      <c r="R124" s="2489"/>
      <c r="S124" s="2659" t="str">
        <f>+IF(OCTUBRE!S124=0,"",OCTUBRE!S124)</f>
        <v>2010200-1</v>
      </c>
      <c r="T124" s="2660" t="str">
        <f>+IF(OCTUBRE!T124=0,"",OCTUBRE!T124)</f>
        <v>Seguros</v>
      </c>
      <c r="U124" s="2661">
        <f>+ENERO!U124</f>
        <v>350000000</v>
      </c>
      <c r="V124" s="2612">
        <f>OCTUBRE!V124+NOVIEMBRE!AL124</f>
        <v>109168059</v>
      </c>
      <c r="W124" s="2612">
        <f>OCTUBRE!W124+NOVIEMBRE!AM124</f>
        <v>0</v>
      </c>
      <c r="X124" s="2662">
        <f t="shared" ref="X124:X139" si="139">SUM(U124:W124)</f>
        <v>459168059</v>
      </c>
      <c r="Y124" s="2663">
        <f>OCTUBRE!AA124</f>
        <v>458870524</v>
      </c>
      <c r="Z124" s="2598">
        <v>0</v>
      </c>
      <c r="AA124" s="2662">
        <f t="shared" ref="AA124:AA139" si="140">SUM(Y124:Z124)</f>
        <v>458870524</v>
      </c>
      <c r="AB124" s="2663">
        <f>OCTUBRE!AD124</f>
        <v>458835667</v>
      </c>
      <c r="AC124" s="2598">
        <v>0</v>
      </c>
      <c r="AD124" s="2662">
        <f t="shared" ref="AD124:AD139" si="141">SUM(AB124:AC124)</f>
        <v>458835667</v>
      </c>
      <c r="AE124" s="2663">
        <f>OCTUBRE!AG124</f>
        <v>368928583</v>
      </c>
      <c r="AF124" s="2598">
        <v>0</v>
      </c>
      <c r="AG124" s="2662">
        <f t="shared" ref="AG124:AG139" si="142">SUM(AE124:AF124)</f>
        <v>368928583</v>
      </c>
      <c r="AH124" s="2663">
        <f t="shared" ref="AH124:AH139" si="143">X124-AA124</f>
        <v>297535</v>
      </c>
      <c r="AI124" s="2612">
        <f t="shared" ref="AI124:AI139" si="144">X124-AD124</f>
        <v>332392</v>
      </c>
      <c r="AJ124" s="2664">
        <f t="shared" ref="AJ124:AJ139" si="145">X124-AG124</f>
        <v>90239476</v>
      </c>
      <c r="AK124" s="2489"/>
      <c r="AL124" s="2600">
        <v>0</v>
      </c>
      <c r="AM124" s="2601">
        <v>0</v>
      </c>
      <c r="AN124" s="2489"/>
      <c r="AO124" s="2440"/>
      <c r="AP124" s="2440"/>
      <c r="AQ124" s="2440"/>
      <c r="AR124" s="2440"/>
      <c r="AS124" s="2440"/>
      <c r="AT124" s="2440"/>
      <c r="AU124" s="2440"/>
      <c r="AV124" s="2440"/>
      <c r="AW124" s="2440"/>
      <c r="AX124" s="2440"/>
      <c r="AY124" s="2440"/>
      <c r="AZ124" s="2440"/>
    </row>
    <row r="125" spans="1:52" s="2614" customFormat="1" ht="24.95" customHeight="1" thickBot="1">
      <c r="A125" s="2801"/>
      <c r="B125" s="2802"/>
      <c r="C125" s="2803"/>
      <c r="D125" s="2803"/>
      <c r="E125" s="2803"/>
      <c r="F125" s="2803"/>
      <c r="G125" s="2803"/>
      <c r="H125" s="2803"/>
      <c r="I125" s="2803"/>
      <c r="J125" s="2803"/>
      <c r="K125" s="2803"/>
      <c r="L125" s="2803"/>
      <c r="M125" s="2803"/>
      <c r="N125" s="2804"/>
      <c r="P125" s="2805"/>
      <c r="Q125" s="2804"/>
      <c r="R125" s="2489"/>
      <c r="S125" s="2659" t="str">
        <f>+IF(OCTUBRE!S125=0,"",OCTUBRE!S125)</f>
        <v>2010200-2</v>
      </c>
      <c r="T125" s="2660" t="str">
        <f>+IF(OCTUBRE!T125=0,"",OCTUBRE!T125)</f>
        <v>Impresos y Publicaciones</v>
      </c>
      <c r="U125" s="2661">
        <f>+ENERO!U125</f>
        <v>60000000</v>
      </c>
      <c r="V125" s="2612">
        <f>OCTUBRE!V125+NOVIEMBRE!AL125</f>
        <v>27994312</v>
      </c>
      <c r="W125" s="2612">
        <f>OCTUBRE!W125+NOVIEMBRE!AM125</f>
        <v>0</v>
      </c>
      <c r="X125" s="2662">
        <f t="shared" si="139"/>
        <v>87994312</v>
      </c>
      <c r="Y125" s="2663">
        <f>OCTUBRE!AA125</f>
        <v>81581777</v>
      </c>
      <c r="Z125" s="2598">
        <v>0</v>
      </c>
      <c r="AA125" s="2662">
        <f t="shared" si="140"/>
        <v>81581777</v>
      </c>
      <c r="AB125" s="2663">
        <f>OCTUBRE!AD125</f>
        <v>56831777</v>
      </c>
      <c r="AC125" s="2598">
        <v>16500000</v>
      </c>
      <c r="AD125" s="2662">
        <f t="shared" si="141"/>
        <v>73331777</v>
      </c>
      <c r="AE125" s="2663">
        <f>OCTUBRE!AG125</f>
        <v>34981771</v>
      </c>
      <c r="AF125" s="2598">
        <v>0</v>
      </c>
      <c r="AG125" s="2662">
        <f t="shared" si="142"/>
        <v>34981771</v>
      </c>
      <c r="AH125" s="2663">
        <f t="shared" si="143"/>
        <v>6412535</v>
      </c>
      <c r="AI125" s="2612">
        <f t="shared" si="144"/>
        <v>14662535</v>
      </c>
      <c r="AJ125" s="2664">
        <f t="shared" si="145"/>
        <v>53012541</v>
      </c>
      <c r="AK125" s="2489"/>
      <c r="AL125" s="2600">
        <v>0</v>
      </c>
      <c r="AM125" s="2601">
        <v>0</v>
      </c>
      <c r="AN125" s="2489"/>
      <c r="AO125" s="2440"/>
      <c r="AP125" s="2440"/>
      <c r="AQ125" s="2440"/>
      <c r="AR125" s="2440"/>
      <c r="AS125" s="2440"/>
      <c r="AT125" s="2440"/>
      <c r="AU125" s="2440"/>
      <c r="AV125" s="2440"/>
      <c r="AW125" s="2440"/>
      <c r="AX125" s="2440"/>
      <c r="AY125" s="2440"/>
      <c r="AZ125" s="2440"/>
    </row>
    <row r="126" spans="1:52" s="2614" customFormat="1" ht="24.95" customHeight="1" thickBot="1">
      <c r="A126" s="2831" t="s">
        <v>246</v>
      </c>
      <c r="B126" s="2832"/>
      <c r="C126" s="2833">
        <f t="shared" ref="C126:N126" si="146">C8-C128</f>
        <v>41169250887</v>
      </c>
      <c r="D126" s="2833">
        <f t="shared" si="146"/>
        <v>0</v>
      </c>
      <c r="E126" s="2833">
        <f t="shared" si="146"/>
        <v>1210271904</v>
      </c>
      <c r="F126" s="2833">
        <f t="shared" si="146"/>
        <v>42379522791</v>
      </c>
      <c r="G126" s="2833">
        <f t="shared" si="146"/>
        <v>40589155606</v>
      </c>
      <c r="H126" s="2833">
        <f t="shared" si="146"/>
        <v>4500153269</v>
      </c>
      <c r="I126" s="2833">
        <f t="shared" si="146"/>
        <v>45089308875</v>
      </c>
      <c r="J126" s="2833">
        <f t="shared" si="146"/>
        <v>15845551727</v>
      </c>
      <c r="K126" s="2833">
        <f t="shared" si="146"/>
        <v>3610227348</v>
      </c>
      <c r="L126" s="2833">
        <f t="shared" si="146"/>
        <v>19274034805</v>
      </c>
      <c r="M126" s="2833">
        <f t="shared" si="146"/>
        <v>6161396840</v>
      </c>
      <c r="N126" s="2834">
        <f t="shared" si="146"/>
        <v>23105487986</v>
      </c>
      <c r="P126" s="2835">
        <f>P8-P128</f>
        <v>0</v>
      </c>
      <c r="Q126" s="2836">
        <f>Q8-Q128</f>
        <v>123291458</v>
      </c>
      <c r="R126" s="2489"/>
      <c r="S126" s="2659" t="str">
        <f>+IF(OCTUBRE!S126=0,"",OCTUBRE!S126)</f>
        <v>2010200-3</v>
      </c>
      <c r="T126" s="2660" t="str">
        <f>+IF(OCTUBRE!T126=0,"",OCTUBRE!T126)</f>
        <v xml:space="preserve">Servicios Públicos </v>
      </c>
      <c r="U126" s="2661">
        <f>+ENERO!U126</f>
        <v>904500000</v>
      </c>
      <c r="V126" s="2612">
        <f>OCTUBRE!V126+NOVIEMBRE!AL126</f>
        <v>90000000</v>
      </c>
      <c r="W126" s="2612">
        <f>OCTUBRE!W126+NOVIEMBRE!AM126</f>
        <v>0</v>
      </c>
      <c r="X126" s="2662">
        <f t="shared" si="139"/>
        <v>994500000</v>
      </c>
      <c r="Y126" s="2663">
        <f>OCTUBRE!AA126</f>
        <v>893411126</v>
      </c>
      <c r="Z126" s="2598">
        <v>80833177</v>
      </c>
      <c r="AA126" s="2662">
        <f t="shared" si="140"/>
        <v>974244303</v>
      </c>
      <c r="AB126" s="2663">
        <f>OCTUBRE!AD126</f>
        <v>893342841</v>
      </c>
      <c r="AC126" s="2598">
        <v>80833177</v>
      </c>
      <c r="AD126" s="2662">
        <f t="shared" si="141"/>
        <v>974176018</v>
      </c>
      <c r="AE126" s="2663">
        <f>OCTUBRE!AG126</f>
        <v>865192863</v>
      </c>
      <c r="AF126" s="2598">
        <v>108595695</v>
      </c>
      <c r="AG126" s="2662">
        <f t="shared" si="142"/>
        <v>973788558</v>
      </c>
      <c r="AH126" s="2663">
        <f t="shared" si="143"/>
        <v>20255697</v>
      </c>
      <c r="AI126" s="2612">
        <f t="shared" si="144"/>
        <v>20323982</v>
      </c>
      <c r="AJ126" s="2664">
        <f t="shared" si="145"/>
        <v>20711442</v>
      </c>
      <c r="AK126" s="2489"/>
      <c r="AL126" s="2600">
        <v>90000000</v>
      </c>
      <c r="AM126" s="2601">
        <v>0</v>
      </c>
      <c r="AN126" s="2489"/>
      <c r="AO126" s="2440"/>
      <c r="AP126" s="2440"/>
      <c r="AQ126" s="2440"/>
      <c r="AR126" s="2440"/>
      <c r="AS126" s="2440"/>
      <c r="AT126" s="2440"/>
      <c r="AU126" s="2440"/>
      <c r="AV126" s="2440"/>
      <c r="AW126" s="2440"/>
      <c r="AX126" s="2440"/>
      <c r="AY126" s="2440"/>
      <c r="AZ126" s="2440"/>
    </row>
    <row r="127" spans="1:52" s="2614" customFormat="1" ht="24.95" customHeight="1" thickBot="1">
      <c r="A127" s="2837"/>
      <c r="B127" s="2802"/>
      <c r="C127" s="2803"/>
      <c r="D127" s="2803"/>
      <c r="E127" s="2803"/>
      <c r="F127" s="2803"/>
      <c r="G127" s="2803"/>
      <c r="H127" s="2803"/>
      <c r="I127" s="2803"/>
      <c r="J127" s="2803"/>
      <c r="K127" s="2803"/>
      <c r="L127" s="2803"/>
      <c r="M127" s="2803"/>
      <c r="N127" s="2804"/>
      <c r="P127" s="2805"/>
      <c r="Q127" s="2804"/>
      <c r="R127" s="2489"/>
      <c r="S127" s="2659" t="str">
        <f>+IF(OCTUBRE!S127=0,"",OCTUBRE!S127)</f>
        <v>2010200-4</v>
      </c>
      <c r="T127" s="2660" t="str">
        <f>+IF(OCTUBRE!T127=0,"",OCTUBRE!T127)</f>
        <v>Comunicaciones y Transportes</v>
      </c>
      <c r="U127" s="2661">
        <f>+ENERO!U127</f>
        <v>35257108</v>
      </c>
      <c r="V127" s="2612">
        <f>OCTUBRE!V127+NOVIEMBRE!AL127</f>
        <v>3000000</v>
      </c>
      <c r="W127" s="2612">
        <f>OCTUBRE!W127+NOVIEMBRE!AM127</f>
        <v>0</v>
      </c>
      <c r="X127" s="2662">
        <f t="shared" si="139"/>
        <v>38257108</v>
      </c>
      <c r="Y127" s="2663">
        <f>OCTUBRE!AA127</f>
        <v>36480708</v>
      </c>
      <c r="Z127" s="2598">
        <v>1769252</v>
      </c>
      <c r="AA127" s="2662">
        <f t="shared" si="140"/>
        <v>38249960</v>
      </c>
      <c r="AB127" s="2663">
        <f>OCTUBRE!AD127</f>
        <v>36480708</v>
      </c>
      <c r="AC127" s="2598">
        <v>1769252</v>
      </c>
      <c r="AD127" s="2662">
        <f t="shared" si="141"/>
        <v>38249960</v>
      </c>
      <c r="AE127" s="2663">
        <f>OCTUBRE!AG127</f>
        <v>27617996</v>
      </c>
      <c r="AF127" s="2598">
        <v>837290</v>
      </c>
      <c r="AG127" s="2662">
        <f t="shared" si="142"/>
        <v>28455286</v>
      </c>
      <c r="AH127" s="2663">
        <f t="shared" si="143"/>
        <v>7148</v>
      </c>
      <c r="AI127" s="2612">
        <f t="shared" si="144"/>
        <v>7148</v>
      </c>
      <c r="AJ127" s="2664">
        <f t="shared" si="145"/>
        <v>9801822</v>
      </c>
      <c r="AK127" s="2489"/>
      <c r="AL127" s="2600">
        <v>1000000</v>
      </c>
      <c r="AM127" s="2601">
        <v>0</v>
      </c>
      <c r="AN127" s="2489"/>
      <c r="AO127" s="2440"/>
      <c r="AP127" s="2440"/>
      <c r="AQ127" s="2440"/>
      <c r="AR127" s="2440"/>
      <c r="AS127" s="2440"/>
      <c r="AT127" s="2440"/>
      <c r="AU127" s="2440"/>
      <c r="AV127" s="2440"/>
      <c r="AW127" s="2440"/>
      <c r="AX127" s="2440"/>
      <c r="AY127" s="2440"/>
      <c r="AZ127" s="2440"/>
    </row>
    <row r="128" spans="1:52" s="2614" customFormat="1" ht="24.95" customHeight="1" thickBot="1">
      <c r="A128" s="2838" t="s">
        <v>249</v>
      </c>
      <c r="B128" s="2839"/>
      <c r="C128" s="2840">
        <f>SUMIF($B8:$B$122,$B$24,C8:C122)+C122</f>
        <v>9052927194</v>
      </c>
      <c r="D128" s="2840">
        <f>SUMIF($B8:$B$122,$B$24,D8:D122)+D122</f>
        <v>0</v>
      </c>
      <c r="E128" s="2840">
        <f>SUMIF($B8:$B$122,$B$24,E8:E122)+E122</f>
        <v>17622828303</v>
      </c>
      <c r="F128" s="2840">
        <f>SUMIF($B8:$B$122,$B$24,F8:F122)+F122</f>
        <v>26675755497</v>
      </c>
      <c r="G128" s="2840">
        <f>SUMIF($B8:$B$122,$B$24,G8:G122)+G122</f>
        <v>18013351040</v>
      </c>
      <c r="H128" s="2840">
        <f>SUMIF($B8:$B$122,$B$24,H8:H122)+H122</f>
        <v>290887796</v>
      </c>
      <c r="I128" s="2840">
        <f>SUMIF($B8:$B$122,$B$24,I8:I122)+I122</f>
        <v>18304238836</v>
      </c>
      <c r="J128" s="2840">
        <f>SUMIF($B8:$B$122,$B$24,J8:J122)+J1212</f>
        <v>17831606770</v>
      </c>
      <c r="K128" s="2840">
        <f>SUMIF($B8:$B$122,$B$24,K8:K122)+K122</f>
        <v>290887796</v>
      </c>
      <c r="L128" s="2840">
        <f>SUMIF($B8:$B$122,$B$24,L8:L122)+L122</f>
        <v>18304238836</v>
      </c>
      <c r="M128" s="2840">
        <f>SUMIF($B8:$B$122,$B$24,M8:M122)+M12</f>
        <v>-499666263</v>
      </c>
      <c r="N128" s="2841">
        <f>SUMIF($B8:$B$122,$B$24,N8:N122)+N122</f>
        <v>8371516661</v>
      </c>
      <c r="O128" s="2778"/>
      <c r="P128" s="2840">
        <f>SUMIF($B8:$B$122,$B$24,P8:P122)+P122</f>
        <v>0</v>
      </c>
      <c r="Q128" s="2842">
        <f>SUMIF($B8:$B$122,$B$24,Q8:Q122)+Q122</f>
        <v>1932298940</v>
      </c>
      <c r="R128" s="2489"/>
      <c r="S128" s="2659" t="str">
        <f>+IF(OCTUBRE!S128=0,"",OCTUBRE!S128)</f>
        <v>2010200-5</v>
      </c>
      <c r="T128" s="2660" t="str">
        <f>+IF(OCTUBRE!T128=0,"",OCTUBRE!T128)</f>
        <v>Viáticos y Gastos de Viaje</v>
      </c>
      <c r="U128" s="2661">
        <f>+ENERO!U128</f>
        <v>12609000</v>
      </c>
      <c r="V128" s="2612">
        <f>OCTUBRE!V128+NOVIEMBRE!AL128</f>
        <v>0</v>
      </c>
      <c r="W128" s="2612">
        <f>OCTUBRE!W128+NOVIEMBRE!AM128</f>
        <v>0</v>
      </c>
      <c r="X128" s="2662">
        <f t="shared" si="139"/>
        <v>12609000</v>
      </c>
      <c r="Y128" s="2663">
        <f>OCTUBRE!AA128</f>
        <v>3169537</v>
      </c>
      <c r="Z128" s="2598">
        <v>1366384</v>
      </c>
      <c r="AA128" s="2662">
        <f t="shared" si="140"/>
        <v>4535921</v>
      </c>
      <c r="AB128" s="2663">
        <f>OCTUBRE!AD128</f>
        <v>3169537</v>
      </c>
      <c r="AC128" s="2598">
        <v>1366384</v>
      </c>
      <c r="AD128" s="2662">
        <f t="shared" si="141"/>
        <v>4535921</v>
      </c>
      <c r="AE128" s="2663">
        <f>OCTUBRE!AG128</f>
        <v>2851926</v>
      </c>
      <c r="AF128" s="2598">
        <v>705669</v>
      </c>
      <c r="AG128" s="2662">
        <f t="shared" si="142"/>
        <v>3557595</v>
      </c>
      <c r="AH128" s="2663">
        <f t="shared" si="143"/>
        <v>8073079</v>
      </c>
      <c r="AI128" s="2612">
        <f t="shared" si="144"/>
        <v>8073079</v>
      </c>
      <c r="AJ128" s="2664">
        <f t="shared" si="145"/>
        <v>9051405</v>
      </c>
      <c r="AK128" s="2489"/>
      <c r="AL128" s="2600">
        <v>0</v>
      </c>
      <c r="AM128" s="2601">
        <v>0</v>
      </c>
      <c r="AN128" s="2489"/>
      <c r="AO128" s="2440"/>
      <c r="AP128" s="2440"/>
      <c r="AQ128" s="2440"/>
      <c r="AR128" s="2440"/>
      <c r="AS128" s="2440"/>
      <c r="AT128" s="2440"/>
      <c r="AU128" s="2440"/>
      <c r="AV128" s="2440"/>
      <c r="AW128" s="2440"/>
      <c r="AX128" s="2440"/>
      <c r="AY128" s="2440"/>
      <c r="AZ128" s="2440"/>
    </row>
    <row r="129" spans="1:52" s="2614" customFormat="1" ht="24.95" customHeight="1" thickBot="1">
      <c r="A129" s="2837"/>
      <c r="B129" s="2802"/>
      <c r="C129" s="2803"/>
      <c r="D129" s="2803"/>
      <c r="E129" s="2803"/>
      <c r="F129" s="2803"/>
      <c r="G129" s="2803"/>
      <c r="H129" s="2803"/>
      <c r="I129" s="2803"/>
      <c r="J129" s="2803"/>
      <c r="K129" s="2803"/>
      <c r="L129" s="2803"/>
      <c r="M129" s="2803"/>
      <c r="N129" s="2804"/>
      <c r="P129" s="2805"/>
      <c r="Q129" s="2804"/>
      <c r="R129" s="2489"/>
      <c r="S129" s="2659" t="str">
        <f>+IF(OCTUBRE!S129=0,"",OCTUBRE!S129)</f>
        <v>2010200-6</v>
      </c>
      <c r="T129" s="2660" t="str">
        <f>+IF(OCTUBRE!T129=0,"",OCTUBRE!T129)</f>
        <v>Arrendamientos</v>
      </c>
      <c r="U129" s="2661">
        <f>+ENERO!U129</f>
        <v>1100000000</v>
      </c>
      <c r="V129" s="2612">
        <f>OCTUBRE!V129+NOVIEMBRE!AL129</f>
        <v>1201017483</v>
      </c>
      <c r="W129" s="2612">
        <f>OCTUBRE!W129+NOVIEMBRE!AM129</f>
        <v>110000000</v>
      </c>
      <c r="X129" s="2662">
        <f t="shared" si="139"/>
        <v>2411017483</v>
      </c>
      <c r="Y129" s="2663">
        <f>OCTUBRE!AA129</f>
        <v>2405672976</v>
      </c>
      <c r="Z129" s="2598">
        <v>5200000</v>
      </c>
      <c r="AA129" s="2662">
        <f t="shared" si="140"/>
        <v>2410872976</v>
      </c>
      <c r="AB129" s="2663">
        <f>OCTUBRE!AD129</f>
        <v>1980079593</v>
      </c>
      <c r="AC129" s="2598">
        <v>246681391</v>
      </c>
      <c r="AD129" s="2662">
        <f t="shared" si="141"/>
        <v>2226760984</v>
      </c>
      <c r="AE129" s="2663">
        <f>OCTUBRE!AG129</f>
        <v>1196509401</v>
      </c>
      <c r="AF129" s="2598">
        <v>382714019</v>
      </c>
      <c r="AG129" s="2662">
        <f t="shared" si="142"/>
        <v>1579223420</v>
      </c>
      <c r="AH129" s="2663">
        <f t="shared" si="143"/>
        <v>144507</v>
      </c>
      <c r="AI129" s="2612">
        <f t="shared" si="144"/>
        <v>184256499</v>
      </c>
      <c r="AJ129" s="2664">
        <f t="shared" si="145"/>
        <v>831794063</v>
      </c>
      <c r="AK129" s="2489"/>
      <c r="AL129" s="2600">
        <v>5200000</v>
      </c>
      <c r="AM129" s="2601">
        <v>0</v>
      </c>
      <c r="AN129" s="2489"/>
      <c r="AO129" s="2440"/>
      <c r="AP129" s="2440"/>
      <c r="AQ129" s="2440"/>
      <c r="AR129" s="2440"/>
      <c r="AS129" s="2440"/>
      <c r="AT129" s="2440"/>
      <c r="AU129" s="2440"/>
      <c r="AV129" s="2440"/>
      <c r="AW129" s="2440"/>
      <c r="AX129" s="2440"/>
      <c r="AY129" s="2440"/>
      <c r="AZ129" s="2440"/>
    </row>
    <row r="130" spans="1:52" s="2614" customFormat="1" ht="24.95" customHeight="1" thickBot="1">
      <c r="A130" s="2843" t="s">
        <v>252</v>
      </c>
      <c r="B130" s="2844"/>
      <c r="C130" s="2845">
        <f t="shared" ref="C130:N130" si="147">C128+C126</f>
        <v>50222178081</v>
      </c>
      <c r="D130" s="2846">
        <f t="shared" si="147"/>
        <v>0</v>
      </c>
      <c r="E130" s="2846">
        <f t="shared" si="147"/>
        <v>18833100207</v>
      </c>
      <c r="F130" s="2847">
        <f t="shared" si="147"/>
        <v>69055278288</v>
      </c>
      <c r="G130" s="2845">
        <f t="shared" si="147"/>
        <v>58602506646</v>
      </c>
      <c r="H130" s="2846">
        <f t="shared" si="147"/>
        <v>4791041065</v>
      </c>
      <c r="I130" s="2847">
        <f t="shared" si="147"/>
        <v>63393547711</v>
      </c>
      <c r="J130" s="2845">
        <f t="shared" si="147"/>
        <v>33677158497</v>
      </c>
      <c r="K130" s="2846">
        <f t="shared" si="147"/>
        <v>3901115144</v>
      </c>
      <c r="L130" s="2847">
        <f t="shared" si="147"/>
        <v>37578273641</v>
      </c>
      <c r="M130" s="2845">
        <f t="shared" si="147"/>
        <v>5661730577</v>
      </c>
      <c r="N130" s="2847">
        <f t="shared" si="147"/>
        <v>31477004647</v>
      </c>
      <c r="P130" s="2835">
        <f>P128+P126</f>
        <v>0</v>
      </c>
      <c r="Q130" s="2836">
        <f>Q128+Q126</f>
        <v>2055590398</v>
      </c>
      <c r="R130" s="2489"/>
      <c r="S130" s="2659" t="str">
        <f>+IF(OCTUBRE!S130=0,"",OCTUBRE!S130)</f>
        <v>2010200-7</v>
      </c>
      <c r="T130" s="2660" t="str">
        <f>+IF(OCTUBRE!T130=0,"",OCTUBRE!T130)</f>
        <v>Vigilancia y Aseo</v>
      </c>
      <c r="U130" s="2661">
        <f>+ENERO!U130</f>
        <v>2121073970</v>
      </c>
      <c r="V130" s="2612">
        <f>OCTUBRE!V130+NOVIEMBRE!AL130</f>
        <v>-564719027</v>
      </c>
      <c r="W130" s="2612">
        <f>OCTUBRE!W130+NOVIEMBRE!AM130</f>
        <v>220000000</v>
      </c>
      <c r="X130" s="2662">
        <f t="shared" si="139"/>
        <v>1776354943</v>
      </c>
      <c r="Y130" s="2663">
        <f>OCTUBRE!AA130</f>
        <v>1696580998</v>
      </c>
      <c r="Z130" s="2598">
        <v>59000000</v>
      </c>
      <c r="AA130" s="2662">
        <f t="shared" si="140"/>
        <v>1755580998</v>
      </c>
      <c r="AB130" s="2663">
        <f>OCTUBRE!AD130</f>
        <v>1429311991</v>
      </c>
      <c r="AC130" s="2598">
        <v>130722878</v>
      </c>
      <c r="AD130" s="2662">
        <f t="shared" si="141"/>
        <v>1560034869</v>
      </c>
      <c r="AE130" s="2663">
        <f>OCTUBRE!AG130</f>
        <v>557169131</v>
      </c>
      <c r="AF130" s="2598">
        <v>55000000</v>
      </c>
      <c r="AG130" s="2662">
        <f t="shared" si="142"/>
        <v>612169131</v>
      </c>
      <c r="AH130" s="2663">
        <f t="shared" si="143"/>
        <v>20773945</v>
      </c>
      <c r="AI130" s="2612">
        <f t="shared" si="144"/>
        <v>216320074</v>
      </c>
      <c r="AJ130" s="2664">
        <f t="shared" si="145"/>
        <v>1164185812</v>
      </c>
      <c r="AK130" s="2489"/>
      <c r="AL130" s="2600">
        <v>-12400000</v>
      </c>
      <c r="AM130" s="2601">
        <v>0</v>
      </c>
      <c r="AN130" s="2489"/>
      <c r="AO130" s="2440"/>
      <c r="AP130" s="2440"/>
      <c r="AQ130" s="2440"/>
      <c r="AR130" s="2440"/>
      <c r="AS130" s="2440"/>
      <c r="AT130" s="2440"/>
      <c r="AU130" s="2440"/>
      <c r="AV130" s="2440"/>
      <c r="AW130" s="2440"/>
      <c r="AX130" s="2440"/>
      <c r="AY130" s="2440"/>
      <c r="AZ130" s="2440"/>
    </row>
    <row r="131" spans="1:52" s="2614" customFormat="1" ht="24.95" customHeight="1">
      <c r="A131" s="2848"/>
      <c r="B131" s="2849"/>
      <c r="N131" s="2489"/>
      <c r="R131" s="2489"/>
      <c r="S131" s="2659" t="str">
        <f>+IF(OCTUBRE!S131=0,"",OCTUBRE!S131)</f>
        <v>2010200-8</v>
      </c>
      <c r="T131" s="2660" t="str">
        <f>+IF(OCTUBRE!T131=0,"",OCTUBRE!T131)</f>
        <v>Bienestar Social</v>
      </c>
      <c r="U131" s="2661">
        <f>+ENERO!U131</f>
        <v>45388534</v>
      </c>
      <c r="V131" s="2612">
        <f>OCTUBRE!V131+NOVIEMBRE!AL131</f>
        <v>0</v>
      </c>
      <c r="W131" s="2612">
        <f>OCTUBRE!W131+NOVIEMBRE!AM131</f>
        <v>26156707</v>
      </c>
      <c r="X131" s="2662">
        <f t="shared" si="139"/>
        <v>71545241</v>
      </c>
      <c r="Y131" s="2663">
        <f>OCTUBRE!AA131</f>
        <v>33800831</v>
      </c>
      <c r="Z131" s="2598">
        <v>5386252</v>
      </c>
      <c r="AA131" s="2662">
        <f t="shared" si="140"/>
        <v>39187083</v>
      </c>
      <c r="AB131" s="2663">
        <f>OCTUBRE!AD131</f>
        <v>32095558</v>
      </c>
      <c r="AC131" s="2598">
        <v>4706252</v>
      </c>
      <c r="AD131" s="2662">
        <f t="shared" si="141"/>
        <v>36801810</v>
      </c>
      <c r="AE131" s="2663">
        <f>OCTUBRE!AG131</f>
        <v>18353163</v>
      </c>
      <c r="AF131" s="2598">
        <v>10040000</v>
      </c>
      <c r="AG131" s="2662">
        <f t="shared" si="142"/>
        <v>28393163</v>
      </c>
      <c r="AH131" s="2663">
        <f t="shared" si="143"/>
        <v>32358158</v>
      </c>
      <c r="AI131" s="2612">
        <f t="shared" si="144"/>
        <v>34743431</v>
      </c>
      <c r="AJ131" s="2664">
        <f t="shared" si="145"/>
        <v>43152078</v>
      </c>
      <c r="AK131" s="2489"/>
      <c r="AL131" s="2600">
        <v>0</v>
      </c>
      <c r="AM131" s="2601">
        <v>0</v>
      </c>
      <c r="AN131" s="2489"/>
      <c r="AO131" s="2440"/>
      <c r="AP131" s="2440"/>
      <c r="AQ131" s="2440"/>
      <c r="AR131" s="2440"/>
      <c r="AS131" s="2440"/>
      <c r="AT131" s="2440"/>
      <c r="AU131" s="2440"/>
      <c r="AV131" s="2440"/>
      <c r="AW131" s="2440"/>
      <c r="AX131" s="2440"/>
      <c r="AY131" s="2440"/>
      <c r="AZ131" s="2440"/>
    </row>
    <row r="132" spans="1:52" s="2614" customFormat="1" ht="24.95" customHeight="1">
      <c r="A132" s="2848"/>
      <c r="B132" s="2849"/>
      <c r="N132" s="2489"/>
      <c r="R132" s="2489"/>
      <c r="S132" s="2659" t="str">
        <f>+IF(OCTUBRE!S132=0,"",OCTUBRE!S132)</f>
        <v>2010200-9</v>
      </c>
      <c r="T132" s="2660" t="str">
        <f>+IF(OCTUBRE!T132=0,"",OCTUBRE!T132)</f>
        <v>Capacitación, estimulos, incentivos, programa de calidad</v>
      </c>
      <c r="U132" s="2661">
        <f>+ENERO!U132</f>
        <v>15000000</v>
      </c>
      <c r="V132" s="2612">
        <f>OCTUBRE!V132+NOVIEMBRE!AL132</f>
        <v>-6000000</v>
      </c>
      <c r="W132" s="2612">
        <f>OCTUBRE!W132+NOVIEMBRE!AM132</f>
        <v>0</v>
      </c>
      <c r="X132" s="2662">
        <f t="shared" si="139"/>
        <v>9000000</v>
      </c>
      <c r="Y132" s="2663">
        <f>OCTUBRE!AA132</f>
        <v>2139400</v>
      </c>
      <c r="Z132" s="2598">
        <v>0</v>
      </c>
      <c r="AA132" s="2662">
        <f t="shared" si="140"/>
        <v>2139400</v>
      </c>
      <c r="AB132" s="2663">
        <f>OCTUBRE!AD132</f>
        <v>2139400</v>
      </c>
      <c r="AC132" s="2598">
        <v>0</v>
      </c>
      <c r="AD132" s="2662">
        <f t="shared" si="141"/>
        <v>2139400</v>
      </c>
      <c r="AE132" s="2663">
        <f>OCTUBRE!AG132</f>
        <v>640000</v>
      </c>
      <c r="AF132" s="2598">
        <v>0</v>
      </c>
      <c r="AG132" s="2662">
        <f t="shared" si="142"/>
        <v>640000</v>
      </c>
      <c r="AH132" s="2663">
        <f t="shared" si="143"/>
        <v>6860600</v>
      </c>
      <c r="AI132" s="2612">
        <f t="shared" si="144"/>
        <v>6860600</v>
      </c>
      <c r="AJ132" s="2664">
        <f t="shared" si="145"/>
        <v>8360000</v>
      </c>
      <c r="AK132" s="2489"/>
      <c r="AL132" s="2600">
        <v>-6000000</v>
      </c>
      <c r="AM132" s="2601">
        <v>0</v>
      </c>
      <c r="AN132" s="2489"/>
      <c r="AO132" s="2440"/>
      <c r="AP132" s="2440"/>
      <c r="AQ132" s="2440"/>
      <c r="AR132" s="2440"/>
      <c r="AS132" s="2440"/>
      <c r="AT132" s="2440"/>
      <c r="AU132" s="2440"/>
      <c r="AV132" s="2440"/>
      <c r="AW132" s="2440"/>
      <c r="AX132" s="2440"/>
      <c r="AY132" s="2440"/>
      <c r="AZ132" s="2440"/>
    </row>
    <row r="133" spans="1:52" s="2614" customFormat="1" ht="24.95" customHeight="1">
      <c r="A133" s="2848"/>
      <c r="B133" s="2849"/>
      <c r="N133" s="2489"/>
      <c r="R133" s="2489"/>
      <c r="S133" s="2659" t="str">
        <f>+IF(OCTUBRE!S133=0,"",OCTUBRE!S133)</f>
        <v>2010200-10</v>
      </c>
      <c r="T133" s="2660" t="str">
        <f>+IF(OCTUBRE!T133=0,"",OCTUBRE!T133)</f>
        <v>Pagos otras IPS</v>
      </c>
      <c r="U133" s="2661">
        <f>+ENERO!U133</f>
        <v>5000000</v>
      </c>
      <c r="V133" s="2612">
        <f>OCTUBRE!V133+NOVIEMBRE!AL133</f>
        <v>0</v>
      </c>
      <c r="W133" s="2612">
        <f>OCTUBRE!W133+NOVIEMBRE!AM133</f>
        <v>0</v>
      </c>
      <c r="X133" s="2662">
        <f t="shared" si="139"/>
        <v>5000000</v>
      </c>
      <c r="Y133" s="2663">
        <f>OCTUBRE!AA133</f>
        <v>0</v>
      </c>
      <c r="Z133" s="2598">
        <v>0</v>
      </c>
      <c r="AA133" s="2662">
        <f t="shared" si="140"/>
        <v>0</v>
      </c>
      <c r="AB133" s="2663">
        <f>OCTUBRE!AD133</f>
        <v>0</v>
      </c>
      <c r="AC133" s="2598">
        <v>0</v>
      </c>
      <c r="AD133" s="2662">
        <f t="shared" si="141"/>
        <v>0</v>
      </c>
      <c r="AE133" s="2663">
        <f>OCTUBRE!AG133</f>
        <v>0</v>
      </c>
      <c r="AF133" s="2598">
        <v>0</v>
      </c>
      <c r="AG133" s="2662">
        <f t="shared" si="142"/>
        <v>0</v>
      </c>
      <c r="AH133" s="2663">
        <f t="shared" si="143"/>
        <v>5000000</v>
      </c>
      <c r="AI133" s="2612">
        <f t="shared" si="144"/>
        <v>5000000</v>
      </c>
      <c r="AJ133" s="2664">
        <f t="shared" si="145"/>
        <v>5000000</v>
      </c>
      <c r="AK133" s="2489"/>
      <c r="AL133" s="2600">
        <v>0</v>
      </c>
      <c r="AM133" s="2601">
        <v>0</v>
      </c>
      <c r="AN133" s="2489"/>
      <c r="AO133" s="2440"/>
      <c r="AP133" s="2440"/>
      <c r="AQ133" s="2440"/>
      <c r="AR133" s="2440"/>
      <c r="AS133" s="2440"/>
      <c r="AT133" s="2440"/>
      <c r="AU133" s="2440"/>
      <c r="AV133" s="2440"/>
      <c r="AW133" s="2440"/>
      <c r="AX133" s="2440"/>
      <c r="AY133" s="2440"/>
      <c r="AZ133" s="2440"/>
    </row>
    <row r="134" spans="1:52" s="2614" customFormat="1" ht="24.95" customHeight="1">
      <c r="A134" s="2848"/>
      <c r="B134" s="2849"/>
      <c r="N134" s="2489"/>
      <c r="R134" s="2489"/>
      <c r="S134" s="2659" t="str">
        <f>+IF(OCTUBRE!S134=0,"",OCTUBRE!S134)</f>
        <v>2010200-11</v>
      </c>
      <c r="T134" s="2660" t="str">
        <f>+IF(OCTUBRE!T134=0,"",OCTUBRE!T134)</f>
        <v>Gastos financieros</v>
      </c>
      <c r="U134" s="2661">
        <f>+ENERO!U134</f>
        <v>10000000</v>
      </c>
      <c r="V134" s="2612">
        <f>OCTUBRE!V134+NOVIEMBRE!AL134</f>
        <v>14000000</v>
      </c>
      <c r="W134" s="2612">
        <f>OCTUBRE!W134+NOVIEMBRE!AM134</f>
        <v>22000000</v>
      </c>
      <c r="X134" s="2662">
        <f t="shared" si="139"/>
        <v>46000000</v>
      </c>
      <c r="Y134" s="2663">
        <f>OCTUBRE!AA134</f>
        <v>25586633</v>
      </c>
      <c r="Z134" s="2598">
        <v>2141765</v>
      </c>
      <c r="AA134" s="2662">
        <f t="shared" si="140"/>
        <v>27728398</v>
      </c>
      <c r="AB134" s="2663">
        <f>OCTUBRE!AD134</f>
        <v>25586633</v>
      </c>
      <c r="AC134" s="2598">
        <v>2141765</v>
      </c>
      <c r="AD134" s="2662">
        <f t="shared" si="141"/>
        <v>27728398</v>
      </c>
      <c r="AE134" s="2663">
        <f>OCTUBRE!AG134</f>
        <v>24779414</v>
      </c>
      <c r="AF134" s="2598">
        <v>2948984</v>
      </c>
      <c r="AG134" s="2662">
        <f t="shared" si="142"/>
        <v>27728398</v>
      </c>
      <c r="AH134" s="2663">
        <f t="shared" si="143"/>
        <v>18271602</v>
      </c>
      <c r="AI134" s="2612">
        <f t="shared" si="144"/>
        <v>18271602</v>
      </c>
      <c r="AJ134" s="2664">
        <f t="shared" si="145"/>
        <v>18271602</v>
      </c>
      <c r="AK134" s="2489"/>
      <c r="AL134" s="2600">
        <v>0</v>
      </c>
      <c r="AM134" s="2601">
        <v>0</v>
      </c>
      <c r="AN134" s="2489"/>
      <c r="AO134" s="2440"/>
      <c r="AP134" s="2440"/>
      <c r="AQ134" s="2440"/>
      <c r="AR134" s="2440"/>
      <c r="AS134" s="2440"/>
      <c r="AT134" s="2440"/>
      <c r="AU134" s="2440"/>
      <c r="AV134" s="2440"/>
      <c r="AW134" s="2440"/>
      <c r="AX134" s="2440"/>
      <c r="AY134" s="2440"/>
      <c r="AZ134" s="2440"/>
    </row>
    <row r="135" spans="1:52" s="2614" customFormat="1" ht="24.95" customHeight="1">
      <c r="A135" s="2848"/>
      <c r="B135" s="2849"/>
      <c r="N135" s="2489"/>
      <c r="R135" s="2489"/>
      <c r="S135" s="2659" t="str">
        <f>+IF(OCTUBRE!S135=0,"",OCTUBRE!S135)</f>
        <v>2010200-12</v>
      </c>
      <c r="T135" s="2660" t="str">
        <f>+IF(OCTUBRE!T135=0,"",OCTUBRE!T135)</f>
        <v/>
      </c>
      <c r="U135" s="2661">
        <f>+ENERO!U135</f>
        <v>0</v>
      </c>
      <c r="V135" s="2612">
        <f>OCTUBRE!V135+NOVIEMBRE!AL135</f>
        <v>0</v>
      </c>
      <c r="W135" s="2612">
        <f>OCTUBRE!W135+NOVIEMBRE!AM135</f>
        <v>0</v>
      </c>
      <c r="X135" s="2662">
        <f t="shared" si="139"/>
        <v>0</v>
      </c>
      <c r="Y135" s="2663">
        <f>OCTUBRE!AA135</f>
        <v>0</v>
      </c>
      <c r="Z135" s="2598">
        <v>0</v>
      </c>
      <c r="AA135" s="2662">
        <f t="shared" si="140"/>
        <v>0</v>
      </c>
      <c r="AB135" s="2663">
        <f>OCTUBRE!AD135</f>
        <v>0</v>
      </c>
      <c r="AC135" s="2598">
        <v>0</v>
      </c>
      <c r="AD135" s="2662">
        <f t="shared" si="141"/>
        <v>0</v>
      </c>
      <c r="AE135" s="2663">
        <f>OCTUBRE!AG135</f>
        <v>0</v>
      </c>
      <c r="AF135" s="2598">
        <v>0</v>
      </c>
      <c r="AG135" s="2662">
        <f t="shared" si="142"/>
        <v>0</v>
      </c>
      <c r="AH135" s="2663">
        <f t="shared" si="143"/>
        <v>0</v>
      </c>
      <c r="AI135" s="2612">
        <f t="shared" si="144"/>
        <v>0</v>
      </c>
      <c r="AJ135" s="2664">
        <f t="shared" si="145"/>
        <v>0</v>
      </c>
      <c r="AK135" s="2489"/>
      <c r="AL135" s="2600">
        <v>0</v>
      </c>
      <c r="AM135" s="2601">
        <v>0</v>
      </c>
      <c r="AN135" s="2489"/>
      <c r="AO135" s="2440"/>
      <c r="AP135" s="2440"/>
      <c r="AQ135" s="2440"/>
      <c r="AR135" s="2440"/>
      <c r="AS135" s="2440"/>
      <c r="AT135" s="2440"/>
      <c r="AU135" s="2440"/>
      <c r="AV135" s="2440"/>
      <c r="AW135" s="2440"/>
      <c r="AX135" s="2440"/>
      <c r="AY135" s="2440"/>
      <c r="AZ135" s="2440"/>
    </row>
    <row r="136" spans="1:52" s="2614" customFormat="1" ht="24.95" customHeight="1">
      <c r="A136" s="2848"/>
      <c r="B136" s="2849"/>
      <c r="N136" s="2489"/>
      <c r="R136" s="2489"/>
      <c r="S136" s="2659" t="str">
        <f>+IF(OCTUBRE!S136=0,"",OCTUBRE!S136)</f>
        <v>2010200-13</v>
      </c>
      <c r="T136" s="2660" t="str">
        <f>+IF(OCTUBRE!T136=0,"",OCTUBRE!T136)</f>
        <v/>
      </c>
      <c r="U136" s="2661">
        <f>+ENERO!U136</f>
        <v>0</v>
      </c>
      <c r="V136" s="2612">
        <f>OCTUBRE!V136+NOVIEMBRE!AL136</f>
        <v>0</v>
      </c>
      <c r="W136" s="2612">
        <f>OCTUBRE!W136+NOVIEMBRE!AM136</f>
        <v>0</v>
      </c>
      <c r="X136" s="2662">
        <f t="shared" si="139"/>
        <v>0</v>
      </c>
      <c r="Y136" s="2663">
        <f>OCTUBRE!AA136</f>
        <v>0</v>
      </c>
      <c r="Z136" s="2598">
        <v>0</v>
      </c>
      <c r="AA136" s="2662">
        <f t="shared" si="140"/>
        <v>0</v>
      </c>
      <c r="AB136" s="2663">
        <f>OCTUBRE!AD136</f>
        <v>0</v>
      </c>
      <c r="AC136" s="2598">
        <v>0</v>
      </c>
      <c r="AD136" s="2662">
        <f t="shared" si="141"/>
        <v>0</v>
      </c>
      <c r="AE136" s="2663">
        <f>OCTUBRE!AG136</f>
        <v>0</v>
      </c>
      <c r="AF136" s="2598">
        <v>0</v>
      </c>
      <c r="AG136" s="2662">
        <f t="shared" si="142"/>
        <v>0</v>
      </c>
      <c r="AH136" s="2663">
        <f t="shared" si="143"/>
        <v>0</v>
      </c>
      <c r="AI136" s="2612">
        <f t="shared" si="144"/>
        <v>0</v>
      </c>
      <c r="AJ136" s="2664">
        <f t="shared" si="145"/>
        <v>0</v>
      </c>
      <c r="AK136" s="2489"/>
      <c r="AL136" s="2600">
        <v>0</v>
      </c>
      <c r="AM136" s="2601">
        <v>0</v>
      </c>
      <c r="AN136" s="2489"/>
      <c r="AO136" s="2440"/>
      <c r="AP136" s="2440"/>
      <c r="AQ136" s="2440"/>
      <c r="AR136" s="2440"/>
      <c r="AS136" s="2440"/>
      <c r="AT136" s="2440"/>
      <c r="AU136" s="2440"/>
      <c r="AV136" s="2440"/>
      <c r="AW136" s="2440"/>
      <c r="AX136" s="2440"/>
      <c r="AY136" s="2440"/>
      <c r="AZ136" s="2440"/>
    </row>
    <row r="137" spans="1:52" s="2614" customFormat="1" ht="24.95" customHeight="1">
      <c r="A137" s="2848"/>
      <c r="B137" s="2849"/>
      <c r="N137" s="2489"/>
      <c r="R137" s="2489"/>
      <c r="S137" s="2659" t="str">
        <f>+IF(OCTUBRE!S137=0,"",OCTUBRE!S137)</f>
        <v>2010020-14</v>
      </c>
      <c r="T137" s="2660" t="str">
        <f>+IF(OCTUBRE!T137=0,"",OCTUBRE!T137)</f>
        <v/>
      </c>
      <c r="U137" s="2661">
        <f>+ENERO!U137</f>
        <v>0</v>
      </c>
      <c r="V137" s="2612">
        <f>OCTUBRE!V137+NOVIEMBRE!AL137</f>
        <v>0</v>
      </c>
      <c r="W137" s="2612">
        <f>OCTUBRE!W137+NOVIEMBRE!AM137</f>
        <v>0</v>
      </c>
      <c r="X137" s="2662">
        <f t="shared" si="139"/>
        <v>0</v>
      </c>
      <c r="Y137" s="2663">
        <f>OCTUBRE!AA137</f>
        <v>0</v>
      </c>
      <c r="Z137" s="2598">
        <v>0</v>
      </c>
      <c r="AA137" s="2662">
        <f t="shared" si="140"/>
        <v>0</v>
      </c>
      <c r="AB137" s="2663">
        <f>OCTUBRE!AD137</f>
        <v>0</v>
      </c>
      <c r="AC137" s="2598">
        <v>0</v>
      </c>
      <c r="AD137" s="2662">
        <f t="shared" si="141"/>
        <v>0</v>
      </c>
      <c r="AE137" s="2663">
        <f>OCTUBRE!AG137</f>
        <v>0</v>
      </c>
      <c r="AF137" s="2598">
        <v>0</v>
      </c>
      <c r="AG137" s="2662">
        <f t="shared" si="142"/>
        <v>0</v>
      </c>
      <c r="AH137" s="2663">
        <f t="shared" si="143"/>
        <v>0</v>
      </c>
      <c r="AI137" s="2612">
        <f t="shared" si="144"/>
        <v>0</v>
      </c>
      <c r="AJ137" s="2664">
        <f t="shared" si="145"/>
        <v>0</v>
      </c>
      <c r="AK137" s="2489"/>
      <c r="AL137" s="2600">
        <v>0</v>
      </c>
      <c r="AM137" s="2601">
        <v>0</v>
      </c>
      <c r="AN137" s="2489"/>
      <c r="AO137" s="2440"/>
      <c r="AP137" s="2440"/>
      <c r="AQ137" s="2440"/>
      <c r="AR137" s="2440"/>
      <c r="AS137" s="2440"/>
      <c r="AT137" s="2440"/>
      <c r="AU137" s="2440"/>
      <c r="AV137" s="2440"/>
      <c r="AW137" s="2440"/>
      <c r="AX137" s="2440"/>
      <c r="AY137" s="2440"/>
      <c r="AZ137" s="2440"/>
    </row>
    <row r="138" spans="1:52" s="2614" customFormat="1" ht="24.95" customHeight="1">
      <c r="A138" s="2848"/>
      <c r="B138" s="2849"/>
      <c r="N138" s="2489"/>
      <c r="R138" s="2489"/>
      <c r="S138" s="2659" t="str">
        <f>+IF(OCTUBRE!S138=0,"",OCTUBRE!S138)</f>
        <v>2010200-15</v>
      </c>
      <c r="T138" s="2660" t="str">
        <f>+IF(OCTUBRE!T138=0,"",OCTUBRE!T138)</f>
        <v/>
      </c>
      <c r="U138" s="2661">
        <f>+ENERO!U138</f>
        <v>0</v>
      </c>
      <c r="V138" s="2612">
        <f>OCTUBRE!V138+NOVIEMBRE!AL138</f>
        <v>0</v>
      </c>
      <c r="W138" s="2612">
        <f>OCTUBRE!W138+NOVIEMBRE!AM138</f>
        <v>0</v>
      </c>
      <c r="X138" s="2662">
        <f t="shared" si="139"/>
        <v>0</v>
      </c>
      <c r="Y138" s="2663">
        <f>OCTUBRE!AA138</f>
        <v>0</v>
      </c>
      <c r="Z138" s="2598">
        <v>0</v>
      </c>
      <c r="AA138" s="2662">
        <f t="shared" si="140"/>
        <v>0</v>
      </c>
      <c r="AB138" s="2663">
        <f>OCTUBRE!AD138</f>
        <v>0</v>
      </c>
      <c r="AC138" s="2598">
        <v>0</v>
      </c>
      <c r="AD138" s="2662">
        <f t="shared" si="141"/>
        <v>0</v>
      </c>
      <c r="AE138" s="2663">
        <f>OCTUBRE!AG138</f>
        <v>0</v>
      </c>
      <c r="AF138" s="2598">
        <v>0</v>
      </c>
      <c r="AG138" s="2662">
        <f t="shared" si="142"/>
        <v>0</v>
      </c>
      <c r="AH138" s="2663">
        <f t="shared" si="143"/>
        <v>0</v>
      </c>
      <c r="AI138" s="2612">
        <f t="shared" si="144"/>
        <v>0</v>
      </c>
      <c r="AJ138" s="2664">
        <f t="shared" si="145"/>
        <v>0</v>
      </c>
      <c r="AK138" s="2489"/>
      <c r="AL138" s="2600">
        <v>0</v>
      </c>
      <c r="AM138" s="2601">
        <v>0</v>
      </c>
      <c r="AN138" s="2489"/>
      <c r="AO138" s="2440"/>
      <c r="AP138" s="2440"/>
      <c r="AQ138" s="2440"/>
      <c r="AR138" s="2440"/>
      <c r="AS138" s="2440"/>
      <c r="AT138" s="2440"/>
      <c r="AU138" s="2440"/>
      <c r="AV138" s="2440"/>
      <c r="AW138" s="2440"/>
      <c r="AX138" s="2440"/>
      <c r="AY138" s="2440"/>
      <c r="AZ138" s="2440"/>
    </row>
    <row r="139" spans="1:52" s="2614" customFormat="1" ht="24.95" customHeight="1">
      <c r="A139" s="2848"/>
      <c r="B139" s="2849"/>
      <c r="N139" s="2489"/>
      <c r="R139" s="2489"/>
      <c r="S139" s="2659">
        <f>+IF(OCTUBRE!S139=0,"",OCTUBRE!S139)</f>
        <v>2010299</v>
      </c>
      <c r="T139" s="2660" t="str">
        <f>+IF(OCTUBRE!T139=0,"",OCTUBRE!T139)</f>
        <v>Vigencias Anteriores</v>
      </c>
      <c r="U139" s="2661">
        <f>+ENERO!U139</f>
        <v>0</v>
      </c>
      <c r="V139" s="2612">
        <f>OCTUBRE!V139+NOVIEMBRE!AL139</f>
        <v>-652999830</v>
      </c>
      <c r="W139" s="2612">
        <f>OCTUBRE!W139+NOVIEMBRE!AM139</f>
        <v>1175590398</v>
      </c>
      <c r="X139" s="2662">
        <f t="shared" si="139"/>
        <v>522590568</v>
      </c>
      <c r="Y139" s="2663">
        <f>OCTUBRE!AA139</f>
        <v>466273502</v>
      </c>
      <c r="Z139" s="2598">
        <v>0</v>
      </c>
      <c r="AA139" s="2662">
        <f t="shared" si="140"/>
        <v>466273502</v>
      </c>
      <c r="AB139" s="2663">
        <f>OCTUBRE!AD139</f>
        <v>466273502</v>
      </c>
      <c r="AC139" s="2598">
        <v>0</v>
      </c>
      <c r="AD139" s="2662">
        <f t="shared" si="141"/>
        <v>466273502</v>
      </c>
      <c r="AE139" s="2663">
        <f>OCTUBRE!AG139</f>
        <v>466273502</v>
      </c>
      <c r="AF139" s="2598">
        <v>0</v>
      </c>
      <c r="AG139" s="2662">
        <f t="shared" si="142"/>
        <v>466273502</v>
      </c>
      <c r="AH139" s="2663">
        <f t="shared" si="143"/>
        <v>56317066</v>
      </c>
      <c r="AI139" s="2612">
        <f t="shared" si="144"/>
        <v>56317066</v>
      </c>
      <c r="AJ139" s="2664">
        <f t="shared" si="145"/>
        <v>56317066</v>
      </c>
      <c r="AK139" s="2489"/>
      <c r="AL139" s="2600">
        <v>0</v>
      </c>
      <c r="AM139" s="2601">
        <v>55590398</v>
      </c>
      <c r="AN139" s="2489"/>
      <c r="AO139" s="2440"/>
      <c r="AP139" s="2440"/>
      <c r="AQ139" s="2440"/>
    </row>
    <row r="140" spans="1:52" s="2614" customFormat="1" ht="24.95" customHeight="1">
      <c r="A140" s="2848"/>
      <c r="B140" s="2849"/>
      <c r="N140" s="2489"/>
      <c r="R140" s="2489"/>
      <c r="S140" s="2579" t="str">
        <f>+IF(OCTUBRE!S140=0,"",OCTUBRE!S140)</f>
        <v/>
      </c>
      <c r="T140" s="2580" t="str">
        <f>+IF(OCTUBRE!T140=0,"",OCTUBRE!T140)</f>
        <v/>
      </c>
      <c r="U140" s="2581"/>
      <c r="V140" s="2581"/>
      <c r="W140" s="2581"/>
      <c r="X140" s="2581"/>
      <c r="Y140" s="2581"/>
      <c r="Z140" s="2581"/>
      <c r="AA140" s="2581"/>
      <c r="AB140" s="2581"/>
      <c r="AC140" s="2581"/>
      <c r="AD140" s="2581"/>
      <c r="AE140" s="2581"/>
      <c r="AF140" s="2581"/>
      <c r="AG140" s="2581"/>
      <c r="AH140" s="2581"/>
      <c r="AI140" s="2581"/>
      <c r="AJ140" s="2582"/>
      <c r="AK140" s="2607"/>
      <c r="AL140" s="2769"/>
      <c r="AM140" s="2770"/>
      <c r="AN140" s="2489"/>
    </row>
    <row r="141" spans="1:52" s="2614" customFormat="1" ht="24.95" customHeight="1">
      <c r="A141" s="2848"/>
      <c r="B141" s="2849"/>
      <c r="N141" s="2489"/>
      <c r="R141" s="2489"/>
      <c r="S141" s="2651">
        <f>+IF(OCTUBRE!S141=0,"",OCTUBRE!S141)</f>
        <v>2010300</v>
      </c>
      <c r="T141" s="2652" t="str">
        <f>+IF(OCTUBRE!T141=0,"",OCTUBRE!T141)</f>
        <v>Impuestos y Multas</v>
      </c>
      <c r="U141" s="2624">
        <f t="shared" ref="U141:AJ141" si="148">U142+U143</f>
        <v>0</v>
      </c>
      <c r="V141" s="2625">
        <f t="shared" si="148"/>
        <v>2892178</v>
      </c>
      <c r="W141" s="2625">
        <f t="shared" si="148"/>
        <v>0</v>
      </c>
      <c r="X141" s="2626">
        <f t="shared" si="148"/>
        <v>2892178</v>
      </c>
      <c r="Y141" s="2627">
        <f t="shared" si="148"/>
        <v>2892178</v>
      </c>
      <c r="Z141" s="2625">
        <f t="shared" si="148"/>
        <v>0</v>
      </c>
      <c r="AA141" s="2626">
        <f t="shared" si="148"/>
        <v>2892178</v>
      </c>
      <c r="AB141" s="2627">
        <f t="shared" si="148"/>
        <v>2892178</v>
      </c>
      <c r="AC141" s="2625">
        <f t="shared" si="148"/>
        <v>0</v>
      </c>
      <c r="AD141" s="2626">
        <f t="shared" si="148"/>
        <v>2892178</v>
      </c>
      <c r="AE141" s="2627">
        <f t="shared" si="148"/>
        <v>2892178</v>
      </c>
      <c r="AF141" s="2625">
        <f t="shared" si="148"/>
        <v>0</v>
      </c>
      <c r="AG141" s="2626">
        <f t="shared" si="148"/>
        <v>2892178</v>
      </c>
      <c r="AH141" s="2627">
        <f t="shared" si="148"/>
        <v>0</v>
      </c>
      <c r="AI141" s="2625">
        <f t="shared" si="148"/>
        <v>0</v>
      </c>
      <c r="AJ141" s="2628">
        <f t="shared" si="148"/>
        <v>0</v>
      </c>
      <c r="AK141" s="2607"/>
      <c r="AL141" s="2627">
        <f>AL142+AL143</f>
        <v>0</v>
      </c>
      <c r="AM141" s="2628">
        <f>AM142+AM143</f>
        <v>0</v>
      </c>
      <c r="AN141" s="2489"/>
    </row>
    <row r="142" spans="1:52" s="2614" customFormat="1" ht="24.95" customHeight="1">
      <c r="A142" s="2848"/>
      <c r="B142" s="2849"/>
      <c r="N142" s="2489"/>
      <c r="R142" s="2489"/>
      <c r="S142" s="2659" t="str">
        <f>+IF(OCTUBRE!S142=0,"",OCTUBRE!S142)</f>
        <v>2010300-1</v>
      </c>
      <c r="T142" s="2660" t="str">
        <f>+IF(OCTUBRE!T142=0,"",OCTUBRE!T142)</f>
        <v>Impuestos (Predial, Vehiculos, Otros)</v>
      </c>
      <c r="U142" s="2661">
        <f>+ENERO!U142</f>
        <v>0</v>
      </c>
      <c r="V142" s="2612">
        <f>OCTUBRE!V142+NOVIEMBRE!AL142</f>
        <v>2892178</v>
      </c>
      <c r="W142" s="2612">
        <f>OCTUBRE!W142+NOVIEMBRE!AM142</f>
        <v>0</v>
      </c>
      <c r="X142" s="2662">
        <f>SUM(U142:W142)</f>
        <v>2892178</v>
      </c>
      <c r="Y142" s="2663">
        <f>OCTUBRE!AA142</f>
        <v>2892178</v>
      </c>
      <c r="Z142" s="2598">
        <v>0</v>
      </c>
      <c r="AA142" s="2662">
        <f>SUM(Y142:Z142)</f>
        <v>2892178</v>
      </c>
      <c r="AB142" s="2663">
        <f>OCTUBRE!AD142</f>
        <v>2892178</v>
      </c>
      <c r="AC142" s="2598">
        <v>0</v>
      </c>
      <c r="AD142" s="2662">
        <f>SUM(AB142:AC142)</f>
        <v>2892178</v>
      </c>
      <c r="AE142" s="2663">
        <f>OCTUBRE!AG142</f>
        <v>2892178</v>
      </c>
      <c r="AF142" s="2598">
        <v>0</v>
      </c>
      <c r="AG142" s="2662">
        <f>SUM(AE142:AF142)</f>
        <v>2892178</v>
      </c>
      <c r="AH142" s="2663">
        <f>X142-AA142</f>
        <v>0</v>
      </c>
      <c r="AI142" s="2612">
        <f>X142-AD142</f>
        <v>0</v>
      </c>
      <c r="AJ142" s="2664">
        <f>X142-AG142</f>
        <v>0</v>
      </c>
      <c r="AK142" s="2489"/>
      <c r="AL142" s="2600">
        <v>0</v>
      </c>
      <c r="AM142" s="2601">
        <v>0</v>
      </c>
      <c r="AN142" s="2489"/>
    </row>
    <row r="143" spans="1:52" s="2614" customFormat="1" ht="24.95" customHeight="1">
      <c r="A143" s="2848"/>
      <c r="B143" s="2849"/>
      <c r="N143" s="2489"/>
      <c r="R143" s="2489"/>
      <c r="S143" s="2659">
        <f>+IF(OCTUBRE!S143=0,"",OCTUBRE!S143)</f>
        <v>2010399</v>
      </c>
      <c r="T143" s="2660" t="str">
        <f>+IF(OCTUBRE!T143=0,"",OCTUBRE!T143)</f>
        <v>Vigencias Anteriores</v>
      </c>
      <c r="U143" s="2661">
        <f>+ENERO!U143</f>
        <v>0</v>
      </c>
      <c r="V143" s="2612">
        <f>OCTUBRE!V143+NOVIEMBRE!AL143</f>
        <v>0</v>
      </c>
      <c r="W143" s="2612">
        <f>OCTUBRE!W143+NOVIEMBRE!AM143</f>
        <v>0</v>
      </c>
      <c r="X143" s="2662">
        <f>SUM(U143:W143)</f>
        <v>0</v>
      </c>
      <c r="Y143" s="2663">
        <f>OCTUBRE!AA143</f>
        <v>0</v>
      </c>
      <c r="Z143" s="2598">
        <v>0</v>
      </c>
      <c r="AA143" s="2662">
        <f>SUM(Y143:Z143)</f>
        <v>0</v>
      </c>
      <c r="AB143" s="2663">
        <f>OCTUBRE!AD143</f>
        <v>0</v>
      </c>
      <c r="AC143" s="2598">
        <v>0</v>
      </c>
      <c r="AD143" s="2662">
        <f>SUM(AB143:AC143)</f>
        <v>0</v>
      </c>
      <c r="AE143" s="2663">
        <f>OCTUBRE!AG143</f>
        <v>0</v>
      </c>
      <c r="AF143" s="2598">
        <v>0</v>
      </c>
      <c r="AG143" s="2662">
        <f>SUM(AE143:AF143)</f>
        <v>0</v>
      </c>
      <c r="AH143" s="2663">
        <f>X143-AA143</f>
        <v>0</v>
      </c>
      <c r="AI143" s="2612">
        <f>X143-AD143</f>
        <v>0</v>
      </c>
      <c r="AJ143" s="2664">
        <f>X143-AG143</f>
        <v>0</v>
      </c>
      <c r="AK143" s="2489"/>
      <c r="AL143" s="2600">
        <v>0</v>
      </c>
      <c r="AM143" s="2601">
        <v>0</v>
      </c>
      <c r="AN143" s="2489"/>
    </row>
    <row r="144" spans="1:52" s="2614" customFormat="1" ht="24.95" customHeight="1">
      <c r="A144" s="2848"/>
      <c r="B144" s="2849"/>
      <c r="N144" s="2489"/>
      <c r="R144" s="2489"/>
      <c r="S144" s="2579" t="str">
        <f>+IF(OCTUBRE!S144=0,"",OCTUBRE!S144)</f>
        <v/>
      </c>
      <c r="T144" s="2580" t="str">
        <f>+IF(OCTUBRE!T144=0,"",OCTUBRE!T144)</f>
        <v/>
      </c>
      <c r="U144" s="2581"/>
      <c r="V144" s="2581"/>
      <c r="W144" s="2581"/>
      <c r="X144" s="2581"/>
      <c r="Y144" s="2581"/>
      <c r="Z144" s="2581"/>
      <c r="AA144" s="2581"/>
      <c r="AB144" s="2581"/>
      <c r="AC144" s="2581"/>
      <c r="AD144" s="2581"/>
      <c r="AE144" s="2581"/>
      <c r="AF144" s="2581"/>
      <c r="AG144" s="2581"/>
      <c r="AH144" s="2581"/>
      <c r="AI144" s="2581"/>
      <c r="AJ144" s="2582"/>
      <c r="AK144" s="2489"/>
      <c r="AL144" s="2769"/>
      <c r="AM144" s="2770"/>
      <c r="AN144" s="2489"/>
    </row>
    <row r="145" spans="1:40" s="2614" customFormat="1" ht="24.95" customHeight="1">
      <c r="A145" s="2848"/>
      <c r="B145" s="2849"/>
      <c r="N145" s="2489"/>
      <c r="R145" s="2489"/>
      <c r="S145" s="2622">
        <f>+IF(OCTUBRE!S145=0,"",OCTUBRE!S145)</f>
        <v>2020010</v>
      </c>
      <c r="T145" s="2623" t="str">
        <f>+IF(OCTUBRE!T145=0,"",OCTUBRE!T145)</f>
        <v>Gastos de Operación</v>
      </c>
      <c r="U145" s="2624">
        <f t="shared" ref="U145:AJ145" si="149">U147+U155</f>
        <v>2659132662</v>
      </c>
      <c r="V145" s="2625">
        <f t="shared" si="149"/>
        <v>-985224786</v>
      </c>
      <c r="W145" s="2625">
        <f t="shared" si="149"/>
        <v>1850000000</v>
      </c>
      <c r="X145" s="2626">
        <f t="shared" si="149"/>
        <v>3523907876</v>
      </c>
      <c r="Y145" s="2627">
        <f t="shared" si="149"/>
        <v>2356727152</v>
      </c>
      <c r="Z145" s="2625">
        <f t="shared" si="149"/>
        <v>86463040</v>
      </c>
      <c r="AA145" s="2626">
        <f t="shared" si="149"/>
        <v>2443190192</v>
      </c>
      <c r="AB145" s="2627">
        <f t="shared" si="149"/>
        <v>1930583338</v>
      </c>
      <c r="AC145" s="2625">
        <f t="shared" si="149"/>
        <v>132477695</v>
      </c>
      <c r="AD145" s="2626">
        <f t="shared" si="149"/>
        <v>2063061033</v>
      </c>
      <c r="AE145" s="2627">
        <f t="shared" si="149"/>
        <v>973775775</v>
      </c>
      <c r="AF145" s="2625">
        <f t="shared" si="149"/>
        <v>109840110</v>
      </c>
      <c r="AG145" s="2626">
        <f t="shared" si="149"/>
        <v>1083615885</v>
      </c>
      <c r="AH145" s="2627">
        <f t="shared" si="149"/>
        <v>1080717684</v>
      </c>
      <c r="AI145" s="2625">
        <f t="shared" si="149"/>
        <v>1460846843</v>
      </c>
      <c r="AJ145" s="2628">
        <f t="shared" si="149"/>
        <v>2440291991</v>
      </c>
      <c r="AK145" s="2607"/>
      <c r="AL145" s="2627">
        <f>AL147+AL155</f>
        <v>80000000</v>
      </c>
      <c r="AM145" s="2628">
        <f>AM147+AM155</f>
        <v>200000000</v>
      </c>
      <c r="AN145" s="2489"/>
    </row>
    <row r="146" spans="1:40" s="2614" customFormat="1" ht="24.95" customHeight="1">
      <c r="A146" s="2848"/>
      <c r="B146" s="2849"/>
      <c r="N146" s="2489"/>
      <c r="R146" s="2489"/>
      <c r="S146" s="2705" t="str">
        <f>+IF(OCTUBRE!S146=0,"",OCTUBRE!S146)</f>
        <v/>
      </c>
      <c r="T146" s="2706" t="str">
        <f>+IF(OCTUBRE!T146=0,"",OCTUBRE!T146)</f>
        <v/>
      </c>
      <c r="U146" s="2850"/>
      <c r="V146" s="2612"/>
      <c r="W146" s="2612"/>
      <c r="X146" s="2662"/>
      <c r="Y146" s="2663"/>
      <c r="Z146" s="2612"/>
      <c r="AA146" s="2662"/>
      <c r="AB146" s="2663"/>
      <c r="AC146" s="2612"/>
      <c r="AD146" s="2662"/>
      <c r="AE146" s="2663"/>
      <c r="AF146" s="2612"/>
      <c r="AG146" s="2662"/>
      <c r="AH146" s="2663"/>
      <c r="AI146" s="2612"/>
      <c r="AJ146" s="2664"/>
      <c r="AK146" s="2489"/>
      <c r="AL146" s="2769"/>
      <c r="AM146" s="2770"/>
      <c r="AN146" s="2489"/>
    </row>
    <row r="147" spans="1:40" s="2614" customFormat="1" ht="24.95" customHeight="1">
      <c r="A147" s="2848"/>
      <c r="B147" s="2849"/>
      <c r="N147" s="2489"/>
      <c r="R147" s="2489"/>
      <c r="S147" s="2651">
        <f>+IF(OCTUBRE!S147=0,"",OCTUBRE!S147)</f>
        <v>2020100</v>
      </c>
      <c r="T147" s="2652" t="str">
        <f>+IF(OCTUBRE!T147=0,"",OCTUBRE!T147)</f>
        <v>Adquisición de bienes</v>
      </c>
      <c r="U147" s="2624">
        <f t="shared" ref="U147:AJ147" si="150">SUM(U148:U149)+U153</f>
        <v>1878602056</v>
      </c>
      <c r="V147" s="2625">
        <f t="shared" si="150"/>
        <v>-370379469</v>
      </c>
      <c r="W147" s="2625">
        <f t="shared" si="150"/>
        <v>650000000</v>
      </c>
      <c r="X147" s="2626">
        <f t="shared" si="150"/>
        <v>2158222587</v>
      </c>
      <c r="Y147" s="2627">
        <f t="shared" si="150"/>
        <v>1234657781</v>
      </c>
      <c r="Z147" s="2625">
        <f t="shared" si="150"/>
        <v>68950849</v>
      </c>
      <c r="AA147" s="2626">
        <f t="shared" si="150"/>
        <v>1303608630</v>
      </c>
      <c r="AB147" s="2627">
        <f t="shared" si="150"/>
        <v>1095825078</v>
      </c>
      <c r="AC147" s="2625">
        <f t="shared" si="150"/>
        <v>66204350</v>
      </c>
      <c r="AD147" s="2626">
        <f t="shared" si="150"/>
        <v>1162029428</v>
      </c>
      <c r="AE147" s="2627">
        <f t="shared" si="150"/>
        <v>658158630</v>
      </c>
      <c r="AF147" s="2625">
        <f t="shared" si="150"/>
        <v>72540642</v>
      </c>
      <c r="AG147" s="2626">
        <f t="shared" si="150"/>
        <v>730699272</v>
      </c>
      <c r="AH147" s="2627">
        <f t="shared" si="150"/>
        <v>854613957</v>
      </c>
      <c r="AI147" s="2625">
        <f t="shared" si="150"/>
        <v>996193159</v>
      </c>
      <c r="AJ147" s="2628">
        <f t="shared" si="150"/>
        <v>1427523315</v>
      </c>
      <c r="AK147" s="2489"/>
      <c r="AL147" s="2627">
        <f>SUM(AL148:AL149)+AL153</f>
        <v>80000000</v>
      </c>
      <c r="AM147" s="2628">
        <f>SUM(AM148:AM149)+AM153</f>
        <v>100000000</v>
      </c>
      <c r="AN147" s="2489"/>
    </row>
    <row r="148" spans="1:40" s="2614" customFormat="1" ht="24.95" customHeight="1">
      <c r="A148" s="2848"/>
      <c r="B148" s="2849"/>
      <c r="N148" s="2489"/>
      <c r="R148" s="2489"/>
      <c r="S148" s="2659">
        <f>+IF(OCTUBRE!S148=0,"",OCTUBRE!S148)</f>
        <v>2020101</v>
      </c>
      <c r="T148" s="2660" t="str">
        <f>+IF(OCTUBRE!T148=0,"",OCTUBRE!T148)</f>
        <v>Mantenimiento Hospitalario</v>
      </c>
      <c r="U148" s="2661">
        <f>+ENERO!U148</f>
        <v>780530606</v>
      </c>
      <c r="V148" s="2612">
        <f>OCTUBRE!V148+NOVIEMBRE!AL148</f>
        <v>148700666</v>
      </c>
      <c r="W148" s="2612">
        <f>OCTUBRE!W148+NOVIEMBRE!AM148</f>
        <v>0</v>
      </c>
      <c r="X148" s="2662">
        <f>SUM(U148:W148)</f>
        <v>929231272</v>
      </c>
      <c r="Y148" s="2663">
        <f>OCTUBRE!AA148</f>
        <v>258812790</v>
      </c>
      <c r="Z148" s="2598">
        <v>1236902</v>
      </c>
      <c r="AA148" s="2662">
        <f>SUM(Y148:Z148)</f>
        <v>260049692</v>
      </c>
      <c r="AB148" s="2663">
        <f>OCTUBRE!AD148</f>
        <v>160578780</v>
      </c>
      <c r="AC148" s="2598">
        <v>9923072</v>
      </c>
      <c r="AD148" s="2662">
        <f>SUM(AB148:AC148)</f>
        <v>170501852</v>
      </c>
      <c r="AE148" s="2663">
        <f>OCTUBRE!AG148</f>
        <v>107065160</v>
      </c>
      <c r="AF148" s="2598">
        <v>7899294</v>
      </c>
      <c r="AG148" s="2662">
        <f>SUM(AE148:AF148)</f>
        <v>114964454</v>
      </c>
      <c r="AH148" s="2663">
        <f>X148-AA148</f>
        <v>669181580</v>
      </c>
      <c r="AI148" s="2612">
        <f>X148-AD148</f>
        <v>758729420</v>
      </c>
      <c r="AJ148" s="2664">
        <f>X148-AG148</f>
        <v>814266818</v>
      </c>
      <c r="AK148" s="2489"/>
      <c r="AL148" s="2600">
        <v>0</v>
      </c>
      <c r="AM148" s="2601">
        <v>0</v>
      </c>
      <c r="AN148" s="2489"/>
    </row>
    <row r="149" spans="1:40" s="2614" customFormat="1" ht="24.95" customHeight="1">
      <c r="A149" s="2848"/>
      <c r="B149" s="2849"/>
      <c r="N149" s="2489"/>
      <c r="R149" s="2489"/>
      <c r="S149" s="2659">
        <f>+IF(OCTUBRE!S149=0,"",OCTUBRE!S149)</f>
        <v>2020102</v>
      </c>
      <c r="T149" s="2660" t="str">
        <f>+IF(OCTUBRE!T149=0,"",OCTUBRE!T149)</f>
        <v>Otros</v>
      </c>
      <c r="U149" s="2661">
        <f t="shared" ref="U149:AJ149" si="151">SUM(U150:U152)</f>
        <v>1098071450</v>
      </c>
      <c r="V149" s="2612">
        <f t="shared" si="151"/>
        <v>-292912662</v>
      </c>
      <c r="W149" s="2612">
        <f t="shared" si="151"/>
        <v>0</v>
      </c>
      <c r="X149" s="2662">
        <f t="shared" si="151"/>
        <v>805158788</v>
      </c>
      <c r="Y149" s="2663">
        <f t="shared" si="151"/>
        <v>653198768</v>
      </c>
      <c r="Z149" s="2691">
        <f t="shared" si="151"/>
        <v>34446554</v>
      </c>
      <c r="AA149" s="2662">
        <f t="shared" si="151"/>
        <v>687645322</v>
      </c>
      <c r="AB149" s="2663">
        <f t="shared" si="151"/>
        <v>612600075</v>
      </c>
      <c r="AC149" s="2691">
        <f t="shared" si="151"/>
        <v>23013885</v>
      </c>
      <c r="AD149" s="2662">
        <f t="shared" si="151"/>
        <v>635613960</v>
      </c>
      <c r="AE149" s="2663">
        <f t="shared" si="151"/>
        <v>228447247</v>
      </c>
      <c r="AF149" s="2691">
        <f t="shared" si="151"/>
        <v>31373955</v>
      </c>
      <c r="AG149" s="2662">
        <f t="shared" si="151"/>
        <v>259821202</v>
      </c>
      <c r="AH149" s="2663">
        <f t="shared" si="151"/>
        <v>117513466</v>
      </c>
      <c r="AI149" s="2612">
        <f t="shared" si="151"/>
        <v>169544828</v>
      </c>
      <c r="AJ149" s="2664">
        <f t="shared" si="151"/>
        <v>545337586</v>
      </c>
      <c r="AK149" s="2489"/>
      <c r="AL149" s="2692">
        <f>SUM(AL150:AL152)</f>
        <v>80000000</v>
      </c>
      <c r="AM149" s="2693">
        <f>SUM(AM150:AM152)</f>
        <v>0</v>
      </c>
      <c r="AN149" s="2489"/>
    </row>
    <row r="150" spans="1:40" s="2614" customFormat="1" ht="24.95" customHeight="1">
      <c r="A150" s="2848"/>
      <c r="B150" s="2849"/>
      <c r="N150" s="2489"/>
      <c r="R150" s="2489"/>
      <c r="S150" s="2705" t="str">
        <f>+IF(OCTUBRE!S150=0,"",OCTUBRE!S150)</f>
        <v>2020102-1</v>
      </c>
      <c r="T150" s="2660" t="str">
        <f>+IF(OCTUBRE!T150=0,"",OCTUBRE!T150)</f>
        <v>Compra de Equipo e Instr. Mco. y Laborat.</v>
      </c>
      <c r="U150" s="2661">
        <f>+ENERO!U150</f>
        <v>514625084</v>
      </c>
      <c r="V150" s="2612">
        <f>OCTUBRE!V150+NOVIEMBRE!AL150</f>
        <v>-347050000</v>
      </c>
      <c r="W150" s="2612">
        <f>OCTUBRE!W150+NOVIEMBRE!AM150</f>
        <v>0</v>
      </c>
      <c r="X150" s="2662">
        <f>SUM(U150:W150)</f>
        <v>167575084</v>
      </c>
      <c r="Y150" s="2663">
        <f>OCTUBRE!AA150</f>
        <v>96110947</v>
      </c>
      <c r="Z150" s="2598">
        <v>0</v>
      </c>
      <c r="AA150" s="2662">
        <f>SUM(Y150:Z150)</f>
        <v>96110947</v>
      </c>
      <c r="AB150" s="2663">
        <f>OCTUBRE!AD150</f>
        <v>62645777</v>
      </c>
      <c r="AC150" s="2598">
        <v>0</v>
      </c>
      <c r="AD150" s="2662">
        <f>SUM(AB150:AC150)</f>
        <v>62645777</v>
      </c>
      <c r="AE150" s="2663">
        <f>OCTUBRE!AG150</f>
        <v>34522328</v>
      </c>
      <c r="AF150" s="2598">
        <v>1099560</v>
      </c>
      <c r="AG150" s="2662">
        <f>SUM(AE150:AF150)</f>
        <v>35621888</v>
      </c>
      <c r="AH150" s="2663">
        <f>X150-AA150</f>
        <v>71464137</v>
      </c>
      <c r="AI150" s="2612">
        <f>X150-AD150</f>
        <v>104929307</v>
      </c>
      <c r="AJ150" s="2664">
        <f>X150-AG150</f>
        <v>131953196</v>
      </c>
      <c r="AK150" s="2489"/>
      <c r="AL150" s="2600">
        <v>0</v>
      </c>
      <c r="AM150" s="2601">
        <v>0</v>
      </c>
      <c r="AN150" s="2489"/>
    </row>
    <row r="151" spans="1:40" s="2614" customFormat="1" ht="24.95" customHeight="1">
      <c r="A151" s="2848"/>
      <c r="B151" s="2849"/>
      <c r="N151" s="2489"/>
      <c r="R151" s="2489"/>
      <c r="S151" s="2705" t="str">
        <f>+IF(OCTUBRE!S151=0,"",OCTUBRE!S151)</f>
        <v>2020102-2</v>
      </c>
      <c r="T151" s="2660" t="str">
        <f>+IF(OCTUBRE!T151=0,"",OCTUBRE!T151)</f>
        <v>Materiales</v>
      </c>
      <c r="U151" s="2661">
        <f>+ENERO!U151</f>
        <v>583446366</v>
      </c>
      <c r="V151" s="2612">
        <f>OCTUBRE!V151+NOVIEMBRE!AL151</f>
        <v>54137338</v>
      </c>
      <c r="W151" s="2612">
        <f>OCTUBRE!W151+NOVIEMBRE!AM151</f>
        <v>0</v>
      </c>
      <c r="X151" s="2662">
        <f>SUM(U151:W151)</f>
        <v>637583704</v>
      </c>
      <c r="Y151" s="2663">
        <f>OCTUBRE!AA151</f>
        <v>557087821</v>
      </c>
      <c r="Z151" s="2598">
        <v>34446554</v>
      </c>
      <c r="AA151" s="2662">
        <f>SUM(Y151:Z151)</f>
        <v>591534375</v>
      </c>
      <c r="AB151" s="2663">
        <f>OCTUBRE!AD151</f>
        <v>549954298</v>
      </c>
      <c r="AC151" s="2598">
        <v>23013885</v>
      </c>
      <c r="AD151" s="2662">
        <f>SUM(AB151:AC151)</f>
        <v>572968183</v>
      </c>
      <c r="AE151" s="2663">
        <f>OCTUBRE!AG151</f>
        <v>193924919</v>
      </c>
      <c r="AF151" s="2598">
        <v>30274395</v>
      </c>
      <c r="AG151" s="2662">
        <f>SUM(AE151:AF151)</f>
        <v>224199314</v>
      </c>
      <c r="AH151" s="2663">
        <f>X151-AA151</f>
        <v>46049329</v>
      </c>
      <c r="AI151" s="2612">
        <f>X151-AD151</f>
        <v>64615521</v>
      </c>
      <c r="AJ151" s="2664">
        <f>X151-AG151</f>
        <v>413384390</v>
      </c>
      <c r="AK151" s="2489"/>
      <c r="AL151" s="2600">
        <v>80000000</v>
      </c>
      <c r="AM151" s="2601">
        <v>0</v>
      </c>
      <c r="AN151" s="2489"/>
    </row>
    <row r="152" spans="1:40" s="2614" customFormat="1" ht="24.95" customHeight="1">
      <c r="A152" s="2848"/>
      <c r="B152" s="2849"/>
      <c r="N152" s="2489"/>
      <c r="R152" s="2489"/>
      <c r="S152" s="2705" t="str">
        <f>+IF(OCTUBRE!S152=0,"",OCTUBRE!S152)</f>
        <v>2020102-3</v>
      </c>
      <c r="T152" s="2660" t="str">
        <f>+IF(OCTUBRE!T152=0,"",OCTUBRE!T152)</f>
        <v/>
      </c>
      <c r="U152" s="2661">
        <f>+ENERO!U152</f>
        <v>0</v>
      </c>
      <c r="V152" s="2612">
        <f>OCTUBRE!V152+NOVIEMBRE!AL152</f>
        <v>0</v>
      </c>
      <c r="W152" s="2612">
        <f>OCTUBRE!W152+NOVIEMBRE!AM152</f>
        <v>0</v>
      </c>
      <c r="X152" s="2662">
        <f>SUM(U152:W152)</f>
        <v>0</v>
      </c>
      <c r="Y152" s="2663">
        <f>OCTUBRE!AA152</f>
        <v>0</v>
      </c>
      <c r="Z152" s="2598">
        <v>0</v>
      </c>
      <c r="AA152" s="2662">
        <f>SUM(Y152:Z152)</f>
        <v>0</v>
      </c>
      <c r="AB152" s="2663">
        <f>OCTUBRE!AD152</f>
        <v>0</v>
      </c>
      <c r="AC152" s="2598">
        <v>0</v>
      </c>
      <c r="AD152" s="2662">
        <f>SUM(AB152:AC152)</f>
        <v>0</v>
      </c>
      <c r="AE152" s="2663">
        <f>OCTUBRE!AG152</f>
        <v>0</v>
      </c>
      <c r="AF152" s="2598">
        <v>0</v>
      </c>
      <c r="AG152" s="2662">
        <f>SUM(AE152:AF152)</f>
        <v>0</v>
      </c>
      <c r="AH152" s="2663">
        <f>X152-AA152</f>
        <v>0</v>
      </c>
      <c r="AI152" s="2612">
        <f>X152-AD152</f>
        <v>0</v>
      </c>
      <c r="AJ152" s="2664">
        <f>X152-AG152</f>
        <v>0</v>
      </c>
      <c r="AK152" s="2489"/>
      <c r="AL152" s="2600">
        <v>0</v>
      </c>
      <c r="AM152" s="2601">
        <v>0</v>
      </c>
      <c r="AN152" s="2489"/>
    </row>
    <row r="153" spans="1:40" s="2614" customFormat="1" ht="24.95" customHeight="1">
      <c r="A153" s="2848"/>
      <c r="B153" s="2849"/>
      <c r="N153" s="2489"/>
      <c r="R153" s="2489"/>
      <c r="S153" s="2659">
        <f>+IF(OCTUBRE!S153=0,"",OCTUBRE!S153)</f>
        <v>2020199</v>
      </c>
      <c r="T153" s="2660" t="str">
        <f>+IF(OCTUBRE!T153=0,"",OCTUBRE!T153)</f>
        <v>Vigencias Anteriores</v>
      </c>
      <c r="U153" s="2661">
        <f>+ENERO!U153</f>
        <v>0</v>
      </c>
      <c r="V153" s="2612">
        <f>OCTUBRE!V153+NOVIEMBRE!AL153</f>
        <v>-226167473</v>
      </c>
      <c r="W153" s="2612">
        <f>OCTUBRE!W153+NOVIEMBRE!AM153</f>
        <v>650000000</v>
      </c>
      <c r="X153" s="2662">
        <f>SUM(U153:W153)</f>
        <v>423832527</v>
      </c>
      <c r="Y153" s="2663">
        <f>OCTUBRE!AA153</f>
        <v>322646223</v>
      </c>
      <c r="Z153" s="2598">
        <v>33267393</v>
      </c>
      <c r="AA153" s="2662">
        <f>SUM(Y153:Z153)</f>
        <v>355913616</v>
      </c>
      <c r="AB153" s="2663">
        <f>OCTUBRE!AD153</f>
        <v>322646223</v>
      </c>
      <c r="AC153" s="2598">
        <v>33267393</v>
      </c>
      <c r="AD153" s="2662">
        <f>SUM(AB153:AC153)</f>
        <v>355913616</v>
      </c>
      <c r="AE153" s="2663">
        <f>OCTUBRE!AG153</f>
        <v>322646223</v>
      </c>
      <c r="AF153" s="2598">
        <v>33267393</v>
      </c>
      <c r="AG153" s="2662">
        <f>SUM(AE153:AF153)</f>
        <v>355913616</v>
      </c>
      <c r="AH153" s="2663">
        <f>X153-AA153</f>
        <v>67918911</v>
      </c>
      <c r="AI153" s="2612">
        <f>X153-AD153</f>
        <v>67918911</v>
      </c>
      <c r="AJ153" s="2664">
        <f>X153-AG153</f>
        <v>67918911</v>
      </c>
      <c r="AK153" s="2489"/>
      <c r="AL153" s="2600">
        <v>0</v>
      </c>
      <c r="AM153" s="2601">
        <v>100000000</v>
      </c>
      <c r="AN153" s="2489"/>
    </row>
    <row r="154" spans="1:40" s="2614" customFormat="1" ht="24.95" customHeight="1">
      <c r="A154" s="2848"/>
      <c r="B154" s="2849"/>
      <c r="N154" s="2489"/>
      <c r="R154" s="2489"/>
      <c r="S154" s="2579" t="str">
        <f>+IF(OCTUBRE!S154=0,"",OCTUBRE!S154)</f>
        <v/>
      </c>
      <c r="T154" s="2580" t="str">
        <f>+IF(OCTUBRE!T154=0,"",OCTUBRE!T154)</f>
        <v/>
      </c>
      <c r="U154" s="2581"/>
      <c r="V154" s="2581"/>
      <c r="W154" s="2581"/>
      <c r="X154" s="2581"/>
      <c r="Y154" s="2581"/>
      <c r="Z154" s="2581"/>
      <c r="AA154" s="2581"/>
      <c r="AB154" s="2581"/>
      <c r="AC154" s="2581"/>
      <c r="AD154" s="2581"/>
      <c r="AE154" s="2581"/>
      <c r="AF154" s="2581"/>
      <c r="AG154" s="2581"/>
      <c r="AH154" s="2581"/>
      <c r="AI154" s="2581"/>
      <c r="AJ154" s="2582"/>
      <c r="AK154" s="2489"/>
      <c r="AL154" s="2769"/>
      <c r="AM154" s="2770"/>
      <c r="AN154" s="2489"/>
    </row>
    <row r="155" spans="1:40" s="2614" customFormat="1" ht="24.95" customHeight="1">
      <c r="A155" s="2848"/>
      <c r="B155" s="2849"/>
      <c r="N155" s="2489"/>
      <c r="R155" s="2489"/>
      <c r="S155" s="2651">
        <f>+IF(OCTUBRE!S155=0,"",OCTUBRE!S155)</f>
        <v>2020200</v>
      </c>
      <c r="T155" s="2652" t="str">
        <f>+IF(OCTUBRE!T155=0,"",OCTUBRE!T155)</f>
        <v>Adquisición de Servicios</v>
      </c>
      <c r="U155" s="2624">
        <f t="shared" ref="U155:AJ155" si="152">SUM(U156:U157)+U168</f>
        <v>780530606</v>
      </c>
      <c r="V155" s="2625">
        <f t="shared" si="152"/>
        <v>-614845317</v>
      </c>
      <c r="W155" s="2625">
        <f t="shared" si="152"/>
        <v>1200000000</v>
      </c>
      <c r="X155" s="2626">
        <f t="shared" si="152"/>
        <v>1365685289</v>
      </c>
      <c r="Y155" s="2627">
        <f t="shared" si="152"/>
        <v>1122069371</v>
      </c>
      <c r="Z155" s="2625">
        <f t="shared" si="152"/>
        <v>17512191</v>
      </c>
      <c r="AA155" s="2626">
        <f t="shared" si="152"/>
        <v>1139581562</v>
      </c>
      <c r="AB155" s="2627">
        <f t="shared" si="152"/>
        <v>834758260</v>
      </c>
      <c r="AC155" s="2625">
        <f t="shared" si="152"/>
        <v>66273345</v>
      </c>
      <c r="AD155" s="2626">
        <f t="shared" si="152"/>
        <v>901031605</v>
      </c>
      <c r="AE155" s="2627">
        <f t="shared" si="152"/>
        <v>315617145</v>
      </c>
      <c r="AF155" s="2625">
        <f t="shared" si="152"/>
        <v>37299468</v>
      </c>
      <c r="AG155" s="2626">
        <f t="shared" si="152"/>
        <v>352916613</v>
      </c>
      <c r="AH155" s="2627">
        <f t="shared" si="152"/>
        <v>226103727</v>
      </c>
      <c r="AI155" s="2625">
        <f t="shared" si="152"/>
        <v>464653684</v>
      </c>
      <c r="AJ155" s="2628">
        <f t="shared" si="152"/>
        <v>1012768676</v>
      </c>
      <c r="AK155" s="2489"/>
      <c r="AL155" s="2627">
        <f>SUM(AL156:AL157)+AL168</f>
        <v>0</v>
      </c>
      <c r="AM155" s="2628">
        <f>SUM(AM156:AM157)+AM168</f>
        <v>100000000</v>
      </c>
      <c r="AN155" s="2489"/>
    </row>
    <row r="156" spans="1:40" s="2614" customFormat="1" ht="24.95" customHeight="1">
      <c r="A156" s="2848"/>
      <c r="B156" s="2849"/>
      <c r="N156" s="2489"/>
      <c r="P156" s="2489"/>
      <c r="Q156" s="2489"/>
      <c r="R156" s="2489"/>
      <c r="S156" s="2659">
        <f>+IF(OCTUBRE!S156=0,"",OCTUBRE!S156)</f>
        <v>2020201</v>
      </c>
      <c r="T156" s="2660" t="str">
        <f>+IF(OCTUBRE!T156=0,"",OCTUBRE!T156)</f>
        <v>Mantenimiento Hospitalario</v>
      </c>
      <c r="U156" s="2661">
        <f>+ENERO!U156</f>
        <v>780530606</v>
      </c>
      <c r="V156" s="2612">
        <f>OCTUBRE!V156+NOVIEMBRE!AL156</f>
        <v>348700666</v>
      </c>
      <c r="W156" s="2612">
        <f>OCTUBRE!W156+NOVIEMBRE!AM156</f>
        <v>0</v>
      </c>
      <c r="X156" s="2662">
        <f>SUM(U156:W156)</f>
        <v>1129231272</v>
      </c>
      <c r="Y156" s="2663">
        <f>OCTUBRE!AA156</f>
        <v>985615354</v>
      </c>
      <c r="Z156" s="2598">
        <v>1921040</v>
      </c>
      <c r="AA156" s="2662">
        <f>SUM(Y156:Z156)</f>
        <v>987536394</v>
      </c>
      <c r="AB156" s="2663">
        <f>OCTUBRE!AD156</f>
        <v>698304243</v>
      </c>
      <c r="AC156" s="2598">
        <v>50682194</v>
      </c>
      <c r="AD156" s="2662">
        <f>SUM(AB156:AC156)</f>
        <v>748986437</v>
      </c>
      <c r="AE156" s="2663">
        <f>OCTUBRE!AG156</f>
        <v>179163128</v>
      </c>
      <c r="AF156" s="2598">
        <v>21708317</v>
      </c>
      <c r="AG156" s="2662">
        <f>SUM(AE156:AF156)</f>
        <v>200871445</v>
      </c>
      <c r="AH156" s="2663">
        <f>X156-AA156</f>
        <v>141694878</v>
      </c>
      <c r="AI156" s="2612">
        <f>X156-AD156</f>
        <v>380244835</v>
      </c>
      <c r="AJ156" s="2664">
        <f>X156-AG156</f>
        <v>928359827</v>
      </c>
      <c r="AK156" s="2489"/>
      <c r="AL156" s="2600">
        <v>0</v>
      </c>
      <c r="AM156" s="2601">
        <v>0</v>
      </c>
      <c r="AN156" s="2489"/>
    </row>
    <row r="157" spans="1:40" s="2614" customFormat="1" ht="24.95" customHeight="1">
      <c r="A157" s="2848"/>
      <c r="B157" s="2849"/>
      <c r="N157" s="2489"/>
      <c r="P157" s="2489"/>
      <c r="Q157" s="2489"/>
      <c r="R157" s="2489"/>
      <c r="S157" s="2659">
        <f>+IF(OCTUBRE!S157=0,"",OCTUBRE!S157)</f>
        <v>2020202</v>
      </c>
      <c r="T157" s="2660" t="str">
        <f>+IF(OCTUBRE!T157=0,"",OCTUBRE!T157)</f>
        <v>Otros</v>
      </c>
      <c r="U157" s="2661">
        <f t="shared" ref="U157:AJ157" si="153">SUM(U158:U167)</f>
        <v>0</v>
      </c>
      <c r="V157" s="2612">
        <f t="shared" si="153"/>
        <v>0</v>
      </c>
      <c r="W157" s="2612">
        <f t="shared" si="153"/>
        <v>0</v>
      </c>
      <c r="X157" s="2662">
        <f t="shared" si="153"/>
        <v>0</v>
      </c>
      <c r="Y157" s="2663">
        <f t="shared" si="153"/>
        <v>0</v>
      </c>
      <c r="Z157" s="2691">
        <f t="shared" si="153"/>
        <v>0</v>
      </c>
      <c r="AA157" s="2662">
        <f t="shared" si="153"/>
        <v>0</v>
      </c>
      <c r="AB157" s="2663">
        <f t="shared" si="153"/>
        <v>0</v>
      </c>
      <c r="AC157" s="2691">
        <f t="shared" si="153"/>
        <v>0</v>
      </c>
      <c r="AD157" s="2662">
        <f t="shared" si="153"/>
        <v>0</v>
      </c>
      <c r="AE157" s="2663">
        <f t="shared" si="153"/>
        <v>0</v>
      </c>
      <c r="AF157" s="2691">
        <f t="shared" si="153"/>
        <v>0</v>
      </c>
      <c r="AG157" s="2662">
        <f t="shared" si="153"/>
        <v>0</v>
      </c>
      <c r="AH157" s="2663">
        <f t="shared" si="153"/>
        <v>0</v>
      </c>
      <c r="AI157" s="2612">
        <f t="shared" si="153"/>
        <v>0</v>
      </c>
      <c r="AJ157" s="2664">
        <f t="shared" si="153"/>
        <v>0</v>
      </c>
      <c r="AK157" s="2607"/>
      <c r="AL157" s="2692">
        <f>SUM(AL158:AL167)</f>
        <v>0</v>
      </c>
      <c r="AM157" s="2693">
        <f>SUM(AM158:AM167)</f>
        <v>0</v>
      </c>
      <c r="AN157" s="2489"/>
    </row>
    <row r="158" spans="1:40" s="2614" customFormat="1" ht="24.95" customHeight="1">
      <c r="A158" s="2848"/>
      <c r="B158" s="2849"/>
      <c r="N158" s="2489"/>
      <c r="P158" s="2489"/>
      <c r="Q158" s="2489"/>
      <c r="R158" s="2489"/>
      <c r="S158" s="2705" t="str">
        <f>+IF(OCTUBRE!S158=0,"",OCTUBRE!S158)</f>
        <v>2020202-1</v>
      </c>
      <c r="T158" s="2706" t="str">
        <f>+IF(OCTUBRE!T158=0,"",OCTUBRE!T158)</f>
        <v>Seguros</v>
      </c>
      <c r="U158" s="2661">
        <f>+ENERO!U158</f>
        <v>0</v>
      </c>
      <c r="V158" s="2612">
        <f>OCTUBRE!V158+NOVIEMBRE!AL158</f>
        <v>0</v>
      </c>
      <c r="W158" s="2612">
        <f>OCTUBRE!W158+NOVIEMBRE!AM158</f>
        <v>0</v>
      </c>
      <c r="X158" s="2662">
        <f t="shared" ref="X158:X168" si="154">SUM(U158:W158)</f>
        <v>0</v>
      </c>
      <c r="Y158" s="2663">
        <f>OCTUBRE!AA158</f>
        <v>0</v>
      </c>
      <c r="Z158" s="2598">
        <v>0</v>
      </c>
      <c r="AA158" s="2662">
        <f t="shared" ref="AA158:AA168" si="155">SUM(Y158:Z158)</f>
        <v>0</v>
      </c>
      <c r="AB158" s="2663">
        <f>OCTUBRE!AD158</f>
        <v>0</v>
      </c>
      <c r="AC158" s="2598">
        <v>0</v>
      </c>
      <c r="AD158" s="2662">
        <f t="shared" ref="AD158:AD168" si="156">SUM(AB158:AC158)</f>
        <v>0</v>
      </c>
      <c r="AE158" s="2663">
        <f>OCTUBRE!AG158</f>
        <v>0</v>
      </c>
      <c r="AF158" s="2598">
        <v>0</v>
      </c>
      <c r="AG158" s="2662">
        <f t="shared" ref="AG158:AG168" si="157">SUM(AE158:AF158)</f>
        <v>0</v>
      </c>
      <c r="AH158" s="2663">
        <f t="shared" ref="AH158:AH168" si="158">X158-AA158</f>
        <v>0</v>
      </c>
      <c r="AI158" s="2612">
        <f t="shared" ref="AI158:AI168" si="159">X158-AD158</f>
        <v>0</v>
      </c>
      <c r="AJ158" s="2664">
        <f t="shared" ref="AJ158:AJ168" si="160">X158-AG158</f>
        <v>0</v>
      </c>
      <c r="AK158" s="2489"/>
      <c r="AL158" s="2600">
        <v>0</v>
      </c>
      <c r="AM158" s="2601">
        <v>0</v>
      </c>
      <c r="AN158" s="2489"/>
    </row>
    <row r="159" spans="1:40" s="2614" customFormat="1" ht="24.95" customHeight="1">
      <c r="A159" s="2848"/>
      <c r="B159" s="2849"/>
      <c r="N159" s="2489"/>
      <c r="P159" s="2489"/>
      <c r="Q159" s="2489"/>
      <c r="R159" s="2489"/>
      <c r="S159" s="2705" t="str">
        <f>+IF(OCTUBRE!S159=0,"",OCTUBRE!S159)</f>
        <v>2020202-2</v>
      </c>
      <c r="T159" s="2706" t="str">
        <f>+IF(OCTUBRE!T159=0,"",OCTUBRE!T159)</f>
        <v>Impresos y Publicaciones</v>
      </c>
      <c r="U159" s="2661">
        <f>+ENERO!U159</f>
        <v>0</v>
      </c>
      <c r="V159" s="2612">
        <f>OCTUBRE!V159+NOVIEMBRE!AL159</f>
        <v>0</v>
      </c>
      <c r="W159" s="2612">
        <f>OCTUBRE!W159+NOVIEMBRE!AM159</f>
        <v>0</v>
      </c>
      <c r="X159" s="2662">
        <f t="shared" si="154"/>
        <v>0</v>
      </c>
      <c r="Y159" s="2663">
        <f>OCTUBRE!AA159</f>
        <v>0</v>
      </c>
      <c r="Z159" s="2598">
        <v>0</v>
      </c>
      <c r="AA159" s="2662">
        <f t="shared" si="155"/>
        <v>0</v>
      </c>
      <c r="AB159" s="2663">
        <f>OCTUBRE!AD159</f>
        <v>0</v>
      </c>
      <c r="AC159" s="2598">
        <v>0</v>
      </c>
      <c r="AD159" s="2662">
        <f t="shared" si="156"/>
        <v>0</v>
      </c>
      <c r="AE159" s="2663">
        <f>OCTUBRE!AG159</f>
        <v>0</v>
      </c>
      <c r="AF159" s="2598">
        <v>0</v>
      </c>
      <c r="AG159" s="2662">
        <f t="shared" si="157"/>
        <v>0</v>
      </c>
      <c r="AH159" s="2663">
        <f t="shared" si="158"/>
        <v>0</v>
      </c>
      <c r="AI159" s="2612">
        <f t="shared" si="159"/>
        <v>0</v>
      </c>
      <c r="AJ159" s="2664">
        <f t="shared" si="160"/>
        <v>0</v>
      </c>
      <c r="AK159" s="2489"/>
      <c r="AL159" s="2600">
        <v>0</v>
      </c>
      <c r="AM159" s="2601">
        <v>0</v>
      </c>
      <c r="AN159" s="2489"/>
    </row>
    <row r="160" spans="1:40" s="2614" customFormat="1" ht="24.95" customHeight="1">
      <c r="A160" s="2848"/>
      <c r="B160" s="2849"/>
      <c r="N160" s="2489"/>
      <c r="P160" s="2489"/>
      <c r="Q160" s="2489"/>
      <c r="R160" s="2489"/>
      <c r="S160" s="2705" t="str">
        <f>+IF(OCTUBRE!S160=0,"",OCTUBRE!S160)</f>
        <v>2020202-3</v>
      </c>
      <c r="T160" s="2706" t="str">
        <f>+IF(OCTUBRE!T160=0,"",OCTUBRE!T160)</f>
        <v>Pago a otras IPS</v>
      </c>
      <c r="U160" s="2661">
        <f>+ENERO!U160</f>
        <v>0</v>
      </c>
      <c r="V160" s="2612">
        <f>OCTUBRE!V160+NOVIEMBRE!AL160</f>
        <v>0</v>
      </c>
      <c r="W160" s="2612">
        <f>OCTUBRE!W160+NOVIEMBRE!AM160</f>
        <v>0</v>
      </c>
      <c r="X160" s="2662">
        <f t="shared" si="154"/>
        <v>0</v>
      </c>
      <c r="Y160" s="2663">
        <f>OCTUBRE!AA160</f>
        <v>0</v>
      </c>
      <c r="Z160" s="2598">
        <v>0</v>
      </c>
      <c r="AA160" s="2662">
        <f t="shared" si="155"/>
        <v>0</v>
      </c>
      <c r="AB160" s="2663">
        <f>OCTUBRE!AD160</f>
        <v>0</v>
      </c>
      <c r="AC160" s="2598">
        <v>0</v>
      </c>
      <c r="AD160" s="2662">
        <f t="shared" si="156"/>
        <v>0</v>
      </c>
      <c r="AE160" s="2663">
        <f>OCTUBRE!AG160</f>
        <v>0</v>
      </c>
      <c r="AF160" s="2598">
        <v>0</v>
      </c>
      <c r="AG160" s="2662">
        <f t="shared" si="157"/>
        <v>0</v>
      </c>
      <c r="AH160" s="2663">
        <f t="shared" si="158"/>
        <v>0</v>
      </c>
      <c r="AI160" s="2612">
        <f t="shared" si="159"/>
        <v>0</v>
      </c>
      <c r="AJ160" s="2664">
        <f t="shared" si="160"/>
        <v>0</v>
      </c>
      <c r="AK160" s="2489"/>
      <c r="AL160" s="2600">
        <v>0</v>
      </c>
      <c r="AM160" s="2601">
        <v>0</v>
      </c>
      <c r="AN160" s="2489"/>
    </row>
    <row r="161" spans="1:40" s="2614" customFormat="1" ht="24.95" customHeight="1">
      <c r="A161" s="2848"/>
      <c r="B161" s="2849"/>
      <c r="N161" s="2489"/>
      <c r="P161" s="2489"/>
      <c r="Q161" s="2489"/>
      <c r="R161" s="2489"/>
      <c r="S161" s="2705" t="str">
        <f>+IF(OCTUBRE!S161=0,"",OCTUBRE!S161)</f>
        <v>2020202-4</v>
      </c>
      <c r="T161" s="2706" t="str">
        <f>+IF(OCTUBRE!T161=0,"",OCTUBRE!T161)</f>
        <v>Comunicaciones y Transportes</v>
      </c>
      <c r="U161" s="2661">
        <f>+ENERO!U161</f>
        <v>0</v>
      </c>
      <c r="V161" s="2612">
        <f>OCTUBRE!V161+NOVIEMBRE!AL161</f>
        <v>0</v>
      </c>
      <c r="W161" s="2612">
        <f>OCTUBRE!W161+NOVIEMBRE!AM161</f>
        <v>0</v>
      </c>
      <c r="X161" s="2662">
        <f t="shared" si="154"/>
        <v>0</v>
      </c>
      <c r="Y161" s="2663">
        <f>OCTUBRE!AA161</f>
        <v>0</v>
      </c>
      <c r="Z161" s="2598">
        <v>0</v>
      </c>
      <c r="AA161" s="2662">
        <f t="shared" si="155"/>
        <v>0</v>
      </c>
      <c r="AB161" s="2663">
        <f>OCTUBRE!AD161</f>
        <v>0</v>
      </c>
      <c r="AC161" s="2598">
        <v>0</v>
      </c>
      <c r="AD161" s="2662">
        <f t="shared" si="156"/>
        <v>0</v>
      </c>
      <c r="AE161" s="2663">
        <f>OCTUBRE!AG161</f>
        <v>0</v>
      </c>
      <c r="AF161" s="2598">
        <v>0</v>
      </c>
      <c r="AG161" s="2662">
        <f t="shared" si="157"/>
        <v>0</v>
      </c>
      <c r="AH161" s="2663">
        <f t="shared" si="158"/>
        <v>0</v>
      </c>
      <c r="AI161" s="2612">
        <f t="shared" si="159"/>
        <v>0</v>
      </c>
      <c r="AJ161" s="2664">
        <f t="shared" si="160"/>
        <v>0</v>
      </c>
      <c r="AK161" s="2489"/>
      <c r="AL161" s="2600">
        <v>0</v>
      </c>
      <c r="AM161" s="2601">
        <v>0</v>
      </c>
      <c r="AN161" s="2489"/>
    </row>
    <row r="162" spans="1:40" s="2614" customFormat="1" ht="24.95" customHeight="1">
      <c r="A162" s="2848"/>
      <c r="B162" s="2849"/>
      <c r="N162" s="2489"/>
      <c r="P162" s="2489"/>
      <c r="Q162" s="2489"/>
      <c r="R162" s="2489"/>
      <c r="S162" s="2705" t="str">
        <f>+IF(OCTUBRE!S162=0,"",OCTUBRE!S162)</f>
        <v>2020202-5</v>
      </c>
      <c r="T162" s="2706" t="str">
        <f>+IF(OCTUBRE!T162=0,"",OCTUBRE!T162)</f>
        <v>Viáticos y Gastos de Viaje</v>
      </c>
      <c r="U162" s="2661">
        <f>+ENERO!U162</f>
        <v>0</v>
      </c>
      <c r="V162" s="2612">
        <f>OCTUBRE!V162+NOVIEMBRE!AL162</f>
        <v>0</v>
      </c>
      <c r="W162" s="2612">
        <f>OCTUBRE!W162+NOVIEMBRE!AM162</f>
        <v>0</v>
      </c>
      <c r="X162" s="2662">
        <f t="shared" si="154"/>
        <v>0</v>
      </c>
      <c r="Y162" s="2663">
        <f>OCTUBRE!AA162</f>
        <v>0</v>
      </c>
      <c r="Z162" s="2598">
        <v>0</v>
      </c>
      <c r="AA162" s="2662">
        <f t="shared" si="155"/>
        <v>0</v>
      </c>
      <c r="AB162" s="2663">
        <f>OCTUBRE!AD162</f>
        <v>0</v>
      </c>
      <c r="AC162" s="2598">
        <v>0</v>
      </c>
      <c r="AD162" s="2662">
        <f t="shared" si="156"/>
        <v>0</v>
      </c>
      <c r="AE162" s="2663">
        <f>OCTUBRE!AG162</f>
        <v>0</v>
      </c>
      <c r="AF162" s="2598">
        <v>0</v>
      </c>
      <c r="AG162" s="2662">
        <f t="shared" si="157"/>
        <v>0</v>
      </c>
      <c r="AH162" s="2663">
        <f t="shared" si="158"/>
        <v>0</v>
      </c>
      <c r="AI162" s="2612">
        <f t="shared" si="159"/>
        <v>0</v>
      </c>
      <c r="AJ162" s="2664">
        <f t="shared" si="160"/>
        <v>0</v>
      </c>
      <c r="AK162" s="2489"/>
      <c r="AL162" s="2600">
        <v>0</v>
      </c>
      <c r="AM162" s="2601">
        <v>0</v>
      </c>
      <c r="AN162" s="2489"/>
    </row>
    <row r="163" spans="1:40" s="2614" customFormat="1" ht="24.95" customHeight="1">
      <c r="A163" s="2848"/>
      <c r="B163" s="2849"/>
      <c r="N163" s="2489"/>
      <c r="P163" s="2489"/>
      <c r="Q163" s="2489"/>
      <c r="R163" s="2489"/>
      <c r="S163" s="2705" t="str">
        <f>+IF(OCTUBRE!S163=0,"",OCTUBRE!S163)</f>
        <v>2020202-6</v>
      </c>
      <c r="T163" s="2706" t="str">
        <f>+IF(OCTUBRE!T163=0,"",OCTUBRE!T163)</f>
        <v>Plan Integral de Manejo de Residuos Sólidos Hospitalarios</v>
      </c>
      <c r="U163" s="2661">
        <f>+ENERO!U163</f>
        <v>0</v>
      </c>
      <c r="V163" s="2612">
        <f>OCTUBRE!V163+NOVIEMBRE!AL163</f>
        <v>0</v>
      </c>
      <c r="W163" s="2612">
        <f>OCTUBRE!W163+NOVIEMBRE!AM163</f>
        <v>0</v>
      </c>
      <c r="X163" s="2662">
        <f t="shared" si="154"/>
        <v>0</v>
      </c>
      <c r="Y163" s="2663">
        <f>OCTUBRE!AA163</f>
        <v>0</v>
      </c>
      <c r="Z163" s="2598">
        <v>0</v>
      </c>
      <c r="AA163" s="2662">
        <f t="shared" si="155"/>
        <v>0</v>
      </c>
      <c r="AB163" s="2663">
        <f>OCTUBRE!AD163</f>
        <v>0</v>
      </c>
      <c r="AC163" s="2598">
        <v>0</v>
      </c>
      <c r="AD163" s="2662">
        <f t="shared" si="156"/>
        <v>0</v>
      </c>
      <c r="AE163" s="2663">
        <f>OCTUBRE!AG163</f>
        <v>0</v>
      </c>
      <c r="AF163" s="2598">
        <v>0</v>
      </c>
      <c r="AG163" s="2662">
        <f t="shared" si="157"/>
        <v>0</v>
      </c>
      <c r="AH163" s="2663">
        <f t="shared" si="158"/>
        <v>0</v>
      </c>
      <c r="AI163" s="2612">
        <f t="shared" si="159"/>
        <v>0</v>
      </c>
      <c r="AJ163" s="2664">
        <f t="shared" si="160"/>
        <v>0</v>
      </c>
      <c r="AK163" s="2489"/>
      <c r="AL163" s="2600">
        <v>0</v>
      </c>
      <c r="AM163" s="2601">
        <v>0</v>
      </c>
      <c r="AN163" s="2489"/>
    </row>
    <row r="164" spans="1:40" s="2614" customFormat="1" ht="24.95" customHeight="1">
      <c r="A164" s="2848"/>
      <c r="B164" s="2849"/>
      <c r="N164" s="2489"/>
      <c r="P164" s="2489"/>
      <c r="Q164" s="2489"/>
      <c r="R164" s="2489"/>
      <c r="S164" s="2705" t="str">
        <f>+IF(OCTUBRE!S164=0,"",OCTUBRE!S164)</f>
        <v>2020202-7</v>
      </c>
      <c r="T164" s="2706" t="str">
        <f>+IF(OCTUBRE!T164=0,"",OCTUBRE!T164)</f>
        <v>Servicios de Laboratorio contratados con terceros</v>
      </c>
      <c r="U164" s="2661">
        <f>+ENERO!U164</f>
        <v>0</v>
      </c>
      <c r="V164" s="2612">
        <f>OCTUBRE!V164+NOVIEMBRE!AL164</f>
        <v>0</v>
      </c>
      <c r="W164" s="2612">
        <f>OCTUBRE!W164+NOVIEMBRE!AM164</f>
        <v>0</v>
      </c>
      <c r="X164" s="2662">
        <f t="shared" si="154"/>
        <v>0</v>
      </c>
      <c r="Y164" s="2663">
        <f>OCTUBRE!AA164</f>
        <v>0</v>
      </c>
      <c r="Z164" s="2598">
        <v>0</v>
      </c>
      <c r="AA164" s="2662">
        <f t="shared" si="155"/>
        <v>0</v>
      </c>
      <c r="AB164" s="2663">
        <f>OCTUBRE!AD164</f>
        <v>0</v>
      </c>
      <c r="AC164" s="2598">
        <v>0</v>
      </c>
      <c r="AD164" s="2662">
        <f t="shared" si="156"/>
        <v>0</v>
      </c>
      <c r="AE164" s="2663">
        <f>OCTUBRE!AG164</f>
        <v>0</v>
      </c>
      <c r="AF164" s="2598">
        <v>0</v>
      </c>
      <c r="AG164" s="2662">
        <f t="shared" si="157"/>
        <v>0</v>
      </c>
      <c r="AH164" s="2663">
        <f t="shared" si="158"/>
        <v>0</v>
      </c>
      <c r="AI164" s="2612">
        <f t="shared" si="159"/>
        <v>0</v>
      </c>
      <c r="AJ164" s="2664">
        <f t="shared" si="160"/>
        <v>0</v>
      </c>
      <c r="AK164" s="2489"/>
      <c r="AL164" s="2600">
        <v>0</v>
      </c>
      <c r="AM164" s="2601">
        <v>0</v>
      </c>
      <c r="AN164" s="2489"/>
    </row>
    <row r="165" spans="1:40" s="2614" customFormat="1" ht="24.95" customHeight="1">
      <c r="A165" s="2848"/>
      <c r="B165" s="2849"/>
      <c r="N165" s="2489"/>
      <c r="P165" s="2489"/>
      <c r="Q165" s="2489"/>
      <c r="R165" s="2489"/>
      <c r="S165" s="2705" t="str">
        <f>+IF(OCTUBRE!S165=0,"",OCTUBRE!S165)</f>
        <v>2020202-8</v>
      </c>
      <c r="T165" s="2706" t="str">
        <f>+IF(OCTUBRE!T165=0,"",OCTUBRE!T165)</f>
        <v>Servicios de Rayos X e Imaginología contratado con terceros</v>
      </c>
      <c r="U165" s="2661">
        <f>+ENERO!U165</f>
        <v>0</v>
      </c>
      <c r="V165" s="2612">
        <f>OCTUBRE!V165+NOVIEMBRE!AL165</f>
        <v>0</v>
      </c>
      <c r="W165" s="2612">
        <f>OCTUBRE!W165+NOVIEMBRE!AM165</f>
        <v>0</v>
      </c>
      <c r="X165" s="2662">
        <f t="shared" si="154"/>
        <v>0</v>
      </c>
      <c r="Y165" s="2663">
        <f>OCTUBRE!AA165</f>
        <v>0</v>
      </c>
      <c r="Z165" s="2598">
        <v>0</v>
      </c>
      <c r="AA165" s="2662">
        <f t="shared" si="155"/>
        <v>0</v>
      </c>
      <c r="AB165" s="2663">
        <f>OCTUBRE!AD165</f>
        <v>0</v>
      </c>
      <c r="AC165" s="2598">
        <v>0</v>
      </c>
      <c r="AD165" s="2662">
        <f t="shared" si="156"/>
        <v>0</v>
      </c>
      <c r="AE165" s="2663">
        <f>OCTUBRE!AG165</f>
        <v>0</v>
      </c>
      <c r="AF165" s="2598">
        <v>0</v>
      </c>
      <c r="AG165" s="2662">
        <f t="shared" si="157"/>
        <v>0</v>
      </c>
      <c r="AH165" s="2663">
        <f t="shared" si="158"/>
        <v>0</v>
      </c>
      <c r="AI165" s="2612">
        <f t="shared" si="159"/>
        <v>0</v>
      </c>
      <c r="AJ165" s="2664">
        <f t="shared" si="160"/>
        <v>0</v>
      </c>
      <c r="AK165" s="2489"/>
      <c r="AL165" s="2600">
        <v>0</v>
      </c>
      <c r="AM165" s="2601">
        <v>0</v>
      </c>
      <c r="AN165" s="2489"/>
    </row>
    <row r="166" spans="1:40" s="2614" customFormat="1" ht="24.95" customHeight="1">
      <c r="A166" s="2848"/>
      <c r="B166" s="2849"/>
      <c r="N166" s="2489"/>
      <c r="P166" s="2489"/>
      <c r="Q166" s="2489"/>
      <c r="R166" s="2489"/>
      <c r="S166" s="2705" t="str">
        <f>+IF(OCTUBRE!S166=0,"",OCTUBRE!S166)</f>
        <v>2020202-9</v>
      </c>
      <c r="T166" s="2706" t="str">
        <f>+IF(OCTUBRE!T166=0,"",OCTUBRE!T166)</f>
        <v>Arrendamientos</v>
      </c>
      <c r="U166" s="2661">
        <f>+ENERO!U166</f>
        <v>0</v>
      </c>
      <c r="V166" s="2612">
        <f>OCTUBRE!V166+NOVIEMBRE!AL166</f>
        <v>0</v>
      </c>
      <c r="W166" s="2612">
        <f>OCTUBRE!W166+NOVIEMBRE!AM166</f>
        <v>0</v>
      </c>
      <c r="X166" s="2662">
        <f t="shared" si="154"/>
        <v>0</v>
      </c>
      <c r="Y166" s="2663">
        <f>OCTUBRE!AA166</f>
        <v>0</v>
      </c>
      <c r="Z166" s="2598">
        <v>0</v>
      </c>
      <c r="AA166" s="2662">
        <f t="shared" si="155"/>
        <v>0</v>
      </c>
      <c r="AB166" s="2663">
        <f>OCTUBRE!AD166</f>
        <v>0</v>
      </c>
      <c r="AC166" s="2598">
        <v>0</v>
      </c>
      <c r="AD166" s="2662">
        <f t="shared" si="156"/>
        <v>0</v>
      </c>
      <c r="AE166" s="2663">
        <f>OCTUBRE!AG166</f>
        <v>0</v>
      </c>
      <c r="AF166" s="2598">
        <v>0</v>
      </c>
      <c r="AG166" s="2662">
        <f t="shared" si="157"/>
        <v>0</v>
      </c>
      <c r="AH166" s="2663">
        <f t="shared" si="158"/>
        <v>0</v>
      </c>
      <c r="AI166" s="2612">
        <f t="shared" si="159"/>
        <v>0</v>
      </c>
      <c r="AJ166" s="2664">
        <f t="shared" si="160"/>
        <v>0</v>
      </c>
      <c r="AK166" s="2489"/>
      <c r="AL166" s="2600">
        <v>0</v>
      </c>
      <c r="AM166" s="2601">
        <v>0</v>
      </c>
      <c r="AN166" s="2489"/>
    </row>
    <row r="167" spans="1:40" s="2614" customFormat="1" ht="24.95" customHeight="1">
      <c r="A167" s="2848"/>
      <c r="B167" s="2849"/>
      <c r="N167" s="2489"/>
      <c r="P167" s="2489"/>
      <c r="Q167" s="2489"/>
      <c r="R167" s="2489"/>
      <c r="S167" s="2705" t="str">
        <f>+IF(OCTUBRE!S167=0,"",OCTUBRE!S167)</f>
        <v>2020202-10</v>
      </c>
      <c r="T167" s="2706" t="str">
        <f>+IF(OCTUBRE!T167=0,"",OCTUBRE!T167)</f>
        <v>Servicios Públicos</v>
      </c>
      <c r="U167" s="2661">
        <f>+ENERO!U167</f>
        <v>0</v>
      </c>
      <c r="V167" s="2612">
        <f>OCTUBRE!V167+NOVIEMBRE!AL167</f>
        <v>0</v>
      </c>
      <c r="W167" s="2612">
        <f>OCTUBRE!W167+NOVIEMBRE!AM167</f>
        <v>0</v>
      </c>
      <c r="X167" s="2662">
        <f>SUM(U167:W167)</f>
        <v>0</v>
      </c>
      <c r="Y167" s="2663">
        <f>OCTUBRE!AA167</f>
        <v>0</v>
      </c>
      <c r="Z167" s="2598">
        <v>0</v>
      </c>
      <c r="AA167" s="2662">
        <f>SUM(Y167:Z167)</f>
        <v>0</v>
      </c>
      <c r="AB167" s="2663">
        <f>OCTUBRE!AD167</f>
        <v>0</v>
      </c>
      <c r="AC167" s="2598">
        <v>0</v>
      </c>
      <c r="AD167" s="2662">
        <f>SUM(AB167:AC167)</f>
        <v>0</v>
      </c>
      <c r="AE167" s="2663">
        <f>OCTUBRE!AG167</f>
        <v>0</v>
      </c>
      <c r="AF167" s="2598">
        <v>0</v>
      </c>
      <c r="AG167" s="2662">
        <f>SUM(AE167:AF167)</f>
        <v>0</v>
      </c>
      <c r="AH167" s="2663">
        <f>X167-AA167</f>
        <v>0</v>
      </c>
      <c r="AI167" s="2612">
        <f>X167-AD167</f>
        <v>0</v>
      </c>
      <c r="AJ167" s="2664">
        <f>X167-AG167</f>
        <v>0</v>
      </c>
      <c r="AK167" s="2489"/>
      <c r="AL167" s="2600">
        <v>0</v>
      </c>
      <c r="AM167" s="2601">
        <v>0</v>
      </c>
      <c r="AN167" s="2489"/>
    </row>
    <row r="168" spans="1:40" s="2614" customFormat="1" ht="24.95" customHeight="1">
      <c r="A168" s="2848"/>
      <c r="B168" s="2849"/>
      <c r="N168" s="2489"/>
      <c r="P168" s="2489"/>
      <c r="Q168" s="2489"/>
      <c r="R168" s="2489"/>
      <c r="S168" s="2659">
        <f>+IF(OCTUBRE!S168=0,"",OCTUBRE!S168)</f>
        <v>2020299</v>
      </c>
      <c r="T168" s="2660" t="str">
        <f>+IF(OCTUBRE!T168=0,"",OCTUBRE!T168)</f>
        <v>Vigencias Anteriores</v>
      </c>
      <c r="U168" s="2661">
        <f>+ENERO!U168</f>
        <v>0</v>
      </c>
      <c r="V168" s="2612">
        <f>OCTUBRE!V168+NOVIEMBRE!AL168</f>
        <v>-963545983</v>
      </c>
      <c r="W168" s="2612">
        <f>OCTUBRE!W168+NOVIEMBRE!AM168</f>
        <v>1200000000</v>
      </c>
      <c r="X168" s="2662">
        <f t="shared" si="154"/>
        <v>236454017</v>
      </c>
      <c r="Y168" s="2663">
        <f>OCTUBRE!AA168</f>
        <v>136454017</v>
      </c>
      <c r="Z168" s="2598">
        <v>15591151</v>
      </c>
      <c r="AA168" s="2662">
        <f t="shared" si="155"/>
        <v>152045168</v>
      </c>
      <c r="AB168" s="2663">
        <f>OCTUBRE!AD168</f>
        <v>136454017</v>
      </c>
      <c r="AC168" s="2598">
        <v>15591151</v>
      </c>
      <c r="AD168" s="2662">
        <f t="shared" si="156"/>
        <v>152045168</v>
      </c>
      <c r="AE168" s="2663">
        <f>OCTUBRE!AG168</f>
        <v>136454017</v>
      </c>
      <c r="AF168" s="2598">
        <v>15591151</v>
      </c>
      <c r="AG168" s="2662">
        <f t="shared" si="157"/>
        <v>152045168</v>
      </c>
      <c r="AH168" s="2663">
        <f t="shared" si="158"/>
        <v>84408849</v>
      </c>
      <c r="AI168" s="2612">
        <f t="shared" si="159"/>
        <v>84408849</v>
      </c>
      <c r="AJ168" s="2664">
        <f t="shared" si="160"/>
        <v>84408849</v>
      </c>
      <c r="AK168" s="2489"/>
      <c r="AL168" s="2600">
        <v>0</v>
      </c>
      <c r="AM168" s="2601">
        <v>100000000</v>
      </c>
      <c r="AN168" s="2489"/>
    </row>
    <row r="169" spans="1:40" s="2614" customFormat="1" ht="24.95" customHeight="1">
      <c r="A169" s="2848"/>
      <c r="B169" s="2849"/>
      <c r="N169" s="2489"/>
      <c r="P169" s="2489"/>
      <c r="Q169" s="2489"/>
      <c r="R169" s="2489"/>
      <c r="S169" s="2579" t="str">
        <f>+IF(OCTUBRE!S169=0,"",OCTUBRE!S169)</f>
        <v/>
      </c>
      <c r="T169" s="2580" t="str">
        <f>+IF(OCTUBRE!T169=0,"",OCTUBRE!T169)</f>
        <v/>
      </c>
      <c r="U169" s="2581"/>
      <c r="V169" s="2581"/>
      <c r="W169" s="2581"/>
      <c r="X169" s="2581"/>
      <c r="Y169" s="2581"/>
      <c r="Z169" s="2581"/>
      <c r="AA169" s="2581"/>
      <c r="AB169" s="2581"/>
      <c r="AC169" s="2581"/>
      <c r="AD169" s="2581"/>
      <c r="AE169" s="2581"/>
      <c r="AF169" s="2581">
        <v>0</v>
      </c>
      <c r="AG169" s="2581"/>
      <c r="AH169" s="2581"/>
      <c r="AI169" s="2581"/>
      <c r="AJ169" s="2582"/>
      <c r="AK169" s="2489"/>
      <c r="AL169" s="2769"/>
      <c r="AM169" s="2770"/>
      <c r="AN169" s="2489"/>
    </row>
    <row r="170" spans="1:40" s="2614" customFormat="1" ht="24.95" customHeight="1">
      <c r="A170" s="2848"/>
      <c r="B170" s="2849"/>
      <c r="N170" s="2489"/>
      <c r="P170" s="2489"/>
      <c r="Q170" s="2489"/>
      <c r="R170" s="2489"/>
      <c r="S170" s="2622">
        <f>+IF(OCTUBRE!S170=0,"",OCTUBRE!S170)</f>
        <v>3000000</v>
      </c>
      <c r="T170" s="2807" t="str">
        <f>+IF(OCTUBRE!T170=0,"",OCTUBRE!T170)</f>
        <v>TRANSFERENCIAS CORRIENTES</v>
      </c>
      <c r="U170" s="2808">
        <f t="shared" ref="U170:AJ170" si="161">U172+U176+U185</f>
        <v>139736565</v>
      </c>
      <c r="V170" s="2809">
        <f t="shared" si="161"/>
        <v>-14457430</v>
      </c>
      <c r="W170" s="2809">
        <f t="shared" si="161"/>
        <v>24450868</v>
      </c>
      <c r="X170" s="2810">
        <f t="shared" si="161"/>
        <v>149730003</v>
      </c>
      <c r="Y170" s="2608">
        <f t="shared" si="161"/>
        <v>97639224</v>
      </c>
      <c r="Z170" s="2809">
        <f t="shared" si="161"/>
        <v>7825940</v>
      </c>
      <c r="AA170" s="2810">
        <f t="shared" si="161"/>
        <v>105465164</v>
      </c>
      <c r="AB170" s="2608">
        <f t="shared" si="161"/>
        <v>86764095</v>
      </c>
      <c r="AC170" s="2809">
        <f t="shared" si="161"/>
        <v>7825940</v>
      </c>
      <c r="AD170" s="2810">
        <f t="shared" si="161"/>
        <v>94590035</v>
      </c>
      <c r="AE170" s="2608">
        <f t="shared" si="161"/>
        <v>82379304</v>
      </c>
      <c r="AF170" s="2809">
        <f t="shared" si="161"/>
        <v>7289406</v>
      </c>
      <c r="AG170" s="2810">
        <f t="shared" si="161"/>
        <v>89668710</v>
      </c>
      <c r="AH170" s="2608">
        <f t="shared" si="161"/>
        <v>44264839</v>
      </c>
      <c r="AI170" s="2809">
        <f t="shared" si="161"/>
        <v>55139968</v>
      </c>
      <c r="AJ170" s="2609">
        <f t="shared" si="161"/>
        <v>60061293</v>
      </c>
      <c r="AK170" s="2489"/>
      <c r="AL170" s="2627">
        <f>AL172+AL176+AL185</f>
        <v>-13800000</v>
      </c>
      <c r="AM170" s="2628">
        <f>AM172+AM176+AM185</f>
        <v>0</v>
      </c>
      <c r="AN170" s="2489"/>
    </row>
    <row r="171" spans="1:40" s="2614" customFormat="1" ht="24.95" customHeight="1">
      <c r="A171" s="2848"/>
      <c r="B171" s="2849"/>
      <c r="N171" s="2489"/>
      <c r="P171" s="2489"/>
      <c r="Q171" s="2489"/>
      <c r="R171" s="2489"/>
      <c r="S171" s="2579" t="str">
        <f>+IF(OCTUBRE!S171=0,"",OCTUBRE!S171)</f>
        <v/>
      </c>
      <c r="T171" s="2580" t="str">
        <f>+IF(OCTUBRE!T171=0,"",OCTUBRE!T171)</f>
        <v/>
      </c>
      <c r="U171" s="2581"/>
      <c r="V171" s="2581"/>
      <c r="W171" s="2581"/>
      <c r="X171" s="2581"/>
      <c r="Y171" s="2581"/>
      <c r="Z171" s="2581"/>
      <c r="AA171" s="2581"/>
      <c r="AB171" s="2581"/>
      <c r="AC171" s="2581"/>
      <c r="AD171" s="2581"/>
      <c r="AE171" s="2581"/>
      <c r="AF171" s="2581"/>
      <c r="AG171" s="2581"/>
      <c r="AH171" s="2581"/>
      <c r="AI171" s="2581"/>
      <c r="AJ171" s="2582"/>
      <c r="AK171" s="2489"/>
      <c r="AL171" s="2769"/>
      <c r="AM171" s="2770"/>
      <c r="AN171" s="2489"/>
    </row>
    <row r="172" spans="1:40" s="2614" customFormat="1" ht="24.95" customHeight="1">
      <c r="A172" s="2848"/>
      <c r="B172" s="2849"/>
      <c r="N172" s="2489"/>
      <c r="P172" s="2489"/>
      <c r="Q172" s="2489"/>
      <c r="R172" s="2489"/>
      <c r="S172" s="2651">
        <f>+IF(OCTUBRE!S172=0,"",OCTUBRE!S172)</f>
        <v>3100000</v>
      </c>
      <c r="T172" s="2652" t="str">
        <f>+IF(OCTUBRE!T172=0,"",OCTUBRE!T172)</f>
        <v>Transferencias al Sector Público</v>
      </c>
      <c r="U172" s="2624">
        <f t="shared" ref="U172:AJ172" si="162">SUM(U173:U174)</f>
        <v>39651901</v>
      </c>
      <c r="V172" s="2625">
        <f t="shared" si="162"/>
        <v>5842570</v>
      </c>
      <c r="W172" s="2625">
        <f t="shared" si="162"/>
        <v>21500000</v>
      </c>
      <c r="X172" s="2626">
        <f t="shared" si="162"/>
        <v>66994471</v>
      </c>
      <c r="Y172" s="2627">
        <f t="shared" si="162"/>
        <v>60212786</v>
      </c>
      <c r="Z172" s="2625">
        <f t="shared" si="162"/>
        <v>6780161</v>
      </c>
      <c r="AA172" s="2626">
        <f t="shared" si="162"/>
        <v>66992947</v>
      </c>
      <c r="AB172" s="2627">
        <f t="shared" si="162"/>
        <v>49632744</v>
      </c>
      <c r="AC172" s="2625">
        <f t="shared" si="162"/>
        <v>6780161</v>
      </c>
      <c r="AD172" s="2626">
        <f t="shared" si="162"/>
        <v>56412905</v>
      </c>
      <c r="AE172" s="2627">
        <f t="shared" si="162"/>
        <v>49232746</v>
      </c>
      <c r="AF172" s="2625">
        <f t="shared" si="162"/>
        <v>6243627</v>
      </c>
      <c r="AG172" s="2626">
        <f t="shared" si="162"/>
        <v>55476373</v>
      </c>
      <c r="AH172" s="2627">
        <f t="shared" si="162"/>
        <v>1524</v>
      </c>
      <c r="AI172" s="2625">
        <f t="shared" si="162"/>
        <v>10581566</v>
      </c>
      <c r="AJ172" s="2628">
        <f t="shared" si="162"/>
        <v>11518098</v>
      </c>
      <c r="AK172" s="2489"/>
      <c r="AL172" s="2627">
        <f>SUM(AL173:AL174)</f>
        <v>6200000</v>
      </c>
      <c r="AM172" s="2628">
        <f>SUM(AM173:AM174)</f>
        <v>0</v>
      </c>
      <c r="AN172" s="2489"/>
    </row>
    <row r="173" spans="1:40" s="2614" customFormat="1" ht="24.95" customHeight="1">
      <c r="A173" s="2848"/>
      <c r="B173" s="2849"/>
      <c r="N173" s="2489"/>
      <c r="P173" s="2489"/>
      <c r="Q173" s="2489"/>
      <c r="R173" s="2489"/>
      <c r="S173" s="2659">
        <f>+IF(OCTUBRE!S173=0,"",OCTUBRE!S173)</f>
        <v>3100003</v>
      </c>
      <c r="T173" s="2660" t="str">
        <f>+IF(OCTUBRE!T173=0,"",OCTUBRE!T173)</f>
        <v>Entidades Públicas (Contraloria, Supersalud,…)</v>
      </c>
      <c r="U173" s="2661">
        <f>+ENERO!U173</f>
        <v>39651901</v>
      </c>
      <c r="V173" s="2612">
        <f>OCTUBRE!V173+NOVIEMBRE!AL173</f>
        <v>5842570</v>
      </c>
      <c r="W173" s="2612">
        <f>OCTUBRE!W173+NOVIEMBRE!AM173</f>
        <v>21500000</v>
      </c>
      <c r="X173" s="2662">
        <f>SUM(U173:W173)</f>
        <v>66994471</v>
      </c>
      <c r="Y173" s="2663">
        <f>OCTUBRE!AA173</f>
        <v>60212786</v>
      </c>
      <c r="Z173" s="2598">
        <v>6780161</v>
      </c>
      <c r="AA173" s="2662">
        <f>SUM(Y173:Z173)</f>
        <v>66992947</v>
      </c>
      <c r="AB173" s="2663">
        <f>OCTUBRE!AD173</f>
        <v>49632744</v>
      </c>
      <c r="AC173" s="2598">
        <v>6780161</v>
      </c>
      <c r="AD173" s="2662">
        <f>SUM(AB173:AC173)</f>
        <v>56412905</v>
      </c>
      <c r="AE173" s="2663">
        <f>OCTUBRE!AG173</f>
        <v>49232746</v>
      </c>
      <c r="AF173" s="2598">
        <v>6243627</v>
      </c>
      <c r="AG173" s="2662">
        <f>SUM(AE173:AF173)</f>
        <v>55476373</v>
      </c>
      <c r="AH173" s="2663">
        <f>X173-AA173</f>
        <v>1524</v>
      </c>
      <c r="AI173" s="2612">
        <f>X173-AD173</f>
        <v>10581566</v>
      </c>
      <c r="AJ173" s="2664">
        <f>X173-AG173</f>
        <v>11518098</v>
      </c>
      <c r="AK173" s="2489"/>
      <c r="AL173" s="2600">
        <v>6200000</v>
      </c>
      <c r="AM173" s="2601">
        <v>0</v>
      </c>
      <c r="AN173" s="2489"/>
    </row>
    <row r="174" spans="1:40" s="2614" customFormat="1" ht="24.95" customHeight="1">
      <c r="A174" s="2848"/>
      <c r="B174" s="2849"/>
      <c r="N174" s="2489"/>
      <c r="P174" s="2489"/>
      <c r="Q174" s="2489"/>
      <c r="R174" s="2489"/>
      <c r="S174" s="2659">
        <f>+IF(OCTUBRE!S174=0,"",OCTUBRE!S174)</f>
        <v>3199999</v>
      </c>
      <c r="T174" s="2660" t="str">
        <f>+IF(OCTUBRE!T174=0,"",OCTUBRE!T174)</f>
        <v>Vigencias Anteriores</v>
      </c>
      <c r="U174" s="2661">
        <f>+ENERO!U174</f>
        <v>0</v>
      </c>
      <c r="V174" s="2612">
        <f>OCTUBRE!V174+NOVIEMBRE!AL174</f>
        <v>0</v>
      </c>
      <c r="W174" s="2612">
        <f>OCTUBRE!W174+NOVIEMBRE!AM174</f>
        <v>0</v>
      </c>
      <c r="X174" s="2662">
        <f>SUM(U174:W174)</f>
        <v>0</v>
      </c>
      <c r="Y174" s="2663">
        <f>OCTUBRE!AA174</f>
        <v>0</v>
      </c>
      <c r="Z174" s="2598">
        <v>0</v>
      </c>
      <c r="AA174" s="2662">
        <f>SUM(Y174:Z174)</f>
        <v>0</v>
      </c>
      <c r="AB174" s="2663">
        <f>OCTUBRE!AD174</f>
        <v>0</v>
      </c>
      <c r="AC174" s="2598">
        <v>0</v>
      </c>
      <c r="AD174" s="2662">
        <f>SUM(AB174:AC174)</f>
        <v>0</v>
      </c>
      <c r="AE174" s="2663">
        <f>OCTUBRE!AG174</f>
        <v>0</v>
      </c>
      <c r="AF174" s="2598">
        <v>0</v>
      </c>
      <c r="AG174" s="2662">
        <f>SUM(AE174:AF174)</f>
        <v>0</v>
      </c>
      <c r="AH174" s="2663">
        <f>X174-AA174</f>
        <v>0</v>
      </c>
      <c r="AI174" s="2612">
        <f>X174-AD174</f>
        <v>0</v>
      </c>
      <c r="AJ174" s="2664">
        <f>X174-AG174</f>
        <v>0</v>
      </c>
      <c r="AK174" s="2489"/>
      <c r="AL174" s="2600">
        <v>0</v>
      </c>
      <c r="AM174" s="2601">
        <v>0</v>
      </c>
      <c r="AN174" s="2489"/>
    </row>
    <row r="175" spans="1:40" s="2614" customFormat="1" ht="24.95" customHeight="1">
      <c r="A175" s="2848"/>
      <c r="B175" s="2849"/>
      <c r="N175" s="2489"/>
      <c r="P175" s="2489"/>
      <c r="Q175" s="2489"/>
      <c r="R175" s="2489"/>
      <c r="S175" s="2579" t="str">
        <f>+IF(OCTUBRE!S175=0,"",OCTUBRE!S175)</f>
        <v/>
      </c>
      <c r="T175" s="2580" t="str">
        <f>+IF(OCTUBRE!T175=0,"",OCTUBRE!T175)</f>
        <v/>
      </c>
      <c r="U175" s="2581"/>
      <c r="V175" s="2581"/>
      <c r="W175" s="2581"/>
      <c r="X175" s="2581"/>
      <c r="Y175" s="2581"/>
      <c r="Z175" s="2581"/>
      <c r="AA175" s="2581"/>
      <c r="AB175" s="2581"/>
      <c r="AC175" s="2581"/>
      <c r="AD175" s="2581"/>
      <c r="AE175" s="2581"/>
      <c r="AF175" s="2581"/>
      <c r="AG175" s="2581"/>
      <c r="AH175" s="2581"/>
      <c r="AI175" s="2581"/>
      <c r="AJ175" s="2582"/>
      <c r="AK175" s="2607"/>
      <c r="AL175" s="2769"/>
      <c r="AM175" s="2770"/>
      <c r="AN175" s="2489"/>
    </row>
    <row r="176" spans="1:40" s="2614" customFormat="1" ht="24.95" customHeight="1">
      <c r="A176" s="2848"/>
      <c r="B176" s="2849"/>
      <c r="N176" s="2489"/>
      <c r="P176" s="2489"/>
      <c r="Q176" s="2489"/>
      <c r="R176" s="2489"/>
      <c r="S176" s="2651">
        <f>+IF(OCTUBRE!S176=0,"",OCTUBRE!S176)</f>
        <v>320000</v>
      </c>
      <c r="T176" s="2652" t="str">
        <f>+IF(OCTUBRE!T176=0,"",OCTUBRE!T176)</f>
        <v>Transf. Previsión y Seguridad Social</v>
      </c>
      <c r="U176" s="2624">
        <f t="shared" ref="U176:AJ176" si="163">SUM(U177:U183)</f>
        <v>50084664</v>
      </c>
      <c r="V176" s="2625">
        <f t="shared" si="163"/>
        <v>0</v>
      </c>
      <c r="W176" s="2625">
        <f t="shared" si="163"/>
        <v>0</v>
      </c>
      <c r="X176" s="2626">
        <f t="shared" si="163"/>
        <v>50084664</v>
      </c>
      <c r="Y176" s="2627">
        <f t="shared" si="163"/>
        <v>25176816</v>
      </c>
      <c r="Z176" s="2625">
        <f t="shared" si="163"/>
        <v>1045779</v>
      </c>
      <c r="AA176" s="2626">
        <f t="shared" si="163"/>
        <v>26222595</v>
      </c>
      <c r="AB176" s="2627">
        <f t="shared" si="163"/>
        <v>25176816</v>
      </c>
      <c r="AC176" s="2625">
        <f t="shared" si="163"/>
        <v>1045779</v>
      </c>
      <c r="AD176" s="2626">
        <f t="shared" si="163"/>
        <v>26222595</v>
      </c>
      <c r="AE176" s="2627">
        <f t="shared" si="163"/>
        <v>24285691</v>
      </c>
      <c r="AF176" s="2625">
        <f t="shared" si="163"/>
        <v>1045779</v>
      </c>
      <c r="AG176" s="2626">
        <f t="shared" si="163"/>
        <v>25331470</v>
      </c>
      <c r="AH176" s="2627">
        <f t="shared" si="163"/>
        <v>23862069</v>
      </c>
      <c r="AI176" s="2625">
        <f t="shared" si="163"/>
        <v>23862069</v>
      </c>
      <c r="AJ176" s="2628">
        <f t="shared" si="163"/>
        <v>24753194</v>
      </c>
      <c r="AK176" s="2489"/>
      <c r="AL176" s="2627">
        <f>SUM(AL177:AL183)</f>
        <v>0</v>
      </c>
      <c r="AM176" s="2628">
        <f>SUM(AM177:AM183)</f>
        <v>0</v>
      </c>
      <c r="AN176" s="2489"/>
    </row>
    <row r="177" spans="1:40" s="2614" customFormat="1" ht="24.95" customHeight="1">
      <c r="A177" s="2848"/>
      <c r="B177" s="2849"/>
      <c r="N177" s="2489"/>
      <c r="P177" s="2489"/>
      <c r="Q177" s="2489"/>
      <c r="R177" s="2489"/>
      <c r="S177" s="2659">
        <f>+IF(OCTUBRE!S177=0,"",OCTUBRE!S177)</f>
        <v>3200100</v>
      </c>
      <c r="T177" s="2660" t="str">
        <f>+IF(OCTUBRE!T177=0,"",OCTUBRE!T177)</f>
        <v>Pensiones y Jubilaciones (Pago Directo)</v>
      </c>
      <c r="U177" s="2661">
        <f>+ENERO!U177</f>
        <v>18619412</v>
      </c>
      <c r="V177" s="2612">
        <f>OCTUBRE!V177+NOVIEMBRE!AL177</f>
        <v>0</v>
      </c>
      <c r="W177" s="2612">
        <f>OCTUBRE!W177+NOVIEMBRE!AM177</f>
        <v>0</v>
      </c>
      <c r="X177" s="2662">
        <f t="shared" ref="X177:X183" si="164">SUM(U177:W177)</f>
        <v>18619412</v>
      </c>
      <c r="Y177" s="2663">
        <f>OCTUBRE!AA177</f>
        <v>11107944</v>
      </c>
      <c r="Z177" s="2598">
        <v>493376</v>
      </c>
      <c r="AA177" s="2662">
        <f t="shared" ref="AA177:AA183" si="165">SUM(Y177:Z177)</f>
        <v>11601320</v>
      </c>
      <c r="AB177" s="2663">
        <f>OCTUBRE!AD177</f>
        <v>11107944</v>
      </c>
      <c r="AC177" s="2598">
        <v>493376</v>
      </c>
      <c r="AD177" s="2662">
        <f t="shared" ref="AD177:AD183" si="166">SUM(AB177:AC177)</f>
        <v>11601320</v>
      </c>
      <c r="AE177" s="2663">
        <f>OCTUBRE!AG177</f>
        <v>11107944</v>
      </c>
      <c r="AF177" s="2598">
        <v>493376</v>
      </c>
      <c r="AG177" s="2662">
        <f t="shared" ref="AG177:AG183" si="167">SUM(AE177:AF177)</f>
        <v>11601320</v>
      </c>
      <c r="AH177" s="2663">
        <f t="shared" ref="AH177:AH183" si="168">X177-AA177</f>
        <v>7018092</v>
      </c>
      <c r="AI177" s="2612">
        <f t="shared" ref="AI177:AI183" si="169">X177-AD177</f>
        <v>7018092</v>
      </c>
      <c r="AJ177" s="2664">
        <f t="shared" ref="AJ177:AJ183" si="170">X177-AG177</f>
        <v>7018092</v>
      </c>
      <c r="AK177" s="2489"/>
      <c r="AL177" s="2600">
        <v>0</v>
      </c>
      <c r="AM177" s="2601">
        <v>0</v>
      </c>
      <c r="AN177" s="2489"/>
    </row>
    <row r="178" spans="1:40" s="2614" customFormat="1" ht="24.95" customHeight="1">
      <c r="A178" s="2848"/>
      <c r="B178" s="2849"/>
      <c r="N178" s="2489"/>
      <c r="P178" s="2489"/>
      <c r="Q178" s="2489"/>
      <c r="R178" s="2489"/>
      <c r="S178" s="2659">
        <f>+IF(OCTUBRE!S178=0,"",OCTUBRE!S178)</f>
        <v>3200200</v>
      </c>
      <c r="T178" s="2660" t="str">
        <f>+IF(OCTUBRE!T178=0,"",OCTUBRE!T178)</f>
        <v>Cesantías Pago Directo (Pago Directo)</v>
      </c>
      <c r="U178" s="2661">
        <f>+ENERO!U178</f>
        <v>14936566</v>
      </c>
      <c r="V178" s="2612">
        <f>OCTUBRE!V178+NOVIEMBRE!AL178</f>
        <v>0</v>
      </c>
      <c r="W178" s="2612">
        <f>OCTUBRE!W178+NOVIEMBRE!AM178</f>
        <v>0</v>
      </c>
      <c r="X178" s="2662">
        <f t="shared" si="164"/>
        <v>14936566</v>
      </c>
      <c r="Y178" s="2663">
        <f>OCTUBRE!AA178</f>
        <v>331170</v>
      </c>
      <c r="Z178" s="2598">
        <v>0</v>
      </c>
      <c r="AA178" s="2662">
        <f t="shared" si="165"/>
        <v>331170</v>
      </c>
      <c r="AB178" s="2663">
        <f>OCTUBRE!AD178</f>
        <v>331170</v>
      </c>
      <c r="AC178" s="2598">
        <v>0</v>
      </c>
      <c r="AD178" s="2662">
        <f t="shared" si="166"/>
        <v>331170</v>
      </c>
      <c r="AE178" s="2663">
        <f>OCTUBRE!AG178</f>
        <v>331170</v>
      </c>
      <c r="AF178" s="2598">
        <v>0</v>
      </c>
      <c r="AG178" s="2662">
        <f t="shared" si="167"/>
        <v>331170</v>
      </c>
      <c r="AH178" s="2663">
        <f t="shared" si="168"/>
        <v>14605396</v>
      </c>
      <c r="AI178" s="2612">
        <f t="shared" si="169"/>
        <v>14605396</v>
      </c>
      <c r="AJ178" s="2664">
        <f t="shared" si="170"/>
        <v>14605396</v>
      </c>
      <c r="AK178" s="2489"/>
      <c r="AL178" s="2600">
        <v>0</v>
      </c>
      <c r="AM178" s="2601">
        <v>0</v>
      </c>
      <c r="AN178" s="2489"/>
    </row>
    <row r="179" spans="1:40" s="2614" customFormat="1" ht="24.95" customHeight="1">
      <c r="A179" s="2848"/>
      <c r="B179" s="2849"/>
      <c r="N179" s="2489"/>
      <c r="P179" s="2489"/>
      <c r="Q179" s="2489"/>
      <c r="R179" s="2489"/>
      <c r="S179" s="2659">
        <f>+IF(OCTUBRE!S179=0,"",OCTUBRE!S179)</f>
        <v>3200300</v>
      </c>
      <c r="T179" s="2660" t="str">
        <f>+IF(OCTUBRE!T179=0,"",OCTUBRE!T179)</f>
        <v>Bonos, Cuotas de Bonos y cuotas partes jubilatorias</v>
      </c>
      <c r="U179" s="2661">
        <f>+ENERO!U179</f>
        <v>0</v>
      </c>
      <c r="V179" s="2612">
        <f>OCTUBRE!V179+NOVIEMBRE!AL179</f>
        <v>4000000</v>
      </c>
      <c r="W179" s="2612">
        <f>OCTUBRE!W179+NOVIEMBRE!AM179</f>
        <v>0</v>
      </c>
      <c r="X179" s="2662">
        <f t="shared" si="164"/>
        <v>4000000</v>
      </c>
      <c r="Y179" s="2663">
        <f>OCTUBRE!AA179</f>
        <v>1960260</v>
      </c>
      <c r="Z179" s="2598">
        <v>361175</v>
      </c>
      <c r="AA179" s="2662">
        <f t="shared" si="165"/>
        <v>2321435</v>
      </c>
      <c r="AB179" s="2663">
        <f>OCTUBRE!AD179</f>
        <v>1960260</v>
      </c>
      <c r="AC179" s="2598">
        <v>361175</v>
      </c>
      <c r="AD179" s="2662">
        <f t="shared" si="166"/>
        <v>2321435</v>
      </c>
      <c r="AE179" s="2663">
        <f>OCTUBRE!AG179</f>
        <v>1069135</v>
      </c>
      <c r="AF179" s="2598">
        <v>361175</v>
      </c>
      <c r="AG179" s="2662">
        <f t="shared" si="167"/>
        <v>1430310</v>
      </c>
      <c r="AH179" s="2663">
        <f t="shared" si="168"/>
        <v>1678565</v>
      </c>
      <c r="AI179" s="2612">
        <f t="shared" si="169"/>
        <v>1678565</v>
      </c>
      <c r="AJ179" s="2664">
        <f t="shared" si="170"/>
        <v>2569690</v>
      </c>
      <c r="AK179" s="2489"/>
      <c r="AL179" s="2600">
        <v>0</v>
      </c>
      <c r="AM179" s="2601">
        <v>0</v>
      </c>
      <c r="AN179" s="2489"/>
    </row>
    <row r="180" spans="1:40" s="2614" customFormat="1" ht="24.95" customHeight="1">
      <c r="A180" s="2848"/>
      <c r="B180" s="2849"/>
      <c r="N180" s="2489"/>
      <c r="P180" s="2489"/>
      <c r="Q180" s="2489"/>
      <c r="R180" s="2489"/>
      <c r="S180" s="2659">
        <f>+IF(OCTUBRE!S180=0,"",OCTUBRE!S180)</f>
        <v>3200400</v>
      </c>
      <c r="T180" s="2660" t="str">
        <f>+IF(OCTUBRE!T180=0,"",OCTUBRE!T180)</f>
        <v>Intereses a las cesantias</v>
      </c>
      <c r="U180" s="2661">
        <f>+ENERO!U180</f>
        <v>16528686</v>
      </c>
      <c r="V180" s="2612">
        <f>OCTUBRE!V180+NOVIEMBRE!AL180</f>
        <v>-4000000</v>
      </c>
      <c r="W180" s="2612">
        <f>OCTUBRE!W180+NOVIEMBRE!AM180</f>
        <v>0</v>
      </c>
      <c r="X180" s="2662">
        <f t="shared" si="164"/>
        <v>12528686</v>
      </c>
      <c r="Y180" s="2663">
        <f>OCTUBRE!AA180</f>
        <v>11777442</v>
      </c>
      <c r="Z180" s="2598">
        <v>191228</v>
      </c>
      <c r="AA180" s="2662">
        <f t="shared" si="165"/>
        <v>11968670</v>
      </c>
      <c r="AB180" s="2663">
        <f>OCTUBRE!AD180</f>
        <v>11777442</v>
      </c>
      <c r="AC180" s="2598">
        <v>191228</v>
      </c>
      <c r="AD180" s="2662">
        <f t="shared" si="166"/>
        <v>11968670</v>
      </c>
      <c r="AE180" s="2663">
        <f>OCTUBRE!AG180</f>
        <v>11777442</v>
      </c>
      <c r="AF180" s="2598">
        <v>191228</v>
      </c>
      <c r="AG180" s="2662">
        <f t="shared" si="167"/>
        <v>11968670</v>
      </c>
      <c r="AH180" s="2663">
        <f t="shared" si="168"/>
        <v>560016</v>
      </c>
      <c r="AI180" s="2612">
        <f t="shared" si="169"/>
        <v>560016</v>
      </c>
      <c r="AJ180" s="2664">
        <f t="shared" si="170"/>
        <v>560016</v>
      </c>
      <c r="AK180" s="2489"/>
      <c r="AL180" s="2600">
        <v>0</v>
      </c>
      <c r="AM180" s="2601">
        <v>0</v>
      </c>
      <c r="AN180" s="2489"/>
    </row>
    <row r="181" spans="1:40" s="2614" customFormat="1" ht="24.95" customHeight="1">
      <c r="A181" s="2848"/>
      <c r="B181" s="2849"/>
      <c r="N181" s="2489"/>
      <c r="P181" s="2489"/>
      <c r="Q181" s="2489"/>
      <c r="R181" s="2489"/>
      <c r="S181" s="2659" t="str">
        <f>+IF(OCTUBRE!S181=0,"",OCTUBRE!S181)</f>
        <v/>
      </c>
      <c r="T181" s="2660" t="str">
        <f>+IF(OCTUBRE!T181=0,"",OCTUBRE!T181)</f>
        <v/>
      </c>
      <c r="U181" s="2661">
        <f>+ENERO!U181</f>
        <v>0</v>
      </c>
      <c r="V181" s="2612">
        <f>OCTUBRE!V181+NOVIEMBRE!AL181</f>
        <v>0</v>
      </c>
      <c r="W181" s="2612">
        <f>OCTUBRE!W181+NOVIEMBRE!AM181</f>
        <v>0</v>
      </c>
      <c r="X181" s="2662">
        <f t="shared" si="164"/>
        <v>0</v>
      </c>
      <c r="Y181" s="2663">
        <f>OCTUBRE!AA181</f>
        <v>0</v>
      </c>
      <c r="Z181" s="2598">
        <v>0</v>
      </c>
      <c r="AA181" s="2662">
        <f t="shared" si="165"/>
        <v>0</v>
      </c>
      <c r="AB181" s="2663">
        <f>OCTUBRE!AD181</f>
        <v>0</v>
      </c>
      <c r="AC181" s="2598">
        <v>0</v>
      </c>
      <c r="AD181" s="2662">
        <f t="shared" si="166"/>
        <v>0</v>
      </c>
      <c r="AE181" s="2663">
        <f>OCTUBRE!AG181</f>
        <v>0</v>
      </c>
      <c r="AF181" s="2598">
        <v>0</v>
      </c>
      <c r="AG181" s="2662">
        <f t="shared" si="167"/>
        <v>0</v>
      </c>
      <c r="AH181" s="2663">
        <f t="shared" si="168"/>
        <v>0</v>
      </c>
      <c r="AI181" s="2612">
        <f t="shared" si="169"/>
        <v>0</v>
      </c>
      <c r="AJ181" s="2664">
        <f t="shared" si="170"/>
        <v>0</v>
      </c>
      <c r="AK181" s="2489"/>
      <c r="AL181" s="2600">
        <v>0</v>
      </c>
      <c r="AM181" s="2601">
        <v>0</v>
      </c>
      <c r="AN181" s="2489"/>
    </row>
    <row r="182" spans="1:40" s="2614" customFormat="1" ht="24.95" customHeight="1">
      <c r="A182" s="2848"/>
      <c r="B182" s="2849"/>
      <c r="N182" s="2489"/>
      <c r="P182" s="2489"/>
      <c r="Q182" s="2489"/>
      <c r="R182" s="2489"/>
      <c r="S182" s="2659" t="str">
        <f>+IF(OCTUBRE!S182=0,"",OCTUBRE!S182)</f>
        <v/>
      </c>
      <c r="T182" s="2660" t="str">
        <f>+IF(OCTUBRE!T182=0,"",OCTUBRE!T182)</f>
        <v/>
      </c>
      <c r="U182" s="2661">
        <f>+ENERO!U182</f>
        <v>0</v>
      </c>
      <c r="V182" s="2612">
        <f>OCTUBRE!V182+NOVIEMBRE!AL182</f>
        <v>0</v>
      </c>
      <c r="W182" s="2612">
        <f>OCTUBRE!W182+NOVIEMBRE!AM182</f>
        <v>0</v>
      </c>
      <c r="X182" s="2662">
        <f t="shared" si="164"/>
        <v>0</v>
      </c>
      <c r="Y182" s="2663">
        <f>OCTUBRE!AA182</f>
        <v>0</v>
      </c>
      <c r="Z182" s="2598">
        <v>0</v>
      </c>
      <c r="AA182" s="2662">
        <f t="shared" si="165"/>
        <v>0</v>
      </c>
      <c r="AB182" s="2663">
        <f>OCTUBRE!AD182</f>
        <v>0</v>
      </c>
      <c r="AC182" s="2598">
        <v>0</v>
      </c>
      <c r="AD182" s="2662">
        <f t="shared" si="166"/>
        <v>0</v>
      </c>
      <c r="AE182" s="2663">
        <f>OCTUBRE!AG182</f>
        <v>0</v>
      </c>
      <c r="AF182" s="2598">
        <v>0</v>
      </c>
      <c r="AG182" s="2662">
        <f t="shared" si="167"/>
        <v>0</v>
      </c>
      <c r="AH182" s="2663">
        <f t="shared" si="168"/>
        <v>0</v>
      </c>
      <c r="AI182" s="2612">
        <f t="shared" si="169"/>
        <v>0</v>
      </c>
      <c r="AJ182" s="2664">
        <f t="shared" si="170"/>
        <v>0</v>
      </c>
      <c r="AK182" s="2489"/>
      <c r="AL182" s="2600">
        <v>0</v>
      </c>
      <c r="AM182" s="2601">
        <v>0</v>
      </c>
      <c r="AN182" s="2489"/>
    </row>
    <row r="183" spans="1:40" s="2614" customFormat="1" ht="24.95" customHeight="1">
      <c r="A183" s="2848"/>
      <c r="B183" s="2849"/>
      <c r="N183" s="2489"/>
      <c r="P183" s="2489"/>
      <c r="Q183" s="2489"/>
      <c r="R183" s="2489"/>
      <c r="S183" s="2659">
        <f>+IF(OCTUBRE!S183=0,"",OCTUBRE!S183)</f>
        <v>3299999</v>
      </c>
      <c r="T183" s="2660" t="str">
        <f>+IF(OCTUBRE!T183=0,"",OCTUBRE!T183)</f>
        <v>Vigencias Anteriores</v>
      </c>
      <c r="U183" s="2661">
        <f>+ENERO!U183</f>
        <v>0</v>
      </c>
      <c r="V183" s="2612">
        <f>OCTUBRE!V183+NOVIEMBRE!AL183</f>
        <v>0</v>
      </c>
      <c r="W183" s="2612">
        <f>OCTUBRE!W183+NOVIEMBRE!AM183</f>
        <v>0</v>
      </c>
      <c r="X183" s="2662">
        <f t="shared" si="164"/>
        <v>0</v>
      </c>
      <c r="Y183" s="2663">
        <f>OCTUBRE!AA183</f>
        <v>0</v>
      </c>
      <c r="Z183" s="2598">
        <v>0</v>
      </c>
      <c r="AA183" s="2662">
        <f t="shared" si="165"/>
        <v>0</v>
      </c>
      <c r="AB183" s="2663">
        <f>OCTUBRE!AD183</f>
        <v>0</v>
      </c>
      <c r="AC183" s="2598">
        <v>0</v>
      </c>
      <c r="AD183" s="2662">
        <f t="shared" si="166"/>
        <v>0</v>
      </c>
      <c r="AE183" s="2663">
        <f>OCTUBRE!AG183</f>
        <v>0</v>
      </c>
      <c r="AF183" s="2598">
        <v>0</v>
      </c>
      <c r="AG183" s="2662">
        <f t="shared" si="167"/>
        <v>0</v>
      </c>
      <c r="AH183" s="2663">
        <f t="shared" si="168"/>
        <v>0</v>
      </c>
      <c r="AI183" s="2612">
        <f t="shared" si="169"/>
        <v>0</v>
      </c>
      <c r="AJ183" s="2664">
        <f t="shared" si="170"/>
        <v>0</v>
      </c>
      <c r="AK183" s="2489"/>
      <c r="AL183" s="2600">
        <v>0</v>
      </c>
      <c r="AM183" s="2601">
        <v>0</v>
      </c>
      <c r="AN183" s="2489"/>
    </row>
    <row r="184" spans="1:40" s="2614" customFormat="1" ht="24.95" customHeight="1">
      <c r="A184" s="2848"/>
      <c r="B184" s="2849"/>
      <c r="N184" s="2489"/>
      <c r="P184" s="2489"/>
      <c r="Q184" s="2489"/>
      <c r="R184" s="2489"/>
      <c r="S184" s="2579" t="str">
        <f>+IF(OCTUBRE!S184=0,"",OCTUBRE!S184)</f>
        <v/>
      </c>
      <c r="T184" s="2580" t="str">
        <f>+IF(OCTUBRE!T184=0,"",OCTUBRE!T184)</f>
        <v/>
      </c>
      <c r="U184" s="2581"/>
      <c r="V184" s="2581"/>
      <c r="W184" s="2581"/>
      <c r="X184" s="2581"/>
      <c r="Y184" s="2581"/>
      <c r="Z184" s="2581"/>
      <c r="AA184" s="2581"/>
      <c r="AB184" s="2581"/>
      <c r="AC184" s="2581"/>
      <c r="AD184" s="2581"/>
      <c r="AE184" s="2581"/>
      <c r="AF184" s="2581"/>
      <c r="AG184" s="2581"/>
      <c r="AH184" s="2581"/>
      <c r="AI184" s="2581"/>
      <c r="AJ184" s="2582"/>
      <c r="AK184" s="2489"/>
      <c r="AL184" s="2769"/>
      <c r="AM184" s="2770"/>
      <c r="AN184" s="2489"/>
    </row>
    <row r="185" spans="1:40" s="2614" customFormat="1" ht="24.95" customHeight="1">
      <c r="A185" s="2848"/>
      <c r="B185" s="2849"/>
      <c r="N185" s="2489"/>
      <c r="P185" s="2489"/>
      <c r="Q185" s="2489"/>
      <c r="R185" s="2489"/>
      <c r="S185" s="2651">
        <f>+IF(OCTUBRE!S185=0,"",OCTUBRE!S185)</f>
        <v>3300000</v>
      </c>
      <c r="T185" s="2652" t="str">
        <f>+IF(OCTUBRE!T185=0,"",OCTUBRE!T185)</f>
        <v>Otras Transferencias</v>
      </c>
      <c r="U185" s="2624">
        <f t="shared" ref="U185:AJ185" si="171">U186+U187+U191</f>
        <v>50000000</v>
      </c>
      <c r="V185" s="2625">
        <f t="shared" si="171"/>
        <v>-20300000</v>
      </c>
      <c r="W185" s="2625">
        <f t="shared" si="171"/>
        <v>2950868</v>
      </c>
      <c r="X185" s="2626">
        <f t="shared" si="171"/>
        <v>32650868</v>
      </c>
      <c r="Y185" s="2627">
        <f t="shared" si="171"/>
        <v>12249622</v>
      </c>
      <c r="Z185" s="2625">
        <f t="shared" si="171"/>
        <v>0</v>
      </c>
      <c r="AA185" s="2626">
        <f t="shared" si="171"/>
        <v>12249622</v>
      </c>
      <c r="AB185" s="2627">
        <f t="shared" si="171"/>
        <v>11954535</v>
      </c>
      <c r="AC185" s="2625">
        <f t="shared" si="171"/>
        <v>0</v>
      </c>
      <c r="AD185" s="2626">
        <f t="shared" si="171"/>
        <v>11954535</v>
      </c>
      <c r="AE185" s="2627">
        <f t="shared" si="171"/>
        <v>8860867</v>
      </c>
      <c r="AF185" s="2625">
        <f t="shared" si="171"/>
        <v>0</v>
      </c>
      <c r="AG185" s="2626">
        <f t="shared" si="171"/>
        <v>8860867</v>
      </c>
      <c r="AH185" s="2627">
        <f t="shared" si="171"/>
        <v>20401246</v>
      </c>
      <c r="AI185" s="2625">
        <f t="shared" si="171"/>
        <v>20696333</v>
      </c>
      <c r="AJ185" s="2628">
        <f t="shared" si="171"/>
        <v>23790001</v>
      </c>
      <c r="AK185" s="2489"/>
      <c r="AL185" s="2627">
        <f>AL186+AL187+AL191</f>
        <v>-20000000</v>
      </c>
      <c r="AM185" s="2628">
        <f>AM186+AM187+AM191</f>
        <v>0</v>
      </c>
      <c r="AN185" s="2489"/>
    </row>
    <row r="186" spans="1:40" s="2614" customFormat="1" ht="24.95" customHeight="1">
      <c r="A186" s="2848"/>
      <c r="B186" s="2849"/>
      <c r="N186" s="2489"/>
      <c r="P186" s="2489"/>
      <c r="Q186" s="2489"/>
      <c r="R186" s="2489"/>
      <c r="S186" s="2659">
        <f>+IF(OCTUBRE!S186=0,"",OCTUBRE!S186)</f>
        <v>3300100</v>
      </c>
      <c r="T186" s="2660" t="str">
        <f>+IF(OCTUBRE!T186=0,"",OCTUBRE!T186)</f>
        <v>Sentencias y Conciliaciones</v>
      </c>
      <c r="U186" s="2661">
        <f>+ENERO!U186</f>
        <v>50000000</v>
      </c>
      <c r="V186" s="2612">
        <f>OCTUBRE!V186+NOVIEMBRE!AL186</f>
        <v>-23393668</v>
      </c>
      <c r="W186" s="2612">
        <f>OCTUBRE!W186+NOVIEMBRE!AM186</f>
        <v>0</v>
      </c>
      <c r="X186" s="2662">
        <f>SUM(U186:W186)</f>
        <v>26606332</v>
      </c>
      <c r="Y186" s="2663">
        <f>OCTUBRE!AA186</f>
        <v>6205086</v>
      </c>
      <c r="Z186" s="2598">
        <v>0</v>
      </c>
      <c r="AA186" s="2662">
        <f>SUM(Y186:Z186)</f>
        <v>6205086</v>
      </c>
      <c r="AB186" s="2663">
        <f>OCTUBRE!AD186</f>
        <v>6205086</v>
      </c>
      <c r="AC186" s="2598">
        <v>0</v>
      </c>
      <c r="AD186" s="2662">
        <f>SUM(AB186:AC186)</f>
        <v>6205086</v>
      </c>
      <c r="AE186" s="2663">
        <f>OCTUBRE!AG186</f>
        <v>6205086</v>
      </c>
      <c r="AF186" s="2598">
        <v>0</v>
      </c>
      <c r="AG186" s="2662">
        <f>SUM(AE186:AF186)</f>
        <v>6205086</v>
      </c>
      <c r="AH186" s="2663">
        <f>X186-AA186</f>
        <v>20401246</v>
      </c>
      <c r="AI186" s="2612">
        <f>X186-AD186</f>
        <v>20401246</v>
      </c>
      <c r="AJ186" s="2664">
        <f>X186-AG186</f>
        <v>20401246</v>
      </c>
      <c r="AK186" s="2489"/>
      <c r="AL186" s="2600">
        <v>-20000000</v>
      </c>
      <c r="AM186" s="2601">
        <v>0</v>
      </c>
      <c r="AN186" s="2489"/>
    </row>
    <row r="187" spans="1:40" s="2614" customFormat="1" ht="24.95" customHeight="1">
      <c r="A187" s="2848"/>
      <c r="B187" s="2849"/>
      <c r="N187" s="2489"/>
      <c r="P187" s="2489"/>
      <c r="Q187" s="2489"/>
      <c r="R187" s="2489"/>
      <c r="S187" s="2659">
        <f>+IF(OCTUBRE!S187=0,"",OCTUBRE!S187)</f>
        <v>3300200</v>
      </c>
      <c r="T187" s="2660" t="str">
        <f>+IF(OCTUBRE!T187=0,"",OCTUBRE!T187)</f>
        <v>Destinatarios de otras transferencias</v>
      </c>
      <c r="U187" s="2661">
        <f t="shared" ref="U187:AM187" si="172">SUM(U188:U190)</f>
        <v>0</v>
      </c>
      <c r="V187" s="2612">
        <f t="shared" si="172"/>
        <v>3093668</v>
      </c>
      <c r="W187" s="2612">
        <f t="shared" si="172"/>
        <v>2950868</v>
      </c>
      <c r="X187" s="2662">
        <f t="shared" si="172"/>
        <v>6044536</v>
      </c>
      <c r="Y187" s="2663">
        <f t="shared" si="172"/>
        <v>6044536</v>
      </c>
      <c r="Z187" s="2691">
        <f t="shared" si="172"/>
        <v>0</v>
      </c>
      <c r="AA187" s="2662">
        <f t="shared" si="172"/>
        <v>6044536</v>
      </c>
      <c r="AB187" s="2663">
        <f t="shared" si="172"/>
        <v>5749449</v>
      </c>
      <c r="AC187" s="2691">
        <f t="shared" si="172"/>
        <v>0</v>
      </c>
      <c r="AD187" s="2662">
        <f t="shared" si="172"/>
        <v>5749449</v>
      </c>
      <c r="AE187" s="2663">
        <f t="shared" si="172"/>
        <v>2655781</v>
      </c>
      <c r="AF187" s="2691">
        <f t="shared" si="172"/>
        <v>0</v>
      </c>
      <c r="AG187" s="2662">
        <f t="shared" si="172"/>
        <v>2655781</v>
      </c>
      <c r="AH187" s="2663">
        <f t="shared" si="172"/>
        <v>0</v>
      </c>
      <c r="AI187" s="2612">
        <f t="shared" si="172"/>
        <v>295087</v>
      </c>
      <c r="AJ187" s="2664">
        <f t="shared" si="172"/>
        <v>3388755</v>
      </c>
      <c r="AK187" s="2489"/>
      <c r="AL187" s="2692">
        <f t="shared" si="172"/>
        <v>0</v>
      </c>
      <c r="AM187" s="2693">
        <f t="shared" si="172"/>
        <v>0</v>
      </c>
      <c r="AN187" s="2489"/>
    </row>
    <row r="188" spans="1:40" s="2614" customFormat="1" ht="24.95" customHeight="1">
      <c r="A188" s="2848"/>
      <c r="B188" s="2851"/>
      <c r="N188" s="2489"/>
      <c r="P188" s="2489"/>
      <c r="Q188" s="2489"/>
      <c r="R188" s="2489"/>
      <c r="S188" s="2705" t="str">
        <f>+IF(OCTUBRE!S188=0,"",OCTUBRE!S188)</f>
        <v>3300200-1</v>
      </c>
      <c r="T188" s="2660" t="str">
        <f>+IF(OCTUBRE!T188=0,"",OCTUBRE!T188)</f>
        <v>COHAN</v>
      </c>
      <c r="U188" s="2661">
        <f>+ENERO!U188</f>
        <v>0</v>
      </c>
      <c r="V188" s="2612">
        <f>OCTUBRE!V188+NOVIEMBRE!AL188</f>
        <v>3093668</v>
      </c>
      <c r="W188" s="2612">
        <f>OCTUBRE!W188+NOVIEMBRE!AM188</f>
        <v>0</v>
      </c>
      <c r="X188" s="2662">
        <f>SUM(U188:W188)</f>
        <v>3093668</v>
      </c>
      <c r="Y188" s="2663">
        <f>OCTUBRE!AA188</f>
        <v>3093668</v>
      </c>
      <c r="Z188" s="2598">
        <v>0</v>
      </c>
      <c r="AA188" s="2662">
        <f>SUM(Y188:Z188)</f>
        <v>3093668</v>
      </c>
      <c r="AB188" s="2663">
        <f>OCTUBRE!AD188</f>
        <v>3093668</v>
      </c>
      <c r="AC188" s="2598">
        <v>0</v>
      </c>
      <c r="AD188" s="2662">
        <f>SUM(AB188:AC188)</f>
        <v>3093668</v>
      </c>
      <c r="AE188" s="2663">
        <f>OCTUBRE!AG188</f>
        <v>0</v>
      </c>
      <c r="AF188" s="2598">
        <v>0</v>
      </c>
      <c r="AG188" s="2662">
        <f>SUM(AE188:AF188)</f>
        <v>0</v>
      </c>
      <c r="AH188" s="2663">
        <f>X188-AA188</f>
        <v>0</v>
      </c>
      <c r="AI188" s="2612">
        <f>X188-AD188</f>
        <v>0</v>
      </c>
      <c r="AJ188" s="2664">
        <f>X188-AG188</f>
        <v>3093668</v>
      </c>
      <c r="AK188" s="2489"/>
      <c r="AL188" s="2600">
        <v>0</v>
      </c>
      <c r="AM188" s="2601">
        <v>0</v>
      </c>
      <c r="AN188" s="2489"/>
    </row>
    <row r="189" spans="1:40" s="2614" customFormat="1" ht="24.95" customHeight="1">
      <c r="A189" s="2848"/>
      <c r="B189" s="2851"/>
      <c r="N189" s="2489"/>
      <c r="P189" s="2489"/>
      <c r="Q189" s="2489"/>
      <c r="R189" s="2489"/>
      <c r="S189" s="2705" t="str">
        <f>+IF(OCTUBRE!S189=0,"",OCTUBRE!S189)</f>
        <v>3300200-2</v>
      </c>
      <c r="T189" s="2660" t="str">
        <f>+IF(OCTUBRE!T189=0,"",OCTUBRE!T189)</f>
        <v>AESA</v>
      </c>
      <c r="U189" s="2661">
        <f>+ENERO!U189</f>
        <v>0</v>
      </c>
      <c r="V189" s="2612">
        <f>OCTUBRE!V189+NOVIEMBRE!AL189</f>
        <v>0</v>
      </c>
      <c r="W189" s="2612">
        <f>OCTUBRE!W189+NOVIEMBRE!AM189</f>
        <v>2950868</v>
      </c>
      <c r="X189" s="2662">
        <f>SUM(U189:W189)</f>
        <v>2950868</v>
      </c>
      <c r="Y189" s="2663">
        <f>OCTUBRE!AA189</f>
        <v>2950868</v>
      </c>
      <c r="Z189" s="2598">
        <v>0</v>
      </c>
      <c r="AA189" s="2662">
        <f>SUM(Y189:Z189)</f>
        <v>2950868</v>
      </c>
      <c r="AB189" s="2663">
        <f>OCTUBRE!AD189</f>
        <v>2655781</v>
      </c>
      <c r="AC189" s="2598">
        <v>0</v>
      </c>
      <c r="AD189" s="2662">
        <f>SUM(AB189:AC189)</f>
        <v>2655781</v>
      </c>
      <c r="AE189" s="2663">
        <f>OCTUBRE!AG189</f>
        <v>2655781</v>
      </c>
      <c r="AF189" s="2598">
        <v>0</v>
      </c>
      <c r="AG189" s="2662">
        <f>SUM(AE189:AF189)</f>
        <v>2655781</v>
      </c>
      <c r="AH189" s="2663">
        <f>X189-AA189</f>
        <v>0</v>
      </c>
      <c r="AI189" s="2612">
        <f>X189-AD189</f>
        <v>295087</v>
      </c>
      <c r="AJ189" s="2664">
        <f>X189-AG189</f>
        <v>295087</v>
      </c>
      <c r="AK189" s="2489"/>
      <c r="AL189" s="2600">
        <v>0</v>
      </c>
      <c r="AM189" s="2601">
        <v>0</v>
      </c>
      <c r="AN189" s="2489"/>
    </row>
    <row r="190" spans="1:40" s="2614" customFormat="1" ht="24.95" customHeight="1">
      <c r="A190" s="2848"/>
      <c r="B190" s="2851"/>
      <c r="N190" s="2489"/>
      <c r="P190" s="2489"/>
      <c r="Q190" s="2489"/>
      <c r="R190" s="2489"/>
      <c r="S190" s="2705" t="str">
        <f>+IF(OCTUBRE!S190=0,"",OCTUBRE!S190)</f>
        <v>3300200-3</v>
      </c>
      <c r="T190" s="2660" t="str">
        <f>+IF(OCTUBRE!T190=0,"",OCTUBRE!T190)</f>
        <v xml:space="preserve">OTRAS </v>
      </c>
      <c r="U190" s="2661">
        <f>+ENERO!U190</f>
        <v>0</v>
      </c>
      <c r="V190" s="2612">
        <f>OCTUBRE!V190+NOVIEMBRE!AL190</f>
        <v>0</v>
      </c>
      <c r="W190" s="2612">
        <f>OCTUBRE!W190+NOVIEMBRE!AM190</f>
        <v>0</v>
      </c>
      <c r="X190" s="2662">
        <f>SUM(U190:W190)</f>
        <v>0</v>
      </c>
      <c r="Y190" s="2663">
        <f>OCTUBRE!AA190</f>
        <v>0</v>
      </c>
      <c r="Z190" s="2598">
        <v>0</v>
      </c>
      <c r="AA190" s="2662">
        <f>SUM(Y190:Z190)</f>
        <v>0</v>
      </c>
      <c r="AB190" s="2663">
        <f>OCTUBRE!AD190</f>
        <v>0</v>
      </c>
      <c r="AC190" s="2598">
        <v>0</v>
      </c>
      <c r="AD190" s="2662">
        <f>SUM(AB190:AC190)</f>
        <v>0</v>
      </c>
      <c r="AE190" s="2663">
        <f>OCTUBRE!AG190</f>
        <v>0</v>
      </c>
      <c r="AF190" s="2598">
        <v>0</v>
      </c>
      <c r="AG190" s="2662">
        <f>SUM(AE190:AF190)</f>
        <v>0</v>
      </c>
      <c r="AH190" s="2663">
        <f>X190-AA190</f>
        <v>0</v>
      </c>
      <c r="AI190" s="2612">
        <f>X190-AD190</f>
        <v>0</v>
      </c>
      <c r="AJ190" s="2664">
        <f>X190-AG190</f>
        <v>0</v>
      </c>
      <c r="AK190" s="2489"/>
      <c r="AL190" s="2600">
        <v>0</v>
      </c>
      <c r="AM190" s="2601">
        <v>0</v>
      </c>
      <c r="AN190" s="2489"/>
    </row>
    <row r="191" spans="1:40" s="2614" customFormat="1" ht="24.95" customHeight="1">
      <c r="A191" s="2848"/>
      <c r="B191" s="2851"/>
      <c r="N191" s="2489"/>
      <c r="P191" s="2489"/>
      <c r="Q191" s="2489"/>
      <c r="R191" s="2489"/>
      <c r="S191" s="2659">
        <f>+IF(OCTUBRE!S191=0,"",OCTUBRE!S191)</f>
        <v>3399999</v>
      </c>
      <c r="T191" s="2660" t="str">
        <f>+IF(OCTUBRE!T191=0,"",OCTUBRE!T191)</f>
        <v>Vigencias Anteriores</v>
      </c>
      <c r="U191" s="2661">
        <f>+ENERO!U191</f>
        <v>0</v>
      </c>
      <c r="V191" s="2612">
        <f>OCTUBRE!V191+NOVIEMBRE!AL191</f>
        <v>0</v>
      </c>
      <c r="W191" s="2612">
        <f>OCTUBRE!W191+NOVIEMBRE!AM191</f>
        <v>0</v>
      </c>
      <c r="X191" s="2662">
        <f>SUM(U191:W191)</f>
        <v>0</v>
      </c>
      <c r="Y191" s="2663">
        <f>OCTUBRE!AA191</f>
        <v>0</v>
      </c>
      <c r="Z191" s="2598">
        <v>0</v>
      </c>
      <c r="AA191" s="2662">
        <f>SUM(Y191:Z191)</f>
        <v>0</v>
      </c>
      <c r="AB191" s="2663">
        <f>OCTUBRE!AD191</f>
        <v>0</v>
      </c>
      <c r="AC191" s="2598">
        <v>0</v>
      </c>
      <c r="AD191" s="2662">
        <f>SUM(AB191:AC191)</f>
        <v>0</v>
      </c>
      <c r="AE191" s="2663">
        <f>OCTUBRE!AG191</f>
        <v>0</v>
      </c>
      <c r="AF191" s="2598">
        <v>0</v>
      </c>
      <c r="AG191" s="2662">
        <f>SUM(AE191:AF191)</f>
        <v>0</v>
      </c>
      <c r="AH191" s="2663">
        <f>X191-AA191</f>
        <v>0</v>
      </c>
      <c r="AI191" s="2612">
        <f>X191-AD191</f>
        <v>0</v>
      </c>
      <c r="AJ191" s="2664">
        <f>X191-AG191</f>
        <v>0</v>
      </c>
      <c r="AK191" s="2489"/>
      <c r="AL191" s="2600">
        <v>0</v>
      </c>
      <c r="AM191" s="2601">
        <v>0</v>
      </c>
      <c r="AN191" s="2489"/>
    </row>
    <row r="192" spans="1:40" s="2614" customFormat="1" ht="24.95" customHeight="1">
      <c r="A192" s="2848"/>
      <c r="B192" s="2851"/>
      <c r="N192" s="2489"/>
      <c r="P192" s="2489"/>
      <c r="Q192" s="2489"/>
      <c r="R192" s="2489"/>
      <c r="S192" s="2579" t="str">
        <f>+IF(OCTUBRE!S194=0,"",OCTUBRE!S194)</f>
        <v/>
      </c>
      <c r="T192" s="2580" t="str">
        <f>+IF(OCTUBRE!T194=0,"",OCTUBRE!T194)</f>
        <v/>
      </c>
      <c r="U192" s="2581"/>
      <c r="V192" s="2581"/>
      <c r="W192" s="2581"/>
      <c r="X192" s="2581"/>
      <c r="Y192" s="2581"/>
      <c r="Z192" s="2581"/>
      <c r="AA192" s="2581"/>
      <c r="AB192" s="2581"/>
      <c r="AC192" s="2581"/>
      <c r="AD192" s="2581"/>
      <c r="AE192" s="2581"/>
      <c r="AF192" s="2581"/>
      <c r="AG192" s="2581"/>
      <c r="AH192" s="2581"/>
      <c r="AI192" s="2581"/>
      <c r="AJ192" s="2582"/>
      <c r="AK192" s="2489"/>
      <c r="AL192" s="2769"/>
      <c r="AM192" s="2770"/>
      <c r="AN192" s="2489"/>
    </row>
    <row r="193" spans="1:40" s="2614" customFormat="1" ht="47.25" customHeight="1">
      <c r="A193" s="2848"/>
      <c r="B193" s="2851"/>
      <c r="N193" s="2489"/>
      <c r="P193" s="2489"/>
      <c r="Q193" s="2489"/>
      <c r="R193" s="2489"/>
      <c r="S193" s="2852" t="s">
        <v>325</v>
      </c>
      <c r="T193" s="2853" t="s">
        <v>581</v>
      </c>
      <c r="U193" s="2808">
        <f>U195+U209</f>
        <v>14750406346</v>
      </c>
      <c r="V193" s="2809">
        <f t="shared" ref="V193:AJ193" si="173">V195+V209</f>
        <v>-1624478382</v>
      </c>
      <c r="W193" s="2809">
        <f t="shared" si="173"/>
        <v>3933980076</v>
      </c>
      <c r="X193" s="2609">
        <f t="shared" si="173"/>
        <v>17059908040</v>
      </c>
      <c r="Y193" s="2608">
        <f t="shared" si="173"/>
        <v>14393278000</v>
      </c>
      <c r="Z193" s="2854">
        <f t="shared" si="173"/>
        <v>1466354083</v>
      </c>
      <c r="AA193" s="2609">
        <f t="shared" si="173"/>
        <v>15859632083</v>
      </c>
      <c r="AB193" s="2808">
        <f t="shared" si="173"/>
        <v>12746323521</v>
      </c>
      <c r="AC193" s="2854">
        <f t="shared" si="173"/>
        <v>1723280690</v>
      </c>
      <c r="AD193" s="2810">
        <f t="shared" si="173"/>
        <v>14469604211</v>
      </c>
      <c r="AE193" s="2608">
        <f t="shared" si="173"/>
        <v>6941612554</v>
      </c>
      <c r="AF193" s="2854">
        <f t="shared" si="173"/>
        <v>1396685443</v>
      </c>
      <c r="AG193" s="2609">
        <f t="shared" si="173"/>
        <v>8338297997</v>
      </c>
      <c r="AH193" s="2608">
        <f t="shared" si="173"/>
        <v>1200275957</v>
      </c>
      <c r="AI193" s="2809">
        <f t="shared" si="173"/>
        <v>2590303829</v>
      </c>
      <c r="AJ193" s="2609">
        <f t="shared" si="173"/>
        <v>8721610043</v>
      </c>
      <c r="AK193" s="2489"/>
      <c r="AL193" s="2608">
        <f t="shared" ref="AL193:AM193" si="174">AL195+AL209</f>
        <v>0</v>
      </c>
      <c r="AM193" s="2609">
        <f t="shared" si="174"/>
        <v>800000000</v>
      </c>
      <c r="AN193" s="2489"/>
    </row>
    <row r="194" spans="1:40" s="2614" customFormat="1" ht="24.95" customHeight="1">
      <c r="A194" s="2848"/>
      <c r="B194" s="2851"/>
      <c r="N194" s="2489"/>
      <c r="P194" s="2489"/>
      <c r="Q194" s="2489"/>
      <c r="R194" s="2489"/>
      <c r="S194" s="2579"/>
      <c r="T194" s="2580"/>
      <c r="U194" s="2581"/>
      <c r="V194" s="2581"/>
      <c r="W194" s="2581"/>
      <c r="X194" s="2581"/>
      <c r="Y194" s="2581"/>
      <c r="Z194" s="2581"/>
      <c r="AA194" s="2581"/>
      <c r="AB194" s="2581"/>
      <c r="AC194" s="2581"/>
      <c r="AD194" s="2581"/>
      <c r="AE194" s="2581"/>
      <c r="AF194" s="2581"/>
      <c r="AG194" s="2581"/>
      <c r="AH194" s="2581"/>
      <c r="AI194" s="2581"/>
      <c r="AJ194" s="2582"/>
      <c r="AK194" s="2489"/>
      <c r="AL194" s="2769"/>
      <c r="AM194" s="2770"/>
      <c r="AN194" s="2489"/>
    </row>
    <row r="195" spans="1:40" s="2614" customFormat="1" ht="24.95" customHeight="1">
      <c r="A195" s="2848"/>
      <c r="B195" s="2851"/>
      <c r="N195" s="2489"/>
      <c r="P195" s="2489"/>
      <c r="Q195" s="2489"/>
      <c r="R195" s="2489"/>
      <c r="S195" s="2622">
        <f>+IF(OCTUBRE!S195=0,"",OCTUBRE!S195)</f>
        <v>4000000</v>
      </c>
      <c r="T195" s="2807" t="str">
        <f>+IF(OCTUBRE!T195=0,"",OCTUBRE!T195)</f>
        <v>GASTOS  DE PRESTACION DE SERVICIOS</v>
      </c>
      <c r="U195" s="2808">
        <f t="shared" ref="U195:AJ195" si="175">U196</f>
        <v>14750406346</v>
      </c>
      <c r="V195" s="2809">
        <f t="shared" si="175"/>
        <v>-1624478382</v>
      </c>
      <c r="W195" s="2809">
        <f t="shared" si="175"/>
        <v>3933980076</v>
      </c>
      <c r="X195" s="2810">
        <f t="shared" si="175"/>
        <v>17059908040</v>
      </c>
      <c r="Y195" s="2608">
        <f t="shared" si="175"/>
        <v>14393278000</v>
      </c>
      <c r="Z195" s="2809">
        <f t="shared" si="175"/>
        <v>1466354083</v>
      </c>
      <c r="AA195" s="2810">
        <f t="shared" si="175"/>
        <v>15859632083</v>
      </c>
      <c r="AB195" s="2608">
        <f t="shared" si="175"/>
        <v>12746323521</v>
      </c>
      <c r="AC195" s="2809">
        <f t="shared" si="175"/>
        <v>1723280690</v>
      </c>
      <c r="AD195" s="2810">
        <f t="shared" si="175"/>
        <v>14469604211</v>
      </c>
      <c r="AE195" s="2608">
        <f t="shared" si="175"/>
        <v>6941612554</v>
      </c>
      <c r="AF195" s="2809">
        <f t="shared" si="175"/>
        <v>1396685443</v>
      </c>
      <c r="AG195" s="2810">
        <f t="shared" si="175"/>
        <v>8338297997</v>
      </c>
      <c r="AH195" s="2608">
        <f t="shared" si="175"/>
        <v>1200275957</v>
      </c>
      <c r="AI195" s="2809">
        <f t="shared" si="175"/>
        <v>2590303829</v>
      </c>
      <c r="AJ195" s="2609">
        <f t="shared" si="175"/>
        <v>8721610043</v>
      </c>
      <c r="AK195" s="2489"/>
      <c r="AL195" s="2627">
        <f>AL196</f>
        <v>0</v>
      </c>
      <c r="AM195" s="2628">
        <f>AM196</f>
        <v>800000000</v>
      </c>
      <c r="AN195" s="2489"/>
    </row>
    <row r="196" spans="1:40" s="2614" customFormat="1" ht="24.95" customHeight="1">
      <c r="A196" s="2848"/>
      <c r="B196" s="2851"/>
      <c r="N196" s="2489"/>
      <c r="P196" s="2489"/>
      <c r="Q196" s="2489"/>
      <c r="R196" s="2489"/>
      <c r="S196" s="2651">
        <f>+IF(OCTUBRE!S196=0,"",OCTUBRE!S196)</f>
        <v>4100000</v>
      </c>
      <c r="T196" s="2652" t="str">
        <f>+IF(OCTUBRE!T196=0,"",OCTUBRE!T196)</f>
        <v>Insumos y Suministros Hospitalarios</v>
      </c>
      <c r="U196" s="2624">
        <f t="shared" ref="U196:AJ196" si="176">U197+U205+U207</f>
        <v>14750406346</v>
      </c>
      <c r="V196" s="2625">
        <f t="shared" si="176"/>
        <v>-1624478382</v>
      </c>
      <c r="W196" s="2625">
        <f t="shared" si="176"/>
        <v>3933980076</v>
      </c>
      <c r="X196" s="2626">
        <f t="shared" si="176"/>
        <v>17059908040</v>
      </c>
      <c r="Y196" s="2627">
        <f t="shared" si="176"/>
        <v>14393278000</v>
      </c>
      <c r="Z196" s="2625">
        <f t="shared" si="176"/>
        <v>1466354083</v>
      </c>
      <c r="AA196" s="2626">
        <f t="shared" si="176"/>
        <v>15859632083</v>
      </c>
      <c r="AB196" s="2627">
        <f t="shared" si="176"/>
        <v>12746323521</v>
      </c>
      <c r="AC196" s="2625">
        <f t="shared" si="176"/>
        <v>1723280690</v>
      </c>
      <c r="AD196" s="2626">
        <f t="shared" si="176"/>
        <v>14469604211</v>
      </c>
      <c r="AE196" s="2627">
        <f t="shared" si="176"/>
        <v>6941612554</v>
      </c>
      <c r="AF196" s="2625">
        <f t="shared" si="176"/>
        <v>1396685443</v>
      </c>
      <c r="AG196" s="2626">
        <f t="shared" si="176"/>
        <v>8338297997</v>
      </c>
      <c r="AH196" s="2627">
        <f t="shared" si="176"/>
        <v>1200275957</v>
      </c>
      <c r="AI196" s="2625">
        <f t="shared" si="176"/>
        <v>2590303829</v>
      </c>
      <c r="AJ196" s="2628">
        <f t="shared" si="176"/>
        <v>8721610043</v>
      </c>
      <c r="AK196" s="2607"/>
      <c r="AL196" s="2627">
        <f>AL197+AL205+AL207</f>
        <v>0</v>
      </c>
      <c r="AM196" s="2628">
        <f>AM197+AM205+AM207</f>
        <v>800000000</v>
      </c>
      <c r="AN196" s="2489"/>
    </row>
    <row r="197" spans="1:40" s="2614" customFormat="1" ht="24.95" customHeight="1">
      <c r="A197" s="2848"/>
      <c r="B197" s="2851"/>
      <c r="N197" s="2489"/>
      <c r="P197" s="2489"/>
      <c r="Q197" s="2489"/>
      <c r="R197" s="2489"/>
      <c r="S197" s="2659">
        <f>+IF(OCTUBRE!S197=0,"",OCTUBRE!S197)</f>
        <v>4100100</v>
      </c>
      <c r="T197" s="2660" t="str">
        <f>+IF(OCTUBRE!T197=0,"",OCTUBRE!T197)</f>
        <v>Compra de Bienes para la Prestacion de servicios</v>
      </c>
      <c r="U197" s="2661">
        <f t="shared" ref="U197:AJ197" si="177">SUM(U198:U204)</f>
        <v>13250406346</v>
      </c>
      <c r="V197" s="2612">
        <f t="shared" si="177"/>
        <v>-1813458000</v>
      </c>
      <c r="W197" s="2612">
        <f t="shared" si="177"/>
        <v>125236928</v>
      </c>
      <c r="X197" s="2662">
        <f t="shared" si="177"/>
        <v>11562185274</v>
      </c>
      <c r="Y197" s="2663">
        <f t="shared" si="177"/>
        <v>9948669777</v>
      </c>
      <c r="Z197" s="2691">
        <f t="shared" si="177"/>
        <v>800546540</v>
      </c>
      <c r="AA197" s="2662">
        <f t="shared" si="177"/>
        <v>10749216317</v>
      </c>
      <c r="AB197" s="2663">
        <f t="shared" si="177"/>
        <v>8651856849</v>
      </c>
      <c r="AC197" s="2691">
        <f t="shared" si="177"/>
        <v>952944569</v>
      </c>
      <c r="AD197" s="2662">
        <f t="shared" si="177"/>
        <v>9604801418</v>
      </c>
      <c r="AE197" s="2663">
        <f t="shared" si="177"/>
        <v>3941464282</v>
      </c>
      <c r="AF197" s="2691">
        <f t="shared" si="177"/>
        <v>676471457</v>
      </c>
      <c r="AG197" s="2662">
        <f t="shared" si="177"/>
        <v>4617935739</v>
      </c>
      <c r="AH197" s="2663">
        <f t="shared" si="177"/>
        <v>812968957</v>
      </c>
      <c r="AI197" s="2612">
        <f t="shared" si="177"/>
        <v>1957383856</v>
      </c>
      <c r="AJ197" s="2664">
        <f t="shared" si="177"/>
        <v>6944249535</v>
      </c>
      <c r="AK197" s="2489"/>
      <c r="AL197" s="2692">
        <f>SUM(AL198:AL204)</f>
        <v>0</v>
      </c>
      <c r="AM197" s="2693">
        <f>SUM(AM198:AM204)</f>
        <v>0</v>
      </c>
      <c r="AN197" s="2489"/>
    </row>
    <row r="198" spans="1:40" s="2614" customFormat="1" ht="24.95" customHeight="1">
      <c r="A198" s="2848"/>
      <c r="B198" s="2851"/>
      <c r="N198" s="2489"/>
      <c r="P198" s="2489"/>
      <c r="Q198" s="2489"/>
      <c r="R198" s="2489"/>
      <c r="S198" s="2705" t="str">
        <f>+IF(OCTUBRE!S198=0,"",OCTUBRE!S198)</f>
        <v>4100100-1</v>
      </c>
      <c r="T198" s="2706" t="str">
        <f>+IF(OCTUBRE!T198=0,"",OCTUBRE!T198)</f>
        <v>Productos Farmaceuticos</v>
      </c>
      <c r="U198" s="2661">
        <f>+ENERO!U198</f>
        <v>6473158346</v>
      </c>
      <c r="V198" s="2612">
        <f>OCTUBRE!V198+NOVIEMBRE!AL198</f>
        <v>-1963458000</v>
      </c>
      <c r="W198" s="2612">
        <f>OCTUBRE!W198+NOVIEMBRE!AM198</f>
        <v>0</v>
      </c>
      <c r="X198" s="2662">
        <f t="shared" ref="X198:X204" si="178">SUM(U198:W198)</f>
        <v>4509700346</v>
      </c>
      <c r="Y198" s="2663">
        <f>OCTUBRE!AA198</f>
        <v>3575786205</v>
      </c>
      <c r="Z198" s="2598">
        <v>487376434</v>
      </c>
      <c r="AA198" s="2662">
        <f t="shared" ref="AA198:AA204" si="179">SUM(Y198:Z198)</f>
        <v>4063162639</v>
      </c>
      <c r="AB198" s="2663">
        <f>OCTUBRE!AD198</f>
        <v>3054163697</v>
      </c>
      <c r="AC198" s="2598">
        <v>434992310</v>
      </c>
      <c r="AD198" s="2662">
        <f t="shared" ref="AD198:AD204" si="180">SUM(AB198:AC198)</f>
        <v>3489156007</v>
      </c>
      <c r="AE198" s="2663">
        <f>OCTUBRE!AG198</f>
        <v>1614490820</v>
      </c>
      <c r="AF198" s="2598">
        <v>242266982</v>
      </c>
      <c r="AG198" s="2662">
        <f t="shared" ref="AG198:AG204" si="181">SUM(AE198:AF198)</f>
        <v>1856757802</v>
      </c>
      <c r="AH198" s="2663">
        <f t="shared" ref="AH198:AH204" si="182">X198-AA198</f>
        <v>446537707</v>
      </c>
      <c r="AI198" s="2612">
        <f t="shared" ref="AI198:AI204" si="183">X198-AD198</f>
        <v>1020544339</v>
      </c>
      <c r="AJ198" s="2664">
        <f t="shared" ref="AJ198:AJ204" si="184">X198-AG198</f>
        <v>2652942544</v>
      </c>
      <c r="AK198" s="2489"/>
      <c r="AL198" s="2600">
        <v>-150000000</v>
      </c>
      <c r="AM198" s="2601">
        <v>0</v>
      </c>
      <c r="AN198" s="2489"/>
    </row>
    <row r="199" spans="1:40" s="2614" customFormat="1" ht="24.95" customHeight="1">
      <c r="A199" s="2848"/>
      <c r="B199" s="2851"/>
      <c r="N199" s="2489"/>
      <c r="P199" s="2489"/>
      <c r="Q199" s="2489"/>
      <c r="R199" s="2489"/>
      <c r="S199" s="2705" t="str">
        <f>+IF(OCTUBRE!S199=0,"",OCTUBRE!S199)</f>
        <v>4100100-2</v>
      </c>
      <c r="T199" s="2706" t="str">
        <f>+IF(OCTUBRE!T199=0,"",OCTUBRE!T199)</f>
        <v>Material Médico Quirúrgico</v>
      </c>
      <c r="U199" s="2661">
        <f>+ENERO!U199</f>
        <v>4177248000</v>
      </c>
      <c r="V199" s="2612">
        <f>OCTUBRE!V199+NOVIEMBRE!AL199</f>
        <v>150000000</v>
      </c>
      <c r="W199" s="2612">
        <f>OCTUBRE!W199+NOVIEMBRE!AM199</f>
        <v>125236928</v>
      </c>
      <c r="X199" s="2662">
        <f t="shared" si="178"/>
        <v>4452484928</v>
      </c>
      <c r="Y199" s="2663">
        <f>OCTUBRE!AA199</f>
        <v>3994035895</v>
      </c>
      <c r="Z199" s="2598">
        <v>325252973</v>
      </c>
      <c r="AA199" s="2662">
        <f t="shared" si="179"/>
        <v>4319288868</v>
      </c>
      <c r="AB199" s="2663">
        <f>OCTUBRE!AD199</f>
        <v>3789057324</v>
      </c>
      <c r="AC199" s="2598">
        <v>351765170</v>
      </c>
      <c r="AD199" s="2662">
        <f t="shared" si="180"/>
        <v>4140822494</v>
      </c>
      <c r="AE199" s="2663">
        <f>OCTUBRE!AG199</f>
        <v>1633430478</v>
      </c>
      <c r="AF199" s="2598">
        <v>268708061</v>
      </c>
      <c r="AG199" s="2662">
        <f t="shared" si="181"/>
        <v>1902138539</v>
      </c>
      <c r="AH199" s="2663">
        <f t="shared" si="182"/>
        <v>133196060</v>
      </c>
      <c r="AI199" s="2612">
        <f t="shared" si="183"/>
        <v>311662434</v>
      </c>
      <c r="AJ199" s="2664">
        <f t="shared" si="184"/>
        <v>2550346389</v>
      </c>
      <c r="AK199" s="2489"/>
      <c r="AL199" s="2600">
        <v>150000000</v>
      </c>
      <c r="AM199" s="2601">
        <v>0</v>
      </c>
      <c r="AN199" s="2489"/>
    </row>
    <row r="200" spans="1:40" s="2614" customFormat="1" ht="24.95" customHeight="1">
      <c r="A200" s="2848"/>
      <c r="B200" s="2851"/>
      <c r="N200" s="2489"/>
      <c r="P200" s="2489"/>
      <c r="Q200" s="2489"/>
      <c r="R200" s="2489"/>
      <c r="S200" s="2705" t="str">
        <f>+IF(OCTUBRE!S200=0,"",OCTUBRE!S200)</f>
        <v>4100100-3</v>
      </c>
      <c r="T200" s="2706" t="str">
        <f>+IF(OCTUBRE!T200=0,"",OCTUBRE!T200)</f>
        <v>Material de Laboratorio</v>
      </c>
      <c r="U200" s="2661">
        <f>+ENERO!U200</f>
        <v>1300000000</v>
      </c>
      <c r="V200" s="2612">
        <f>OCTUBRE!V200+NOVIEMBRE!AL200</f>
        <v>600000000</v>
      </c>
      <c r="W200" s="2612">
        <f>OCTUBRE!W200+NOVIEMBRE!AM200</f>
        <v>0</v>
      </c>
      <c r="X200" s="2662">
        <f t="shared" si="178"/>
        <v>1900000000</v>
      </c>
      <c r="Y200" s="2663">
        <f>OCTUBRE!AA200</f>
        <v>1809829953</v>
      </c>
      <c r="Z200" s="2598">
        <v>-12082867</v>
      </c>
      <c r="AA200" s="2662">
        <f t="shared" si="179"/>
        <v>1797747086</v>
      </c>
      <c r="AB200" s="2663">
        <f>OCTUBRE!AD200</f>
        <v>1383166274</v>
      </c>
      <c r="AC200" s="2598">
        <v>134096658</v>
      </c>
      <c r="AD200" s="2662">
        <f t="shared" si="180"/>
        <v>1517262932</v>
      </c>
      <c r="AE200" s="2663">
        <f>OCTUBRE!AG200</f>
        <v>457315563</v>
      </c>
      <c r="AF200" s="2598">
        <v>126689186</v>
      </c>
      <c r="AG200" s="2662">
        <f t="shared" si="181"/>
        <v>584004749</v>
      </c>
      <c r="AH200" s="2663">
        <f t="shared" si="182"/>
        <v>102252914</v>
      </c>
      <c r="AI200" s="2612">
        <f t="shared" si="183"/>
        <v>382737068</v>
      </c>
      <c r="AJ200" s="2664">
        <f t="shared" si="184"/>
        <v>1315995251</v>
      </c>
      <c r="AK200" s="2489"/>
      <c r="AL200" s="2600">
        <v>0</v>
      </c>
      <c r="AM200" s="2601">
        <v>0</v>
      </c>
      <c r="AN200" s="2489"/>
    </row>
    <row r="201" spans="1:40" s="2614" customFormat="1" ht="24.95" customHeight="1">
      <c r="A201" s="2848"/>
      <c r="B201" s="2851"/>
      <c r="N201" s="2489"/>
      <c r="P201" s="2489"/>
      <c r="Q201" s="2489"/>
      <c r="R201" s="2489"/>
      <c r="S201" s="2705" t="str">
        <f>+IF(OCTUBRE!S201=0,"",OCTUBRE!S201)</f>
        <v>4100100-4</v>
      </c>
      <c r="T201" s="2706" t="str">
        <f>+IF(OCTUBRE!T201=0,"",OCTUBRE!T201)</f>
        <v>Material para Odontologia</v>
      </c>
      <c r="U201" s="2661">
        <f>+ENERO!U201</f>
        <v>0</v>
      </c>
      <c r="V201" s="2612">
        <f>OCTUBRE!V201+NOVIEMBRE!AL201</f>
        <v>0</v>
      </c>
      <c r="W201" s="2612">
        <f>OCTUBRE!W201+NOVIEMBRE!AM201</f>
        <v>0</v>
      </c>
      <c r="X201" s="2662">
        <f t="shared" si="178"/>
        <v>0</v>
      </c>
      <c r="Y201" s="2663">
        <f>OCTUBRE!AA201</f>
        <v>0</v>
      </c>
      <c r="Z201" s="2598">
        <v>0</v>
      </c>
      <c r="AA201" s="2662">
        <f t="shared" si="179"/>
        <v>0</v>
      </c>
      <c r="AB201" s="2663">
        <f>OCTUBRE!AD201</f>
        <v>0</v>
      </c>
      <c r="AC201" s="2598">
        <v>0</v>
      </c>
      <c r="AD201" s="2662">
        <f t="shared" si="180"/>
        <v>0</v>
      </c>
      <c r="AE201" s="2663">
        <f>OCTUBRE!AG201</f>
        <v>0</v>
      </c>
      <c r="AF201" s="2598">
        <v>0</v>
      </c>
      <c r="AG201" s="2662">
        <f t="shared" si="181"/>
        <v>0</v>
      </c>
      <c r="AH201" s="2663">
        <f t="shared" si="182"/>
        <v>0</v>
      </c>
      <c r="AI201" s="2612">
        <f t="shared" si="183"/>
        <v>0</v>
      </c>
      <c r="AJ201" s="2664">
        <f t="shared" si="184"/>
        <v>0</v>
      </c>
      <c r="AK201" s="2489"/>
      <c r="AL201" s="2600">
        <v>0</v>
      </c>
      <c r="AM201" s="2601">
        <v>0</v>
      </c>
      <c r="AN201" s="2489"/>
    </row>
    <row r="202" spans="1:40" s="2614" customFormat="1" ht="24.95" customHeight="1">
      <c r="A202" s="2848"/>
      <c r="B202" s="2851"/>
      <c r="N202" s="2489"/>
      <c r="P202" s="2489"/>
      <c r="Q202" s="2489"/>
      <c r="R202" s="2489"/>
      <c r="S202" s="2705" t="str">
        <f>+IF(OCTUBRE!S202=0,"",OCTUBRE!S202)</f>
        <v>4100100-5</v>
      </c>
      <c r="T202" s="2706" t="str">
        <f>+IF(OCTUBRE!T202=0,"",OCTUBRE!T202)</f>
        <v>Material para Rayos X</v>
      </c>
      <c r="U202" s="2661">
        <f>+ENERO!U202</f>
        <v>1300000000</v>
      </c>
      <c r="V202" s="2612">
        <f>OCTUBRE!V202+NOVIEMBRE!AL202</f>
        <v>-600000000</v>
      </c>
      <c r="W202" s="2612">
        <f>OCTUBRE!W202+NOVIEMBRE!AM202</f>
        <v>0</v>
      </c>
      <c r="X202" s="2662">
        <f t="shared" si="178"/>
        <v>700000000</v>
      </c>
      <c r="Y202" s="2663">
        <f>OCTUBRE!AA202</f>
        <v>569017724</v>
      </c>
      <c r="Z202" s="2598">
        <v>0</v>
      </c>
      <c r="AA202" s="2662">
        <f t="shared" si="179"/>
        <v>569017724</v>
      </c>
      <c r="AB202" s="2663">
        <f>OCTUBRE!AD202</f>
        <v>425469554</v>
      </c>
      <c r="AC202" s="2598">
        <v>32090431</v>
      </c>
      <c r="AD202" s="2662">
        <f t="shared" si="180"/>
        <v>457559985</v>
      </c>
      <c r="AE202" s="2663">
        <f>OCTUBRE!AG202</f>
        <v>236227421</v>
      </c>
      <c r="AF202" s="2598">
        <v>38807228</v>
      </c>
      <c r="AG202" s="2662">
        <f t="shared" si="181"/>
        <v>275034649</v>
      </c>
      <c r="AH202" s="2663">
        <f t="shared" si="182"/>
        <v>130982276</v>
      </c>
      <c r="AI202" s="2612">
        <f t="shared" si="183"/>
        <v>242440015</v>
      </c>
      <c r="AJ202" s="2664">
        <f t="shared" si="184"/>
        <v>424965351</v>
      </c>
      <c r="AK202" s="2489"/>
      <c r="AL202" s="2600">
        <v>0</v>
      </c>
      <c r="AM202" s="2601">
        <v>0</v>
      </c>
      <c r="AN202" s="2489"/>
    </row>
    <row r="203" spans="1:40" s="2614" customFormat="1" ht="24.95" customHeight="1">
      <c r="A203" s="2848"/>
      <c r="B203" s="2851"/>
      <c r="N203" s="2489"/>
      <c r="P203" s="2489"/>
      <c r="Q203" s="2489"/>
      <c r="R203" s="2489"/>
      <c r="S203" s="2705" t="str">
        <f>+IF(OCTUBRE!S203=0,"",OCTUBRE!S203)</f>
        <v/>
      </c>
      <c r="T203" s="2706" t="str">
        <f>+IF(OCTUBRE!T203=0,"",OCTUBRE!T203)</f>
        <v/>
      </c>
      <c r="U203" s="2661">
        <f>+ENERO!U203</f>
        <v>0</v>
      </c>
      <c r="V203" s="2612">
        <f>OCTUBRE!V203+NOVIEMBRE!AL203</f>
        <v>0</v>
      </c>
      <c r="W203" s="2612">
        <f>OCTUBRE!W203+NOVIEMBRE!AM203</f>
        <v>0</v>
      </c>
      <c r="X203" s="2662">
        <f t="shared" si="178"/>
        <v>0</v>
      </c>
      <c r="Y203" s="2663">
        <f>OCTUBRE!AA203</f>
        <v>0</v>
      </c>
      <c r="Z203" s="2598">
        <v>0</v>
      </c>
      <c r="AA203" s="2662">
        <f t="shared" si="179"/>
        <v>0</v>
      </c>
      <c r="AB203" s="2663">
        <f>OCTUBRE!AD203</f>
        <v>0</v>
      </c>
      <c r="AC203" s="2598">
        <v>0</v>
      </c>
      <c r="AD203" s="2662">
        <f t="shared" si="180"/>
        <v>0</v>
      </c>
      <c r="AE203" s="2663">
        <f>OCTUBRE!AG203</f>
        <v>0</v>
      </c>
      <c r="AF203" s="2598">
        <v>0</v>
      </c>
      <c r="AG203" s="2662">
        <f t="shared" si="181"/>
        <v>0</v>
      </c>
      <c r="AH203" s="2663">
        <f t="shared" si="182"/>
        <v>0</v>
      </c>
      <c r="AI203" s="2612">
        <f t="shared" si="183"/>
        <v>0</v>
      </c>
      <c r="AJ203" s="2664">
        <f t="shared" si="184"/>
        <v>0</v>
      </c>
      <c r="AK203" s="2489"/>
      <c r="AL203" s="2600">
        <v>0</v>
      </c>
      <c r="AM203" s="2601">
        <v>0</v>
      </c>
      <c r="AN203" s="2489"/>
    </row>
    <row r="204" spans="1:40" s="2614" customFormat="1" ht="24.95" customHeight="1">
      <c r="A204" s="2848"/>
      <c r="B204" s="2851"/>
      <c r="N204" s="2489"/>
      <c r="P204" s="2489"/>
      <c r="Q204" s="2489"/>
      <c r="R204" s="2489"/>
      <c r="S204" s="2705" t="str">
        <f>+IF(OCTUBRE!S204=0,"",OCTUBRE!S204)</f>
        <v/>
      </c>
      <c r="T204" s="2706" t="str">
        <f>+IF(OCTUBRE!T204=0,"",OCTUBRE!T204)</f>
        <v/>
      </c>
      <c r="U204" s="2661">
        <f>+ENERO!U204</f>
        <v>0</v>
      </c>
      <c r="V204" s="2612">
        <f>OCTUBRE!V204+NOVIEMBRE!AL204</f>
        <v>0</v>
      </c>
      <c r="W204" s="2612">
        <f>OCTUBRE!W204+NOVIEMBRE!AM204</f>
        <v>0</v>
      </c>
      <c r="X204" s="2662">
        <f t="shared" si="178"/>
        <v>0</v>
      </c>
      <c r="Y204" s="2663">
        <f>OCTUBRE!AA204</f>
        <v>0</v>
      </c>
      <c r="Z204" s="2598">
        <v>0</v>
      </c>
      <c r="AA204" s="2662">
        <f t="shared" si="179"/>
        <v>0</v>
      </c>
      <c r="AB204" s="2663">
        <f>OCTUBRE!AD204</f>
        <v>0</v>
      </c>
      <c r="AC204" s="2598">
        <v>0</v>
      </c>
      <c r="AD204" s="2662">
        <f t="shared" si="180"/>
        <v>0</v>
      </c>
      <c r="AE204" s="2663">
        <f>OCTUBRE!AG204</f>
        <v>0</v>
      </c>
      <c r="AF204" s="2598">
        <v>0</v>
      </c>
      <c r="AG204" s="2662">
        <f t="shared" si="181"/>
        <v>0</v>
      </c>
      <c r="AH204" s="2663">
        <f t="shared" si="182"/>
        <v>0</v>
      </c>
      <c r="AI204" s="2612">
        <f t="shared" si="183"/>
        <v>0</v>
      </c>
      <c r="AJ204" s="2664">
        <f t="shared" si="184"/>
        <v>0</v>
      </c>
      <c r="AK204" s="2489"/>
      <c r="AL204" s="2600">
        <v>0</v>
      </c>
      <c r="AM204" s="2601">
        <v>0</v>
      </c>
      <c r="AN204" s="2489"/>
    </row>
    <row r="205" spans="1:40" s="2614" customFormat="1" ht="24.95" customHeight="1">
      <c r="A205" s="2848"/>
      <c r="B205" s="2851"/>
      <c r="N205" s="2489"/>
      <c r="P205" s="2489"/>
      <c r="Q205" s="2489"/>
      <c r="R205" s="2489"/>
      <c r="S205" s="2659">
        <f>+IF(OCTUBRE!S205=0,"",OCTUBRE!S205)</f>
        <v>4100200</v>
      </c>
      <c r="T205" s="2660" t="str">
        <f>+IF(OCTUBRE!T205=0,"",OCTUBRE!T205)</f>
        <v>Gastos Complementarios e Intermedios</v>
      </c>
      <c r="U205" s="2661">
        <f t="shared" ref="U205:AJ205" si="185">U206</f>
        <v>1500000000</v>
      </c>
      <c r="V205" s="2612">
        <f t="shared" si="185"/>
        <v>0</v>
      </c>
      <c r="W205" s="2612">
        <f t="shared" si="185"/>
        <v>343424341</v>
      </c>
      <c r="X205" s="2662">
        <f t="shared" si="185"/>
        <v>1843424341</v>
      </c>
      <c r="Y205" s="2663">
        <f t="shared" si="185"/>
        <v>1618157353</v>
      </c>
      <c r="Z205" s="2691">
        <f t="shared" si="185"/>
        <v>1608467</v>
      </c>
      <c r="AA205" s="2662">
        <f t="shared" si="185"/>
        <v>1619765820</v>
      </c>
      <c r="AB205" s="2663">
        <f t="shared" si="185"/>
        <v>1268015802</v>
      </c>
      <c r="AC205" s="2691">
        <f t="shared" si="185"/>
        <v>106137045</v>
      </c>
      <c r="AD205" s="2662">
        <f t="shared" si="185"/>
        <v>1374152847</v>
      </c>
      <c r="AE205" s="2663">
        <f t="shared" si="185"/>
        <v>173697402</v>
      </c>
      <c r="AF205" s="2691">
        <f t="shared" si="185"/>
        <v>56014910</v>
      </c>
      <c r="AG205" s="2662">
        <f t="shared" si="185"/>
        <v>229712312</v>
      </c>
      <c r="AH205" s="2663">
        <f t="shared" si="185"/>
        <v>223658521</v>
      </c>
      <c r="AI205" s="2612">
        <f t="shared" si="185"/>
        <v>469271494</v>
      </c>
      <c r="AJ205" s="2664">
        <f t="shared" si="185"/>
        <v>1613712029</v>
      </c>
      <c r="AK205" s="2489"/>
      <c r="AL205" s="2692">
        <f>AL206</f>
        <v>0</v>
      </c>
      <c r="AM205" s="2693">
        <f>AM206</f>
        <v>0</v>
      </c>
      <c r="AN205" s="2489"/>
    </row>
    <row r="206" spans="1:40" s="2614" customFormat="1" ht="24.95" customHeight="1">
      <c r="A206" s="2848"/>
      <c r="B206" s="2851"/>
      <c r="N206" s="2489"/>
      <c r="P206" s="2489"/>
      <c r="Q206" s="2489"/>
      <c r="R206" s="2489"/>
      <c r="S206" s="2705" t="str">
        <f>+IF(OCTUBRE!S206=0,"",OCTUBRE!S206)</f>
        <v>4100200-1</v>
      </c>
      <c r="T206" s="2706" t="str">
        <f>+IF(OCTUBRE!T206=0,"",OCTUBRE!T206)</f>
        <v>Alimentación</v>
      </c>
      <c r="U206" s="2661">
        <f>+ENERO!U206</f>
        <v>1500000000</v>
      </c>
      <c r="V206" s="2612">
        <f>OCTUBRE!V206+NOVIEMBRE!AL206</f>
        <v>0</v>
      </c>
      <c r="W206" s="2612">
        <f>OCTUBRE!W206+NOVIEMBRE!AM206</f>
        <v>343424341</v>
      </c>
      <c r="X206" s="2662">
        <f>SUM(U206:W206)</f>
        <v>1843424341</v>
      </c>
      <c r="Y206" s="2663">
        <f>OCTUBRE!AA206</f>
        <v>1618157353</v>
      </c>
      <c r="Z206" s="2598">
        <v>1608467</v>
      </c>
      <c r="AA206" s="2662">
        <f>SUM(Y206:Z206)</f>
        <v>1619765820</v>
      </c>
      <c r="AB206" s="2663">
        <f>OCTUBRE!AD206</f>
        <v>1268015802</v>
      </c>
      <c r="AC206" s="2598">
        <v>106137045</v>
      </c>
      <c r="AD206" s="2662">
        <f>SUM(AB206:AC206)</f>
        <v>1374152847</v>
      </c>
      <c r="AE206" s="2663">
        <f>OCTUBRE!AG206</f>
        <v>173697402</v>
      </c>
      <c r="AF206" s="2598">
        <v>56014910</v>
      </c>
      <c r="AG206" s="2662">
        <f>SUM(AE206:AF206)</f>
        <v>229712312</v>
      </c>
      <c r="AH206" s="2663">
        <f>X206-AA206</f>
        <v>223658521</v>
      </c>
      <c r="AI206" s="2612">
        <f>X206-AD206</f>
        <v>469271494</v>
      </c>
      <c r="AJ206" s="2664">
        <f>X206-AG206</f>
        <v>1613712029</v>
      </c>
      <c r="AK206" s="2489"/>
      <c r="AL206" s="2600">
        <v>0</v>
      </c>
      <c r="AM206" s="2601">
        <v>0</v>
      </c>
      <c r="AN206" s="2489"/>
    </row>
    <row r="207" spans="1:40" s="2614" customFormat="1" ht="24.95" customHeight="1" thickBot="1">
      <c r="A207" s="2848"/>
      <c r="B207" s="2851"/>
      <c r="N207" s="2489"/>
      <c r="P207" s="2489"/>
      <c r="Q207" s="2489"/>
      <c r="R207" s="2489"/>
      <c r="S207" s="2855">
        <f>+IF(OCTUBRE!S207=0,"",OCTUBRE!S207)</f>
        <v>4199999</v>
      </c>
      <c r="T207" s="2856" t="str">
        <f>+IF(OCTUBRE!T207=0,"",OCTUBRE!T207)</f>
        <v>Vigencias Anteriores</v>
      </c>
      <c r="U207" s="2857">
        <f>+ENERO!U207</f>
        <v>0</v>
      </c>
      <c r="V207" s="2858">
        <f>OCTUBRE!V207+NOVIEMBRE!AL207</f>
        <v>188979618</v>
      </c>
      <c r="W207" s="2858">
        <f>OCTUBRE!W207+NOVIEMBRE!AM207</f>
        <v>3465318807</v>
      </c>
      <c r="X207" s="2859">
        <f>SUM(U207:W207)</f>
        <v>3654298425</v>
      </c>
      <c r="Y207" s="2860">
        <f>OCTUBRE!AA207</f>
        <v>2826450870</v>
      </c>
      <c r="Z207" s="2639">
        <v>664199076</v>
      </c>
      <c r="AA207" s="2859">
        <f>SUM(Y207:Z207)</f>
        <v>3490649946</v>
      </c>
      <c r="AB207" s="2860">
        <f>OCTUBRE!AD207</f>
        <v>2826450870</v>
      </c>
      <c r="AC207" s="2639">
        <v>664199076</v>
      </c>
      <c r="AD207" s="2859">
        <f>SUM(AB207:AC207)</f>
        <v>3490649946</v>
      </c>
      <c r="AE207" s="2860">
        <f>OCTUBRE!AG207</f>
        <v>2826450870</v>
      </c>
      <c r="AF207" s="2639">
        <v>664199076</v>
      </c>
      <c r="AG207" s="2859">
        <f>SUM(AE207:AF207)</f>
        <v>3490649946</v>
      </c>
      <c r="AH207" s="2860">
        <f>X207-AA207</f>
        <v>163648479</v>
      </c>
      <c r="AI207" s="2858">
        <f>X207-AD207</f>
        <v>163648479</v>
      </c>
      <c r="AJ207" s="2861">
        <f>X207-AG207</f>
        <v>163648479</v>
      </c>
      <c r="AK207" s="2489"/>
      <c r="AL207" s="2641">
        <v>0</v>
      </c>
      <c r="AM207" s="2642">
        <v>800000000</v>
      </c>
      <c r="AN207" s="2489"/>
    </row>
    <row r="208" spans="1:40" s="2614" customFormat="1" ht="24.95" customHeight="1">
      <c r="A208" s="2848"/>
      <c r="B208" s="2851"/>
      <c r="N208" s="2489"/>
      <c r="P208" s="2489"/>
      <c r="Q208" s="2489"/>
      <c r="R208" s="2489"/>
      <c r="S208" s="2862" t="str">
        <f>+IF(OCTUBRE!S208=0,"",OCTUBRE!S208)</f>
        <v/>
      </c>
      <c r="T208" s="2863" t="str">
        <f>+IF(OCTUBRE!T208=0,"",OCTUBRE!T208)</f>
        <v/>
      </c>
      <c r="U208" s="2864"/>
      <c r="V208" s="2864"/>
      <c r="W208" s="2864"/>
      <c r="X208" s="2864"/>
      <c r="Y208" s="2864"/>
      <c r="Z208" s="2864"/>
      <c r="AA208" s="2864"/>
      <c r="AB208" s="2864"/>
      <c r="AC208" s="2864"/>
      <c r="AD208" s="2864"/>
      <c r="AE208" s="2864"/>
      <c r="AF208" s="2864"/>
      <c r="AG208" s="2864"/>
      <c r="AH208" s="2864"/>
      <c r="AI208" s="2864"/>
      <c r="AJ208" s="2865"/>
      <c r="AK208" s="2489"/>
      <c r="AL208" s="2866"/>
      <c r="AM208" s="2867"/>
      <c r="AN208" s="2489"/>
    </row>
    <row r="209" spans="1:40" s="2614" customFormat="1" ht="24.95" customHeight="1">
      <c r="A209" s="2848"/>
      <c r="B209" s="2851"/>
      <c r="N209" s="2489"/>
      <c r="P209" s="2489"/>
      <c r="Q209" s="2489"/>
      <c r="R209" s="2489"/>
      <c r="S209" s="2622">
        <f>+IF(OCTUBRE!S209=0,"",OCTUBRE!S209)</f>
        <v>5000000</v>
      </c>
      <c r="T209" s="2807" t="s">
        <v>450</v>
      </c>
      <c r="U209" s="2808">
        <f t="shared" ref="U209:AJ209" si="186">U210</f>
        <v>0</v>
      </c>
      <c r="V209" s="2809">
        <f t="shared" si="186"/>
        <v>0</v>
      </c>
      <c r="W209" s="2809">
        <f t="shared" si="186"/>
        <v>0</v>
      </c>
      <c r="X209" s="2810">
        <f t="shared" si="186"/>
        <v>0</v>
      </c>
      <c r="Y209" s="2608">
        <f t="shared" si="186"/>
        <v>0</v>
      </c>
      <c r="Z209" s="2809">
        <f t="shared" si="186"/>
        <v>0</v>
      </c>
      <c r="AA209" s="2810">
        <f t="shared" si="186"/>
        <v>0</v>
      </c>
      <c r="AB209" s="2608">
        <f t="shared" si="186"/>
        <v>0</v>
      </c>
      <c r="AC209" s="2809">
        <f t="shared" si="186"/>
        <v>0</v>
      </c>
      <c r="AD209" s="2810">
        <f t="shared" si="186"/>
        <v>0</v>
      </c>
      <c r="AE209" s="2608">
        <f t="shared" si="186"/>
        <v>0</v>
      </c>
      <c r="AF209" s="2809">
        <f t="shared" si="186"/>
        <v>0</v>
      </c>
      <c r="AG209" s="2810">
        <f t="shared" si="186"/>
        <v>0</v>
      </c>
      <c r="AH209" s="2608">
        <f t="shared" si="186"/>
        <v>0</v>
      </c>
      <c r="AI209" s="2809">
        <f t="shared" si="186"/>
        <v>0</v>
      </c>
      <c r="AJ209" s="2609">
        <f t="shared" si="186"/>
        <v>0</v>
      </c>
      <c r="AK209" s="2489"/>
      <c r="AL209" s="2627">
        <f>AL210</f>
        <v>0</v>
      </c>
      <c r="AM209" s="2628">
        <f>AM210</f>
        <v>0</v>
      </c>
      <c r="AN209" s="2489"/>
    </row>
    <row r="210" spans="1:40" s="2614" customFormat="1" ht="24.95" customHeight="1">
      <c r="A210" s="2848"/>
      <c r="B210" s="2851"/>
      <c r="N210" s="2489"/>
      <c r="P210" s="2489"/>
      <c r="Q210" s="2489"/>
      <c r="R210" s="2489"/>
      <c r="S210" s="2651">
        <f>+IF(OCTUBRE!S210=0,"",OCTUBRE!S210)</f>
        <v>5100000</v>
      </c>
      <c r="T210" s="2652" t="str">
        <f>+IF(OCTUBRE!T210=0,"",OCTUBRE!T210)</f>
        <v>Insumos y Suministros para Venta al Público</v>
      </c>
      <c r="U210" s="2624">
        <f t="shared" ref="U210:AJ210" si="187">U211+U218</f>
        <v>0</v>
      </c>
      <c r="V210" s="2625">
        <f t="shared" si="187"/>
        <v>0</v>
      </c>
      <c r="W210" s="2625">
        <f t="shared" si="187"/>
        <v>0</v>
      </c>
      <c r="X210" s="2626">
        <f t="shared" si="187"/>
        <v>0</v>
      </c>
      <c r="Y210" s="2627">
        <f t="shared" si="187"/>
        <v>0</v>
      </c>
      <c r="Z210" s="2625">
        <f t="shared" si="187"/>
        <v>0</v>
      </c>
      <c r="AA210" s="2626">
        <f t="shared" si="187"/>
        <v>0</v>
      </c>
      <c r="AB210" s="2627">
        <f t="shared" si="187"/>
        <v>0</v>
      </c>
      <c r="AC210" s="2625">
        <f t="shared" si="187"/>
        <v>0</v>
      </c>
      <c r="AD210" s="2626">
        <f t="shared" si="187"/>
        <v>0</v>
      </c>
      <c r="AE210" s="2627">
        <f t="shared" si="187"/>
        <v>0</v>
      </c>
      <c r="AF210" s="2625">
        <f t="shared" si="187"/>
        <v>0</v>
      </c>
      <c r="AG210" s="2626">
        <f t="shared" si="187"/>
        <v>0</v>
      </c>
      <c r="AH210" s="2627">
        <f t="shared" si="187"/>
        <v>0</v>
      </c>
      <c r="AI210" s="2625">
        <f t="shared" si="187"/>
        <v>0</v>
      </c>
      <c r="AJ210" s="2628">
        <f t="shared" si="187"/>
        <v>0</v>
      </c>
      <c r="AK210" s="2489"/>
      <c r="AL210" s="2627">
        <f>AL211+AL218</f>
        <v>0</v>
      </c>
      <c r="AM210" s="2628">
        <f>AM211+AM218</f>
        <v>0</v>
      </c>
      <c r="AN210" s="2489"/>
    </row>
    <row r="211" spans="1:40" s="2614" customFormat="1" ht="24.95" customHeight="1">
      <c r="A211" s="2848"/>
      <c r="B211" s="2851"/>
      <c r="N211" s="2489"/>
      <c r="P211" s="2489"/>
      <c r="Q211" s="2489"/>
      <c r="R211" s="2489"/>
      <c r="S211" s="2659">
        <f>+IF(OCTUBRE!S211=0,"",OCTUBRE!S211)</f>
        <v>5100100</v>
      </c>
      <c r="T211" s="2660" t="str">
        <f>+IF(OCTUBRE!T211=0,"",OCTUBRE!T211)</f>
        <v>Compra de Bienes para la venta</v>
      </c>
      <c r="U211" s="2661">
        <f t="shared" ref="U211:AJ211" si="188">SUM(U212:U217)</f>
        <v>0</v>
      </c>
      <c r="V211" s="2612">
        <f t="shared" si="188"/>
        <v>0</v>
      </c>
      <c r="W211" s="2612">
        <f t="shared" si="188"/>
        <v>0</v>
      </c>
      <c r="X211" s="2662">
        <f t="shared" si="188"/>
        <v>0</v>
      </c>
      <c r="Y211" s="2663">
        <f t="shared" si="188"/>
        <v>0</v>
      </c>
      <c r="Z211" s="2691">
        <f t="shared" si="188"/>
        <v>0</v>
      </c>
      <c r="AA211" s="2662">
        <f t="shared" si="188"/>
        <v>0</v>
      </c>
      <c r="AB211" s="2663">
        <f t="shared" si="188"/>
        <v>0</v>
      </c>
      <c r="AC211" s="2691">
        <f t="shared" si="188"/>
        <v>0</v>
      </c>
      <c r="AD211" s="2662">
        <f t="shared" si="188"/>
        <v>0</v>
      </c>
      <c r="AE211" s="2663">
        <f t="shared" si="188"/>
        <v>0</v>
      </c>
      <c r="AF211" s="2691">
        <f t="shared" si="188"/>
        <v>0</v>
      </c>
      <c r="AG211" s="2662">
        <f t="shared" si="188"/>
        <v>0</v>
      </c>
      <c r="AH211" s="2663">
        <f t="shared" si="188"/>
        <v>0</v>
      </c>
      <c r="AI211" s="2612">
        <f t="shared" si="188"/>
        <v>0</v>
      </c>
      <c r="AJ211" s="2664">
        <f t="shared" si="188"/>
        <v>0</v>
      </c>
      <c r="AK211" s="2607"/>
      <c r="AL211" s="2692">
        <f>SUM(AL212:AL217)</f>
        <v>0</v>
      </c>
      <c r="AM211" s="2693">
        <f>SUM(AM212:AM217)</f>
        <v>0</v>
      </c>
      <c r="AN211" s="2489"/>
    </row>
    <row r="212" spans="1:40" s="2614" customFormat="1" ht="24.95" customHeight="1">
      <c r="A212" s="2848"/>
      <c r="B212" s="2851"/>
      <c r="N212" s="2489"/>
      <c r="P212" s="2489"/>
      <c r="Q212" s="2489"/>
      <c r="R212" s="2489"/>
      <c r="S212" s="2705" t="str">
        <f>+IF(OCTUBRE!S212=0,"",OCTUBRE!S212)</f>
        <v>5100100-1</v>
      </c>
      <c r="T212" s="2706" t="str">
        <f>+IF(OCTUBRE!T212=0,"",OCTUBRE!T212)</f>
        <v>Productos Farmaceuticos</v>
      </c>
      <c r="U212" s="2661">
        <f>+ENERO!U212</f>
        <v>0</v>
      </c>
      <c r="V212" s="2612">
        <f>OCTUBRE!V212+NOVIEMBRE!AL212</f>
        <v>0</v>
      </c>
      <c r="W212" s="2612">
        <f>OCTUBRE!W212+NOVIEMBRE!AM212</f>
        <v>0</v>
      </c>
      <c r="X212" s="2662">
        <f t="shared" ref="X212:X218" si="189">SUM(U212:W212)</f>
        <v>0</v>
      </c>
      <c r="Y212" s="2663">
        <f>OCTUBRE!AA212</f>
        <v>0</v>
      </c>
      <c r="Z212" s="2598">
        <v>0</v>
      </c>
      <c r="AA212" s="2662">
        <f t="shared" ref="AA212:AA218" si="190">SUM(Y212:Z212)</f>
        <v>0</v>
      </c>
      <c r="AB212" s="2663">
        <f>OCTUBRE!AD212</f>
        <v>0</v>
      </c>
      <c r="AC212" s="2598">
        <v>0</v>
      </c>
      <c r="AD212" s="2662">
        <f t="shared" ref="AD212:AD218" si="191">SUM(AB212:AC212)</f>
        <v>0</v>
      </c>
      <c r="AE212" s="2663">
        <f>OCTUBRE!AG212</f>
        <v>0</v>
      </c>
      <c r="AF212" s="2598">
        <v>0</v>
      </c>
      <c r="AG212" s="2662">
        <f t="shared" ref="AG212:AG218" si="192">SUM(AE212:AF212)</f>
        <v>0</v>
      </c>
      <c r="AH212" s="2663">
        <f t="shared" ref="AH212:AH218" si="193">X212-AA212</f>
        <v>0</v>
      </c>
      <c r="AI212" s="2612">
        <f t="shared" ref="AI212:AI218" si="194">X212-AD212</f>
        <v>0</v>
      </c>
      <c r="AJ212" s="2664">
        <f t="shared" ref="AJ212:AJ218" si="195">X212-AG212</f>
        <v>0</v>
      </c>
      <c r="AK212" s="2489"/>
      <c r="AL212" s="2600">
        <v>0</v>
      </c>
      <c r="AM212" s="2601">
        <v>0</v>
      </c>
      <c r="AN212" s="2489"/>
    </row>
    <row r="213" spans="1:40" s="2614" customFormat="1" ht="24.95" customHeight="1">
      <c r="A213" s="2848"/>
      <c r="B213" s="2851"/>
      <c r="N213" s="2489"/>
      <c r="P213" s="2489"/>
      <c r="Q213" s="2489"/>
      <c r="R213" s="2489"/>
      <c r="S213" s="2705" t="str">
        <f>+IF(OCTUBRE!S213=0,"",OCTUBRE!S213)</f>
        <v>5100100-2</v>
      </c>
      <c r="T213" s="2706" t="str">
        <f>+IF(OCTUBRE!T213=0,"",OCTUBRE!T213)</f>
        <v>Material Médico Quirúrgico</v>
      </c>
      <c r="U213" s="2661">
        <f>+ENERO!U213</f>
        <v>0</v>
      </c>
      <c r="V213" s="2612">
        <f>OCTUBRE!V213+NOVIEMBRE!AL213</f>
        <v>0</v>
      </c>
      <c r="W213" s="2612">
        <f>OCTUBRE!W213+NOVIEMBRE!AM213</f>
        <v>0</v>
      </c>
      <c r="X213" s="2662">
        <f t="shared" si="189"/>
        <v>0</v>
      </c>
      <c r="Y213" s="2663">
        <f>OCTUBRE!AA213</f>
        <v>0</v>
      </c>
      <c r="Z213" s="2598">
        <v>0</v>
      </c>
      <c r="AA213" s="2662">
        <f t="shared" si="190"/>
        <v>0</v>
      </c>
      <c r="AB213" s="2663">
        <f>OCTUBRE!AD213</f>
        <v>0</v>
      </c>
      <c r="AC213" s="2598">
        <v>0</v>
      </c>
      <c r="AD213" s="2662">
        <f t="shared" si="191"/>
        <v>0</v>
      </c>
      <c r="AE213" s="2663">
        <f>OCTUBRE!AG213</f>
        <v>0</v>
      </c>
      <c r="AF213" s="2598">
        <v>0</v>
      </c>
      <c r="AG213" s="2662">
        <f t="shared" si="192"/>
        <v>0</v>
      </c>
      <c r="AH213" s="2663">
        <f t="shared" si="193"/>
        <v>0</v>
      </c>
      <c r="AI213" s="2612">
        <f t="shared" si="194"/>
        <v>0</v>
      </c>
      <c r="AJ213" s="2664">
        <f t="shared" si="195"/>
        <v>0</v>
      </c>
      <c r="AK213" s="2489"/>
      <c r="AL213" s="2600">
        <v>0</v>
      </c>
      <c r="AM213" s="2601">
        <v>0</v>
      </c>
      <c r="AN213" s="2489"/>
    </row>
    <row r="214" spans="1:40" s="2614" customFormat="1" ht="24.95" customHeight="1">
      <c r="A214" s="2848"/>
      <c r="B214" s="2851"/>
      <c r="N214" s="2489"/>
      <c r="P214" s="2489"/>
      <c r="Q214" s="2489"/>
      <c r="R214" s="2489"/>
      <c r="S214" s="2705" t="str">
        <f>+IF(OCTUBRE!S214=0,"",OCTUBRE!S214)</f>
        <v>5100100-3</v>
      </c>
      <c r="T214" s="2706" t="str">
        <f>+IF(OCTUBRE!T214=0,"",OCTUBRE!T214)</f>
        <v>Material de Laboratorio</v>
      </c>
      <c r="U214" s="2661">
        <f>+ENERO!U214</f>
        <v>0</v>
      </c>
      <c r="V214" s="2612">
        <f>OCTUBRE!V214+NOVIEMBRE!AL214</f>
        <v>0</v>
      </c>
      <c r="W214" s="2612">
        <f>OCTUBRE!W214+NOVIEMBRE!AM214</f>
        <v>0</v>
      </c>
      <c r="X214" s="2662">
        <f t="shared" si="189"/>
        <v>0</v>
      </c>
      <c r="Y214" s="2663">
        <f>OCTUBRE!AA214</f>
        <v>0</v>
      </c>
      <c r="Z214" s="2598">
        <v>0</v>
      </c>
      <c r="AA214" s="2662">
        <f t="shared" si="190"/>
        <v>0</v>
      </c>
      <c r="AB214" s="2663">
        <f>OCTUBRE!AD214</f>
        <v>0</v>
      </c>
      <c r="AC214" s="2598">
        <v>0</v>
      </c>
      <c r="AD214" s="2662">
        <f t="shared" si="191"/>
        <v>0</v>
      </c>
      <c r="AE214" s="2663">
        <f>OCTUBRE!AG214</f>
        <v>0</v>
      </c>
      <c r="AF214" s="2598">
        <v>0</v>
      </c>
      <c r="AG214" s="2662">
        <f t="shared" si="192"/>
        <v>0</v>
      </c>
      <c r="AH214" s="2663">
        <f t="shared" si="193"/>
        <v>0</v>
      </c>
      <c r="AI214" s="2612">
        <f t="shared" si="194"/>
        <v>0</v>
      </c>
      <c r="AJ214" s="2664">
        <f t="shared" si="195"/>
        <v>0</v>
      </c>
      <c r="AK214" s="2489"/>
      <c r="AL214" s="2600">
        <v>0</v>
      </c>
      <c r="AM214" s="2601">
        <v>0</v>
      </c>
      <c r="AN214" s="2489"/>
    </row>
    <row r="215" spans="1:40" s="2614" customFormat="1" ht="24.95" customHeight="1">
      <c r="A215" s="2848"/>
      <c r="B215" s="2851"/>
      <c r="N215" s="2489"/>
      <c r="P215" s="2489"/>
      <c r="Q215" s="2489"/>
      <c r="R215" s="2489"/>
      <c r="S215" s="2705" t="str">
        <f>+IF(OCTUBRE!S215=0,"",OCTUBRE!S215)</f>
        <v>5100100-4</v>
      </c>
      <c r="T215" s="2706" t="str">
        <f>+IF(OCTUBRE!T215=0,"",OCTUBRE!T215)</f>
        <v>Material para Odontologia</v>
      </c>
      <c r="U215" s="2661">
        <f>+ENERO!U215</f>
        <v>0</v>
      </c>
      <c r="V215" s="2612">
        <f>OCTUBRE!V215+NOVIEMBRE!AL215</f>
        <v>0</v>
      </c>
      <c r="W215" s="2612">
        <f>OCTUBRE!W215+NOVIEMBRE!AM215</f>
        <v>0</v>
      </c>
      <c r="X215" s="2662">
        <f t="shared" si="189"/>
        <v>0</v>
      </c>
      <c r="Y215" s="2663">
        <f>OCTUBRE!AA215</f>
        <v>0</v>
      </c>
      <c r="Z215" s="2598">
        <v>0</v>
      </c>
      <c r="AA215" s="2662">
        <f t="shared" si="190"/>
        <v>0</v>
      </c>
      <c r="AB215" s="2663">
        <f>OCTUBRE!AD215</f>
        <v>0</v>
      </c>
      <c r="AC215" s="2598">
        <v>0</v>
      </c>
      <c r="AD215" s="2662">
        <f t="shared" si="191"/>
        <v>0</v>
      </c>
      <c r="AE215" s="2663">
        <f>OCTUBRE!AG215</f>
        <v>0</v>
      </c>
      <c r="AF215" s="2598">
        <v>0</v>
      </c>
      <c r="AG215" s="2662">
        <f t="shared" si="192"/>
        <v>0</v>
      </c>
      <c r="AH215" s="2663">
        <f t="shared" si="193"/>
        <v>0</v>
      </c>
      <c r="AI215" s="2612">
        <f t="shared" si="194"/>
        <v>0</v>
      </c>
      <c r="AJ215" s="2664">
        <f t="shared" si="195"/>
        <v>0</v>
      </c>
      <c r="AK215" s="2489"/>
      <c r="AL215" s="2600">
        <v>0</v>
      </c>
      <c r="AM215" s="2601">
        <v>0</v>
      </c>
      <c r="AN215" s="2489"/>
    </row>
    <row r="216" spans="1:40" s="2614" customFormat="1" ht="24.95" customHeight="1">
      <c r="A216" s="2848"/>
      <c r="B216" s="2851"/>
      <c r="N216" s="2489"/>
      <c r="P216" s="2489"/>
      <c r="Q216" s="2489"/>
      <c r="R216" s="2489"/>
      <c r="S216" s="2705" t="str">
        <f>+IF(OCTUBRE!S216=0,"",OCTUBRE!S216)</f>
        <v>5100100-5</v>
      </c>
      <c r="T216" s="2706" t="str">
        <f>+IF(OCTUBRE!T216=0,"",OCTUBRE!T216)</f>
        <v>Material para Rayos X</v>
      </c>
      <c r="U216" s="2661">
        <f>+ENERO!U216</f>
        <v>0</v>
      </c>
      <c r="V216" s="2612">
        <f>OCTUBRE!V216+NOVIEMBRE!AL216</f>
        <v>0</v>
      </c>
      <c r="W216" s="2612">
        <f>OCTUBRE!W216+NOVIEMBRE!AM216</f>
        <v>0</v>
      </c>
      <c r="X216" s="2662">
        <f t="shared" si="189"/>
        <v>0</v>
      </c>
      <c r="Y216" s="2663">
        <f>OCTUBRE!AA216</f>
        <v>0</v>
      </c>
      <c r="Z216" s="2598">
        <v>0</v>
      </c>
      <c r="AA216" s="2662">
        <f t="shared" si="190"/>
        <v>0</v>
      </c>
      <c r="AB216" s="2663">
        <f>OCTUBRE!AD216</f>
        <v>0</v>
      </c>
      <c r="AC216" s="2598">
        <v>0</v>
      </c>
      <c r="AD216" s="2662">
        <f t="shared" si="191"/>
        <v>0</v>
      </c>
      <c r="AE216" s="2663">
        <f>OCTUBRE!AG216</f>
        <v>0</v>
      </c>
      <c r="AF216" s="2598">
        <v>0</v>
      </c>
      <c r="AG216" s="2662">
        <f t="shared" si="192"/>
        <v>0</v>
      </c>
      <c r="AH216" s="2663">
        <f t="shared" si="193"/>
        <v>0</v>
      </c>
      <c r="AI216" s="2612">
        <f t="shared" si="194"/>
        <v>0</v>
      </c>
      <c r="AJ216" s="2664">
        <f t="shared" si="195"/>
        <v>0</v>
      </c>
      <c r="AK216" s="2489"/>
      <c r="AL216" s="2600">
        <v>0</v>
      </c>
      <c r="AM216" s="2601">
        <v>0</v>
      </c>
      <c r="AN216" s="2489"/>
    </row>
    <row r="217" spans="1:40" s="2614" customFormat="1" ht="24.95" customHeight="1">
      <c r="A217" s="2848"/>
      <c r="B217" s="2851"/>
      <c r="N217" s="2489"/>
      <c r="P217" s="2489"/>
      <c r="Q217" s="2489"/>
      <c r="R217" s="2489"/>
      <c r="S217" s="2705" t="str">
        <f>+IF(OCTUBRE!S217=0,"",OCTUBRE!S217)</f>
        <v>5100100-6</v>
      </c>
      <c r="T217" s="2706" t="str">
        <f>+IF(OCTUBRE!T217=0,"",OCTUBRE!T217)</f>
        <v>Material aseo personal, etc.</v>
      </c>
      <c r="U217" s="2661">
        <f>+ENERO!U217</f>
        <v>0</v>
      </c>
      <c r="V217" s="2612">
        <f>OCTUBRE!V217+NOVIEMBRE!AL217</f>
        <v>0</v>
      </c>
      <c r="W217" s="2612">
        <f>OCTUBRE!W217+NOVIEMBRE!AM217</f>
        <v>0</v>
      </c>
      <c r="X217" s="2662">
        <f t="shared" si="189"/>
        <v>0</v>
      </c>
      <c r="Y217" s="2663">
        <f>OCTUBRE!AA217</f>
        <v>0</v>
      </c>
      <c r="Z217" s="2598">
        <v>0</v>
      </c>
      <c r="AA217" s="2662">
        <f t="shared" si="190"/>
        <v>0</v>
      </c>
      <c r="AB217" s="2663">
        <f>OCTUBRE!AD217</f>
        <v>0</v>
      </c>
      <c r="AC217" s="2598">
        <v>0</v>
      </c>
      <c r="AD217" s="2662">
        <f t="shared" si="191"/>
        <v>0</v>
      </c>
      <c r="AE217" s="2663">
        <f>OCTUBRE!AG217</f>
        <v>0</v>
      </c>
      <c r="AF217" s="2598">
        <v>0</v>
      </c>
      <c r="AG217" s="2662">
        <f t="shared" si="192"/>
        <v>0</v>
      </c>
      <c r="AH217" s="2663">
        <f t="shared" si="193"/>
        <v>0</v>
      </c>
      <c r="AI217" s="2612">
        <f t="shared" si="194"/>
        <v>0</v>
      </c>
      <c r="AJ217" s="2664">
        <f t="shared" si="195"/>
        <v>0</v>
      </c>
      <c r="AK217" s="2489"/>
      <c r="AL217" s="2600">
        <v>0</v>
      </c>
      <c r="AM217" s="2601">
        <v>0</v>
      </c>
      <c r="AN217" s="2489"/>
    </row>
    <row r="218" spans="1:40" s="2614" customFormat="1" ht="24.95" customHeight="1" thickBot="1">
      <c r="A218" s="2848"/>
      <c r="B218" s="2851"/>
      <c r="N218" s="2489"/>
      <c r="P218" s="2489"/>
      <c r="Q218" s="2489"/>
      <c r="R218" s="2489"/>
      <c r="S218" s="2868">
        <f>+IF(OCTUBRE!S218=0,"",OCTUBRE!S218)</f>
        <v>5199999</v>
      </c>
      <c r="T218" s="2869" t="str">
        <f>+IF(OCTUBRE!T218=0,"",OCTUBRE!T218)</f>
        <v>Vigencias Anteriores</v>
      </c>
      <c r="U218" s="2857">
        <f>+ENERO!U218</f>
        <v>0</v>
      </c>
      <c r="V218" s="2858">
        <f>OCTUBRE!V218+NOVIEMBRE!AL218</f>
        <v>0</v>
      </c>
      <c r="W218" s="2858">
        <f>OCTUBRE!W218+NOVIEMBRE!AM218</f>
        <v>0</v>
      </c>
      <c r="X218" s="2859">
        <f t="shared" si="189"/>
        <v>0</v>
      </c>
      <c r="Y218" s="2860">
        <f>OCTUBRE!AA218</f>
        <v>0</v>
      </c>
      <c r="Z218" s="2639">
        <v>0</v>
      </c>
      <c r="AA218" s="2859">
        <f t="shared" si="190"/>
        <v>0</v>
      </c>
      <c r="AB218" s="2860">
        <f>OCTUBRE!AD218</f>
        <v>0</v>
      </c>
      <c r="AC218" s="2639">
        <v>0</v>
      </c>
      <c r="AD218" s="2859">
        <f t="shared" si="191"/>
        <v>0</v>
      </c>
      <c r="AE218" s="2860">
        <f>OCTUBRE!AG218</f>
        <v>0</v>
      </c>
      <c r="AF218" s="2639">
        <v>0</v>
      </c>
      <c r="AG218" s="2859">
        <f t="shared" si="192"/>
        <v>0</v>
      </c>
      <c r="AH218" s="2860">
        <f t="shared" si="193"/>
        <v>0</v>
      </c>
      <c r="AI218" s="2858">
        <f t="shared" si="194"/>
        <v>0</v>
      </c>
      <c r="AJ218" s="2861">
        <f t="shared" si="195"/>
        <v>0</v>
      </c>
      <c r="AK218" s="2489"/>
      <c r="AL218" s="2870">
        <v>0</v>
      </c>
      <c r="AM218" s="2871">
        <v>0</v>
      </c>
      <c r="AN218" s="2489"/>
    </row>
    <row r="219" spans="1:40" s="2614" customFormat="1" ht="24.95" customHeight="1" thickBot="1">
      <c r="A219" s="2848"/>
      <c r="B219" s="2851"/>
      <c r="N219" s="2489"/>
      <c r="P219" s="2489"/>
      <c r="Q219" s="2489"/>
      <c r="R219" s="2489"/>
      <c r="S219" s="2872" t="str">
        <f>+IF(OCTUBRE!S219=0,"",OCTUBRE!S219)</f>
        <v/>
      </c>
      <c r="T219" s="2873" t="str">
        <f>+IF(OCTUBRE!T219=0,"",OCTUBRE!T219)</f>
        <v/>
      </c>
      <c r="U219" s="2874"/>
      <c r="V219" s="2874"/>
      <c r="W219" s="2874"/>
      <c r="X219" s="2874"/>
      <c r="Y219" s="2874"/>
      <c r="Z219" s="2874"/>
      <c r="AA219" s="2874"/>
      <c r="AB219" s="2874"/>
      <c r="AC219" s="2874"/>
      <c r="AD219" s="2874"/>
      <c r="AE219" s="2874"/>
      <c r="AF219" s="2874"/>
      <c r="AG219" s="2874"/>
      <c r="AH219" s="2874"/>
      <c r="AI219" s="2874"/>
      <c r="AJ219" s="2875"/>
      <c r="AK219" s="2607"/>
      <c r="AL219" s="2876"/>
      <c r="AM219" s="2877"/>
      <c r="AN219" s="2489"/>
    </row>
    <row r="220" spans="1:40" s="2614" customFormat="1" ht="24.95" customHeight="1">
      <c r="A220" s="2848"/>
      <c r="B220" s="2851"/>
      <c r="N220" s="2489"/>
      <c r="P220" s="2489"/>
      <c r="Q220" s="2489"/>
      <c r="R220" s="2489"/>
      <c r="S220" s="2565" t="str">
        <f>+IF(OCTUBRE!S220=0,"",OCTUBRE!S220)</f>
        <v>C</v>
      </c>
      <c r="T220" s="2566" t="str">
        <f>+IF(OCTUBRE!T220=0,"",OCTUBRE!T220)</f>
        <v xml:space="preserve">SERVICIO DE LA DEUDA </v>
      </c>
      <c r="U220" s="2567">
        <f t="shared" ref="U220:AJ220" si="196">U222+U227</f>
        <v>0</v>
      </c>
      <c r="V220" s="2568">
        <f t="shared" si="196"/>
        <v>0</v>
      </c>
      <c r="W220" s="2568">
        <f t="shared" si="196"/>
        <v>0</v>
      </c>
      <c r="X220" s="2569">
        <f t="shared" si="196"/>
        <v>0</v>
      </c>
      <c r="Y220" s="2570">
        <f t="shared" si="196"/>
        <v>0</v>
      </c>
      <c r="Z220" s="2568">
        <f t="shared" si="196"/>
        <v>0</v>
      </c>
      <c r="AA220" s="2569">
        <f t="shared" si="196"/>
        <v>0</v>
      </c>
      <c r="AB220" s="2570">
        <f t="shared" si="196"/>
        <v>0</v>
      </c>
      <c r="AC220" s="2568">
        <f t="shared" si="196"/>
        <v>0</v>
      </c>
      <c r="AD220" s="2569">
        <f t="shared" si="196"/>
        <v>0</v>
      </c>
      <c r="AE220" s="2570">
        <f t="shared" si="196"/>
        <v>0</v>
      </c>
      <c r="AF220" s="2568">
        <f t="shared" si="196"/>
        <v>0</v>
      </c>
      <c r="AG220" s="2569">
        <f t="shared" si="196"/>
        <v>0</v>
      </c>
      <c r="AH220" s="2570">
        <f t="shared" si="196"/>
        <v>0</v>
      </c>
      <c r="AI220" s="2568">
        <f t="shared" si="196"/>
        <v>0</v>
      </c>
      <c r="AJ220" s="2571">
        <f t="shared" si="196"/>
        <v>0</v>
      </c>
      <c r="AK220" s="2878"/>
      <c r="AL220" s="2570">
        <f>AL222+AL227</f>
        <v>0</v>
      </c>
      <c r="AM220" s="2571">
        <f>AM222+AM227</f>
        <v>0</v>
      </c>
      <c r="AN220" s="2489"/>
    </row>
    <row r="221" spans="1:40" s="2614" customFormat="1" ht="24.95" customHeight="1">
      <c r="A221" s="2848"/>
      <c r="B221" s="2851"/>
      <c r="N221" s="2489"/>
      <c r="P221" s="2489"/>
      <c r="Q221" s="2489"/>
      <c r="R221" s="2489"/>
      <c r="S221" s="2579" t="str">
        <f>+IF(OCTUBRE!S221=0,"",OCTUBRE!S221)</f>
        <v/>
      </c>
      <c r="T221" s="2580" t="str">
        <f>+IF(OCTUBRE!T221=0,"",OCTUBRE!T221)</f>
        <v/>
      </c>
      <c r="U221" s="2581"/>
      <c r="V221" s="2581"/>
      <c r="W221" s="2581"/>
      <c r="X221" s="2581"/>
      <c r="Y221" s="2581"/>
      <c r="Z221" s="2581"/>
      <c r="AA221" s="2581"/>
      <c r="AB221" s="2581"/>
      <c r="AC221" s="2581"/>
      <c r="AD221" s="2581"/>
      <c r="AE221" s="2581"/>
      <c r="AF221" s="2581"/>
      <c r="AG221" s="2581"/>
      <c r="AH221" s="2581"/>
      <c r="AI221" s="2581"/>
      <c r="AJ221" s="2582"/>
      <c r="AK221" s="2489"/>
      <c r="AL221" s="2769"/>
      <c r="AM221" s="2770"/>
      <c r="AN221" s="2489"/>
    </row>
    <row r="222" spans="1:40" s="2614" customFormat="1" ht="24.95" customHeight="1">
      <c r="A222" s="2848"/>
      <c r="B222" s="2851"/>
      <c r="N222" s="2489"/>
      <c r="P222" s="2489"/>
      <c r="Q222" s="2489"/>
      <c r="R222" s="2489"/>
      <c r="S222" s="2651">
        <f>+IF(OCTUBRE!S222=0,"",OCTUBRE!S222)</f>
        <v>7001000</v>
      </c>
      <c r="T222" s="2652" t="str">
        <f>+IF(OCTUBRE!T222=0,"",OCTUBRE!T222)</f>
        <v>SERVICIO DE LA DEUDA INTERNA</v>
      </c>
      <c r="U222" s="2624">
        <f t="shared" ref="U222:AJ222" si="197">SUM(U223:U225)</f>
        <v>0</v>
      </c>
      <c r="V222" s="2625">
        <f t="shared" si="197"/>
        <v>0</v>
      </c>
      <c r="W222" s="2625">
        <f t="shared" si="197"/>
        <v>0</v>
      </c>
      <c r="X222" s="2626">
        <f t="shared" si="197"/>
        <v>0</v>
      </c>
      <c r="Y222" s="2627">
        <f t="shared" si="197"/>
        <v>0</v>
      </c>
      <c r="Z222" s="2625">
        <f t="shared" si="197"/>
        <v>0</v>
      </c>
      <c r="AA222" s="2626">
        <f t="shared" si="197"/>
        <v>0</v>
      </c>
      <c r="AB222" s="2627">
        <f t="shared" si="197"/>
        <v>0</v>
      </c>
      <c r="AC222" s="2625">
        <f t="shared" si="197"/>
        <v>0</v>
      </c>
      <c r="AD222" s="2626">
        <f t="shared" si="197"/>
        <v>0</v>
      </c>
      <c r="AE222" s="2627">
        <f t="shared" si="197"/>
        <v>0</v>
      </c>
      <c r="AF222" s="2625">
        <f t="shared" si="197"/>
        <v>0</v>
      </c>
      <c r="AG222" s="2626">
        <f t="shared" si="197"/>
        <v>0</v>
      </c>
      <c r="AH222" s="2627">
        <f t="shared" si="197"/>
        <v>0</v>
      </c>
      <c r="AI222" s="2625">
        <f t="shared" si="197"/>
        <v>0</v>
      </c>
      <c r="AJ222" s="2628">
        <f t="shared" si="197"/>
        <v>0</v>
      </c>
      <c r="AK222" s="2489"/>
      <c r="AL222" s="2627">
        <f>SUM(AL223:AL225)</f>
        <v>0</v>
      </c>
      <c r="AM222" s="2628">
        <f>SUM(AM223:AM225)</f>
        <v>0</v>
      </c>
      <c r="AN222" s="2489"/>
    </row>
    <row r="223" spans="1:40" s="2614" customFormat="1" ht="24.95" customHeight="1">
      <c r="A223" s="2848"/>
      <c r="B223" s="2851"/>
      <c r="N223" s="2489"/>
      <c r="P223" s="2489"/>
      <c r="Q223" s="2489"/>
      <c r="R223" s="2489"/>
      <c r="S223" s="2659">
        <f>+IF(OCTUBRE!S223=0,"",OCTUBRE!S223)</f>
        <v>7001100</v>
      </c>
      <c r="T223" s="2660" t="str">
        <f>+IF(OCTUBRE!T223=0,"",OCTUBRE!T223)</f>
        <v>Amortización deuda Pública Interna</v>
      </c>
      <c r="U223" s="2661">
        <f>+ENERO!U223</f>
        <v>0</v>
      </c>
      <c r="V223" s="2612">
        <f>OCTUBRE!V223+NOVIEMBRE!AL223</f>
        <v>0</v>
      </c>
      <c r="W223" s="2612">
        <f>OCTUBRE!W223+NOVIEMBRE!AM223</f>
        <v>0</v>
      </c>
      <c r="X223" s="2662">
        <f>SUM(U223:W223)</f>
        <v>0</v>
      </c>
      <c r="Y223" s="2663">
        <f>OCTUBRE!AA223</f>
        <v>0</v>
      </c>
      <c r="Z223" s="2598">
        <v>0</v>
      </c>
      <c r="AA223" s="2662">
        <f>SUM(Y223:Z223)</f>
        <v>0</v>
      </c>
      <c r="AB223" s="2663">
        <f>OCTUBRE!AD223</f>
        <v>0</v>
      </c>
      <c r="AC223" s="2598">
        <v>0</v>
      </c>
      <c r="AD223" s="2662">
        <f>SUM(AB223:AC223)</f>
        <v>0</v>
      </c>
      <c r="AE223" s="2663">
        <f>OCTUBRE!AG223</f>
        <v>0</v>
      </c>
      <c r="AF223" s="2598">
        <v>0</v>
      </c>
      <c r="AG223" s="2662">
        <f>SUM(AE223:AF223)</f>
        <v>0</v>
      </c>
      <c r="AH223" s="2663">
        <f>X223-AA223</f>
        <v>0</v>
      </c>
      <c r="AI223" s="2612">
        <f>X223-AD223</f>
        <v>0</v>
      </c>
      <c r="AJ223" s="2664">
        <f>X223-AG223</f>
        <v>0</v>
      </c>
      <c r="AK223" s="2489"/>
      <c r="AL223" s="2600">
        <v>0</v>
      </c>
      <c r="AM223" s="2601">
        <v>0</v>
      </c>
      <c r="AN223" s="2489"/>
    </row>
    <row r="224" spans="1:40" s="2614" customFormat="1" ht="24.95" customHeight="1">
      <c r="A224" s="2848"/>
      <c r="B224" s="2851"/>
      <c r="N224" s="2489"/>
      <c r="P224" s="2489"/>
      <c r="Q224" s="2489"/>
      <c r="R224" s="2489"/>
      <c r="S224" s="2659">
        <f>+IF(OCTUBRE!S224=0,"",OCTUBRE!S224)</f>
        <v>7001200</v>
      </c>
      <c r="T224" s="2660" t="str">
        <f>+IF(OCTUBRE!T224=0,"",OCTUBRE!T224)</f>
        <v>Intereses Comisiones y gastos de la Deuda Pública</v>
      </c>
      <c r="U224" s="2661">
        <f>+ENERO!U224</f>
        <v>0</v>
      </c>
      <c r="V224" s="2612">
        <f>OCTUBRE!V224+NOVIEMBRE!AL224</f>
        <v>0</v>
      </c>
      <c r="W224" s="2612">
        <f>OCTUBRE!W224+NOVIEMBRE!AM224</f>
        <v>0</v>
      </c>
      <c r="X224" s="2662">
        <f>SUM(U224:W224)</f>
        <v>0</v>
      </c>
      <c r="Y224" s="2663">
        <f>OCTUBRE!AA224</f>
        <v>0</v>
      </c>
      <c r="Z224" s="2598">
        <v>0</v>
      </c>
      <c r="AA224" s="2662">
        <f>SUM(Y224:Z224)</f>
        <v>0</v>
      </c>
      <c r="AB224" s="2663">
        <f>OCTUBRE!AD224</f>
        <v>0</v>
      </c>
      <c r="AC224" s="2598">
        <v>0</v>
      </c>
      <c r="AD224" s="2662">
        <f>SUM(AB224:AC224)</f>
        <v>0</v>
      </c>
      <c r="AE224" s="2663">
        <f>OCTUBRE!AG224</f>
        <v>0</v>
      </c>
      <c r="AF224" s="2598">
        <v>0</v>
      </c>
      <c r="AG224" s="2662">
        <f>SUM(AE224:AF224)</f>
        <v>0</v>
      </c>
      <c r="AH224" s="2663">
        <f>X224-AA224</f>
        <v>0</v>
      </c>
      <c r="AI224" s="2612">
        <f>X224-AD224</f>
        <v>0</v>
      </c>
      <c r="AJ224" s="2664">
        <f>X224-AG224</f>
        <v>0</v>
      </c>
      <c r="AK224" s="2489"/>
      <c r="AL224" s="2600">
        <v>0</v>
      </c>
      <c r="AM224" s="2601">
        <v>0</v>
      </c>
      <c r="AN224" s="2489"/>
    </row>
    <row r="225" spans="1:64" s="2614" customFormat="1" ht="24.95" customHeight="1">
      <c r="A225" s="2848"/>
      <c r="B225" s="2851"/>
      <c r="N225" s="2489"/>
      <c r="P225" s="2489"/>
      <c r="Q225" s="2489"/>
      <c r="R225" s="2489"/>
      <c r="S225" s="2659">
        <f>+IF(OCTUBRE!S225=0,"",OCTUBRE!S225)</f>
        <v>7001999</v>
      </c>
      <c r="T225" s="2660" t="str">
        <f>+IF(OCTUBRE!T225=0,"",OCTUBRE!T225)</f>
        <v>Vigencias Anteriores</v>
      </c>
      <c r="U225" s="2661">
        <f>+ENERO!U225</f>
        <v>0</v>
      </c>
      <c r="V225" s="2612">
        <f>OCTUBRE!V225+NOVIEMBRE!AL225</f>
        <v>0</v>
      </c>
      <c r="W225" s="2612">
        <f>OCTUBRE!W225+NOVIEMBRE!AM225</f>
        <v>0</v>
      </c>
      <c r="X225" s="2662">
        <f>SUM(U225:W225)</f>
        <v>0</v>
      </c>
      <c r="Y225" s="2663">
        <f>OCTUBRE!AA225</f>
        <v>0</v>
      </c>
      <c r="Z225" s="2598">
        <v>0</v>
      </c>
      <c r="AA225" s="2662">
        <f>SUM(Y225:Z225)</f>
        <v>0</v>
      </c>
      <c r="AB225" s="2663">
        <f>OCTUBRE!AD225</f>
        <v>0</v>
      </c>
      <c r="AC225" s="2598">
        <v>0</v>
      </c>
      <c r="AD225" s="2662">
        <f>SUM(AB225:AC225)</f>
        <v>0</v>
      </c>
      <c r="AE225" s="2663">
        <f>OCTUBRE!AG225</f>
        <v>0</v>
      </c>
      <c r="AF225" s="2598">
        <v>0</v>
      </c>
      <c r="AG225" s="2662">
        <f>SUM(AE225:AF225)</f>
        <v>0</v>
      </c>
      <c r="AH225" s="2663">
        <f>X225-AA225</f>
        <v>0</v>
      </c>
      <c r="AI225" s="2612">
        <f>X225-AD225</f>
        <v>0</v>
      </c>
      <c r="AJ225" s="2664">
        <f>X225-AG225</f>
        <v>0</v>
      </c>
      <c r="AK225" s="2489"/>
      <c r="AL225" s="2600">
        <v>0</v>
      </c>
      <c r="AM225" s="2601">
        <v>0</v>
      </c>
      <c r="AN225" s="2489"/>
    </row>
    <row r="226" spans="1:64" s="2614" customFormat="1" ht="24.95" customHeight="1">
      <c r="A226" s="2848"/>
      <c r="B226" s="2851"/>
      <c r="N226" s="2489"/>
      <c r="P226" s="2489"/>
      <c r="Q226" s="2489"/>
      <c r="R226" s="2489"/>
      <c r="S226" s="2579" t="str">
        <f>+IF(OCTUBRE!S226=0,"",OCTUBRE!S226)</f>
        <v/>
      </c>
      <c r="T226" s="2580" t="str">
        <f>+IF(OCTUBRE!T226=0,"",OCTUBRE!T226)</f>
        <v/>
      </c>
      <c r="U226" s="2581"/>
      <c r="V226" s="2581"/>
      <c r="W226" s="2581"/>
      <c r="X226" s="2581"/>
      <c r="Y226" s="2581"/>
      <c r="Z226" s="2581"/>
      <c r="AA226" s="2581"/>
      <c r="AB226" s="2581"/>
      <c r="AC226" s="2581"/>
      <c r="AD226" s="2581"/>
      <c r="AE226" s="2581"/>
      <c r="AF226" s="2581"/>
      <c r="AG226" s="2581"/>
      <c r="AH226" s="2581"/>
      <c r="AI226" s="2581"/>
      <c r="AJ226" s="2582"/>
      <c r="AK226" s="2607"/>
      <c r="AL226" s="2769"/>
      <c r="AM226" s="2770"/>
      <c r="AN226" s="2489"/>
    </row>
    <row r="227" spans="1:64" s="2614" customFormat="1" ht="24.95" customHeight="1">
      <c r="A227" s="2848"/>
      <c r="B227" s="2851"/>
      <c r="N227" s="2489"/>
      <c r="P227" s="2489"/>
      <c r="Q227" s="2489"/>
      <c r="R227" s="2489"/>
      <c r="S227" s="2651">
        <f>+IF(OCTUBRE!S227=0,"",OCTUBRE!S227)</f>
        <v>7002001</v>
      </c>
      <c r="T227" s="2652" t="str">
        <f>+IF(OCTUBRE!T227=0,"",OCTUBRE!T227)</f>
        <v>SERVICIO DE LA DEUDA EXTERNA</v>
      </c>
      <c r="U227" s="2624">
        <f t="shared" ref="U227:AJ227" si="198">SUM(U228:U230)</f>
        <v>0</v>
      </c>
      <c r="V227" s="2625">
        <f t="shared" si="198"/>
        <v>0</v>
      </c>
      <c r="W227" s="2625">
        <f t="shared" si="198"/>
        <v>0</v>
      </c>
      <c r="X227" s="2626">
        <f t="shared" si="198"/>
        <v>0</v>
      </c>
      <c r="Y227" s="2627">
        <f t="shared" si="198"/>
        <v>0</v>
      </c>
      <c r="Z227" s="2625">
        <f t="shared" si="198"/>
        <v>0</v>
      </c>
      <c r="AA227" s="2626">
        <f t="shared" si="198"/>
        <v>0</v>
      </c>
      <c r="AB227" s="2627">
        <f t="shared" si="198"/>
        <v>0</v>
      </c>
      <c r="AC227" s="2625">
        <f t="shared" si="198"/>
        <v>0</v>
      </c>
      <c r="AD227" s="2626">
        <f t="shared" si="198"/>
        <v>0</v>
      </c>
      <c r="AE227" s="2627">
        <f t="shared" si="198"/>
        <v>0</v>
      </c>
      <c r="AF227" s="2625">
        <f t="shared" si="198"/>
        <v>0</v>
      </c>
      <c r="AG227" s="2626">
        <f t="shared" si="198"/>
        <v>0</v>
      </c>
      <c r="AH227" s="2627">
        <f t="shared" si="198"/>
        <v>0</v>
      </c>
      <c r="AI227" s="2625">
        <f t="shared" si="198"/>
        <v>0</v>
      </c>
      <c r="AJ227" s="2628">
        <f t="shared" si="198"/>
        <v>0</v>
      </c>
      <c r="AK227" s="2607"/>
      <c r="AL227" s="2627">
        <f>SUM(AL228:AL230)</f>
        <v>0</v>
      </c>
      <c r="AM227" s="2628">
        <f>SUM(AM228:AM230)</f>
        <v>0</v>
      </c>
      <c r="AN227" s="2489"/>
    </row>
    <row r="228" spans="1:64" s="2614" customFormat="1" ht="24.95" customHeight="1">
      <c r="A228" s="2848"/>
      <c r="B228" s="2851"/>
      <c r="N228" s="2489"/>
      <c r="P228" s="2489"/>
      <c r="Q228" s="2489"/>
      <c r="R228" s="2489"/>
      <c r="S228" s="2659">
        <f>+IF(OCTUBRE!S228=0,"",OCTUBRE!S228)</f>
        <v>7002100</v>
      </c>
      <c r="T228" s="2660" t="str">
        <f>+IF(OCTUBRE!T228=0,"",OCTUBRE!T228)</f>
        <v>Amortización deuda Pública Externa</v>
      </c>
      <c r="U228" s="2661">
        <f>+ENERO!U228</f>
        <v>0</v>
      </c>
      <c r="V228" s="2612">
        <f>OCTUBRE!V228+NOVIEMBRE!AL228</f>
        <v>0</v>
      </c>
      <c r="W228" s="2612">
        <f>OCTUBRE!W228+NOVIEMBRE!AM228</f>
        <v>0</v>
      </c>
      <c r="X228" s="2662">
        <f>SUM(U228:W228)</f>
        <v>0</v>
      </c>
      <c r="Y228" s="2663">
        <f>OCTUBRE!AA228</f>
        <v>0</v>
      </c>
      <c r="Z228" s="2598">
        <v>0</v>
      </c>
      <c r="AA228" s="2662">
        <f>SUM(Y228:Z228)</f>
        <v>0</v>
      </c>
      <c r="AB228" s="2663">
        <f>OCTUBRE!AD228</f>
        <v>0</v>
      </c>
      <c r="AC228" s="2598">
        <v>0</v>
      </c>
      <c r="AD228" s="2662">
        <f>SUM(AB228:AC228)</f>
        <v>0</v>
      </c>
      <c r="AE228" s="2663">
        <f>OCTUBRE!AG228</f>
        <v>0</v>
      </c>
      <c r="AF228" s="2598">
        <v>0</v>
      </c>
      <c r="AG228" s="2662">
        <f>SUM(AE228:AF228)</f>
        <v>0</v>
      </c>
      <c r="AH228" s="2663">
        <f>X228-AA228</f>
        <v>0</v>
      </c>
      <c r="AI228" s="2612">
        <f>X228-AD228</f>
        <v>0</v>
      </c>
      <c r="AJ228" s="2664">
        <f>X228-AG228</f>
        <v>0</v>
      </c>
      <c r="AK228" s="2489"/>
      <c r="AL228" s="2600">
        <v>0</v>
      </c>
      <c r="AM228" s="2601">
        <v>0</v>
      </c>
      <c r="AN228" s="2489"/>
    </row>
    <row r="229" spans="1:64" s="2614" customFormat="1" ht="24.95" customHeight="1">
      <c r="A229" s="2848"/>
      <c r="B229" s="2851"/>
      <c r="N229" s="2489"/>
      <c r="P229" s="2489"/>
      <c r="Q229" s="2489"/>
      <c r="R229" s="2489"/>
      <c r="S229" s="2659">
        <f>+IF(OCTUBRE!S229=0,"",OCTUBRE!S229)</f>
        <v>7002200</v>
      </c>
      <c r="T229" s="2660" t="str">
        <f>+IF(OCTUBRE!T229=0,"",OCTUBRE!T229)</f>
        <v>Intereses Comisiones y gastos de la Deuda Pública</v>
      </c>
      <c r="U229" s="2661">
        <f>+ENERO!U229</f>
        <v>0</v>
      </c>
      <c r="V229" s="2612">
        <f>OCTUBRE!V229+NOVIEMBRE!AL229</f>
        <v>0</v>
      </c>
      <c r="W229" s="2612">
        <f>OCTUBRE!W229+NOVIEMBRE!AM229</f>
        <v>0</v>
      </c>
      <c r="X229" s="2662">
        <f>SUM(U229:W229)</f>
        <v>0</v>
      </c>
      <c r="Y229" s="2663">
        <f>OCTUBRE!AA229</f>
        <v>0</v>
      </c>
      <c r="Z229" s="2598">
        <v>0</v>
      </c>
      <c r="AA229" s="2662">
        <f>SUM(Y229:Z229)</f>
        <v>0</v>
      </c>
      <c r="AB229" s="2663">
        <f>OCTUBRE!AD229</f>
        <v>0</v>
      </c>
      <c r="AC229" s="2598">
        <v>0</v>
      </c>
      <c r="AD229" s="2662">
        <f>SUM(AB229:AC229)</f>
        <v>0</v>
      </c>
      <c r="AE229" s="2663">
        <f>OCTUBRE!AG229</f>
        <v>0</v>
      </c>
      <c r="AF229" s="2598">
        <v>0</v>
      </c>
      <c r="AG229" s="2662">
        <f>SUM(AE229:AF229)</f>
        <v>0</v>
      </c>
      <c r="AH229" s="2663">
        <f>X229-AA229</f>
        <v>0</v>
      </c>
      <c r="AI229" s="2612">
        <f>X229-AD229</f>
        <v>0</v>
      </c>
      <c r="AJ229" s="2664">
        <f>X229-AG229</f>
        <v>0</v>
      </c>
      <c r="AK229" s="2489"/>
      <c r="AL229" s="2600">
        <v>0</v>
      </c>
      <c r="AM229" s="2601">
        <v>0</v>
      </c>
      <c r="AN229" s="2489"/>
    </row>
    <row r="230" spans="1:64" s="2614" customFormat="1" ht="24.95" customHeight="1" thickBot="1">
      <c r="A230" s="2848"/>
      <c r="B230" s="2851"/>
      <c r="N230" s="2489"/>
      <c r="P230" s="2489"/>
      <c r="Q230" s="2489"/>
      <c r="R230" s="2489"/>
      <c r="S230" s="2855">
        <f>+IF(OCTUBRE!S230=0,"",OCTUBRE!S230)</f>
        <v>7002999</v>
      </c>
      <c r="T230" s="2856" t="str">
        <f>+IF(OCTUBRE!T230=0,"",OCTUBRE!T230)</f>
        <v>Vigencias Anteriores</v>
      </c>
      <c r="U230" s="2857">
        <f>+ENERO!U230</f>
        <v>0</v>
      </c>
      <c r="V230" s="2858">
        <f>OCTUBRE!V230+NOVIEMBRE!AL230</f>
        <v>0</v>
      </c>
      <c r="W230" s="2858">
        <f>OCTUBRE!W230+NOVIEMBRE!AM230</f>
        <v>0</v>
      </c>
      <c r="X230" s="2859">
        <f>SUM(U230:W230)</f>
        <v>0</v>
      </c>
      <c r="Y230" s="2860">
        <f>OCTUBRE!AA230</f>
        <v>0</v>
      </c>
      <c r="Z230" s="2639">
        <v>0</v>
      </c>
      <c r="AA230" s="2859">
        <f>SUM(Y230:Z230)</f>
        <v>0</v>
      </c>
      <c r="AB230" s="2860">
        <f>OCTUBRE!AD230</f>
        <v>0</v>
      </c>
      <c r="AC230" s="2639">
        <v>0</v>
      </c>
      <c r="AD230" s="2859">
        <f>SUM(AB230:AC230)</f>
        <v>0</v>
      </c>
      <c r="AE230" s="2860">
        <f>OCTUBRE!AG230</f>
        <v>0</v>
      </c>
      <c r="AF230" s="2639">
        <v>0</v>
      </c>
      <c r="AG230" s="2859">
        <f>SUM(AE230:AF230)</f>
        <v>0</v>
      </c>
      <c r="AH230" s="2860">
        <f>X230-AA230</f>
        <v>0</v>
      </c>
      <c r="AI230" s="2858">
        <f>X230-AD230</f>
        <v>0</v>
      </c>
      <c r="AJ230" s="2861">
        <f>X230-AG230</f>
        <v>0</v>
      </c>
      <c r="AK230" s="2489"/>
      <c r="AL230" s="2870">
        <v>0</v>
      </c>
      <c r="AM230" s="2871">
        <v>0</v>
      </c>
      <c r="AN230" s="2489"/>
    </row>
    <row r="231" spans="1:64" s="2614" customFormat="1" ht="24.95" customHeight="1">
      <c r="A231" s="2848"/>
      <c r="B231" s="2851"/>
      <c r="N231" s="2489"/>
      <c r="P231" s="2489"/>
      <c r="Q231" s="2489"/>
      <c r="R231" s="2489"/>
      <c r="S231" s="2862" t="str">
        <f>+IF(OCTUBRE!S231=0,"",OCTUBRE!S231)</f>
        <v/>
      </c>
      <c r="T231" s="2863" t="str">
        <f>+IF(OCTUBRE!T231=0,"",OCTUBRE!T231)</f>
        <v/>
      </c>
      <c r="U231" s="2864"/>
      <c r="V231" s="2864"/>
      <c r="W231" s="2864"/>
      <c r="X231" s="2864"/>
      <c r="Y231" s="2864"/>
      <c r="Z231" s="2864"/>
      <c r="AA231" s="2864"/>
      <c r="AB231" s="2864"/>
      <c r="AC231" s="2864"/>
      <c r="AD231" s="2864"/>
      <c r="AE231" s="2864"/>
      <c r="AF231" s="2864"/>
      <c r="AG231" s="2864"/>
      <c r="AH231" s="2864"/>
      <c r="AI231" s="2864"/>
      <c r="AJ231" s="2865"/>
      <c r="AK231" s="2489"/>
      <c r="AL231" s="2879"/>
      <c r="AM231" s="2880"/>
      <c r="AN231" s="2489"/>
    </row>
    <row r="232" spans="1:64" s="2614" customFormat="1" ht="24.95" customHeight="1">
      <c r="A232" s="2848"/>
      <c r="B232" s="2851"/>
      <c r="N232" s="2489"/>
      <c r="P232" s="2489"/>
      <c r="Q232" s="2489"/>
      <c r="R232" s="2489"/>
      <c r="S232" s="2881" t="str">
        <f>+IF(OCTUBRE!S232=0,"",OCTUBRE!S232)</f>
        <v>D</v>
      </c>
      <c r="T232" s="2882" t="str">
        <f>+IF(OCTUBRE!T232=0,"",OCTUBRE!T232)</f>
        <v>INVERSION</v>
      </c>
      <c r="U232" s="2808">
        <f>U234+U243</f>
        <v>0</v>
      </c>
      <c r="V232" s="2809">
        <f t="shared" ref="V232:AJ232" si="199">V234+V243</f>
        <v>0</v>
      </c>
      <c r="W232" s="2809">
        <f t="shared" si="199"/>
        <v>433878092</v>
      </c>
      <c r="X232" s="2810">
        <f t="shared" si="199"/>
        <v>433878092</v>
      </c>
      <c r="Y232" s="2608">
        <f t="shared" si="199"/>
        <v>352813794</v>
      </c>
      <c r="Z232" s="2809">
        <f t="shared" si="199"/>
        <v>-2</v>
      </c>
      <c r="AA232" s="2810">
        <f t="shared" si="199"/>
        <v>352813792</v>
      </c>
      <c r="AB232" s="2608">
        <f t="shared" si="199"/>
        <v>336273002</v>
      </c>
      <c r="AC232" s="2809">
        <f t="shared" si="199"/>
        <v>0</v>
      </c>
      <c r="AD232" s="2810">
        <f t="shared" si="199"/>
        <v>336273002</v>
      </c>
      <c r="AE232" s="2608">
        <f t="shared" si="199"/>
        <v>172740563</v>
      </c>
      <c r="AF232" s="2809">
        <f t="shared" si="199"/>
        <v>0</v>
      </c>
      <c r="AG232" s="2810">
        <f t="shared" si="199"/>
        <v>172740563</v>
      </c>
      <c r="AH232" s="2608">
        <f t="shared" si="199"/>
        <v>81064300</v>
      </c>
      <c r="AI232" s="2809">
        <f t="shared" si="199"/>
        <v>97605090</v>
      </c>
      <c r="AJ232" s="2609">
        <f t="shared" si="199"/>
        <v>261137529</v>
      </c>
      <c r="AK232" s="2878"/>
      <c r="AL232" s="2608">
        <f t="shared" ref="AL232:AM232" si="200">AL234+AL243</f>
        <v>0</v>
      </c>
      <c r="AM232" s="2609">
        <f t="shared" si="200"/>
        <v>0</v>
      </c>
      <c r="AN232" s="2489"/>
    </row>
    <row r="233" spans="1:64" s="2614" customFormat="1" ht="24.95" customHeight="1">
      <c r="A233" s="2848"/>
      <c r="B233" s="2851"/>
      <c r="N233" s="2489"/>
      <c r="P233" s="2489"/>
      <c r="Q233" s="2489"/>
      <c r="R233" s="2489"/>
      <c r="S233" s="2579" t="str">
        <f>+IF(OCTUBRE!S233=0,"",OCTUBRE!S233)</f>
        <v/>
      </c>
      <c r="T233" s="2580" t="str">
        <f>+IF(OCTUBRE!T233=0,"",OCTUBRE!T233)</f>
        <v/>
      </c>
      <c r="U233" s="2581"/>
      <c r="V233" s="2581"/>
      <c r="W233" s="2581"/>
      <c r="X233" s="2581"/>
      <c r="Y233" s="2581"/>
      <c r="Z233" s="2581"/>
      <c r="AA233" s="2581"/>
      <c r="AB233" s="2581"/>
      <c r="AC233" s="2581"/>
      <c r="AD233" s="2581"/>
      <c r="AE233" s="2581"/>
      <c r="AF233" s="2581"/>
      <c r="AG233" s="2581"/>
      <c r="AH233" s="2581"/>
      <c r="AI233" s="2581"/>
      <c r="AJ233" s="2582"/>
      <c r="AK233" s="2489"/>
      <c r="AL233" s="2769"/>
      <c r="AM233" s="2770"/>
      <c r="AN233" s="2489"/>
    </row>
    <row r="234" spans="1:64" s="2614" customFormat="1" ht="24.95" customHeight="1">
      <c r="A234" s="2848"/>
      <c r="B234" s="2851"/>
      <c r="N234" s="2489"/>
      <c r="P234" s="2489"/>
      <c r="Q234" s="2489"/>
      <c r="R234" s="2489"/>
      <c r="S234" s="2651">
        <f>+IF(OCTUBRE!S234=0,"",OCTUBRE!S234)</f>
        <v>8000000</v>
      </c>
      <c r="T234" s="2652" t="str">
        <f>+IF(OCTUBRE!T234=0,"",OCTUBRE!T234)</f>
        <v>Programas de Inversión</v>
      </c>
      <c r="U234" s="2624">
        <f>U235</f>
        <v>0</v>
      </c>
      <c r="V234" s="2625">
        <f t="shared" ref="V234:AJ234" si="201">V235</f>
        <v>0</v>
      </c>
      <c r="W234" s="2625">
        <f t="shared" si="201"/>
        <v>380000000</v>
      </c>
      <c r="X234" s="2626">
        <f t="shared" si="201"/>
        <v>380000000</v>
      </c>
      <c r="Y234" s="2627">
        <f t="shared" si="201"/>
        <v>352813794</v>
      </c>
      <c r="Z234" s="2625">
        <f t="shared" si="201"/>
        <v>-2</v>
      </c>
      <c r="AA234" s="2626">
        <f t="shared" si="201"/>
        <v>352813792</v>
      </c>
      <c r="AB234" s="2627">
        <f t="shared" si="201"/>
        <v>336273002</v>
      </c>
      <c r="AC234" s="2625">
        <f t="shared" si="201"/>
        <v>0</v>
      </c>
      <c r="AD234" s="2626">
        <f t="shared" si="201"/>
        <v>336273002</v>
      </c>
      <c r="AE234" s="2627">
        <f t="shared" si="201"/>
        <v>172740563</v>
      </c>
      <c r="AF234" s="2625">
        <f t="shared" si="201"/>
        <v>0</v>
      </c>
      <c r="AG234" s="2626">
        <f t="shared" si="201"/>
        <v>172740563</v>
      </c>
      <c r="AH234" s="2627">
        <f t="shared" si="201"/>
        <v>27186208</v>
      </c>
      <c r="AI234" s="2625">
        <f t="shared" si="201"/>
        <v>43726998</v>
      </c>
      <c r="AJ234" s="2628">
        <f t="shared" si="201"/>
        <v>207259437</v>
      </c>
      <c r="AK234" s="2489"/>
      <c r="AL234" s="2627">
        <f t="shared" ref="AL234:AM234" si="202">AL235</f>
        <v>0</v>
      </c>
      <c r="AM234" s="2628">
        <f t="shared" si="202"/>
        <v>0</v>
      </c>
      <c r="AN234" s="2489"/>
    </row>
    <row r="235" spans="1:64" s="2614" customFormat="1" ht="24.95" customHeight="1">
      <c r="A235" s="2848"/>
      <c r="B235" s="2851"/>
      <c r="N235" s="2489"/>
      <c r="P235" s="2489"/>
      <c r="Q235" s="2489"/>
      <c r="R235" s="2489"/>
      <c r="S235" s="2659">
        <f>+IF(OCTUBRE!S235=0,"",OCTUBRE!S235)</f>
        <v>8001000</v>
      </c>
      <c r="T235" s="2660" t="str">
        <f>+IF(OCTUBRE!T235=0,"",OCTUBRE!T235)</f>
        <v>Formación Bruta del Capital</v>
      </c>
      <c r="U235" s="2661">
        <f t="shared" ref="U235:AJ235" si="203">SUM(U236:U241)</f>
        <v>0</v>
      </c>
      <c r="V235" s="2612">
        <f t="shared" si="203"/>
        <v>0</v>
      </c>
      <c r="W235" s="2612">
        <f t="shared" si="203"/>
        <v>380000000</v>
      </c>
      <c r="X235" s="2662">
        <f t="shared" si="203"/>
        <v>380000000</v>
      </c>
      <c r="Y235" s="2663">
        <f t="shared" si="203"/>
        <v>352813794</v>
      </c>
      <c r="Z235" s="2691">
        <f t="shared" si="203"/>
        <v>-2</v>
      </c>
      <c r="AA235" s="2662">
        <f t="shared" si="203"/>
        <v>352813792</v>
      </c>
      <c r="AB235" s="2663">
        <f t="shared" si="203"/>
        <v>336273002</v>
      </c>
      <c r="AC235" s="2691">
        <f t="shared" si="203"/>
        <v>0</v>
      </c>
      <c r="AD235" s="2662">
        <f t="shared" si="203"/>
        <v>336273002</v>
      </c>
      <c r="AE235" s="2663">
        <f t="shared" si="203"/>
        <v>172740563</v>
      </c>
      <c r="AF235" s="2691">
        <f t="shared" si="203"/>
        <v>0</v>
      </c>
      <c r="AG235" s="2662">
        <f t="shared" si="203"/>
        <v>172740563</v>
      </c>
      <c r="AH235" s="2663">
        <f t="shared" si="203"/>
        <v>27186208</v>
      </c>
      <c r="AI235" s="2612">
        <f t="shared" si="203"/>
        <v>43726998</v>
      </c>
      <c r="AJ235" s="2664">
        <f t="shared" si="203"/>
        <v>207259437</v>
      </c>
      <c r="AK235" s="2489"/>
      <c r="AL235" s="2692">
        <f>SUM(AL236:AL241)</f>
        <v>0</v>
      </c>
      <c r="AM235" s="2693">
        <f>SUM(AM236:AM241)</f>
        <v>0</v>
      </c>
      <c r="AN235" s="2489"/>
    </row>
    <row r="236" spans="1:64" s="2614" customFormat="1" ht="24.95" customHeight="1">
      <c r="A236" s="2848"/>
      <c r="B236" s="2851"/>
      <c r="N236" s="2489"/>
      <c r="P236" s="2489"/>
      <c r="Q236" s="2489"/>
      <c r="R236" s="2489"/>
      <c r="S236" s="2705" t="str">
        <f>+IF(OCTUBRE!S236=0,"",OCTUBRE!S236)</f>
        <v>8001000-1</v>
      </c>
      <c r="T236" s="2706" t="str">
        <f>+IF(OCTUBRE!T236=0,"",OCTUBRE!T236)</f>
        <v>Subprogr.Construc. Remodelac. Adecuación y Apliac.1</v>
      </c>
      <c r="U236" s="2661">
        <f>+ENERO!U236</f>
        <v>0</v>
      </c>
      <c r="V236" s="2612">
        <f>OCTUBRE!V236+NOVIEMBRE!AL236</f>
        <v>0</v>
      </c>
      <c r="W236" s="2612">
        <f>OCTUBRE!W236+NOVIEMBRE!AM236</f>
        <v>380000000</v>
      </c>
      <c r="X236" s="2662">
        <f t="shared" ref="X236:X241" si="204">SUM(U236:W236)</f>
        <v>380000000</v>
      </c>
      <c r="Y236" s="2663">
        <f>OCTUBRE!AA236</f>
        <v>352813794</v>
      </c>
      <c r="Z236" s="2598">
        <v>-2</v>
      </c>
      <c r="AA236" s="2662">
        <f t="shared" ref="AA236:AA241" si="205">SUM(Y236:Z236)</f>
        <v>352813792</v>
      </c>
      <c r="AB236" s="2663">
        <f>OCTUBRE!AD236</f>
        <v>336273002</v>
      </c>
      <c r="AC236" s="2598">
        <v>0</v>
      </c>
      <c r="AD236" s="2662">
        <f t="shared" ref="AD236:AD241" si="206">SUM(AB236:AC236)</f>
        <v>336273002</v>
      </c>
      <c r="AE236" s="2663">
        <f>OCTUBRE!AG236</f>
        <v>172740563</v>
      </c>
      <c r="AF236" s="2598">
        <v>0</v>
      </c>
      <c r="AG236" s="2662">
        <f t="shared" ref="AG236:AG241" si="207">SUM(AE236:AF236)</f>
        <v>172740563</v>
      </c>
      <c r="AH236" s="2663">
        <f t="shared" ref="AH236:AH241" si="208">X236-AA236</f>
        <v>27186208</v>
      </c>
      <c r="AI236" s="2612">
        <f t="shared" ref="AI236:AI241" si="209">X236-AD236</f>
        <v>43726998</v>
      </c>
      <c r="AJ236" s="2664">
        <f t="shared" ref="AJ236:AJ241" si="210">X236-AG236</f>
        <v>207259437</v>
      </c>
      <c r="AK236" s="2489"/>
      <c r="AL236" s="2600">
        <v>0</v>
      </c>
      <c r="AM236" s="2601">
        <v>0</v>
      </c>
      <c r="AN236" s="2489"/>
    </row>
    <row r="237" spans="1:64" s="2614" customFormat="1" ht="24.95" customHeight="1">
      <c r="A237" s="2848"/>
      <c r="B237" s="2851"/>
      <c r="N237" s="2489"/>
      <c r="P237" s="2489"/>
      <c r="Q237" s="2489"/>
      <c r="R237" s="2489"/>
      <c r="S237" s="2705" t="str">
        <f>+IF(OCTUBRE!S237=0,"",OCTUBRE!S237)</f>
        <v>8001000-2</v>
      </c>
      <c r="T237" s="2706" t="str">
        <f>+IF(OCTUBRE!T237=0,"",OCTUBRE!T237)</f>
        <v>Subprogr.Construc. Remodelac. Adecuación y Apliac.2</v>
      </c>
      <c r="U237" s="2661">
        <f>+ENERO!U237</f>
        <v>0</v>
      </c>
      <c r="V237" s="2612">
        <f>OCTUBRE!V237+NOVIEMBRE!AL237</f>
        <v>0</v>
      </c>
      <c r="W237" s="2612">
        <f>OCTUBRE!W237+NOVIEMBRE!AM237</f>
        <v>0</v>
      </c>
      <c r="X237" s="2662">
        <f t="shared" si="204"/>
        <v>0</v>
      </c>
      <c r="Y237" s="2663">
        <f>OCTUBRE!AA237</f>
        <v>0</v>
      </c>
      <c r="Z237" s="2598">
        <v>0</v>
      </c>
      <c r="AA237" s="2662">
        <f t="shared" si="205"/>
        <v>0</v>
      </c>
      <c r="AB237" s="2663">
        <f>OCTUBRE!AD237</f>
        <v>0</v>
      </c>
      <c r="AC237" s="2598">
        <v>0</v>
      </c>
      <c r="AD237" s="2662">
        <f t="shared" si="206"/>
        <v>0</v>
      </c>
      <c r="AE237" s="2663">
        <f>OCTUBRE!AG237</f>
        <v>0</v>
      </c>
      <c r="AF237" s="2598">
        <v>0</v>
      </c>
      <c r="AG237" s="2662">
        <f t="shared" si="207"/>
        <v>0</v>
      </c>
      <c r="AH237" s="2663">
        <f t="shared" si="208"/>
        <v>0</v>
      </c>
      <c r="AI237" s="2612">
        <f t="shared" si="209"/>
        <v>0</v>
      </c>
      <c r="AJ237" s="2664">
        <f t="shared" si="210"/>
        <v>0</v>
      </c>
      <c r="AK237" s="2489"/>
      <c r="AL237" s="2600">
        <v>0</v>
      </c>
      <c r="AM237" s="2601">
        <v>0</v>
      </c>
      <c r="AN237" s="2489"/>
    </row>
    <row r="238" spans="1:64" s="2614" customFormat="1" ht="24.95" customHeight="1">
      <c r="A238" s="2848"/>
      <c r="B238" s="2851"/>
      <c r="N238" s="2489"/>
      <c r="P238" s="2489"/>
      <c r="Q238" s="2489"/>
      <c r="R238" s="2489"/>
      <c r="S238" s="2705" t="str">
        <f>+IF(OCTUBRE!S238=0,"",OCTUBRE!S238)</f>
        <v>8001000-3</v>
      </c>
      <c r="T238" s="2706" t="str">
        <f>+IF(OCTUBRE!T238=0,"",OCTUBRE!T238)</f>
        <v>Subprogr.Construc. Remodelac. Adecuación y Apliac.3</v>
      </c>
      <c r="U238" s="2661">
        <f>+ENERO!U238</f>
        <v>0</v>
      </c>
      <c r="V238" s="2612">
        <f>OCTUBRE!V238+NOVIEMBRE!AL238</f>
        <v>0</v>
      </c>
      <c r="W238" s="2612">
        <f>OCTUBRE!W238+NOVIEMBRE!AM238</f>
        <v>0</v>
      </c>
      <c r="X238" s="2662">
        <f t="shared" si="204"/>
        <v>0</v>
      </c>
      <c r="Y238" s="2663">
        <f>OCTUBRE!AA238</f>
        <v>0</v>
      </c>
      <c r="Z238" s="2598">
        <v>0</v>
      </c>
      <c r="AA238" s="2662">
        <f t="shared" si="205"/>
        <v>0</v>
      </c>
      <c r="AB238" s="2663">
        <f>OCTUBRE!AD238</f>
        <v>0</v>
      </c>
      <c r="AC238" s="2598">
        <v>0</v>
      </c>
      <c r="AD238" s="2662">
        <f t="shared" si="206"/>
        <v>0</v>
      </c>
      <c r="AE238" s="2663">
        <f>OCTUBRE!AG238</f>
        <v>0</v>
      </c>
      <c r="AF238" s="2598">
        <v>0</v>
      </c>
      <c r="AG238" s="2662">
        <f t="shared" si="207"/>
        <v>0</v>
      </c>
      <c r="AH238" s="2663">
        <f t="shared" si="208"/>
        <v>0</v>
      </c>
      <c r="AI238" s="2612">
        <f t="shared" si="209"/>
        <v>0</v>
      </c>
      <c r="AJ238" s="2664">
        <f t="shared" si="210"/>
        <v>0</v>
      </c>
      <c r="AK238" s="2489"/>
      <c r="AL238" s="2600">
        <v>0</v>
      </c>
      <c r="AM238" s="2601">
        <v>0</v>
      </c>
      <c r="AN238" s="2489"/>
    </row>
    <row r="239" spans="1:64" s="2614" customFormat="1" ht="24.95" customHeight="1">
      <c r="A239" s="2848"/>
      <c r="B239" s="2851"/>
      <c r="N239" s="2489"/>
      <c r="P239" s="2489"/>
      <c r="Q239" s="2489"/>
      <c r="S239" s="2705" t="str">
        <f>+IF(OCTUBRE!S239=0,"",OCTUBRE!S239)</f>
        <v>8001000-4</v>
      </c>
      <c r="T239" s="2706" t="str">
        <f>+IF(OCTUBRE!T239=0,"",OCTUBRE!T239)</f>
        <v>Subprogr.Construc. Remodelac. Adecuación y Apliac.4</v>
      </c>
      <c r="U239" s="2661">
        <f>+ENERO!U239</f>
        <v>0</v>
      </c>
      <c r="V239" s="2612">
        <f>OCTUBRE!V239+NOVIEMBRE!AL239</f>
        <v>0</v>
      </c>
      <c r="W239" s="2612">
        <f>OCTUBRE!W239+NOVIEMBRE!AM239</f>
        <v>0</v>
      </c>
      <c r="X239" s="2662">
        <f t="shared" si="204"/>
        <v>0</v>
      </c>
      <c r="Y239" s="2663">
        <f>OCTUBRE!AA239</f>
        <v>0</v>
      </c>
      <c r="Z239" s="2598">
        <v>0</v>
      </c>
      <c r="AA239" s="2662">
        <f t="shared" si="205"/>
        <v>0</v>
      </c>
      <c r="AB239" s="2663">
        <f>OCTUBRE!AD239</f>
        <v>0</v>
      </c>
      <c r="AC239" s="2598">
        <v>0</v>
      </c>
      <c r="AD239" s="2662">
        <f t="shared" si="206"/>
        <v>0</v>
      </c>
      <c r="AE239" s="2663">
        <f>OCTUBRE!AG239</f>
        <v>0</v>
      </c>
      <c r="AF239" s="2598">
        <v>0</v>
      </c>
      <c r="AG239" s="2662">
        <f t="shared" si="207"/>
        <v>0</v>
      </c>
      <c r="AH239" s="2663">
        <f t="shared" si="208"/>
        <v>0</v>
      </c>
      <c r="AI239" s="2612">
        <f t="shared" si="209"/>
        <v>0</v>
      </c>
      <c r="AJ239" s="2664">
        <f t="shared" si="210"/>
        <v>0</v>
      </c>
      <c r="AK239" s="2489"/>
      <c r="AL239" s="2600">
        <v>0</v>
      </c>
      <c r="AM239" s="2601">
        <v>0</v>
      </c>
      <c r="AN239" s="2489"/>
    </row>
    <row r="240" spans="1:64" s="2614" customFormat="1" ht="24.95" customHeight="1">
      <c r="A240" s="2848"/>
      <c r="B240" s="2851"/>
      <c r="N240" s="2489"/>
      <c r="P240" s="2489"/>
      <c r="Q240" s="2489"/>
      <c r="S240" s="2705" t="str">
        <f>+IF(OCTUBRE!S240=0,"",OCTUBRE!S240)</f>
        <v>8001000-7</v>
      </c>
      <c r="T240" s="2706" t="str">
        <f>+IF(OCTUBRE!T240=0,"",OCTUBRE!T240)</f>
        <v>Subprogr.Construc. Remodelac. Adecuación y Apliac.5</v>
      </c>
      <c r="U240" s="2661">
        <f>+ENERO!U240</f>
        <v>0</v>
      </c>
      <c r="V240" s="2612">
        <f>OCTUBRE!V240+NOVIEMBRE!AL240</f>
        <v>0</v>
      </c>
      <c r="W240" s="2612">
        <f>OCTUBRE!W240+NOVIEMBRE!AM240</f>
        <v>0</v>
      </c>
      <c r="X240" s="2662">
        <f t="shared" si="204"/>
        <v>0</v>
      </c>
      <c r="Y240" s="2663">
        <f>OCTUBRE!AA240</f>
        <v>0</v>
      </c>
      <c r="Z240" s="2598">
        <v>0</v>
      </c>
      <c r="AA240" s="2662">
        <f t="shared" si="205"/>
        <v>0</v>
      </c>
      <c r="AB240" s="2663">
        <f>OCTUBRE!AD240</f>
        <v>0</v>
      </c>
      <c r="AC240" s="2598">
        <v>0</v>
      </c>
      <c r="AD240" s="2662">
        <f t="shared" si="206"/>
        <v>0</v>
      </c>
      <c r="AE240" s="2663">
        <f>OCTUBRE!AG240</f>
        <v>0</v>
      </c>
      <c r="AF240" s="2598">
        <v>0</v>
      </c>
      <c r="AG240" s="2662">
        <f t="shared" si="207"/>
        <v>0</v>
      </c>
      <c r="AH240" s="2663">
        <f t="shared" si="208"/>
        <v>0</v>
      </c>
      <c r="AI240" s="2612">
        <f t="shared" si="209"/>
        <v>0</v>
      </c>
      <c r="AJ240" s="2664">
        <f t="shared" si="210"/>
        <v>0</v>
      </c>
      <c r="AK240" s="2489"/>
      <c r="AL240" s="2600">
        <v>0</v>
      </c>
      <c r="AM240" s="2601">
        <v>0</v>
      </c>
      <c r="AN240" s="2489"/>
      <c r="BB240" s="2397"/>
      <c r="BC240" s="2397"/>
      <c r="BD240" s="2397"/>
      <c r="BE240" s="2397"/>
      <c r="BF240" s="2397"/>
      <c r="BG240" s="2397"/>
      <c r="BH240" s="2397"/>
      <c r="BI240" s="2397"/>
      <c r="BJ240" s="2397"/>
      <c r="BK240" s="2397"/>
      <c r="BL240" s="2397"/>
    </row>
    <row r="241" spans="1:70" ht="24.95" customHeight="1">
      <c r="A241" s="2848"/>
      <c r="B241" s="2851"/>
      <c r="C241" s="2614"/>
      <c r="D241" s="2614"/>
      <c r="E241" s="2614"/>
      <c r="F241" s="2614"/>
      <c r="G241" s="2614"/>
      <c r="H241" s="2614"/>
      <c r="I241" s="2614"/>
      <c r="J241" s="2614"/>
      <c r="K241" s="2614"/>
      <c r="L241" s="2614"/>
      <c r="M241" s="2614"/>
      <c r="N241" s="2489"/>
      <c r="O241" s="2614"/>
      <c r="P241" s="2489"/>
      <c r="Q241" s="2489"/>
      <c r="S241" s="2883">
        <f>+IF(OCTUBRE!S241=0,"",OCTUBRE!S241)</f>
        <v>8001999</v>
      </c>
      <c r="T241" s="2706" t="str">
        <f>+IF(OCTUBRE!T241=0,"",OCTUBRE!T241)</f>
        <v>Vigencias Anteriores</v>
      </c>
      <c r="U241" s="2661">
        <f>+ENERO!U241</f>
        <v>0</v>
      </c>
      <c r="V241" s="2612">
        <f>OCTUBRE!V241+NOVIEMBRE!AL241</f>
        <v>0</v>
      </c>
      <c r="W241" s="2612">
        <f>OCTUBRE!W241+NOVIEMBRE!AM241</f>
        <v>0</v>
      </c>
      <c r="X241" s="2662">
        <f t="shared" si="204"/>
        <v>0</v>
      </c>
      <c r="Y241" s="2663">
        <f>OCTUBRE!AA241</f>
        <v>0</v>
      </c>
      <c r="Z241" s="2598">
        <v>0</v>
      </c>
      <c r="AA241" s="2662">
        <f t="shared" si="205"/>
        <v>0</v>
      </c>
      <c r="AB241" s="2663">
        <f>OCTUBRE!AD241</f>
        <v>0</v>
      </c>
      <c r="AC241" s="2598">
        <v>0</v>
      </c>
      <c r="AD241" s="2662">
        <f t="shared" si="206"/>
        <v>0</v>
      </c>
      <c r="AE241" s="2663">
        <f>OCTUBRE!AG241</f>
        <v>0</v>
      </c>
      <c r="AF241" s="2598">
        <v>0</v>
      </c>
      <c r="AG241" s="2662">
        <f t="shared" si="207"/>
        <v>0</v>
      </c>
      <c r="AH241" s="2663">
        <f t="shared" si="208"/>
        <v>0</v>
      </c>
      <c r="AI241" s="2612">
        <f t="shared" si="209"/>
        <v>0</v>
      </c>
      <c r="AJ241" s="2664">
        <f t="shared" si="210"/>
        <v>0</v>
      </c>
      <c r="AK241" s="2489"/>
      <c r="AL241" s="2600">
        <v>0</v>
      </c>
      <c r="AM241" s="2601">
        <v>0</v>
      </c>
      <c r="BM241" s="2614"/>
      <c r="BN241" s="2614"/>
      <c r="BO241" s="2614"/>
      <c r="BP241" s="2614"/>
      <c r="BQ241" s="2614"/>
      <c r="BR241" s="2614"/>
    </row>
    <row r="242" spans="1:70" ht="24.95" customHeight="1">
      <c r="A242" s="2848"/>
      <c r="B242" s="2851"/>
      <c r="C242" s="2614"/>
      <c r="D242" s="2614"/>
      <c r="E242" s="2614"/>
      <c r="F242" s="2614"/>
      <c r="G242" s="2614"/>
      <c r="H242" s="2614"/>
      <c r="I242" s="2614"/>
      <c r="J242" s="2614"/>
      <c r="K242" s="2614"/>
      <c r="L242" s="2614"/>
      <c r="M242" s="2614"/>
      <c r="N242" s="2489"/>
      <c r="O242" s="2614"/>
      <c r="P242" s="2489"/>
      <c r="Q242" s="2489"/>
      <c r="S242" s="2579" t="str">
        <f>+IF(OCTUBRE!S242=0,"",OCTUBRE!S242)</f>
        <v/>
      </c>
      <c r="T242" s="2580" t="str">
        <f>+IF(OCTUBRE!T242=0,"",OCTUBRE!T242)</f>
        <v/>
      </c>
      <c r="U242" s="2581"/>
      <c r="V242" s="2581"/>
      <c r="W242" s="2581"/>
      <c r="X242" s="2581"/>
      <c r="Y242" s="2581"/>
      <c r="Z242" s="2581"/>
      <c r="AA242" s="2581"/>
      <c r="AB242" s="2581"/>
      <c r="AC242" s="2581"/>
      <c r="AD242" s="2581"/>
      <c r="AE242" s="2581"/>
      <c r="AF242" s="2581"/>
      <c r="AG242" s="2581"/>
      <c r="AH242" s="2581"/>
      <c r="AI242" s="2581"/>
      <c r="AJ242" s="2582"/>
      <c r="AK242" s="2489"/>
      <c r="AL242" s="2769"/>
      <c r="AM242" s="2770"/>
      <c r="BR242" s="2614"/>
    </row>
    <row r="243" spans="1:70" ht="24.95" customHeight="1">
      <c r="A243" s="2848"/>
      <c r="B243" s="2851"/>
      <c r="C243" s="2614"/>
      <c r="D243" s="2614"/>
      <c r="E243" s="2614"/>
      <c r="F243" s="2614"/>
      <c r="G243" s="2614"/>
      <c r="H243" s="2614"/>
      <c r="I243" s="2614"/>
      <c r="J243" s="2614"/>
      <c r="K243" s="2614"/>
      <c r="L243" s="2614"/>
      <c r="M243" s="2614"/>
      <c r="N243" s="2489"/>
      <c r="O243" s="2614"/>
      <c r="P243" s="2489"/>
      <c r="Q243" s="2489"/>
      <c r="S243" s="2651">
        <f>+IF(OCTUBRE!S243=0,"",OCTUBRE!S243)</f>
        <v>8002001</v>
      </c>
      <c r="T243" s="2652" t="str">
        <f>+IF(OCTUBRE!T243=0,"",OCTUBRE!T243)</f>
        <v>Gastos Operativos de Inversion   (Programas Especiales)</v>
      </c>
      <c r="U243" s="2624">
        <f t="shared" ref="U243:AJ243" si="211">SUM(U244:U256)</f>
        <v>0</v>
      </c>
      <c r="V243" s="2625">
        <f t="shared" si="211"/>
        <v>0</v>
      </c>
      <c r="W243" s="2625">
        <f t="shared" si="211"/>
        <v>53878092</v>
      </c>
      <c r="X243" s="2626">
        <f t="shared" si="211"/>
        <v>53878092</v>
      </c>
      <c r="Y243" s="2627">
        <f t="shared" si="211"/>
        <v>0</v>
      </c>
      <c r="Z243" s="2625">
        <f t="shared" si="211"/>
        <v>0</v>
      </c>
      <c r="AA243" s="2626">
        <f t="shared" si="211"/>
        <v>0</v>
      </c>
      <c r="AB243" s="2627">
        <f t="shared" si="211"/>
        <v>0</v>
      </c>
      <c r="AC243" s="2625">
        <f t="shared" si="211"/>
        <v>0</v>
      </c>
      <c r="AD243" s="2626">
        <f t="shared" si="211"/>
        <v>0</v>
      </c>
      <c r="AE243" s="2627">
        <f t="shared" si="211"/>
        <v>0</v>
      </c>
      <c r="AF243" s="2625">
        <f t="shared" si="211"/>
        <v>0</v>
      </c>
      <c r="AG243" s="2626">
        <f t="shared" si="211"/>
        <v>0</v>
      </c>
      <c r="AH243" s="2627">
        <f t="shared" si="211"/>
        <v>53878092</v>
      </c>
      <c r="AI243" s="2625">
        <f t="shared" si="211"/>
        <v>53878092</v>
      </c>
      <c r="AJ243" s="2628">
        <f t="shared" si="211"/>
        <v>53878092</v>
      </c>
      <c r="AK243" s="2489"/>
      <c r="AL243" s="2627">
        <f>SUM(AL244:AL256)</f>
        <v>0</v>
      </c>
      <c r="AM243" s="2628">
        <f>SUM(AM244:AM256)</f>
        <v>0</v>
      </c>
    </row>
    <row r="244" spans="1:70" ht="24.95" customHeight="1">
      <c r="A244" s="2848"/>
      <c r="B244" s="2851"/>
      <c r="C244" s="2614"/>
      <c r="D244" s="2614"/>
      <c r="E244" s="2614"/>
      <c r="F244" s="2614"/>
      <c r="G244" s="2614"/>
      <c r="H244" s="2614"/>
      <c r="I244" s="2614"/>
      <c r="J244" s="2614"/>
      <c r="K244" s="2614"/>
      <c r="L244" s="2614"/>
      <c r="M244" s="2614"/>
      <c r="N244" s="2489"/>
      <c r="O244" s="2614"/>
      <c r="P244" s="2489"/>
      <c r="Q244" s="2489"/>
      <c r="S244" s="2705" t="str">
        <f>+IF(OCTUBRE!S244=0,"",OCTUBRE!S244)</f>
        <v>8002100-1</v>
      </c>
      <c r="T244" s="2706" t="str">
        <f>+IF(OCTUBRE!T244=0,"",OCTUBRE!T244)</f>
        <v>Fondo de la Vivienda</v>
      </c>
      <c r="U244" s="2661">
        <f>+ENERO!U244</f>
        <v>0</v>
      </c>
      <c r="V244" s="2612">
        <f>OCTUBRE!V244+NOVIEMBRE!AL244</f>
        <v>0</v>
      </c>
      <c r="W244" s="2612">
        <f>OCTUBRE!W244+NOVIEMBRE!AM244</f>
        <v>53878092</v>
      </c>
      <c r="X244" s="2662">
        <f t="shared" ref="X244:X256" si="212">SUM(U244:W244)</f>
        <v>53878092</v>
      </c>
      <c r="Y244" s="2663">
        <f>OCTUBRE!AA244</f>
        <v>0</v>
      </c>
      <c r="Z244" s="2598">
        <v>0</v>
      </c>
      <c r="AA244" s="2662">
        <f t="shared" ref="AA244:AA256" si="213">SUM(Y244:Z244)</f>
        <v>0</v>
      </c>
      <c r="AB244" s="2663">
        <f>OCTUBRE!AD244</f>
        <v>0</v>
      </c>
      <c r="AC244" s="2598">
        <v>0</v>
      </c>
      <c r="AD244" s="2662">
        <f t="shared" ref="AD244:AD256" si="214">SUM(AB244:AC244)</f>
        <v>0</v>
      </c>
      <c r="AE244" s="2663">
        <f>OCTUBRE!AG244</f>
        <v>0</v>
      </c>
      <c r="AF244" s="2598">
        <v>0</v>
      </c>
      <c r="AG244" s="2662">
        <f t="shared" ref="AG244:AG256" si="215">SUM(AE244:AF244)</f>
        <v>0</v>
      </c>
      <c r="AH244" s="2663">
        <f t="shared" ref="AH244:AH256" si="216">X244-AA244</f>
        <v>53878092</v>
      </c>
      <c r="AI244" s="2612">
        <f t="shared" ref="AI244:AI256" si="217">X244-AD244</f>
        <v>53878092</v>
      </c>
      <c r="AJ244" s="2664">
        <f t="shared" ref="AJ244:AJ256" si="218">X244-AG244</f>
        <v>53878092</v>
      </c>
      <c r="AK244" s="2489"/>
      <c r="AL244" s="2600">
        <v>0</v>
      </c>
      <c r="AM244" s="2601">
        <v>0</v>
      </c>
    </row>
    <row r="245" spans="1:70" ht="24.95" customHeight="1">
      <c r="A245" s="2848"/>
      <c r="B245" s="2851"/>
      <c r="C245" s="2614"/>
      <c r="D245" s="2614"/>
      <c r="E245" s="2614"/>
      <c r="F245" s="2614"/>
      <c r="G245" s="2614"/>
      <c r="H245" s="2614"/>
      <c r="I245" s="2614"/>
      <c r="J245" s="2614"/>
      <c r="K245" s="2614"/>
      <c r="L245" s="2614"/>
      <c r="M245" s="2614"/>
      <c r="N245" s="2489"/>
      <c r="O245" s="2614"/>
      <c r="P245" s="2489"/>
      <c r="Q245" s="2489"/>
      <c r="S245" s="2705" t="str">
        <f>+IF(OCTUBRE!S245=0,"",OCTUBRE!S245)</f>
        <v>8002100-2</v>
      </c>
      <c r="T245" s="2706" t="str">
        <f>+IF(OCTUBRE!T245=0,"",OCTUBRE!T245)</f>
        <v>Programas Especial 01</v>
      </c>
      <c r="U245" s="2661">
        <f>+ENERO!U245</f>
        <v>0</v>
      </c>
      <c r="V245" s="2612">
        <f>OCTUBRE!V245+NOVIEMBRE!AL245</f>
        <v>0</v>
      </c>
      <c r="W245" s="2612">
        <f>OCTUBRE!W245+NOVIEMBRE!AM245</f>
        <v>0</v>
      </c>
      <c r="X245" s="2662">
        <f t="shared" si="212"/>
        <v>0</v>
      </c>
      <c r="Y245" s="2663">
        <f>OCTUBRE!AA245</f>
        <v>0</v>
      </c>
      <c r="Z245" s="2598">
        <v>0</v>
      </c>
      <c r="AA245" s="2662">
        <f t="shared" si="213"/>
        <v>0</v>
      </c>
      <c r="AB245" s="2663">
        <f>OCTUBRE!AD245</f>
        <v>0</v>
      </c>
      <c r="AC245" s="2598">
        <v>0</v>
      </c>
      <c r="AD245" s="2662">
        <f t="shared" si="214"/>
        <v>0</v>
      </c>
      <c r="AE245" s="2663">
        <f>OCTUBRE!AG245</f>
        <v>0</v>
      </c>
      <c r="AF245" s="2598">
        <v>0</v>
      </c>
      <c r="AG245" s="2662">
        <f t="shared" si="215"/>
        <v>0</v>
      </c>
      <c r="AH245" s="2663">
        <f t="shared" si="216"/>
        <v>0</v>
      </c>
      <c r="AI245" s="2612">
        <f t="shared" si="217"/>
        <v>0</v>
      </c>
      <c r="AJ245" s="2664">
        <f t="shared" si="218"/>
        <v>0</v>
      </c>
      <c r="AK245" s="2489"/>
      <c r="AL245" s="2600">
        <v>0</v>
      </c>
      <c r="AM245" s="2601">
        <v>0</v>
      </c>
    </row>
    <row r="246" spans="1:70" ht="24.95" customHeight="1">
      <c r="A246" s="2848"/>
      <c r="B246" s="2851"/>
      <c r="C246" s="2614"/>
      <c r="D246" s="2614"/>
      <c r="E246" s="2614"/>
      <c r="F246" s="2614"/>
      <c r="G246" s="2614"/>
      <c r="H246" s="2614"/>
      <c r="I246" s="2614"/>
      <c r="J246" s="2614"/>
      <c r="K246" s="2614"/>
      <c r="L246" s="2614"/>
      <c r="M246" s="2614"/>
      <c r="N246" s="2489"/>
      <c r="O246" s="2614"/>
      <c r="P246" s="2489"/>
      <c r="Q246" s="2489"/>
      <c r="S246" s="2705" t="str">
        <f>+IF(OCTUBRE!S246=0,"",OCTUBRE!S246)</f>
        <v>8002100-3</v>
      </c>
      <c r="T246" s="2706" t="str">
        <f>+IF(OCTUBRE!T246=0,"",OCTUBRE!T246)</f>
        <v>Programas Especial 02</v>
      </c>
      <c r="U246" s="2661">
        <f>+ENERO!U246</f>
        <v>0</v>
      </c>
      <c r="V246" s="2612">
        <f>OCTUBRE!V246+NOVIEMBRE!AL246</f>
        <v>0</v>
      </c>
      <c r="W246" s="2612">
        <f>OCTUBRE!W246+NOVIEMBRE!AM246</f>
        <v>0</v>
      </c>
      <c r="X246" s="2662">
        <f t="shared" si="212"/>
        <v>0</v>
      </c>
      <c r="Y246" s="2663">
        <f>OCTUBRE!AA246</f>
        <v>0</v>
      </c>
      <c r="Z246" s="2598">
        <v>0</v>
      </c>
      <c r="AA246" s="2662">
        <f t="shared" si="213"/>
        <v>0</v>
      </c>
      <c r="AB246" s="2663">
        <f>OCTUBRE!AD246</f>
        <v>0</v>
      </c>
      <c r="AC246" s="2598">
        <v>0</v>
      </c>
      <c r="AD246" s="2662">
        <f t="shared" si="214"/>
        <v>0</v>
      </c>
      <c r="AE246" s="2663">
        <f>OCTUBRE!AG246</f>
        <v>0</v>
      </c>
      <c r="AF246" s="2598">
        <v>0</v>
      </c>
      <c r="AG246" s="2662">
        <f t="shared" si="215"/>
        <v>0</v>
      </c>
      <c r="AH246" s="2663">
        <f t="shared" si="216"/>
        <v>0</v>
      </c>
      <c r="AI246" s="2612">
        <f t="shared" si="217"/>
        <v>0</v>
      </c>
      <c r="AJ246" s="2664">
        <f t="shared" si="218"/>
        <v>0</v>
      </c>
      <c r="AK246" s="2489"/>
      <c r="AL246" s="2600">
        <v>0</v>
      </c>
      <c r="AM246" s="2601">
        <v>0</v>
      </c>
    </row>
    <row r="247" spans="1:70" ht="24.95" customHeight="1">
      <c r="A247" s="2848"/>
      <c r="B247" s="2851"/>
      <c r="C247" s="2614"/>
      <c r="D247" s="2614"/>
      <c r="E247" s="2614"/>
      <c r="F247" s="2614"/>
      <c r="G247" s="2614"/>
      <c r="H247" s="2614"/>
      <c r="I247" s="2614"/>
      <c r="J247" s="2614"/>
      <c r="K247" s="2614"/>
      <c r="L247" s="2614"/>
      <c r="M247" s="2614"/>
      <c r="N247" s="2489"/>
      <c r="O247" s="2614"/>
      <c r="P247" s="2489"/>
      <c r="Q247" s="2489"/>
      <c r="S247" s="2705" t="str">
        <f>+IF(OCTUBRE!S247=0,"",OCTUBRE!S247)</f>
        <v>8002100-4</v>
      </c>
      <c r="T247" s="2706" t="str">
        <f>+IF(OCTUBRE!T247=0,"",OCTUBRE!T247)</f>
        <v>Programas Especial 03</v>
      </c>
      <c r="U247" s="2661">
        <f>+ENERO!U247</f>
        <v>0</v>
      </c>
      <c r="V247" s="2612">
        <f>OCTUBRE!V247+NOVIEMBRE!AL247</f>
        <v>0</v>
      </c>
      <c r="W247" s="2612">
        <f>OCTUBRE!W247+NOVIEMBRE!AM247</f>
        <v>0</v>
      </c>
      <c r="X247" s="2662">
        <f t="shared" si="212"/>
        <v>0</v>
      </c>
      <c r="Y247" s="2663">
        <f>OCTUBRE!AA247</f>
        <v>0</v>
      </c>
      <c r="Z247" s="2598">
        <v>0</v>
      </c>
      <c r="AA247" s="2662">
        <f t="shared" si="213"/>
        <v>0</v>
      </c>
      <c r="AB247" s="2663">
        <f>OCTUBRE!AD247</f>
        <v>0</v>
      </c>
      <c r="AC247" s="2598">
        <v>0</v>
      </c>
      <c r="AD247" s="2662">
        <f t="shared" si="214"/>
        <v>0</v>
      </c>
      <c r="AE247" s="2663">
        <f>OCTUBRE!AG247</f>
        <v>0</v>
      </c>
      <c r="AF247" s="2598">
        <v>0</v>
      </c>
      <c r="AG247" s="2662">
        <f t="shared" si="215"/>
        <v>0</v>
      </c>
      <c r="AH247" s="2663">
        <f t="shared" si="216"/>
        <v>0</v>
      </c>
      <c r="AI247" s="2612">
        <f t="shared" si="217"/>
        <v>0</v>
      </c>
      <c r="AJ247" s="2664">
        <f t="shared" si="218"/>
        <v>0</v>
      </c>
      <c r="AK247" s="2489"/>
      <c r="AL247" s="2600">
        <v>0</v>
      </c>
      <c r="AM247" s="2601">
        <v>0</v>
      </c>
    </row>
    <row r="248" spans="1:70" ht="24.95" customHeight="1">
      <c r="A248" s="2848"/>
      <c r="B248" s="2851"/>
      <c r="C248" s="2614"/>
      <c r="D248" s="2614"/>
      <c r="E248" s="2614"/>
      <c r="F248" s="2614"/>
      <c r="G248" s="2614"/>
      <c r="H248" s="2614"/>
      <c r="I248" s="2614"/>
      <c r="J248" s="2614"/>
      <c r="K248" s="2614"/>
      <c r="L248" s="2614"/>
      <c r="M248" s="2614"/>
      <c r="N248" s="2489"/>
      <c r="O248" s="2614"/>
      <c r="P248" s="2489"/>
      <c r="Q248" s="2489"/>
      <c r="S248" s="2705" t="str">
        <f>+IF(OCTUBRE!S248=0,"",OCTUBRE!S248)</f>
        <v>8002100-5</v>
      </c>
      <c r="T248" s="2706" t="str">
        <f>+IF(OCTUBRE!T248=0,"",OCTUBRE!T248)</f>
        <v>Programas Especial 04</v>
      </c>
      <c r="U248" s="2661">
        <f>+ENERO!U248</f>
        <v>0</v>
      </c>
      <c r="V248" s="2612">
        <f>OCTUBRE!V248+NOVIEMBRE!AL248</f>
        <v>0</v>
      </c>
      <c r="W248" s="2612">
        <f>OCTUBRE!W248+NOVIEMBRE!AM248</f>
        <v>0</v>
      </c>
      <c r="X248" s="2662">
        <f t="shared" si="212"/>
        <v>0</v>
      </c>
      <c r="Y248" s="2663">
        <f>OCTUBRE!AA248</f>
        <v>0</v>
      </c>
      <c r="Z248" s="2598">
        <v>0</v>
      </c>
      <c r="AA248" s="2662">
        <f t="shared" si="213"/>
        <v>0</v>
      </c>
      <c r="AB248" s="2663">
        <f>OCTUBRE!AD248</f>
        <v>0</v>
      </c>
      <c r="AC248" s="2598">
        <v>0</v>
      </c>
      <c r="AD248" s="2662">
        <f t="shared" si="214"/>
        <v>0</v>
      </c>
      <c r="AE248" s="2663">
        <f>OCTUBRE!AG248</f>
        <v>0</v>
      </c>
      <c r="AF248" s="2598">
        <v>0</v>
      </c>
      <c r="AG248" s="2662">
        <f t="shared" si="215"/>
        <v>0</v>
      </c>
      <c r="AH248" s="2663">
        <f t="shared" si="216"/>
        <v>0</v>
      </c>
      <c r="AI248" s="2612">
        <f t="shared" si="217"/>
        <v>0</v>
      </c>
      <c r="AJ248" s="2664">
        <f t="shared" si="218"/>
        <v>0</v>
      </c>
      <c r="AK248" s="2489"/>
      <c r="AL248" s="2600">
        <v>0</v>
      </c>
      <c r="AM248" s="2601">
        <v>0</v>
      </c>
    </row>
    <row r="249" spans="1:70" ht="24.95" customHeight="1">
      <c r="A249" s="2848"/>
      <c r="B249" s="2851"/>
      <c r="C249" s="2614"/>
      <c r="D249" s="2614"/>
      <c r="E249" s="2614"/>
      <c r="F249" s="2614"/>
      <c r="G249" s="2614"/>
      <c r="H249" s="2614"/>
      <c r="I249" s="2614"/>
      <c r="J249" s="2614"/>
      <c r="K249" s="2614"/>
      <c r="L249" s="2614"/>
      <c r="M249" s="2614"/>
      <c r="N249" s="2489"/>
      <c r="O249" s="2614"/>
      <c r="P249" s="2489"/>
      <c r="Q249" s="2489"/>
      <c r="S249" s="2705" t="str">
        <f>+IF(OCTUBRE!S249=0,"",OCTUBRE!S249)</f>
        <v>8002100-6</v>
      </c>
      <c r="T249" s="2706" t="str">
        <f>+IF(OCTUBRE!T249=0,"",OCTUBRE!T249)</f>
        <v>Programas Especial 05</v>
      </c>
      <c r="U249" s="2661">
        <f>+ENERO!U249</f>
        <v>0</v>
      </c>
      <c r="V249" s="2612">
        <f>OCTUBRE!V249+NOVIEMBRE!AL249</f>
        <v>0</v>
      </c>
      <c r="W249" s="2612">
        <f>OCTUBRE!W249+NOVIEMBRE!AM249</f>
        <v>0</v>
      </c>
      <c r="X249" s="2662">
        <f t="shared" si="212"/>
        <v>0</v>
      </c>
      <c r="Y249" s="2663">
        <f>OCTUBRE!AA249</f>
        <v>0</v>
      </c>
      <c r="Z249" s="2598">
        <v>0</v>
      </c>
      <c r="AA249" s="2662">
        <f t="shared" si="213"/>
        <v>0</v>
      </c>
      <c r="AB249" s="2663">
        <f>OCTUBRE!AD249</f>
        <v>0</v>
      </c>
      <c r="AC249" s="2598">
        <v>0</v>
      </c>
      <c r="AD249" s="2662">
        <f t="shared" si="214"/>
        <v>0</v>
      </c>
      <c r="AE249" s="2663">
        <f>OCTUBRE!AG249</f>
        <v>0</v>
      </c>
      <c r="AF249" s="2598">
        <v>0</v>
      </c>
      <c r="AG249" s="2662">
        <f t="shared" si="215"/>
        <v>0</v>
      </c>
      <c r="AH249" s="2663">
        <f t="shared" si="216"/>
        <v>0</v>
      </c>
      <c r="AI249" s="2612">
        <f t="shared" si="217"/>
        <v>0</v>
      </c>
      <c r="AJ249" s="2664">
        <f t="shared" si="218"/>
        <v>0</v>
      </c>
      <c r="AK249" s="2489"/>
      <c r="AL249" s="2600">
        <v>0</v>
      </c>
      <c r="AM249" s="2601">
        <v>0</v>
      </c>
    </row>
    <row r="250" spans="1:70" ht="24.95" customHeight="1">
      <c r="A250" s="2848"/>
      <c r="B250" s="2851"/>
      <c r="C250" s="2614"/>
      <c r="D250" s="2614"/>
      <c r="E250" s="2614"/>
      <c r="F250" s="2614"/>
      <c r="G250" s="2614"/>
      <c r="H250" s="2614"/>
      <c r="I250" s="2614"/>
      <c r="J250" s="2614"/>
      <c r="K250" s="2614"/>
      <c r="L250" s="2614"/>
      <c r="M250" s="2614"/>
      <c r="N250" s="2489"/>
      <c r="O250" s="2614"/>
      <c r="P250" s="2489"/>
      <c r="Q250" s="2489"/>
      <c r="S250" s="2705" t="str">
        <f>+IF(OCTUBRE!S250=0,"",OCTUBRE!S250)</f>
        <v>8002100-7</v>
      </c>
      <c r="T250" s="2706" t="str">
        <f>+IF(OCTUBRE!T250=0,"",OCTUBRE!T250)</f>
        <v>Programas Especial 06</v>
      </c>
      <c r="U250" s="2661">
        <f>+ENERO!U250</f>
        <v>0</v>
      </c>
      <c r="V250" s="2612">
        <f>OCTUBRE!V250+NOVIEMBRE!AL250</f>
        <v>0</v>
      </c>
      <c r="W250" s="2612">
        <f>OCTUBRE!W250+NOVIEMBRE!AM250</f>
        <v>0</v>
      </c>
      <c r="X250" s="2662">
        <f>SUM(U250:W250)</f>
        <v>0</v>
      </c>
      <c r="Y250" s="2663">
        <f>OCTUBRE!AA250</f>
        <v>0</v>
      </c>
      <c r="Z250" s="2598">
        <v>0</v>
      </c>
      <c r="AA250" s="2662">
        <f>SUM(Y250:Z250)</f>
        <v>0</v>
      </c>
      <c r="AB250" s="2663">
        <f>OCTUBRE!AD250</f>
        <v>0</v>
      </c>
      <c r="AC250" s="2598">
        <v>0</v>
      </c>
      <c r="AD250" s="2662">
        <f>SUM(AB250:AC250)</f>
        <v>0</v>
      </c>
      <c r="AE250" s="2663">
        <f>OCTUBRE!AG250</f>
        <v>0</v>
      </c>
      <c r="AF250" s="2598">
        <v>0</v>
      </c>
      <c r="AG250" s="2662">
        <f>SUM(AE250:AF250)</f>
        <v>0</v>
      </c>
      <c r="AH250" s="2663">
        <f>X250-AA250</f>
        <v>0</v>
      </c>
      <c r="AI250" s="2612">
        <f>X250-AD250</f>
        <v>0</v>
      </c>
      <c r="AJ250" s="2664">
        <f>X250-AG250</f>
        <v>0</v>
      </c>
      <c r="AK250" s="2489"/>
      <c r="AL250" s="2600">
        <v>0</v>
      </c>
      <c r="AM250" s="2601">
        <v>0</v>
      </c>
    </row>
    <row r="251" spans="1:70" ht="24.95" customHeight="1">
      <c r="A251" s="2848"/>
      <c r="B251" s="2851"/>
      <c r="C251" s="2614"/>
      <c r="D251" s="2614"/>
      <c r="E251" s="2614"/>
      <c r="F251" s="2614"/>
      <c r="G251" s="2614"/>
      <c r="H251" s="2614"/>
      <c r="I251" s="2614"/>
      <c r="J251" s="2614"/>
      <c r="K251" s="2614"/>
      <c r="L251" s="2614"/>
      <c r="M251" s="2614"/>
      <c r="N251" s="2489"/>
      <c r="O251" s="2614"/>
      <c r="P251" s="2489"/>
      <c r="Q251" s="2489"/>
      <c r="S251" s="2705" t="str">
        <f>+IF(OCTUBRE!S251=0,"",OCTUBRE!S251)</f>
        <v>8002100-8</v>
      </c>
      <c r="T251" s="2706" t="str">
        <f>+IF(OCTUBRE!T251=0,"",OCTUBRE!T251)</f>
        <v>Programas Especial 07</v>
      </c>
      <c r="U251" s="2661">
        <f>+ENERO!U251</f>
        <v>0</v>
      </c>
      <c r="V251" s="2612">
        <f>OCTUBRE!V251+NOVIEMBRE!AL251</f>
        <v>0</v>
      </c>
      <c r="W251" s="2612">
        <f>OCTUBRE!W251+NOVIEMBRE!AM251</f>
        <v>0</v>
      </c>
      <c r="X251" s="2662">
        <f>SUM(U251:W251)</f>
        <v>0</v>
      </c>
      <c r="Y251" s="2663">
        <f>OCTUBRE!AA251</f>
        <v>0</v>
      </c>
      <c r="Z251" s="2598">
        <v>0</v>
      </c>
      <c r="AA251" s="2662">
        <f>SUM(Y251:Z251)</f>
        <v>0</v>
      </c>
      <c r="AB251" s="2663">
        <f>OCTUBRE!AD251</f>
        <v>0</v>
      </c>
      <c r="AC251" s="2598">
        <v>0</v>
      </c>
      <c r="AD251" s="2662">
        <f>SUM(AB251:AC251)</f>
        <v>0</v>
      </c>
      <c r="AE251" s="2663">
        <f>OCTUBRE!AG251</f>
        <v>0</v>
      </c>
      <c r="AF251" s="2598">
        <v>0</v>
      </c>
      <c r="AG251" s="2662">
        <f>SUM(AE251:AF251)</f>
        <v>0</v>
      </c>
      <c r="AH251" s="2663">
        <f>X251-AA251</f>
        <v>0</v>
      </c>
      <c r="AI251" s="2612">
        <f>X251-AD251</f>
        <v>0</v>
      </c>
      <c r="AJ251" s="2664">
        <f>X251-AG251</f>
        <v>0</v>
      </c>
      <c r="AK251" s="2489"/>
      <c r="AL251" s="2600">
        <v>0</v>
      </c>
      <c r="AM251" s="2601">
        <v>0</v>
      </c>
    </row>
    <row r="252" spans="1:70" ht="24.95" customHeight="1">
      <c r="A252" s="2848"/>
      <c r="B252" s="2851"/>
      <c r="C252" s="2614"/>
      <c r="D252" s="2614"/>
      <c r="E252" s="2614"/>
      <c r="F252" s="2614"/>
      <c r="G252" s="2614"/>
      <c r="H252" s="2614"/>
      <c r="I252" s="2614"/>
      <c r="J252" s="2614"/>
      <c r="K252" s="2614"/>
      <c r="L252" s="2614"/>
      <c r="M252" s="2614"/>
      <c r="N252" s="2489"/>
      <c r="O252" s="2614"/>
      <c r="P252" s="2489"/>
      <c r="Q252" s="2489"/>
      <c r="S252" s="2705" t="str">
        <f>+IF(OCTUBRE!S252=0,"",OCTUBRE!S252)</f>
        <v>8002100-9</v>
      </c>
      <c r="T252" s="2706" t="str">
        <f>+IF(OCTUBRE!T252=0,"",OCTUBRE!T252)</f>
        <v>Programas Especial 08</v>
      </c>
      <c r="U252" s="2661">
        <f>+ENERO!U252</f>
        <v>0</v>
      </c>
      <c r="V252" s="2612">
        <f>OCTUBRE!V252+NOVIEMBRE!AL252</f>
        <v>0</v>
      </c>
      <c r="W252" s="2612">
        <f>OCTUBRE!W252+NOVIEMBRE!AM252</f>
        <v>0</v>
      </c>
      <c r="X252" s="2662">
        <f>SUM(U252:W252)</f>
        <v>0</v>
      </c>
      <c r="Y252" s="2663">
        <f>OCTUBRE!AA252</f>
        <v>0</v>
      </c>
      <c r="Z252" s="2598">
        <v>0</v>
      </c>
      <c r="AA252" s="2662">
        <f>SUM(Y252:Z252)</f>
        <v>0</v>
      </c>
      <c r="AB252" s="2663">
        <f>OCTUBRE!AD252</f>
        <v>0</v>
      </c>
      <c r="AC252" s="2598">
        <v>0</v>
      </c>
      <c r="AD252" s="2662">
        <f>SUM(AB252:AC252)</f>
        <v>0</v>
      </c>
      <c r="AE252" s="2663">
        <f>OCTUBRE!AG252</f>
        <v>0</v>
      </c>
      <c r="AF252" s="2598">
        <v>0</v>
      </c>
      <c r="AG252" s="2662">
        <f>SUM(AE252:AF252)</f>
        <v>0</v>
      </c>
      <c r="AH252" s="2663">
        <f>X252-AA252</f>
        <v>0</v>
      </c>
      <c r="AI252" s="2612">
        <f>X252-AD252</f>
        <v>0</v>
      </c>
      <c r="AJ252" s="2664">
        <f>X252-AG252</f>
        <v>0</v>
      </c>
      <c r="AK252" s="2489"/>
      <c r="AL252" s="2600">
        <v>0</v>
      </c>
      <c r="AM252" s="2601">
        <v>0</v>
      </c>
    </row>
    <row r="253" spans="1:70" ht="24.95" customHeight="1">
      <c r="A253" s="2848"/>
      <c r="B253" s="2851"/>
      <c r="C253" s="2614"/>
      <c r="D253" s="2614"/>
      <c r="E253" s="2614"/>
      <c r="F253" s="2614"/>
      <c r="G253" s="2614"/>
      <c r="H253" s="2614"/>
      <c r="I253" s="2614"/>
      <c r="J253" s="2614"/>
      <c r="K253" s="2614"/>
      <c r="L253" s="2614"/>
      <c r="M253" s="2614"/>
      <c r="N253" s="2489"/>
      <c r="O253" s="2614"/>
      <c r="P253" s="2489"/>
      <c r="Q253" s="2489"/>
      <c r="S253" s="2705" t="str">
        <f>+IF(OCTUBRE!S253=0,"",OCTUBRE!S253)</f>
        <v>8002100-10</v>
      </c>
      <c r="T253" s="2706" t="str">
        <f>+IF(OCTUBRE!T253=0,"",OCTUBRE!T253)</f>
        <v>Programas Especial 09</v>
      </c>
      <c r="U253" s="2661">
        <f>+ENERO!U253</f>
        <v>0</v>
      </c>
      <c r="V253" s="2612">
        <f>OCTUBRE!V253+NOVIEMBRE!AL253</f>
        <v>0</v>
      </c>
      <c r="W253" s="2612">
        <f>OCTUBRE!W253+NOVIEMBRE!AM253</f>
        <v>0</v>
      </c>
      <c r="X253" s="2662">
        <f>SUM(U253:W253)</f>
        <v>0</v>
      </c>
      <c r="Y253" s="2663">
        <f>OCTUBRE!AA253</f>
        <v>0</v>
      </c>
      <c r="Z253" s="2598">
        <v>0</v>
      </c>
      <c r="AA253" s="2662">
        <f>SUM(Y253:Z253)</f>
        <v>0</v>
      </c>
      <c r="AB253" s="2663">
        <f>OCTUBRE!AD253</f>
        <v>0</v>
      </c>
      <c r="AC253" s="2598">
        <v>0</v>
      </c>
      <c r="AD253" s="2662">
        <f>SUM(AB253:AC253)</f>
        <v>0</v>
      </c>
      <c r="AE253" s="2663">
        <f>OCTUBRE!AG253</f>
        <v>0</v>
      </c>
      <c r="AF253" s="2598">
        <v>0</v>
      </c>
      <c r="AG253" s="2662">
        <f>SUM(AE253:AF253)</f>
        <v>0</v>
      </c>
      <c r="AH253" s="2663">
        <f>X253-AA253</f>
        <v>0</v>
      </c>
      <c r="AI253" s="2612">
        <f>X253-AD253</f>
        <v>0</v>
      </c>
      <c r="AJ253" s="2664">
        <f>X253-AG253</f>
        <v>0</v>
      </c>
      <c r="AK253" s="2489"/>
      <c r="AL253" s="2600">
        <v>0</v>
      </c>
      <c r="AM253" s="2601">
        <v>0</v>
      </c>
    </row>
    <row r="254" spans="1:70" ht="24.95" customHeight="1">
      <c r="A254" s="2848"/>
      <c r="B254" s="2851"/>
      <c r="C254" s="2614"/>
      <c r="D254" s="2614"/>
      <c r="E254" s="2614"/>
      <c r="F254" s="2614"/>
      <c r="G254" s="2614"/>
      <c r="H254" s="2614"/>
      <c r="I254" s="2614"/>
      <c r="J254" s="2614"/>
      <c r="K254" s="2614"/>
      <c r="L254" s="2614"/>
      <c r="M254" s="2614"/>
      <c r="N254" s="2489"/>
      <c r="O254" s="2614"/>
      <c r="P254" s="2489"/>
      <c r="Q254" s="2489"/>
      <c r="S254" s="2705" t="str">
        <f>+IF(OCTUBRE!S254=0,"",OCTUBRE!S254)</f>
        <v>8002100-11</v>
      </c>
      <c r="T254" s="2706" t="str">
        <f>+IF(OCTUBRE!T254=0,"",OCTUBRE!T254)</f>
        <v>Programas Especial 10</v>
      </c>
      <c r="U254" s="2661">
        <f>+ENERO!U254</f>
        <v>0</v>
      </c>
      <c r="V254" s="2612">
        <f>OCTUBRE!V254+NOVIEMBRE!AL254</f>
        <v>0</v>
      </c>
      <c r="W254" s="2612">
        <f>OCTUBRE!W254+NOVIEMBRE!AM254</f>
        <v>0</v>
      </c>
      <c r="X254" s="2662">
        <f>SUM(U254:W254)</f>
        <v>0</v>
      </c>
      <c r="Y254" s="2663">
        <f>OCTUBRE!AA254</f>
        <v>0</v>
      </c>
      <c r="Z254" s="2598">
        <v>0</v>
      </c>
      <c r="AA254" s="2662">
        <f>SUM(Y254:Z254)</f>
        <v>0</v>
      </c>
      <c r="AB254" s="2663">
        <f>OCTUBRE!AD254</f>
        <v>0</v>
      </c>
      <c r="AC254" s="2598">
        <v>0</v>
      </c>
      <c r="AD254" s="2662">
        <f>SUM(AB254:AC254)</f>
        <v>0</v>
      </c>
      <c r="AE254" s="2663">
        <f>OCTUBRE!AG254</f>
        <v>0</v>
      </c>
      <c r="AF254" s="2598">
        <v>0</v>
      </c>
      <c r="AG254" s="2662">
        <f>SUM(AE254:AF254)</f>
        <v>0</v>
      </c>
      <c r="AH254" s="2663">
        <f>X254-AA254</f>
        <v>0</v>
      </c>
      <c r="AI254" s="2612">
        <f>X254-AD254</f>
        <v>0</v>
      </c>
      <c r="AJ254" s="2664">
        <f>X254-AG254</f>
        <v>0</v>
      </c>
      <c r="AK254" s="2489"/>
      <c r="AL254" s="2600">
        <v>0</v>
      </c>
      <c r="AM254" s="2601">
        <v>0</v>
      </c>
    </row>
    <row r="255" spans="1:70" ht="24.95" customHeight="1">
      <c r="A255" s="2848"/>
      <c r="B255" s="2851"/>
      <c r="C255" s="2614"/>
      <c r="D255" s="2614"/>
      <c r="E255" s="2614"/>
      <c r="F255" s="2614"/>
      <c r="G255" s="2614"/>
      <c r="H255" s="2614"/>
      <c r="I255" s="2614"/>
      <c r="J255" s="2614"/>
      <c r="K255" s="2614"/>
      <c r="L255" s="2614"/>
      <c r="M255" s="2614"/>
      <c r="N255" s="2489"/>
      <c r="O255" s="2614"/>
      <c r="P255" s="2489"/>
      <c r="Q255" s="2489"/>
      <c r="S255" s="2705" t="str">
        <f>+IF(OCTUBRE!S255=0,"",OCTUBRE!S255)</f>
        <v>8002100-12</v>
      </c>
      <c r="T255" s="2706" t="str">
        <f>+IF(OCTUBRE!T255=0,"",OCTUBRE!T255)</f>
        <v>Programas Especial 11</v>
      </c>
      <c r="U255" s="2661">
        <f>+ENERO!U255</f>
        <v>0</v>
      </c>
      <c r="V255" s="2612">
        <f>OCTUBRE!V255+NOVIEMBRE!AL255</f>
        <v>0</v>
      </c>
      <c r="W255" s="2612">
        <f>OCTUBRE!W255+NOVIEMBRE!AM255</f>
        <v>0</v>
      </c>
      <c r="X255" s="2662">
        <f t="shared" si="212"/>
        <v>0</v>
      </c>
      <c r="Y255" s="2663">
        <f>OCTUBRE!AA255</f>
        <v>0</v>
      </c>
      <c r="Z255" s="2598">
        <v>0</v>
      </c>
      <c r="AA255" s="2662">
        <f t="shared" si="213"/>
        <v>0</v>
      </c>
      <c r="AB255" s="2663">
        <f>OCTUBRE!AD255</f>
        <v>0</v>
      </c>
      <c r="AC255" s="2598">
        <v>0</v>
      </c>
      <c r="AD255" s="2662">
        <f t="shared" si="214"/>
        <v>0</v>
      </c>
      <c r="AE255" s="2663">
        <f>OCTUBRE!AG255</f>
        <v>0</v>
      </c>
      <c r="AF255" s="2598">
        <v>0</v>
      </c>
      <c r="AG255" s="2662">
        <f t="shared" si="215"/>
        <v>0</v>
      </c>
      <c r="AH255" s="2663">
        <f t="shared" si="216"/>
        <v>0</v>
      </c>
      <c r="AI255" s="2612">
        <f t="shared" si="217"/>
        <v>0</v>
      </c>
      <c r="AJ255" s="2664">
        <f t="shared" si="218"/>
        <v>0</v>
      </c>
      <c r="AK255" s="2489"/>
      <c r="AL255" s="2600">
        <v>0</v>
      </c>
      <c r="AM255" s="2601">
        <v>0</v>
      </c>
    </row>
    <row r="256" spans="1:70" ht="24.95" customHeight="1" thickBot="1">
      <c r="A256" s="2848"/>
      <c r="B256" s="2851"/>
      <c r="C256" s="2614"/>
      <c r="D256" s="2614"/>
      <c r="E256" s="2614"/>
      <c r="F256" s="2614"/>
      <c r="G256" s="2614"/>
      <c r="H256" s="2614"/>
      <c r="I256" s="2614"/>
      <c r="J256" s="2614"/>
      <c r="K256" s="2614"/>
      <c r="L256" s="2614"/>
      <c r="M256" s="2614"/>
      <c r="N256" s="2489"/>
      <c r="O256" s="2614"/>
      <c r="P256" s="2489"/>
      <c r="Q256" s="2489"/>
      <c r="S256" s="2868">
        <f>+IF(OCTUBRE!S256=0,"",OCTUBRE!S256)</f>
        <v>8002999</v>
      </c>
      <c r="T256" s="2869" t="str">
        <f>+IF(OCTUBRE!T256=0,"",OCTUBRE!T256)</f>
        <v>Vigencias Anteriores</v>
      </c>
      <c r="U256" s="2857">
        <f>+ENERO!U256</f>
        <v>0</v>
      </c>
      <c r="V256" s="2858">
        <f>OCTUBRE!V256+NOVIEMBRE!AL256</f>
        <v>0</v>
      </c>
      <c r="W256" s="2858">
        <f>OCTUBRE!W256+NOVIEMBRE!AM256</f>
        <v>0</v>
      </c>
      <c r="X256" s="2859">
        <f t="shared" si="212"/>
        <v>0</v>
      </c>
      <c r="Y256" s="2860">
        <f>OCTUBRE!AA256</f>
        <v>0</v>
      </c>
      <c r="Z256" s="2639">
        <v>0</v>
      </c>
      <c r="AA256" s="2859">
        <f t="shared" si="213"/>
        <v>0</v>
      </c>
      <c r="AB256" s="2860">
        <f>OCTUBRE!AD256</f>
        <v>0</v>
      </c>
      <c r="AC256" s="2639">
        <v>0</v>
      </c>
      <c r="AD256" s="2859">
        <f t="shared" si="214"/>
        <v>0</v>
      </c>
      <c r="AE256" s="2860">
        <f>OCTUBRE!AG256</f>
        <v>0</v>
      </c>
      <c r="AF256" s="2639">
        <v>0</v>
      </c>
      <c r="AG256" s="2859">
        <f t="shared" si="215"/>
        <v>0</v>
      </c>
      <c r="AH256" s="2860">
        <f t="shared" si="216"/>
        <v>0</v>
      </c>
      <c r="AI256" s="2858">
        <f t="shared" si="217"/>
        <v>0</v>
      </c>
      <c r="AJ256" s="2861">
        <f t="shared" si="218"/>
        <v>0</v>
      </c>
      <c r="AK256" s="2489"/>
      <c r="AL256" s="2641">
        <v>0</v>
      </c>
      <c r="AM256" s="2642">
        <v>0</v>
      </c>
    </row>
    <row r="257" spans="1:39" ht="24.95" customHeight="1" thickBot="1">
      <c r="A257" s="2848"/>
      <c r="B257" s="2851"/>
      <c r="C257" s="2614"/>
      <c r="D257" s="2614"/>
      <c r="E257" s="2614"/>
      <c r="F257" s="2614"/>
      <c r="G257" s="2614"/>
      <c r="H257" s="2614"/>
      <c r="I257" s="2614"/>
      <c r="J257" s="2614"/>
      <c r="K257" s="2614"/>
      <c r="L257" s="2614"/>
      <c r="M257" s="2614"/>
      <c r="N257" s="2489"/>
      <c r="O257" s="2614"/>
      <c r="P257" s="2489"/>
      <c r="Q257" s="2489"/>
      <c r="S257" s="2872" t="str">
        <f>+IF(OCTUBRE!S257=0,"",OCTUBRE!S257)</f>
        <v/>
      </c>
      <c r="T257" s="2873" t="str">
        <f>+IF(OCTUBRE!T257=0,"",OCTUBRE!T257)</f>
        <v/>
      </c>
      <c r="U257" s="2874"/>
      <c r="V257" s="2874"/>
      <c r="W257" s="2874"/>
      <c r="X257" s="2874"/>
      <c r="Y257" s="2874"/>
      <c r="Z257" s="2874"/>
      <c r="AA257" s="2874"/>
      <c r="AB257" s="2874"/>
      <c r="AC257" s="2874"/>
      <c r="AD257" s="2874"/>
      <c r="AE257" s="2874"/>
      <c r="AF257" s="2874"/>
      <c r="AG257" s="2874"/>
      <c r="AH257" s="2874"/>
      <c r="AI257" s="2874"/>
      <c r="AJ257" s="2875"/>
      <c r="AK257" s="2607"/>
      <c r="AL257" s="2884"/>
      <c r="AM257" s="2885"/>
    </row>
    <row r="258" spans="1:39" ht="24.95" customHeight="1" thickBot="1">
      <c r="S258" s="2888" t="s">
        <v>363</v>
      </c>
      <c r="T258" s="2889" t="s">
        <v>133</v>
      </c>
      <c r="U258" s="2523">
        <f>+(C10+C17+C113)-(U10+U193+U220+U232)</f>
        <v>0</v>
      </c>
      <c r="V258" s="2523">
        <f t="shared" ref="V258:AJ258" si="219">+(D10+D17+D113)-(V10+V193+V220+V232)</f>
        <v>0</v>
      </c>
      <c r="W258" s="2523">
        <f t="shared" si="219"/>
        <v>0</v>
      </c>
      <c r="X258" s="2523">
        <f t="shared" si="219"/>
        <v>0</v>
      </c>
      <c r="Y258" s="2523">
        <f t="shared" si="219"/>
        <v>-3044827497</v>
      </c>
      <c r="Z258" s="2523">
        <f t="shared" si="219"/>
        <v>2332030685</v>
      </c>
      <c r="AA258" s="2523">
        <f t="shared" si="219"/>
        <v>-712796812</v>
      </c>
      <c r="AB258" s="2523">
        <f t="shared" si="219"/>
        <v>-17223140249</v>
      </c>
      <c r="AC258" s="2523">
        <f t="shared" si="219"/>
        <v>-1371121387</v>
      </c>
      <c r="AD258" s="2523">
        <f t="shared" si="219"/>
        <v>-18594261636</v>
      </c>
      <c r="AE258" s="2523">
        <f t="shared" si="219"/>
        <v>-27541621798</v>
      </c>
      <c r="AF258" s="2523">
        <f t="shared" si="219"/>
        <v>27281923634</v>
      </c>
      <c r="AG258" s="2523">
        <f t="shared" si="219"/>
        <v>-37398433388</v>
      </c>
      <c r="AH258" s="2523">
        <f t="shared" si="219"/>
        <v>-4948933765</v>
      </c>
      <c r="AI258" s="2523">
        <f t="shared" si="219"/>
        <v>-10827152613</v>
      </c>
      <c r="AJ258" s="2890">
        <f t="shared" si="219"/>
        <v>-31656844900</v>
      </c>
      <c r="AK258" s="2489"/>
      <c r="AL258" s="2521">
        <v>0</v>
      </c>
      <c r="AM258" s="2522">
        <v>0</v>
      </c>
    </row>
    <row r="259" spans="1:39" ht="24.95" customHeight="1" thickBot="1">
      <c r="S259" s="3374"/>
      <c r="T259" s="3375"/>
      <c r="U259" s="2891"/>
      <c r="V259" s="2891"/>
      <c r="W259" s="2891"/>
      <c r="X259" s="2891"/>
      <c r="Y259" s="2891"/>
      <c r="Z259" s="2891"/>
      <c r="AA259" s="2891"/>
      <c r="AB259" s="2891"/>
      <c r="AC259" s="2891"/>
      <c r="AD259" s="2891"/>
      <c r="AE259" s="2891"/>
      <c r="AF259" s="2891"/>
      <c r="AG259" s="2891"/>
      <c r="AH259" s="2891"/>
      <c r="AI259" s="2891"/>
      <c r="AJ259" s="2892"/>
      <c r="AK259" s="2607"/>
      <c r="AL259" s="2893">
        <f>+SUMIF(AK8:AK256,AK33,AL8:AL256)</f>
        <v>0</v>
      </c>
      <c r="AM259" s="2894">
        <f>+SUMIF(AL8:AL256,AL33,AM8:AM256)</f>
        <v>8866771194</v>
      </c>
    </row>
    <row r="260" spans="1:39" ht="24.95" customHeight="1" thickBot="1">
      <c r="S260" s="2895" t="s">
        <v>582</v>
      </c>
      <c r="T260" s="2896"/>
      <c r="U260" s="2897">
        <f>+U8-U262</f>
        <v>47989706380</v>
      </c>
      <c r="V260" s="2897">
        <f t="shared" ref="V260:AJ260" si="220">+V8-V262</f>
        <v>-109662433</v>
      </c>
      <c r="W260" s="2897">
        <f t="shared" si="220"/>
        <v>7955243839</v>
      </c>
      <c r="X260" s="2897">
        <f t="shared" si="220"/>
        <v>55835287786</v>
      </c>
      <c r="Y260" s="2897">
        <f t="shared" si="220"/>
        <v>50541088063</v>
      </c>
      <c r="Z260" s="2897">
        <f t="shared" si="220"/>
        <v>1284322294</v>
      </c>
      <c r="AA260" s="2897">
        <f t="shared" si="220"/>
        <v>51825410357</v>
      </c>
      <c r="AB260" s="2897">
        <f t="shared" si="220"/>
        <v>39794052666</v>
      </c>
      <c r="AC260" s="2897">
        <f t="shared" si="220"/>
        <v>4097548445</v>
      </c>
      <c r="AD260" s="2897">
        <f t="shared" si="220"/>
        <v>43891601111</v>
      </c>
      <c r="AE260" s="2897">
        <f t="shared" si="220"/>
        <v>22097106295</v>
      </c>
      <c r="AF260" s="2897">
        <f t="shared" si="220"/>
        <v>3020392927</v>
      </c>
      <c r="AG260" s="2897">
        <f t="shared" si="220"/>
        <v>25117499222</v>
      </c>
      <c r="AH260" s="2897">
        <f t="shared" si="220"/>
        <v>4009877429</v>
      </c>
      <c r="AI260" s="2897">
        <f t="shared" si="220"/>
        <v>11943686675</v>
      </c>
      <c r="AJ260" s="2898">
        <f t="shared" si="220"/>
        <v>30717788564</v>
      </c>
      <c r="AK260" s="2607"/>
      <c r="AL260" s="2614"/>
      <c r="AM260" s="2614"/>
    </row>
    <row r="261" spans="1:39" ht="24.95" customHeight="1" thickBot="1">
      <c r="S261" s="2899"/>
      <c r="T261" s="2900"/>
      <c r="U261" s="2901"/>
      <c r="V261" s="2901"/>
      <c r="W261" s="2901"/>
      <c r="X261" s="2901"/>
      <c r="Y261" s="2901"/>
      <c r="Z261" s="2901"/>
      <c r="AA261" s="2901"/>
      <c r="AB261" s="2901"/>
      <c r="AC261" s="2901"/>
      <c r="AD261" s="2901"/>
      <c r="AE261" s="2901"/>
      <c r="AF261" s="2901"/>
      <c r="AG261" s="2901"/>
      <c r="AH261" s="2901"/>
      <c r="AI261" s="2901"/>
      <c r="AJ261" s="2902"/>
    </row>
    <row r="262" spans="1:39" ht="24.95" customHeight="1" thickBot="1">
      <c r="S262" s="2903" t="s">
        <v>583</v>
      </c>
      <c r="T262" s="2904"/>
      <c r="U262" s="2905">
        <f>+SUMIF($T$8:$T$256,$T$33,U8:U256)</f>
        <v>2232471701</v>
      </c>
      <c r="V262" s="2905">
        <f t="shared" ref="V262:AJ262" si="221">+SUMIF($T$8:$T$256,$T$33,V8:V256)</f>
        <v>109662433</v>
      </c>
      <c r="W262" s="2905">
        <f t="shared" si="221"/>
        <v>10877856368</v>
      </c>
      <c r="X262" s="2905">
        <f t="shared" si="221"/>
        <v>13219990502</v>
      </c>
      <c r="Y262" s="2905">
        <f t="shared" si="221"/>
        <v>11106246080</v>
      </c>
      <c r="Z262" s="2905">
        <f t="shared" si="221"/>
        <v>1174688086</v>
      </c>
      <c r="AA262" s="2905">
        <f t="shared" si="221"/>
        <v>12280934166</v>
      </c>
      <c r="AB262" s="2905">
        <f t="shared" si="221"/>
        <v>11106246080</v>
      </c>
      <c r="AC262" s="2905">
        <f t="shared" si="221"/>
        <v>1174688086</v>
      </c>
      <c r="AD262" s="2905">
        <f t="shared" si="221"/>
        <v>12280934166</v>
      </c>
      <c r="AE262" s="2905">
        <f t="shared" si="221"/>
        <v>11106246080</v>
      </c>
      <c r="AF262" s="2905">
        <f t="shared" si="221"/>
        <v>1174688086</v>
      </c>
      <c r="AG262" s="2905">
        <f t="shared" si="221"/>
        <v>12280934166</v>
      </c>
      <c r="AH262" s="2905">
        <f t="shared" si="221"/>
        <v>939056336</v>
      </c>
      <c r="AI262" s="2905">
        <f t="shared" si="221"/>
        <v>939056336</v>
      </c>
      <c r="AJ262" s="2906">
        <f t="shared" si="221"/>
        <v>939056336</v>
      </c>
    </row>
    <row r="263" spans="1:39" ht="24.95" customHeight="1" thickBot="1">
      <c r="S263" s="2899"/>
      <c r="T263" s="2900"/>
      <c r="U263" s="2900"/>
      <c r="V263" s="2901"/>
      <c r="W263" s="2901"/>
      <c r="X263" s="2901"/>
      <c r="Y263" s="2901"/>
      <c r="Z263" s="2901"/>
      <c r="AA263" s="2901"/>
      <c r="AB263" s="2901"/>
      <c r="AC263" s="2901"/>
      <c r="AD263" s="2901"/>
      <c r="AE263" s="2901"/>
      <c r="AF263" s="2901"/>
      <c r="AG263" s="2901"/>
      <c r="AH263" s="2901"/>
      <c r="AI263" s="2901"/>
      <c r="AJ263" s="2901"/>
    </row>
    <row r="264" spans="1:39" ht="24.95" customHeight="1" thickBot="1">
      <c r="S264" s="2907" t="s">
        <v>584</v>
      </c>
      <c r="T264" s="2908"/>
      <c r="U264" s="2909">
        <f>+U260+U262</f>
        <v>50222178081</v>
      </c>
      <c r="V264" s="2909">
        <f t="shared" ref="V264:AJ264" si="222">+V260+V262</f>
        <v>0</v>
      </c>
      <c r="W264" s="2909">
        <f t="shared" si="222"/>
        <v>18833100207</v>
      </c>
      <c r="X264" s="2909">
        <f t="shared" si="222"/>
        <v>69055278288</v>
      </c>
      <c r="Y264" s="2909">
        <f t="shared" si="222"/>
        <v>61647334143</v>
      </c>
      <c r="Z264" s="2909">
        <f t="shared" si="222"/>
        <v>2459010380</v>
      </c>
      <c r="AA264" s="2909">
        <f t="shared" si="222"/>
        <v>64106344523</v>
      </c>
      <c r="AB264" s="2909">
        <f t="shared" si="222"/>
        <v>50900298746</v>
      </c>
      <c r="AC264" s="2909">
        <f t="shared" si="222"/>
        <v>5272236531</v>
      </c>
      <c r="AD264" s="2909">
        <f t="shared" si="222"/>
        <v>56172535277</v>
      </c>
      <c r="AE264" s="2909">
        <f t="shared" si="222"/>
        <v>33203352375</v>
      </c>
      <c r="AF264" s="2909">
        <f t="shared" si="222"/>
        <v>4195081013</v>
      </c>
      <c r="AG264" s="2909">
        <f t="shared" si="222"/>
        <v>37398433388</v>
      </c>
      <c r="AH264" s="2909">
        <f t="shared" si="222"/>
        <v>4948933765</v>
      </c>
      <c r="AI264" s="2909">
        <f t="shared" si="222"/>
        <v>12882743011</v>
      </c>
      <c r="AJ264" s="2910">
        <f t="shared" si="222"/>
        <v>31656844900</v>
      </c>
    </row>
  </sheetData>
  <sheetProtection password="E1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B00-000000000000}"/>
    <dataValidation allowBlank="1" showInputMessage="1" showErrorMessage="1" promptTitle="ATENCION..." prompt="Las actividades de Promoción y Prevención se manejaran en cada régimen." sqref="A23:C24 P23:Q24 K23:K24 H23:H24" xr:uid="{00000000-0002-0000-0B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B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IO264"/>
  <sheetViews>
    <sheetView showGridLines="0" topLeftCell="G1" zoomScale="80" zoomScaleNormal="80" workbookViewId="0">
      <selection activeCell="T34" sqref="T34"/>
    </sheetView>
  </sheetViews>
  <sheetFormatPr baseColWidth="10" defaultColWidth="0" defaultRowHeight="24.95" customHeight="1"/>
  <cols>
    <col min="1" max="1" width="13.5703125" style="753" customWidth="1"/>
    <col min="2" max="2" width="50.7109375" style="662" customWidth="1"/>
    <col min="3" max="3" width="17.42578125" style="272" customWidth="1"/>
    <col min="4" max="4" width="16.140625" style="272" customWidth="1"/>
    <col min="5" max="7" width="14.42578125" style="272" customWidth="1"/>
    <col min="8" max="8" width="16.5703125" style="272" customWidth="1"/>
    <col min="9" max="9" width="14.42578125" style="272" customWidth="1"/>
    <col min="10" max="10" width="16" style="272" customWidth="1"/>
    <col min="11" max="11" width="15.85546875" style="272" customWidth="1"/>
    <col min="12"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698" customWidth="1"/>
    <col min="20" max="20" width="46.140625" style="674" customWidth="1"/>
    <col min="21" max="25" width="18" style="272" customWidth="1"/>
    <col min="26" max="26" width="16.5703125" style="272" customWidth="1"/>
    <col min="27" max="27" width="18.7109375" style="272" customWidth="1"/>
    <col min="28" max="28" width="18.85546875" style="272" customWidth="1"/>
    <col min="29" max="29" width="16.28515625" style="272" customWidth="1"/>
    <col min="30" max="30" width="17.42578125" style="272" customWidth="1"/>
    <col min="31" max="31" width="19.28515625" style="272" customWidth="1"/>
    <col min="32" max="32" width="15.85546875" style="272" customWidth="1"/>
    <col min="33" max="33" width="17" style="272" customWidth="1"/>
    <col min="34" max="35" width="16.7109375" style="272" customWidth="1"/>
    <col min="36" max="36" width="18.28515625"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9.42578125" style="272" customWidth="1"/>
    <col min="60" max="63" width="17.5703125" style="272" customWidth="1"/>
    <col min="64" max="64" width="30.28515625" style="272" customWidth="1"/>
    <col min="65" max="65" width="76" style="272" customWidth="1"/>
    <col min="66" max="66" width="18.42578125" style="272" customWidth="1"/>
    <col min="67" max="67" width="17" style="272" customWidth="1"/>
    <col min="68" max="68" width="16.140625" style="272" customWidth="1"/>
    <col min="69" max="69" width="22.85546875" style="518" customWidth="1"/>
    <col min="70" max="70" width="50.42578125" style="272" customWidth="1"/>
    <col min="71" max="71" width="2.28515625" style="272" customWidth="1"/>
    <col min="72" max="16384" width="11" style="272" hidden="1"/>
  </cols>
  <sheetData>
    <row r="1" spans="1:70" ht="24.95" customHeight="1" thickBot="1">
      <c r="A1" s="2998" t="str">
        <f>IF($F$8-$X$8=0," ","OJO: PRESUPUESTO DESEQUILIBRADO")</f>
        <v xml:space="preserve"> </v>
      </c>
      <c r="B1" s="2998"/>
      <c r="C1" s="3132"/>
      <c r="D1" s="3132"/>
      <c r="E1" s="3132"/>
      <c r="F1" s="3132"/>
      <c r="G1" s="3132"/>
      <c r="H1" s="3132"/>
      <c r="I1" s="3132"/>
      <c r="J1" s="3132"/>
      <c r="K1" s="2999" t="str">
        <f>+IF(L8&gt;I8,"OJO - SUS RECAUDOS SON SUPERIORES A SUS RECONOCIMIENTOS, VERIFIQUE","")</f>
        <v/>
      </c>
      <c r="L1" s="2999"/>
      <c r="M1" s="2999"/>
      <c r="N1" s="2999"/>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70" ht="53.25" customHeight="1" thickBot="1">
      <c r="A2" s="750"/>
      <c r="B2" s="718" t="str">
        <f>+ENERO!B2</f>
        <v>SECRETARIA SECCIONAL DE SALUD Y PROTECCION SOCIAL DE ANTIOQUIA DE ANTIOQUIA</v>
      </c>
      <c r="C2" s="274"/>
      <c r="D2" s="3008" t="str">
        <f>+IF(F2="","","MUNICIPIO:")</f>
        <v>MUNICIPIO:</v>
      </c>
      <c r="E2" s="3008"/>
      <c r="F2" s="275" t="str">
        <f>IF(INSTRUCCIONES!B3=0,"",INSTRUCCIONES!B3)</f>
        <v>ITAGUI</v>
      </c>
      <c r="G2" s="276"/>
      <c r="H2" s="276"/>
      <c r="I2" s="276"/>
      <c r="J2" s="276"/>
      <c r="K2" s="277"/>
      <c r="L2" s="3009" t="s">
        <v>388</v>
      </c>
      <c r="M2" s="2982"/>
      <c r="N2" s="278" t="s">
        <v>389</v>
      </c>
      <c r="P2" s="2993" t="s">
        <v>466</v>
      </c>
      <c r="Q2" s="2994"/>
      <c r="R2" s="279"/>
      <c r="S2" s="699"/>
      <c r="T2" s="718" t="str">
        <f>+ENERO!T2</f>
        <v>SECRETARIA SECCIONAL DE SALUD Y PROTECCION SOCIAL DE ANTIOQUIA DE ANTIOQUIA</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278" t="s">
        <v>389</v>
      </c>
      <c r="AL2" s="2993" t="s">
        <v>466</v>
      </c>
      <c r="AM2" s="2994"/>
      <c r="AO2" s="2">
        <v>12</v>
      </c>
      <c r="AP2" s="280" t="s">
        <v>7</v>
      </c>
      <c r="AQ2" s="281"/>
      <c r="AR2" s="3"/>
      <c r="AS2" s="3"/>
      <c r="AT2" s="3"/>
      <c r="AU2" s="3"/>
      <c r="AV2" s="3"/>
      <c r="AW2" s="3"/>
      <c r="AX2" s="3"/>
      <c r="AY2" s="3"/>
      <c r="AZ2" s="4"/>
      <c r="BB2" s="2993" t="s">
        <v>616</v>
      </c>
      <c r="BC2" s="3010"/>
      <c r="BD2" s="51" t="s">
        <v>388</v>
      </c>
      <c r="BE2" s="278" t="str">
        <f>+L3</f>
        <v>DICIEMBRE</v>
      </c>
      <c r="BF2" s="273"/>
      <c r="BG2" s="2993" t="s">
        <v>617</v>
      </c>
      <c r="BH2" s="3010"/>
      <c r="BI2" s="3010"/>
      <c r="BJ2" s="51" t="s">
        <v>388</v>
      </c>
      <c r="BK2" s="278" t="str">
        <f>+BE2</f>
        <v>DICIEMBRE</v>
      </c>
      <c r="BM2" s="2993" t="s">
        <v>617</v>
      </c>
      <c r="BN2" s="3010"/>
      <c r="BO2" s="3010"/>
      <c r="BP2" s="51" t="s">
        <v>388</v>
      </c>
      <c r="BQ2" s="519" t="str">
        <f>+BK2</f>
        <v>DICIEMBRE</v>
      </c>
    </row>
    <row r="3" spans="1:70" ht="24.95" customHeight="1" thickBot="1">
      <c r="A3" s="751"/>
      <c r="B3" s="3025" t="s">
        <v>8</v>
      </c>
      <c r="C3" s="282"/>
      <c r="D3" s="3041" t="str">
        <f>+IF(F3="","","INSTITUCION:")</f>
        <v>INSTITUCION:</v>
      </c>
      <c r="E3" s="3041"/>
      <c r="F3" s="3000" t="str">
        <f>IF(INSTRUCCIONES!B5=0,"",INSTRUCCIONES!B5)</f>
        <v>ESE HOSPITALSAN RAFAEL</v>
      </c>
      <c r="G3" s="3000"/>
      <c r="H3" s="3000"/>
      <c r="I3" s="3000"/>
      <c r="J3" s="3000"/>
      <c r="K3" s="3001"/>
      <c r="L3" s="3026" t="s">
        <v>376</v>
      </c>
      <c r="M3" s="3027"/>
      <c r="N3" s="3006">
        <f>+INSTRUCCIONES!F3</f>
        <v>2017</v>
      </c>
      <c r="P3" s="3398" t="s">
        <v>534</v>
      </c>
      <c r="Q3" s="3397" t="s">
        <v>535</v>
      </c>
      <c r="R3" s="279"/>
      <c r="S3" s="700"/>
      <c r="T3" s="3025" t="s">
        <v>10</v>
      </c>
      <c r="U3" s="283"/>
      <c r="V3" s="2972" t="str">
        <f>+IF(Y3="","","E.S.E. H O S P I T A L:")</f>
        <v>E.S.E. H O S P I T A L:</v>
      </c>
      <c r="W3" s="2972"/>
      <c r="X3" s="2972"/>
      <c r="Y3" s="2974" t="str">
        <f>IF(INSTRUCCIONES!B5=0,"",INSTRUCCIONES!B5)</f>
        <v>ESE HOSPITALSAN RAFAEL</v>
      </c>
      <c r="Z3" s="2974"/>
      <c r="AA3" s="2974"/>
      <c r="AB3" s="2974"/>
      <c r="AC3" s="2974"/>
      <c r="AD3" s="2974"/>
      <c r="AE3" s="2974"/>
      <c r="AF3" s="2974"/>
      <c r="AG3" s="2975"/>
      <c r="AH3" s="2978" t="str">
        <f>+L3</f>
        <v>DICIEMBRE</v>
      </c>
      <c r="AI3" s="2979"/>
      <c r="AJ3" s="2970">
        <f>+N3</f>
        <v>2017</v>
      </c>
      <c r="AL3" s="2995" t="s">
        <v>533</v>
      </c>
      <c r="AM3" s="3013" t="s">
        <v>532</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193">
        <f>+BK3</f>
        <v>2017</v>
      </c>
    </row>
    <row r="4" spans="1:70" ht="24.95" customHeight="1" thickBot="1">
      <c r="A4" s="751"/>
      <c r="B4" s="3133"/>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292"/>
      <c r="BE4" s="47"/>
      <c r="BF4" s="7"/>
      <c r="BG4" s="291"/>
      <c r="BH4" s="292"/>
      <c r="BI4" s="292"/>
      <c r="BJ4" s="48"/>
      <c r="BK4" s="293"/>
      <c r="BL4" s="8"/>
      <c r="BM4" s="291"/>
      <c r="BN4" s="294"/>
      <c r="BO4" s="294"/>
      <c r="BP4" s="49"/>
      <c r="BQ4" s="520"/>
    </row>
    <row r="5" spans="1:70" ht="42" customHeight="1" thickTop="1" thickBot="1">
      <c r="A5" s="3134" t="s">
        <v>17</v>
      </c>
      <c r="B5" s="3136" t="s">
        <v>18</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2990" t="s">
        <v>481</v>
      </c>
      <c r="T5" s="3043" t="s">
        <v>18</v>
      </c>
      <c r="U5" s="296" t="s">
        <v>19</v>
      </c>
      <c r="V5" s="297"/>
      <c r="W5" s="297"/>
      <c r="X5" s="298"/>
      <c r="Y5" s="299" t="s">
        <v>530</v>
      </c>
      <c r="Z5" s="297"/>
      <c r="AA5" s="297"/>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21"/>
      <c r="BF5" s="3141" t="s">
        <v>366</v>
      </c>
      <c r="BG5" s="512" t="s">
        <v>32</v>
      </c>
      <c r="BH5" s="3018" t="str">
        <f>+CONCATENATE("ACUMULADO ",N3)</f>
        <v>ACUMULADO 2017</v>
      </c>
      <c r="BI5" s="3019"/>
      <c r="BJ5" s="3019"/>
      <c r="BK5" s="3138"/>
      <c r="BL5" s="3139" t="s">
        <v>367</v>
      </c>
      <c r="BM5" s="3016" t="s">
        <v>32</v>
      </c>
      <c r="BN5" s="308" t="str">
        <f>+CONCATENATE("ACUMULADO ",BQ3)</f>
        <v>ACUMULADO 2017</v>
      </c>
      <c r="BO5" s="309"/>
      <c r="BP5" s="310"/>
      <c r="BQ5" s="522"/>
      <c r="BR5" s="3395" t="str">
        <f>+CONCATENATE("PAGOS TOTALES DEL AÑO ",BQ3)</f>
        <v>PAGOS TOTALES DEL AÑO 2017</v>
      </c>
    </row>
    <row r="6" spans="1:70" ht="24.95" customHeight="1" thickBot="1">
      <c r="A6" s="3135"/>
      <c r="B6" s="31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2991"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DICIEMBRE</v>
      </c>
      <c r="AS6" s="316" t="str">
        <f>AR6</f>
        <v>DICIEMBRE</v>
      </c>
      <c r="AT6" s="316" t="str">
        <f>AR6</f>
        <v>DICIEMBRE</v>
      </c>
      <c r="AU6" s="316" t="s">
        <v>14</v>
      </c>
      <c r="AV6" s="316" t="s">
        <v>29</v>
      </c>
      <c r="AW6" s="316"/>
      <c r="AX6" s="316"/>
      <c r="AY6" s="316" t="s">
        <v>14</v>
      </c>
      <c r="AZ6" s="317" t="s">
        <v>29</v>
      </c>
      <c r="BB6" s="318"/>
      <c r="BC6" s="319" t="s">
        <v>45</v>
      </c>
      <c r="BD6" s="320" t="s">
        <v>46</v>
      </c>
      <c r="BE6" s="321" t="s">
        <v>47</v>
      </c>
      <c r="BF6" s="3142"/>
      <c r="BG6" s="514"/>
      <c r="BH6" s="515" t="s">
        <v>45</v>
      </c>
      <c r="BI6" s="515" t="s">
        <v>48</v>
      </c>
      <c r="BJ6" s="515" t="s">
        <v>49</v>
      </c>
      <c r="BK6" s="516" t="s">
        <v>50</v>
      </c>
      <c r="BL6" s="3140"/>
      <c r="BM6" s="3017"/>
      <c r="BN6" s="325" t="s">
        <v>45</v>
      </c>
      <c r="BO6" s="323" t="s">
        <v>48</v>
      </c>
      <c r="BP6" s="323" t="s">
        <v>49</v>
      </c>
      <c r="BQ6" s="523" t="s">
        <v>50</v>
      </c>
      <c r="BR6" s="3396"/>
    </row>
    <row r="7" spans="1:70"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27471715768</v>
      </c>
      <c r="AR7" s="327">
        <f>I22</f>
        <v>24940627058</v>
      </c>
      <c r="AS7" s="327">
        <f>L22</f>
        <v>15397312692</v>
      </c>
      <c r="AT7" s="13"/>
      <c r="AU7" s="328">
        <f t="shared" ref="AU7:AU17" si="0">IF(AQ7=0," ",AR7/AQ7)</f>
        <v>0.90786564875033038</v>
      </c>
      <c r="AV7" s="328">
        <f t="shared" ref="AV7:AV17" si="1">IF(AQ7=0," ",AS7/AQ7)</f>
        <v>0.56047874191881819</v>
      </c>
      <c r="AW7" s="327">
        <f>I23/AO$2*12+I24</f>
        <v>24940627058</v>
      </c>
      <c r="AX7" s="327">
        <f>L23/AO$2*12+L24</f>
        <v>15397312692</v>
      </c>
      <c r="AY7" s="327">
        <f t="shared" ref="AY7:AY16" si="2">AW7-AQ7</f>
        <v>-2531088710</v>
      </c>
      <c r="AZ7" s="329">
        <f t="shared" ref="AZ7:AZ16" si="3">AX7-AQ7</f>
        <v>-12074403076</v>
      </c>
      <c r="BB7" s="330" t="s">
        <v>53</v>
      </c>
      <c r="BC7" s="54">
        <f>F10</f>
        <v>617329922</v>
      </c>
      <c r="BD7" s="55">
        <f>I10</f>
        <v>617329922</v>
      </c>
      <c r="BE7" s="56">
        <f>K10</f>
        <v>0</v>
      </c>
      <c r="BF7" s="53">
        <f>+BE7+NOVIEMBRE!BE7+OCTUBRE!BE7+SEPTIEMBRE!BF7</f>
        <v>617329922</v>
      </c>
      <c r="BG7" s="91" t="s">
        <v>54</v>
      </c>
      <c r="BH7" s="116">
        <f>+SUM(BH8:BH11)</f>
        <v>41980610660</v>
      </c>
      <c r="BI7" s="116">
        <f>+SUM(BI8:BI11)</f>
        <v>36705578856</v>
      </c>
      <c r="BJ7" s="116">
        <f>+SUM(BJ8:BJ11)</f>
        <v>36705578856</v>
      </c>
      <c r="BK7" s="116">
        <f>+SUM(BK8:BK11)</f>
        <v>3733313940</v>
      </c>
      <c r="BL7" s="40">
        <f>+BK7+NOVIEMBRE!BK7+OCTUBRE!BK7+SEPTIEMBRE!BL7</f>
        <v>23830424548</v>
      </c>
      <c r="BM7" s="61" t="s">
        <v>54</v>
      </c>
      <c r="BN7" s="62">
        <f>BN8+BN15+BN22</f>
        <v>41980610660</v>
      </c>
      <c r="BO7" s="63">
        <f>BO8+BO15+BO22</f>
        <v>36705578856</v>
      </c>
      <c r="BP7" s="63">
        <f>BP8+BP15+BP22</f>
        <v>36705578856</v>
      </c>
      <c r="BQ7" s="194">
        <f>BQ8+BQ15+BQ22</f>
        <v>3733313940</v>
      </c>
      <c r="BR7" s="117">
        <f>+BQ7+NOVIEMBRE!BQ7+OCTUBRE!BQ7+SEPTIEMBRE!BQ7+AGOSTO!BQ7+JULIO!BQ7+JUNIO!BQ7+MAYO!BQ7+ABRIL!BQ7+MARZO!BQ7+FEBRERO!BQ7+ENERO!BQ7</f>
        <v>23830424548</v>
      </c>
    </row>
    <row r="8" spans="1:70" s="9" customFormat="1" ht="24.95" customHeight="1" thickBot="1">
      <c r="A8" s="730">
        <f>+IF(NOVIEMBRE!A8=0,"",NOVIEMBRE!A8)</f>
        <v>1</v>
      </c>
      <c r="B8" s="635" t="str">
        <f>+IF(NOVIEMBRE!B8=0,"",NOVIEMBRE!B8)</f>
        <v>INGRESOS</v>
      </c>
      <c r="C8" s="331">
        <f>C10+C17+C113</f>
        <v>50222178081</v>
      </c>
      <c r="D8" s="331">
        <f t="shared" ref="D8:N8" si="4">D10+D17+D113</f>
        <v>0</v>
      </c>
      <c r="E8" s="331">
        <f t="shared" si="4"/>
        <v>19785440121</v>
      </c>
      <c r="F8" s="331">
        <f t="shared" si="4"/>
        <v>70007618202</v>
      </c>
      <c r="G8" s="331">
        <f t="shared" si="4"/>
        <v>63393547711</v>
      </c>
      <c r="H8" s="331">
        <f t="shared" si="4"/>
        <v>5750301652</v>
      </c>
      <c r="I8" s="331">
        <f t="shared" si="4"/>
        <v>69143849363</v>
      </c>
      <c r="J8" s="331">
        <f t="shared" si="4"/>
        <v>37578273641</v>
      </c>
      <c r="K8" s="331">
        <f t="shared" si="4"/>
        <v>7139468562</v>
      </c>
      <c r="L8" s="331">
        <f t="shared" si="4"/>
        <v>44717742203</v>
      </c>
      <c r="M8" s="331">
        <f t="shared" si="4"/>
        <v>863768839</v>
      </c>
      <c r="N8" s="331">
        <f t="shared" si="4"/>
        <v>25289875999</v>
      </c>
      <c r="O8" s="333"/>
      <c r="P8" s="334">
        <f t="shared" ref="P8:Q8" si="5">P10+P17+P113</f>
        <v>0</v>
      </c>
      <c r="Q8" s="332">
        <f t="shared" si="5"/>
        <v>952339914</v>
      </c>
      <c r="S8" s="701" t="str">
        <f>+IF(NOVIEMBRE!S8=0,"",NOVIEMBRE!S8)</f>
        <v/>
      </c>
      <c r="T8" s="675" t="str">
        <f>+IF(NOVIEMBRE!T8=0,"",NOVIEMBRE!T8)</f>
        <v>GASTOS</v>
      </c>
      <c r="U8" s="335">
        <f>U10+U193+U220+U232</f>
        <v>50222178081</v>
      </c>
      <c r="V8" s="336">
        <f t="shared" ref="V8:AJ8" si="6">V10+V193+V220+V232</f>
        <v>0</v>
      </c>
      <c r="W8" s="336">
        <f t="shared" si="6"/>
        <v>19785440121</v>
      </c>
      <c r="X8" s="337">
        <f t="shared" si="6"/>
        <v>70007618202</v>
      </c>
      <c r="Y8" s="338">
        <f t="shared" si="6"/>
        <v>64106344523</v>
      </c>
      <c r="Z8" s="336">
        <f t="shared" si="6"/>
        <v>-754983188</v>
      </c>
      <c r="AA8" s="337">
        <f t="shared" si="6"/>
        <v>63351361335</v>
      </c>
      <c r="AB8" s="338">
        <f t="shared" si="6"/>
        <v>56172535277</v>
      </c>
      <c r="AC8" s="336">
        <f t="shared" si="6"/>
        <v>7178826057</v>
      </c>
      <c r="AD8" s="337">
        <f t="shared" si="6"/>
        <v>63351361334</v>
      </c>
      <c r="AE8" s="338">
        <f t="shared" si="6"/>
        <v>37398433388</v>
      </c>
      <c r="AF8" s="336">
        <f t="shared" si="6"/>
        <v>6423668025</v>
      </c>
      <c r="AG8" s="337">
        <f t="shared" si="6"/>
        <v>43822101413</v>
      </c>
      <c r="AH8" s="338">
        <f t="shared" si="6"/>
        <v>6656256867</v>
      </c>
      <c r="AI8" s="336">
        <f t="shared" si="6"/>
        <v>6656256868</v>
      </c>
      <c r="AJ8" s="339">
        <f t="shared" si="6"/>
        <v>26185516789</v>
      </c>
      <c r="AL8" s="340">
        <f t="shared" ref="AL8:AM8" si="7">AL10+AL193+AL220+AL232</f>
        <v>0</v>
      </c>
      <c r="AM8" s="341">
        <f t="shared" si="7"/>
        <v>952339914</v>
      </c>
      <c r="AO8" s="21"/>
      <c r="AP8" s="11" t="s">
        <v>56</v>
      </c>
      <c r="AQ8" s="12">
        <f>F25</f>
        <v>19471708029</v>
      </c>
      <c r="AR8" s="12">
        <f>I25</f>
        <v>27256551544</v>
      </c>
      <c r="AS8" s="12">
        <f>L25</f>
        <v>19471708029</v>
      </c>
      <c r="AT8" s="13"/>
      <c r="AU8" s="342">
        <f t="shared" si="0"/>
        <v>1.3998028063796828</v>
      </c>
      <c r="AV8" s="342">
        <f t="shared" si="1"/>
        <v>1</v>
      </c>
      <c r="AW8" s="12">
        <f>I26/AO$2*12+I27</f>
        <v>27256551544</v>
      </c>
      <c r="AX8" s="12">
        <f>L26/AO$2*12+L27</f>
        <v>19471708029</v>
      </c>
      <c r="AY8" s="12">
        <f t="shared" si="2"/>
        <v>7784843515</v>
      </c>
      <c r="AZ8" s="343">
        <f t="shared" si="3"/>
        <v>0</v>
      </c>
      <c r="BB8" s="140" t="s">
        <v>57</v>
      </c>
      <c r="BC8" s="65">
        <f>BC9+BC19</f>
        <v>42055863830</v>
      </c>
      <c r="BD8" s="66">
        <f>BD9+BD19</f>
        <v>48643144131</v>
      </c>
      <c r="BE8" s="67">
        <f>BE9+BE19</f>
        <v>5718221843</v>
      </c>
      <c r="BF8" s="53">
        <f>+BE8+NOVIEMBRE!BE8+OCTUBRE!BE8+SEPTIEMBRE!BF8</f>
        <v>24217036971</v>
      </c>
      <c r="BG8" s="68" t="s">
        <v>58</v>
      </c>
      <c r="BH8" s="69">
        <f>BN9+BN13</f>
        <v>2811598915</v>
      </c>
      <c r="BI8" s="69">
        <f>BO9+BO13</f>
        <v>2384902304</v>
      </c>
      <c r="BJ8" s="69">
        <f>BP9+BP13</f>
        <v>2384902304</v>
      </c>
      <c r="BK8" s="69">
        <f>BQ9+BQ13</f>
        <v>351616893</v>
      </c>
      <c r="BL8" s="40">
        <f>+BK8+NOVIEMBRE!BK8+OCTUBRE!BK8+SEPTIEMBRE!BL8</f>
        <v>2384902304</v>
      </c>
      <c r="BM8" s="71" t="s">
        <v>59</v>
      </c>
      <c r="BN8" s="72">
        <f>BN9+BN14+BN13</f>
        <v>31734275018</v>
      </c>
      <c r="BO8" s="69">
        <f>BO9+BO14+BO13</f>
        <v>28838119979</v>
      </c>
      <c r="BP8" s="69">
        <f>BP9+BP14+BP13</f>
        <v>28838119979</v>
      </c>
      <c r="BQ8" s="195">
        <f>BQ9+BQ14+BQ13</f>
        <v>3171165991</v>
      </c>
      <c r="BR8" s="118">
        <f>BR9+BR14+BR13</f>
        <v>18825496866</v>
      </c>
    </row>
    <row r="9" spans="1:70"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468414189</v>
      </c>
      <c r="AR9" s="12">
        <f>I28+I75</f>
        <v>1912755297</v>
      </c>
      <c r="AS9" s="12">
        <f>L28+L75</f>
        <v>501833994</v>
      </c>
      <c r="AT9" s="13"/>
      <c r="AU9" s="350">
        <f t="shared" si="0"/>
        <v>4.0834700184541166</v>
      </c>
      <c r="AV9" s="350">
        <f t="shared" si="1"/>
        <v>1.0713466965450955</v>
      </c>
      <c r="AW9" s="351">
        <f>(I30+I33+I36+I76)/AO$2*12+I31+I34+I37+I38+I39+I40+I77</f>
        <v>1912755297</v>
      </c>
      <c r="AX9" s="351">
        <f>(L30+L33+L36+L76)/AO$2*12+L31+L34+L37+L38+L39+L40+L77</f>
        <v>501833994</v>
      </c>
      <c r="AY9" s="351">
        <f t="shared" si="2"/>
        <v>1444341108</v>
      </c>
      <c r="AZ9" s="352">
        <f t="shared" si="3"/>
        <v>33419805</v>
      </c>
      <c r="BB9" s="353" t="s">
        <v>427</v>
      </c>
      <c r="BC9" s="73">
        <f>BC10+BC18</f>
        <v>41196306567</v>
      </c>
      <c r="BD9" s="74">
        <f>BD10+BD18</f>
        <v>47443081920</v>
      </c>
      <c r="BE9" s="75">
        <f>BE10+BE18</f>
        <v>5698609213</v>
      </c>
      <c r="BF9" s="53">
        <f>+BE9+NOVIEMBRE!BE9+OCTUBRE!BE9+SEPTIEMBRE!BF9</f>
        <v>23474139722</v>
      </c>
      <c r="BG9" s="77" t="s">
        <v>62</v>
      </c>
      <c r="BH9" s="78">
        <f t="shared" ref="BH9:BK10" si="8">BN14</f>
        <v>28922676103</v>
      </c>
      <c r="BI9" s="78">
        <f t="shared" si="8"/>
        <v>26453217675</v>
      </c>
      <c r="BJ9" s="78">
        <f t="shared" si="8"/>
        <v>26453217675</v>
      </c>
      <c r="BK9" s="78">
        <f t="shared" si="8"/>
        <v>2819549098</v>
      </c>
      <c r="BL9" s="40">
        <f>+BK9+NOVIEMBRE!BK9+OCTUBRE!BK9+SEPTIEMBRE!BL9</f>
        <v>16440594562</v>
      </c>
      <c r="BM9" s="137" t="s">
        <v>63</v>
      </c>
      <c r="BN9" s="80">
        <f>SUM(BN10:BN12)</f>
        <v>2092764538</v>
      </c>
      <c r="BO9" s="185">
        <f>SUM(BO10:BO12)</f>
        <v>1908889085</v>
      </c>
      <c r="BP9" s="78">
        <f>SUM(BP10:BP12)</f>
        <v>1908889085</v>
      </c>
      <c r="BQ9" s="192">
        <f>SUM(BQ10:BQ12)</f>
        <v>277894737</v>
      </c>
      <c r="BR9" s="118">
        <f>SUM(BR10:BR12)</f>
        <v>1908889085</v>
      </c>
    </row>
    <row r="10" spans="1:70" s="9" customFormat="1" ht="24.95" customHeight="1">
      <c r="A10" s="731">
        <f>+IF(NOVIEMBRE!A10=0,"",NOVIEMBRE!A10)</f>
        <v>10</v>
      </c>
      <c r="B10" s="637" t="str">
        <f>+IF(NOVIEMBRE!B10=0,"",NOVIEMBRE!B10)</f>
        <v>DISPONIBILIDAD INICIAL</v>
      </c>
      <c r="C10" s="174">
        <f t="shared" ref="C10:N10" si="9">SUM(C12:C15)</f>
        <v>0</v>
      </c>
      <c r="D10" s="354">
        <f t="shared" si="9"/>
        <v>0</v>
      </c>
      <c r="E10" s="354">
        <f t="shared" si="9"/>
        <v>617329922</v>
      </c>
      <c r="F10" s="175">
        <f t="shared" si="9"/>
        <v>617329922</v>
      </c>
      <c r="G10" s="355">
        <f t="shared" si="9"/>
        <v>617329922</v>
      </c>
      <c r="H10" s="354">
        <f t="shared" si="9"/>
        <v>0</v>
      </c>
      <c r="I10" s="356">
        <f t="shared" si="9"/>
        <v>617329922</v>
      </c>
      <c r="J10" s="174">
        <f t="shared" si="9"/>
        <v>617329922</v>
      </c>
      <c r="K10" s="354">
        <f t="shared" si="9"/>
        <v>0</v>
      </c>
      <c r="L10" s="175">
        <f t="shared" si="9"/>
        <v>617329922</v>
      </c>
      <c r="M10" s="174">
        <f t="shared" si="9"/>
        <v>0</v>
      </c>
      <c r="N10" s="175">
        <f t="shared" si="9"/>
        <v>0</v>
      </c>
      <c r="O10" s="13"/>
      <c r="P10" s="174">
        <f>SUM(P12:P15)</f>
        <v>0</v>
      </c>
      <c r="Q10" s="175">
        <f>SUM(Q12:Q15)</f>
        <v>0</v>
      </c>
      <c r="S10" s="357" t="str">
        <f>+IF(NOVIEMBRE!S10=0,"",NOVIEMBRE!S10)</f>
        <v>A</v>
      </c>
      <c r="T10" s="676" t="str">
        <f>+IF(NOVIEMBRE!T10=0,"",NOVIEMBRE!T10)</f>
        <v>GASTOS DE FUNCIONAMIENTO</v>
      </c>
      <c r="U10" s="358">
        <f>U12+U110+U170</f>
        <v>35471771735</v>
      </c>
      <c r="V10" s="359">
        <f t="shared" ref="V10:AJ10" si="10">V12+V110+V170</f>
        <v>2076246865</v>
      </c>
      <c r="W10" s="359">
        <f t="shared" si="10"/>
        <v>14918027936</v>
      </c>
      <c r="X10" s="362">
        <f t="shared" si="10"/>
        <v>52466046536</v>
      </c>
      <c r="Y10" s="361">
        <f t="shared" si="10"/>
        <v>47893898648</v>
      </c>
      <c r="Z10" s="359">
        <f t="shared" si="10"/>
        <v>-714312034</v>
      </c>
      <c r="AA10" s="362">
        <f t="shared" si="10"/>
        <v>47179586614</v>
      </c>
      <c r="AB10" s="361">
        <f t="shared" si="10"/>
        <v>41366658064</v>
      </c>
      <c r="AC10" s="359">
        <f t="shared" si="10"/>
        <v>5812928550</v>
      </c>
      <c r="AD10" s="362">
        <f t="shared" si="10"/>
        <v>47179586614</v>
      </c>
      <c r="AE10" s="361">
        <f t="shared" si="10"/>
        <v>28887394828</v>
      </c>
      <c r="AF10" s="359">
        <f t="shared" si="10"/>
        <v>5417037478</v>
      </c>
      <c r="AG10" s="362">
        <f t="shared" si="10"/>
        <v>34304432306</v>
      </c>
      <c r="AH10" s="361">
        <f t="shared" si="10"/>
        <v>5286459922</v>
      </c>
      <c r="AI10" s="359">
        <f t="shared" si="10"/>
        <v>5286459922</v>
      </c>
      <c r="AJ10" s="360">
        <f t="shared" si="10"/>
        <v>18161614230</v>
      </c>
      <c r="AL10" s="363">
        <f t="shared" ref="AL10:AM10" si="11">AL12+AL110+AL170</f>
        <v>451768483</v>
      </c>
      <c r="AM10" s="364">
        <f t="shared" si="11"/>
        <v>452785897</v>
      </c>
      <c r="AO10" s="349"/>
      <c r="AP10" s="11" t="s">
        <v>65</v>
      </c>
      <c r="AQ10" s="12">
        <f>F42</f>
        <v>0</v>
      </c>
      <c r="AR10" s="12">
        <f>I42</f>
        <v>0</v>
      </c>
      <c r="AS10" s="12">
        <f>L42</f>
        <v>0</v>
      </c>
      <c r="AT10" s="13"/>
      <c r="AU10" s="350" t="str">
        <f t="shared" si="0"/>
        <v xml:space="preserve"> </v>
      </c>
      <c r="AV10" s="350" t="str">
        <f t="shared" si="1"/>
        <v xml:space="preserve"> </v>
      </c>
      <c r="AW10" s="351">
        <f>I43/AO$2*12+I44</f>
        <v>0</v>
      </c>
      <c r="AX10" s="351">
        <f>L43/AO$2*12+L44</f>
        <v>0</v>
      </c>
      <c r="AY10" s="351">
        <f t="shared" si="2"/>
        <v>0</v>
      </c>
      <c r="AZ10" s="352">
        <f t="shared" si="3"/>
        <v>0</v>
      </c>
      <c r="BB10" s="365" t="s">
        <v>428</v>
      </c>
      <c r="BC10" s="73">
        <f>BC11+BC12+BC13+BC14+BC16+BC17+BC15</f>
        <v>41071069639</v>
      </c>
      <c r="BD10" s="74">
        <f>BD11+BD12+BD13+BD14+BD16+BD17+BD15</f>
        <v>47317844992</v>
      </c>
      <c r="BE10" s="75">
        <f>BE11+BE12+BE13+BE14+BE16+BE17+BE15</f>
        <v>5698609213</v>
      </c>
      <c r="BF10" s="53">
        <f>+BE10+NOVIEMBRE!BE10+OCTUBRE!BE10+SEPTIEMBRE!BF10</f>
        <v>23348902794</v>
      </c>
      <c r="BG10" s="68" t="s">
        <v>66</v>
      </c>
      <c r="BH10" s="81">
        <f t="shared" si="8"/>
        <v>10096605639</v>
      </c>
      <c r="BI10" s="81">
        <f t="shared" si="8"/>
        <v>7761629191</v>
      </c>
      <c r="BJ10" s="81">
        <f t="shared" si="8"/>
        <v>7761629191</v>
      </c>
      <c r="BK10" s="81">
        <f t="shared" si="8"/>
        <v>561473985</v>
      </c>
      <c r="BL10" s="40">
        <f>+BK10+NOVIEMBRE!BK10+OCTUBRE!BK10+SEPTIEMBRE!BL10</f>
        <v>4914585008</v>
      </c>
      <c r="BM10" s="134" t="s">
        <v>440</v>
      </c>
      <c r="BN10" s="83">
        <f>X17+X66</f>
        <v>1387755363</v>
      </c>
      <c r="BO10" s="186">
        <f>AA17+AA66</f>
        <v>1334459429</v>
      </c>
      <c r="BP10" s="81">
        <f>AD17+AD66</f>
        <v>1334459429</v>
      </c>
      <c r="BQ10" s="196">
        <f>AF17+AF66</f>
        <v>124898061</v>
      </c>
      <c r="BR10" s="118">
        <f>+BQ10+NOVIEMBRE!BQ10+OCTUBRE!BQ10+SEPTIEMBRE!BQ10+AGOSTO!BQ10+JULIO!BQ10+JUNIO!BQ10+MAYO!BQ10+ABRIL!BQ10+MARZO!BQ10+FEBRERO!BQ10+ENERO!BQ10</f>
        <v>1334459429</v>
      </c>
    </row>
    <row r="11" spans="1:70" s="9" customFormat="1" ht="24.95" customHeight="1">
      <c r="A11" s="666"/>
      <c r="B11" s="636"/>
      <c r="C11" s="344"/>
      <c r="D11" s="344"/>
      <c r="E11" s="344"/>
      <c r="F11" s="344"/>
      <c r="G11" s="344"/>
      <c r="H11" s="344"/>
      <c r="I11" s="344"/>
      <c r="J11" s="344"/>
      <c r="K11" s="344"/>
      <c r="L11" s="344"/>
      <c r="M11" s="344"/>
      <c r="N11" s="345"/>
      <c r="O11" s="333"/>
      <c r="P11" s="346"/>
      <c r="Q11" s="345"/>
      <c r="S11" s="366"/>
      <c r="T11" s="695"/>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1</v>
      </c>
      <c r="AU11" s="350" t="str">
        <f t="shared" si="0"/>
        <v xml:space="preserve"> </v>
      </c>
      <c r="AV11" s="350" t="str">
        <f t="shared" si="1"/>
        <v xml:space="preserve"> </v>
      </c>
      <c r="AW11" s="351">
        <f>I88</f>
        <v>0</v>
      </c>
      <c r="AX11" s="351">
        <f>L88</f>
        <v>0</v>
      </c>
      <c r="AY11" s="351">
        <f t="shared" si="2"/>
        <v>0</v>
      </c>
      <c r="AZ11" s="352">
        <f t="shared" si="3"/>
        <v>0</v>
      </c>
      <c r="BB11" s="365" t="s">
        <v>429</v>
      </c>
      <c r="BC11" s="73">
        <f>F26</f>
        <v>13439321219</v>
      </c>
      <c r="BD11" s="74">
        <f>I26</f>
        <v>21224164734</v>
      </c>
      <c r="BE11" s="75">
        <f>K26</f>
        <v>3196514380</v>
      </c>
      <c r="BF11" s="53">
        <f>+BE11+NOVIEMBRE!BE11+OCTUBRE!BE11+SEPTIEMBRE!BF11</f>
        <v>13439321219</v>
      </c>
      <c r="BG11" s="68" t="s">
        <v>67</v>
      </c>
      <c r="BH11" s="84">
        <f>BN22</f>
        <v>149730003</v>
      </c>
      <c r="BI11" s="84">
        <f>BO22</f>
        <v>105829686</v>
      </c>
      <c r="BJ11" s="84">
        <f>BP22</f>
        <v>105829686</v>
      </c>
      <c r="BK11" s="84">
        <f>BQ22</f>
        <v>673964</v>
      </c>
      <c r="BL11" s="40">
        <f>+BK11+NOVIEMBRE!BK11+OCTUBRE!BK11+SEPTIEMBRE!BL11</f>
        <v>90342674</v>
      </c>
      <c r="BM11" s="135" t="s">
        <v>441</v>
      </c>
      <c r="BN11" s="86">
        <f>X18+X67</f>
        <v>104121781</v>
      </c>
      <c r="BO11" s="187">
        <f>AA18+AA67</f>
        <v>103024428</v>
      </c>
      <c r="BP11" s="84">
        <f>AD18+AD67</f>
        <v>103024428</v>
      </c>
      <c r="BQ11" s="197">
        <f>AF18+AF67</f>
        <v>9323197</v>
      </c>
      <c r="BR11" s="118">
        <f>+BQ11+NOVIEMBRE!BQ11+OCTUBRE!BQ11+SEPTIEMBRE!BQ11+AGOSTO!BQ11+JULIO!BQ11+JUNIO!BQ11+MAYO!BQ11+ABRIL!BQ11+MARZO!BQ11+FEBRERO!BQ11+ENERO!BQ11</f>
        <v>103024428</v>
      </c>
    </row>
    <row r="12" spans="1:70" s="9" customFormat="1" ht="36.75" customHeight="1">
      <c r="A12" s="611">
        <f>+IF(NOVIEMBRE!A12=0,"",NOVIEMBRE!A12)</f>
        <v>1001</v>
      </c>
      <c r="B12" s="638" t="str">
        <f>+IF(NOVIEMBRE!B12=0,"",NOVIEMBRE!B12)</f>
        <v>Bienestar Social (Caja, Bancos, Inversiones Tempor.) a Dic-31-2016</v>
      </c>
      <c r="C12" s="671">
        <f>+ENERO!C12</f>
        <v>0</v>
      </c>
      <c r="D12" s="373">
        <f>NOVIEMBRE!D12+DICIEMBRE!P12</f>
        <v>0</v>
      </c>
      <c r="E12" s="373">
        <f>NOVIEMBRE!E12+DICIEMBRE!Q12</f>
        <v>26156707</v>
      </c>
      <c r="F12" s="143">
        <f>SUM(C12:E12)</f>
        <v>26156707</v>
      </c>
      <c r="G12" s="219">
        <f>NOVIEMBRE!I12</f>
        <v>26156707</v>
      </c>
      <c r="H12" s="374">
        <v>0</v>
      </c>
      <c r="I12" s="143">
        <f>SUM(G12:H12)</f>
        <v>26156707</v>
      </c>
      <c r="J12" s="219">
        <f>NOVIEMBRE!L12</f>
        <v>26156707</v>
      </c>
      <c r="K12" s="131">
        <v>0</v>
      </c>
      <c r="L12" s="143">
        <f>SUM(J12:K12)</f>
        <v>26156707</v>
      </c>
      <c r="M12" s="219">
        <f>F12-I12</f>
        <v>0</v>
      </c>
      <c r="N12" s="143">
        <f>F12-L12</f>
        <v>0</v>
      </c>
      <c r="O12" s="294"/>
      <c r="P12" s="372">
        <v>0</v>
      </c>
      <c r="Q12" s="375">
        <v>0</v>
      </c>
      <c r="S12" s="702">
        <f>+IF(NOVIEMBRE!S12=0,"",NOVIEMBRE!S12)</f>
        <v>1000000</v>
      </c>
      <c r="T12" s="678" t="str">
        <f>+IF(NOVIEMBRE!T12=0,"",NOVIEMBRE!T12)</f>
        <v>GASTOS DE PERSONAL</v>
      </c>
      <c r="U12" s="376">
        <f t="shared" ref="U12:AJ12" si="12">U14+U63</f>
        <v>27757873896</v>
      </c>
      <c r="V12" s="377">
        <f t="shared" si="12"/>
        <v>2445975129</v>
      </c>
      <c r="W12" s="377">
        <f t="shared" si="12"/>
        <v>10817383980</v>
      </c>
      <c r="X12" s="378">
        <f t="shared" si="12"/>
        <v>41021233005</v>
      </c>
      <c r="Y12" s="363">
        <f t="shared" si="12"/>
        <v>38705874094</v>
      </c>
      <c r="Z12" s="377">
        <f t="shared" si="12"/>
        <v>-592224246</v>
      </c>
      <c r="AA12" s="378">
        <f t="shared" si="12"/>
        <v>38113649848</v>
      </c>
      <c r="AB12" s="363">
        <f t="shared" si="12"/>
        <v>33033204829</v>
      </c>
      <c r="AC12" s="377">
        <f t="shared" si="12"/>
        <v>5080445019</v>
      </c>
      <c r="AD12" s="378">
        <f t="shared" si="12"/>
        <v>38113649848</v>
      </c>
      <c r="AE12" s="363">
        <f t="shared" si="12"/>
        <v>23357905072</v>
      </c>
      <c r="AF12" s="377">
        <f t="shared" si="12"/>
        <v>4743121663</v>
      </c>
      <c r="AG12" s="378">
        <f t="shared" si="12"/>
        <v>28101026735</v>
      </c>
      <c r="AH12" s="363">
        <f t="shared" si="12"/>
        <v>2907583157</v>
      </c>
      <c r="AI12" s="377">
        <f t="shared" si="12"/>
        <v>2907583157</v>
      </c>
      <c r="AJ12" s="364">
        <f t="shared" si="12"/>
        <v>12920206270</v>
      </c>
      <c r="AK12" s="10"/>
      <c r="AL12" s="379">
        <f>AL14+AL63</f>
        <v>687127125</v>
      </c>
      <c r="AM12" s="380">
        <f>AM14+AM63</f>
        <v>160339914</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18905646713</v>
      </c>
      <c r="BD12" s="74">
        <f>I23</f>
        <v>16374558003</v>
      </c>
      <c r="BE12" s="75">
        <f>K23</f>
        <v>2159092221</v>
      </c>
      <c r="BF12" s="53">
        <f>+BE12+NOVIEMBRE!BE12+OCTUBRE!BE12+SEPTIEMBRE!BF12</f>
        <v>6831243637</v>
      </c>
      <c r="BG12" s="381" t="s">
        <v>391</v>
      </c>
      <c r="BH12" s="84">
        <f>BN25</f>
        <v>13405609615</v>
      </c>
      <c r="BI12" s="84">
        <f>BO25</f>
        <v>12164104460</v>
      </c>
      <c r="BJ12" s="84">
        <f>BP25</f>
        <v>12164104459</v>
      </c>
      <c r="BK12" s="84">
        <f>BQ25</f>
        <v>825883234</v>
      </c>
      <c r="BL12" s="40">
        <f>+BK12+NOVIEMBRE!BK12+OCTUBRE!BK12+SEPTIEMBRE!BL12</f>
        <v>5673531285</v>
      </c>
      <c r="BM12" s="136" t="s">
        <v>442</v>
      </c>
      <c r="BN12" s="86">
        <f>X16+X65-X81-X33-BN10-BN11</f>
        <v>600887394</v>
      </c>
      <c r="BO12" s="187">
        <f>AA16+AA65-AA81-AA33-BO10-BO11</f>
        <v>471405228</v>
      </c>
      <c r="BP12" s="84">
        <f>AD16+AD65-AD81-AD33-BP10-BP11</f>
        <v>471405228</v>
      </c>
      <c r="BQ12" s="197">
        <f>AF16+AF65-AF81-AF33-BQ10-BQ11</f>
        <v>143673479</v>
      </c>
      <c r="BR12" s="118">
        <f>+BQ12+NOVIEMBRE!BQ12+OCTUBRE!BQ12+SEPTIEMBRE!BQ12+AGOSTO!BQ12+JULIO!BQ12+JUNIO!BQ12+MAYO!BQ12+ABRIL!BQ12+MARZO!BQ12+FEBRERO!BQ12+ENERO!BQ12</f>
        <v>471405228</v>
      </c>
    </row>
    <row r="13" spans="1:70" s="9" customFormat="1" ht="24.95" customHeight="1">
      <c r="A13" s="611">
        <f>+IF(NOVIEMBRE!A13=0,"",NOVIEMBRE!A13)</f>
        <v>1002</v>
      </c>
      <c r="B13" s="638" t="str">
        <f>+IF(NOVIEMBRE!B13=0,"",NOVIEMBRE!B13)</f>
        <v>Fondo Vivienda (Caja, Bancos, Inversiones Tempor.) a Dic-31-2016</v>
      </c>
      <c r="C13" s="671">
        <f>+ENERO!C13</f>
        <v>0</v>
      </c>
      <c r="D13" s="373">
        <f>NOVIEMBRE!D13+DICIEMBRE!P13</f>
        <v>0</v>
      </c>
      <c r="E13" s="373">
        <f>NOVIEMBRE!E13+DICIEMBRE!Q13</f>
        <v>53878092</v>
      </c>
      <c r="F13" s="143">
        <f>SUM(C13:E13)</f>
        <v>53878092</v>
      </c>
      <c r="G13" s="219">
        <f>NOVIEMBRE!I13</f>
        <v>53878092</v>
      </c>
      <c r="H13" s="374">
        <v>0</v>
      </c>
      <c r="I13" s="143">
        <f>SUM(G13:H13)</f>
        <v>53878092</v>
      </c>
      <c r="J13" s="219">
        <f>NOVIEMBRE!L13</f>
        <v>53878092</v>
      </c>
      <c r="K13" s="131">
        <v>0</v>
      </c>
      <c r="L13" s="143">
        <f>SUM(J13:K13)</f>
        <v>53878092</v>
      </c>
      <c r="M13" s="219">
        <f>F13-I13</f>
        <v>0</v>
      </c>
      <c r="N13" s="143">
        <f>F13-L13</f>
        <v>0</v>
      </c>
      <c r="O13" s="382"/>
      <c r="P13" s="372">
        <v>0</v>
      </c>
      <c r="Q13" s="375">
        <v>0</v>
      </c>
      <c r="S13" s="366"/>
      <c r="T13" s="695"/>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73">
        <f>+F30+F33+F36+F38+F39+F40</f>
        <v>415598482</v>
      </c>
      <c r="BD13" s="74">
        <f>+I30+I33+I36+I38+I39+I40</f>
        <v>1881175076</v>
      </c>
      <c r="BE13" s="75">
        <f>+K30+K33+K36+K38+K39+K40</f>
        <v>158548856</v>
      </c>
      <c r="BF13" s="53">
        <f>+BE13+NOVIEMBRE!BE13+OCTUBRE!BE13+SEPTIEMBRE!BF13</f>
        <v>500111987</v>
      </c>
      <c r="BG13" s="91" t="s">
        <v>70</v>
      </c>
      <c r="BH13" s="84">
        <f t="shared" ref="BH13:BK15" si="13">BN29</f>
        <v>464564792</v>
      </c>
      <c r="BI13" s="84">
        <f t="shared" si="13"/>
        <v>336273002</v>
      </c>
      <c r="BJ13" s="84">
        <f t="shared" si="13"/>
        <v>336273002</v>
      </c>
      <c r="BK13" s="84">
        <f t="shared" si="13"/>
        <v>0</v>
      </c>
      <c r="BL13" s="40">
        <f>+BK13+NOVIEMBRE!BK13+OCTUBRE!BK13+SEPTIEMBRE!BL13</f>
        <v>172740563</v>
      </c>
      <c r="BM13" s="139" t="s">
        <v>443</v>
      </c>
      <c r="BN13" s="83">
        <f>X43-X55+X57-X61+X90-X102+X104-X108</f>
        <v>718834377</v>
      </c>
      <c r="BO13" s="186">
        <f>AA43-AA55+AA57-AA61+AA90-AA102+AA104-AA108</f>
        <v>476013219</v>
      </c>
      <c r="BP13" s="81">
        <f>AD43-AD55+AD57-AD61+AD90-AD102+AD104-AD108</f>
        <v>476013219</v>
      </c>
      <c r="BQ13" s="196">
        <f>AF43-AF55+AF57-AF61+AF90-AF102+AF104-AF108</f>
        <v>73722156</v>
      </c>
      <c r="BR13" s="118">
        <f>+BQ13+NOVIEMBRE!BQ13+OCTUBRE!BQ13+SEPTIEMBRE!BQ13+AGOSTO!BQ13+JULIO!BQ13+JUNIO!BQ13+MAYO!BQ13+ABRIL!BQ13+MARZO!BQ13+FEBRERO!BQ13+ENERO!BQ13</f>
        <v>476013219</v>
      </c>
    </row>
    <row r="14" spans="1:70" s="9" customFormat="1" ht="24.95" customHeight="1">
      <c r="A14" s="611">
        <f>+IF(NOVIEMBRE!A14=0,"",NOVIEMBRE!A14)</f>
        <v>1003</v>
      </c>
      <c r="B14" s="638" t="str">
        <f>+IF(NOVIEMBRE!B14=0,"",NOVIEMBRE!B14)</f>
        <v>Fondos Comunes y Especiales (Caja, Bancos, Invers. Tempor.) a Dic-31-2016</v>
      </c>
      <c r="C14" s="671">
        <f>+ENERO!C14</f>
        <v>0</v>
      </c>
      <c r="D14" s="373">
        <f>NOVIEMBRE!D14+DICIEMBRE!P14</f>
        <v>0</v>
      </c>
      <c r="E14" s="373">
        <f>NOVIEMBRE!E14+DICIEMBRE!Q14</f>
        <v>433953123</v>
      </c>
      <c r="F14" s="143">
        <f>SUM(C14:E14)</f>
        <v>433953123</v>
      </c>
      <c r="G14" s="219">
        <f>NOVIEMBRE!I14</f>
        <v>433953123</v>
      </c>
      <c r="H14" s="374">
        <v>0</v>
      </c>
      <c r="I14" s="143">
        <f>SUM(G14:H14)</f>
        <v>433953123</v>
      </c>
      <c r="J14" s="219">
        <f>NOVIEMBRE!L14</f>
        <v>433953123</v>
      </c>
      <c r="K14" s="131">
        <v>0</v>
      </c>
      <c r="L14" s="143">
        <f>SUM(J14:K14)</f>
        <v>433953123</v>
      </c>
      <c r="M14" s="219">
        <f>F14-I14</f>
        <v>0</v>
      </c>
      <c r="N14" s="143">
        <f>F14-L14</f>
        <v>0</v>
      </c>
      <c r="O14" s="382"/>
      <c r="P14" s="372">
        <v>0</v>
      </c>
      <c r="Q14" s="375">
        <v>0</v>
      </c>
      <c r="S14" s="703">
        <f>+IF(NOVIEMBRE!S14=0,"",NOVIEMBRE!S14)</f>
        <v>1010000</v>
      </c>
      <c r="T14" s="679" t="str">
        <f>+IF(NOVIEMBRE!T14=0,"",NOVIEMBRE!T14)</f>
        <v>Gastos de Administración</v>
      </c>
      <c r="U14" s="132">
        <f t="shared" ref="U14:AJ14" si="14">U16+U35+U43+U57</f>
        <v>4011945263</v>
      </c>
      <c r="V14" s="122">
        <f t="shared" si="14"/>
        <v>400793416</v>
      </c>
      <c r="W14" s="122">
        <f t="shared" si="14"/>
        <v>2979564056</v>
      </c>
      <c r="X14" s="129">
        <f t="shared" si="14"/>
        <v>7392302735</v>
      </c>
      <c r="Y14" s="128">
        <f t="shared" si="14"/>
        <v>6943513064</v>
      </c>
      <c r="Z14" s="122">
        <f t="shared" si="14"/>
        <v>-142595096</v>
      </c>
      <c r="AA14" s="129">
        <f t="shared" si="14"/>
        <v>6800917968</v>
      </c>
      <c r="AB14" s="128">
        <f t="shared" si="14"/>
        <v>6010310957</v>
      </c>
      <c r="AC14" s="122">
        <f t="shared" si="14"/>
        <v>790607011</v>
      </c>
      <c r="AD14" s="129">
        <f t="shared" si="14"/>
        <v>6800917968</v>
      </c>
      <c r="AE14" s="128">
        <f t="shared" si="14"/>
        <v>5103635145</v>
      </c>
      <c r="AF14" s="122">
        <f t="shared" si="14"/>
        <v>554438625</v>
      </c>
      <c r="AG14" s="129">
        <f t="shared" si="14"/>
        <v>5658073770</v>
      </c>
      <c r="AH14" s="128">
        <f t="shared" si="14"/>
        <v>591384767</v>
      </c>
      <c r="AI14" s="122">
        <f t="shared" si="14"/>
        <v>591384767</v>
      </c>
      <c r="AJ14" s="130">
        <f t="shared" si="14"/>
        <v>1734228965</v>
      </c>
      <c r="AK14" s="10"/>
      <c r="AL14" s="128">
        <f>AL16+AL35+AL43+AL57</f>
        <v>-141642872</v>
      </c>
      <c r="AM14" s="130">
        <f>AM16+AM35+AM43+AM57</f>
        <v>95585841</v>
      </c>
      <c r="AO14" s="21"/>
      <c r="AP14" s="11" t="s">
        <v>73</v>
      </c>
      <c r="AQ14" s="12">
        <f>F19-AQ7-AQ8-AQ9-AQ10-AQ11-AQ12-AQ13</f>
        <v>11609659421</v>
      </c>
      <c r="AR14" s="12">
        <f>I19-AR7-AR8-AR9-AR10-AR11-AR12-AR13</f>
        <v>11158338861</v>
      </c>
      <c r="AS14" s="12">
        <f>L19-AS7-AS8-AS9-AS10-AS11-AS12-AS13</f>
        <v>5928475847</v>
      </c>
      <c r="AT14" s="382"/>
      <c r="AU14" s="350">
        <f t="shared" si="0"/>
        <v>0.96112542636835374</v>
      </c>
      <c r="AV14" s="350">
        <f t="shared" si="1"/>
        <v>0.51065028111645927</v>
      </c>
      <c r="AW14" s="351">
        <f>(I41+I46+I49+I52+I55+I58+I61+I64+I67+I70+I73+I78+I81+I82+I83+I85+I94+I104)/AO$2*12+I47+I50+I53+I56+I59+I62+I65+I68+I71+I74</f>
        <v>12656657903</v>
      </c>
      <c r="AX14" s="351">
        <f>(L41+L46+L49+L52+L55+L58+L61+L64+L67+L70+L73+L78+L81+L82+L83+L85+L94+L104)/AO$2*12+L47+L50+L53+L56+L59+L62+L65+L68+L71+L74</f>
        <v>6969629927</v>
      </c>
      <c r="AY14" s="351">
        <f t="shared" si="2"/>
        <v>1046998482</v>
      </c>
      <c r="AZ14" s="352">
        <f t="shared" si="3"/>
        <v>-4640029494</v>
      </c>
      <c r="BB14" s="383" t="s">
        <v>432</v>
      </c>
      <c r="BC14" s="92">
        <f>+F64</f>
        <v>5110724757</v>
      </c>
      <c r="BD14" s="93">
        <f>+I64</f>
        <v>2476295423</v>
      </c>
      <c r="BE14" s="94">
        <f>K64</f>
        <v>92178818</v>
      </c>
      <c r="BF14" s="53">
        <f>+BE14+NOVIEMBRE!BE14+OCTUBRE!BE14+SEPTIEMBRE!BF14</f>
        <v>842129870</v>
      </c>
      <c r="BG14" s="91" t="s">
        <v>74</v>
      </c>
      <c r="BH14" s="81">
        <f t="shared" si="13"/>
        <v>0</v>
      </c>
      <c r="BI14" s="81">
        <f t="shared" si="13"/>
        <v>0</v>
      </c>
      <c r="BJ14" s="81">
        <f t="shared" si="13"/>
        <v>0</v>
      </c>
      <c r="BK14" s="81">
        <f t="shared" si="13"/>
        <v>0</v>
      </c>
      <c r="BL14" s="40">
        <f>+BK14+NOVIEMBRE!BK14+OCTUBRE!BK14+SEPTIEMBRE!BL14</f>
        <v>0</v>
      </c>
      <c r="BM14" s="138" t="s">
        <v>439</v>
      </c>
      <c r="BN14" s="86">
        <f>X35-X41+X83-X88</f>
        <v>28922676103</v>
      </c>
      <c r="BO14" s="84">
        <f>AA35-AA41+AA83-AA88</f>
        <v>26453217675</v>
      </c>
      <c r="BP14" s="84">
        <f>AD35-AD41+AD83-AD88</f>
        <v>26453217675</v>
      </c>
      <c r="BQ14" s="197">
        <f>AF35-AF41+AF83-AF88</f>
        <v>2819549098</v>
      </c>
      <c r="BR14" s="118">
        <f>+BQ14+NOVIEMBRE!BQ14+OCTUBRE!BQ14+SEPTIEMBRE!BQ14+AGOSTO!BQ14+JULIO!BQ14+JUNIO!BQ14+MAYO!BQ14+ABRIL!BQ14+MARZO!BQ14+FEBRERO!BQ14+ENERO!BQ14</f>
        <v>16440594562</v>
      </c>
    </row>
    <row r="15" spans="1:70" s="9" customFormat="1" ht="24.95" customHeight="1" thickBot="1">
      <c r="A15" s="612">
        <f>+IF(NOVIEMBRE!A15=0,"",NOVIEMBRE!A15)</f>
        <v>1004</v>
      </c>
      <c r="B15" s="638" t="str">
        <f>+IF(NOVIEMBRE!B15=0,"",NOVIEMBRE!B15)</f>
        <v>Cesantias Ley 50/1990 a Dic-31-2016</v>
      </c>
      <c r="C15" s="769">
        <f>+ENERO!C15</f>
        <v>0</v>
      </c>
      <c r="D15" s="385">
        <f>NOVIEMBRE!D15+DICIEMBRE!P15</f>
        <v>0</v>
      </c>
      <c r="E15" s="385">
        <f>NOVIEMBRE!E15+DICIEMBRE!Q15</f>
        <v>103342000</v>
      </c>
      <c r="F15" s="386">
        <f>SUM(C15:E15)</f>
        <v>103342000</v>
      </c>
      <c r="G15" s="387">
        <f>NOVIEMBRE!I15</f>
        <v>103342000</v>
      </c>
      <c r="H15" s="388">
        <v>0</v>
      </c>
      <c r="I15" s="386">
        <f>SUM(G15:H15)</f>
        <v>103342000</v>
      </c>
      <c r="J15" s="387">
        <f>NOVIEMBRE!L15</f>
        <v>103342000</v>
      </c>
      <c r="K15" s="165">
        <v>0</v>
      </c>
      <c r="L15" s="386">
        <f>SUM(J15:K15)</f>
        <v>103342000</v>
      </c>
      <c r="M15" s="387">
        <f>F15-I15</f>
        <v>0</v>
      </c>
      <c r="N15" s="386">
        <f>F15-L15</f>
        <v>0</v>
      </c>
      <c r="O15" s="382"/>
      <c r="P15" s="384">
        <v>0</v>
      </c>
      <c r="Q15" s="389">
        <v>0</v>
      </c>
      <c r="S15" s="366" t="str">
        <f>+IF(NOVIEMBRE!S15=0,"",NOVIEMBRE!S15)</f>
        <v/>
      </c>
      <c r="T15" s="695"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9210976779</v>
      </c>
      <c r="AR15" s="12">
        <f>I113</f>
        <v>1759927639</v>
      </c>
      <c r="AS15" s="12">
        <f>L113</f>
        <v>1759927639</v>
      </c>
      <c r="AT15" s="13"/>
      <c r="AU15" s="342">
        <f t="shared" si="0"/>
        <v>0.19106851327781421</v>
      </c>
      <c r="AV15" s="350">
        <f t="shared" si="1"/>
        <v>0.19106851327781421</v>
      </c>
      <c r="AW15" s="12">
        <f>+AR15</f>
        <v>1759927639</v>
      </c>
      <c r="AX15" s="12">
        <f>+AS15</f>
        <v>1759927639</v>
      </c>
      <c r="AY15" s="12">
        <f t="shared" si="2"/>
        <v>-7451049140</v>
      </c>
      <c r="AZ15" s="343">
        <f t="shared" si="3"/>
        <v>-7451049140</v>
      </c>
      <c r="BA15" s="382"/>
      <c r="BB15" s="383" t="s">
        <v>77</v>
      </c>
      <c r="BC15" s="92">
        <f>F46+F49</f>
        <v>375197511</v>
      </c>
      <c r="BD15" s="93">
        <f>I46+I49</f>
        <v>399215437</v>
      </c>
      <c r="BE15" s="94">
        <f>K46+K49</f>
        <v>0</v>
      </c>
      <c r="BF15" s="53">
        <f>+BE15+NOVIEMBRE!BE15+OCTUBRE!BE15+SEPTIEMBRE!BF15</f>
        <v>0</v>
      </c>
      <c r="BG15" s="91" t="s">
        <v>78</v>
      </c>
      <c r="BH15" s="81">
        <f t="shared" si="13"/>
        <v>14156833135</v>
      </c>
      <c r="BI15" s="81">
        <f t="shared" si="13"/>
        <v>14145405017</v>
      </c>
      <c r="BJ15" s="81">
        <f t="shared" si="13"/>
        <v>14145405017</v>
      </c>
      <c r="BK15" s="81">
        <f t="shared" si="13"/>
        <v>1864470851</v>
      </c>
      <c r="BL15" s="40">
        <f>+BK15+NOVIEMBRE!BK15+OCTUBRE!BK15+SEPTIEMBRE!BL15</f>
        <v>14145405017</v>
      </c>
      <c r="BM15" s="71" t="s">
        <v>66</v>
      </c>
      <c r="BN15" s="83">
        <f>SUM(BN16:BN21)</f>
        <v>10096605639</v>
      </c>
      <c r="BO15" s="81">
        <f>SUM(BO16:BO21)</f>
        <v>7761629191</v>
      </c>
      <c r="BP15" s="81">
        <f>SUM(BP16:BP21)</f>
        <v>7761629191</v>
      </c>
      <c r="BQ15" s="196">
        <f>SUM(BQ16:BQ21)</f>
        <v>561473985</v>
      </c>
      <c r="BR15" s="118">
        <f>SUM(BR16:BR21)</f>
        <v>4914585008</v>
      </c>
    </row>
    <row r="16" spans="1:70" s="9" customFormat="1" ht="24.95" customHeight="1" thickBot="1">
      <c r="A16" s="732" t="str">
        <f>+IF(NOVIEMBRE!A16=0,"",NOVIEMBRE!A16)</f>
        <v/>
      </c>
      <c r="B16" s="639" t="str">
        <f>+IF(NOVIEMBRE!B16=0,"",NOVIEMBRE!B16)</f>
        <v/>
      </c>
      <c r="C16" s="390"/>
      <c r="D16" s="390"/>
      <c r="E16" s="390"/>
      <c r="F16" s="390"/>
      <c r="G16" s="390"/>
      <c r="H16" s="390"/>
      <c r="I16" s="390"/>
      <c r="J16" s="390"/>
      <c r="K16" s="390"/>
      <c r="L16" s="390"/>
      <c r="M16" s="390"/>
      <c r="N16" s="391"/>
      <c r="O16" s="382"/>
      <c r="P16" s="392"/>
      <c r="Q16" s="393"/>
      <c r="S16" s="704">
        <f>+IF(NOVIEMBRE!S16=0,"",NOVIEMBRE!S16)</f>
        <v>1010100</v>
      </c>
      <c r="T16" s="680" t="str">
        <f>+IF(NOVIEMBRE!T16=0,"",NOVIEMBRE!T16)</f>
        <v>Servicios Personales Asociados a Nómina</v>
      </c>
      <c r="U16" s="132">
        <f t="shared" ref="U16:AJ16" si="15">SUM(U17:U20)+U33</f>
        <v>762990941</v>
      </c>
      <c r="V16" s="122">
        <f t="shared" si="15"/>
        <v>-146342000</v>
      </c>
      <c r="W16" s="122">
        <f t="shared" si="15"/>
        <v>61656885</v>
      </c>
      <c r="X16" s="129">
        <f t="shared" si="15"/>
        <v>678305826</v>
      </c>
      <c r="Y16" s="128">
        <f t="shared" si="15"/>
        <v>535473677</v>
      </c>
      <c r="Z16" s="122">
        <f t="shared" si="15"/>
        <v>71845892</v>
      </c>
      <c r="AA16" s="129">
        <f t="shared" si="15"/>
        <v>607319569</v>
      </c>
      <c r="AB16" s="128">
        <f t="shared" si="15"/>
        <v>535473677</v>
      </c>
      <c r="AC16" s="122">
        <f t="shared" si="15"/>
        <v>71845892</v>
      </c>
      <c r="AD16" s="129">
        <f t="shared" si="15"/>
        <v>607319569</v>
      </c>
      <c r="AE16" s="128">
        <f t="shared" si="15"/>
        <v>535473677</v>
      </c>
      <c r="AF16" s="122">
        <f t="shared" si="15"/>
        <v>71845892</v>
      </c>
      <c r="AG16" s="129">
        <f t="shared" si="15"/>
        <v>607319569</v>
      </c>
      <c r="AH16" s="128">
        <f t="shared" si="15"/>
        <v>70986257</v>
      </c>
      <c r="AI16" s="122">
        <f t="shared" si="15"/>
        <v>70986257</v>
      </c>
      <c r="AJ16" s="130">
        <f t="shared" si="15"/>
        <v>70986257</v>
      </c>
      <c r="AK16" s="10"/>
      <c r="AL16" s="128">
        <f>SUM(AL17:AL20)+AL33</f>
        <v>-31000000</v>
      </c>
      <c r="AM16" s="130">
        <f>SUM(AM17:AM20)+AM33</f>
        <v>0</v>
      </c>
      <c r="AO16" s="21"/>
      <c r="AP16" s="394" t="s">
        <v>81</v>
      </c>
      <c r="AQ16" s="395">
        <f>F10</f>
        <v>617329922</v>
      </c>
      <c r="AR16" s="395">
        <f>I10</f>
        <v>617329922</v>
      </c>
      <c r="AS16" s="395">
        <f>L10</f>
        <v>617329922</v>
      </c>
      <c r="AT16" s="382"/>
      <c r="AU16" s="396">
        <f t="shared" si="0"/>
        <v>1</v>
      </c>
      <c r="AV16" s="396">
        <f t="shared" si="1"/>
        <v>1</v>
      </c>
      <c r="AW16" s="395">
        <f t="shared" ref="AW16:AX16" si="16">+AR16</f>
        <v>617329922</v>
      </c>
      <c r="AX16" s="395">
        <f t="shared" si="16"/>
        <v>617329922</v>
      </c>
      <c r="AY16" s="12">
        <f t="shared" si="2"/>
        <v>0</v>
      </c>
      <c r="AZ16" s="397">
        <f t="shared" si="3"/>
        <v>0</v>
      </c>
      <c r="BA16" s="382"/>
      <c r="BB16" s="365" t="s">
        <v>433</v>
      </c>
      <c r="BC16" s="73">
        <f>F43</f>
        <v>0</v>
      </c>
      <c r="BD16" s="74">
        <f>I43</f>
        <v>0</v>
      </c>
      <c r="BE16" s="75">
        <f>K43</f>
        <v>0</v>
      </c>
      <c r="BF16" s="53">
        <f>+BE16+NOVIEMBRE!BE16+OCTUBRE!BE16+SEPTIEMBRE!BF16</f>
        <v>0</v>
      </c>
      <c r="BG16" s="91" t="s">
        <v>82</v>
      </c>
      <c r="BH16" s="96">
        <f>BH7+BH12+BH13+BH14+BH15</f>
        <v>70007618202</v>
      </c>
      <c r="BI16" s="96">
        <f>BI7+BI12+BI13+BI14+BI15</f>
        <v>63351361335</v>
      </c>
      <c r="BJ16" s="96">
        <f>BJ7+BJ12+BJ13+BJ14+BJ15</f>
        <v>63351361334</v>
      </c>
      <c r="BK16" s="96">
        <f>BK7+BK12+BK13+BK14+BK15</f>
        <v>6423668025</v>
      </c>
      <c r="BL16" s="40">
        <f>+BK16+NOVIEMBRE!BK16+OCTUBRE!BK16+SEPTIEMBRE!BL16</f>
        <v>43822101413</v>
      </c>
      <c r="BM16" s="137" t="s">
        <v>83</v>
      </c>
      <c r="BN16" s="83">
        <f>X114-X121+X147-X148-X153</f>
        <v>1871358788</v>
      </c>
      <c r="BO16" s="81">
        <f>AA114-AA121+AA147-AA148-AA153</f>
        <v>924586116</v>
      </c>
      <c r="BP16" s="81">
        <f>AD114-AD121+AD147-AD148-AD153</f>
        <v>924586116</v>
      </c>
      <c r="BQ16" s="82">
        <f>AF114-AF121+AF147-AF148-AF153</f>
        <v>87838015</v>
      </c>
      <c r="BR16" s="118">
        <f>+BQ16+NOVIEMBRE!BQ16+OCTUBRE!BQ16+SEPTIEMBRE!BQ16+AGOSTO!BQ16+JULIO!BQ16+JUNIO!BQ16+MAYO!BQ16+ABRIL!BQ16+MARZO!BQ16+FEBRERO!BQ16+ENERO!BQ16</f>
        <v>464355056</v>
      </c>
    </row>
    <row r="17" spans="1:249" s="382" customFormat="1" ht="24.95" customHeight="1" thickBot="1">
      <c r="A17" s="731">
        <f>+IF(NOVIEMBRE!A17=0,"",NOVIEMBRE!A17)</f>
        <v>11</v>
      </c>
      <c r="B17" s="640" t="str">
        <f>+IF(NOVIEMBRE!B17=0,"",NOVIEMBRE!B17)</f>
        <v>INGRESOS  CORRIENTES</v>
      </c>
      <c r="C17" s="334">
        <f>C19+C94+C104</f>
        <v>41169250887</v>
      </c>
      <c r="D17" s="331">
        <f t="shared" ref="D17:Q17" si="17">D19+D94+D104</f>
        <v>0</v>
      </c>
      <c r="E17" s="331">
        <f t="shared" si="17"/>
        <v>19010060614</v>
      </c>
      <c r="F17" s="331">
        <f t="shared" si="17"/>
        <v>60179311501</v>
      </c>
      <c r="G17" s="331">
        <f t="shared" si="17"/>
        <v>62436583764</v>
      </c>
      <c r="H17" s="331">
        <f t="shared" si="17"/>
        <v>4330008038</v>
      </c>
      <c r="I17" s="331">
        <f t="shared" si="17"/>
        <v>66766591802</v>
      </c>
      <c r="J17" s="331">
        <f t="shared" si="17"/>
        <v>36621309694</v>
      </c>
      <c r="K17" s="331">
        <f t="shared" si="17"/>
        <v>5719174948</v>
      </c>
      <c r="L17" s="331">
        <f t="shared" si="17"/>
        <v>42340484642</v>
      </c>
      <c r="M17" s="331">
        <f t="shared" si="17"/>
        <v>-6587280301</v>
      </c>
      <c r="N17" s="332">
        <f t="shared" si="17"/>
        <v>17838826859</v>
      </c>
      <c r="P17" s="174">
        <f t="shared" si="17"/>
        <v>0</v>
      </c>
      <c r="Q17" s="175">
        <f t="shared" si="17"/>
        <v>798779152</v>
      </c>
      <c r="R17" s="9"/>
      <c r="S17" s="705">
        <f>+IF(NOVIEMBRE!S17=0,"",NOVIEMBRE!S17)</f>
        <v>1010101</v>
      </c>
      <c r="T17" s="681" t="str">
        <f>+IF(NOVIEMBRE!T17=0,"",NOVIEMBRE!T17)</f>
        <v>Sueldos del Personal de nómina</v>
      </c>
      <c r="U17" s="27">
        <f>+ENERO!U17</f>
        <v>619731764</v>
      </c>
      <c r="V17" s="15">
        <f>NOVIEMBRE!V17+DICIEMBRE!AL17</f>
        <v>-137695000</v>
      </c>
      <c r="W17" s="15">
        <f>NOVIEMBRE!W17+DICIEMBRE!AM17</f>
        <v>18207786</v>
      </c>
      <c r="X17" s="18">
        <f>SUM(U17:W17)</f>
        <v>500244550</v>
      </c>
      <c r="Y17" s="19">
        <f>NOVIEMBRE!AA17</f>
        <v>438884507</v>
      </c>
      <c r="Z17" s="374">
        <v>32405122</v>
      </c>
      <c r="AA17" s="18">
        <f>SUM(Y17:Z17)</f>
        <v>471289629</v>
      </c>
      <c r="AB17" s="19">
        <f>NOVIEMBRE!AD17</f>
        <v>438884507</v>
      </c>
      <c r="AC17" s="374">
        <v>32405122</v>
      </c>
      <c r="AD17" s="18">
        <f>SUM(AB17:AC17)</f>
        <v>471289629</v>
      </c>
      <c r="AE17" s="19">
        <f>NOVIEMBRE!AG17</f>
        <v>438884507</v>
      </c>
      <c r="AF17" s="374">
        <v>32405122</v>
      </c>
      <c r="AG17" s="18">
        <f>SUM(AE17:AF17)</f>
        <v>471289629</v>
      </c>
      <c r="AH17" s="19">
        <f>X17-AA17</f>
        <v>28954921</v>
      </c>
      <c r="AI17" s="15">
        <f>X17-AD17</f>
        <v>28954921</v>
      </c>
      <c r="AJ17" s="16">
        <f>X17-AG17</f>
        <v>28954921</v>
      </c>
      <c r="AK17" s="9"/>
      <c r="AL17" s="372">
        <v>-20000000</v>
      </c>
      <c r="AM17" s="375">
        <v>0</v>
      </c>
      <c r="AN17" s="9"/>
      <c r="AO17" s="349"/>
      <c r="AP17" s="399" t="s">
        <v>85</v>
      </c>
      <c r="AQ17" s="400">
        <f>SUM(AQ7:AQ16)</f>
        <v>68849804108</v>
      </c>
      <c r="AR17" s="401">
        <f>SUM(AR7:AR16)</f>
        <v>67645530321</v>
      </c>
      <c r="AS17" s="402">
        <f>SUM(AS7:AS16)</f>
        <v>43676588123</v>
      </c>
      <c r="AT17" s="403"/>
      <c r="AU17" s="401">
        <f t="shared" si="0"/>
        <v>0.9825086824486684</v>
      </c>
      <c r="AV17" s="401">
        <f t="shared" si="1"/>
        <v>0.63437490765387672</v>
      </c>
      <c r="AW17" s="404">
        <f>SUM(AX7:AX16)</f>
        <v>44717742203</v>
      </c>
      <c r="AX17" s="404">
        <f>SUM(AX7:AX16)</f>
        <v>44717742203</v>
      </c>
      <c r="AY17" s="404">
        <f>SUM(AY7:AY16)</f>
        <v>294045255</v>
      </c>
      <c r="AZ17" s="405">
        <f>SUM(AZ7:AZ16)</f>
        <v>-24132061905</v>
      </c>
      <c r="BA17" s="9"/>
      <c r="BB17" s="365" t="s">
        <v>434</v>
      </c>
      <c r="BC17" s="73">
        <f>F41+F52+F55+F58+F61+F67+F70+F73+F76+F79+F82+F86+F87+F88+F89+F90+F91</f>
        <v>2824580957</v>
      </c>
      <c r="BD17" s="74">
        <f>I41+I52+I55+I58+I61+I67+I70+I73+I76+I79+I82+I86+I87+I88+I89+I90+I91</f>
        <v>4962436319</v>
      </c>
      <c r="BE17" s="75">
        <f>K41+K52+K55+K58+K61+K67+K70+K73+K76+K79+K82+K86+K87+K88+K89+K90+K91</f>
        <v>92274938</v>
      </c>
      <c r="BF17" s="53">
        <f>+BE17+NOVIEMBRE!BE17+OCTUBRE!BE17+SEPTIEMBRE!BF17</f>
        <v>1736096081</v>
      </c>
      <c r="BG17" s="98" t="s">
        <v>86</v>
      </c>
      <c r="BH17" s="99">
        <f>BC23-BH16</f>
        <v>-70007618202</v>
      </c>
      <c r="BI17" s="99"/>
      <c r="BJ17" s="99"/>
      <c r="BK17" s="99"/>
      <c r="BL17" s="40">
        <f>+BK17+NOVIEMBRE!BK17+OCTUBRE!BK17+SEPTIEMBRE!BL17</f>
        <v>0</v>
      </c>
      <c r="BM17" s="137" t="s">
        <v>449</v>
      </c>
      <c r="BN17" s="83">
        <f>X123-X126-X139+X155-X156-X167-X168</f>
        <v>5018392129</v>
      </c>
      <c r="BO17" s="81">
        <f>AA123-AA126-AA139+AA155-AA156-AA167-AA168</f>
        <v>4791458778</v>
      </c>
      <c r="BP17" s="81">
        <f>AD123-AD126-AD139+AD155-AD156-AD167-AD168</f>
        <v>4791458778</v>
      </c>
      <c r="BQ17" s="82">
        <f>AF123-AF126-AF139+AF155-AF156-AF167-AF168</f>
        <v>260798250</v>
      </c>
      <c r="BR17" s="118">
        <f>+BQ17+NOVIEMBRE!BQ17+OCTUBRE!BQ17+SEPTIEMBRE!BQ17+AGOSTO!BQ17+JULIO!BQ17+JUNIO!BQ17+MAYO!BQ17+ABRIL!BQ17+MARZO!BQ17+FEBRERO!BQ17+ENERO!BQ17</f>
        <v>2944875597</v>
      </c>
    </row>
    <row r="18" spans="1:249" s="9" customFormat="1" ht="24.95" customHeight="1" thickBot="1">
      <c r="A18" s="611" t="str">
        <f>+IF(NOVIEMBRE!A18=0,"",NOVIEMBRE!A18)</f>
        <v/>
      </c>
      <c r="B18" s="641" t="str">
        <f>+IF(NOVIEMBRE!B18=0,"",NOVIEMBRE!B18)</f>
        <v/>
      </c>
      <c r="C18" s="294"/>
      <c r="D18" s="294"/>
      <c r="E18" s="294"/>
      <c r="F18" s="294"/>
      <c r="G18" s="294"/>
      <c r="H18" s="294"/>
      <c r="I18" s="294"/>
      <c r="J18" s="294"/>
      <c r="K18" s="294"/>
      <c r="L18" s="294"/>
      <c r="M18" s="294"/>
      <c r="N18" s="463"/>
      <c r="P18" s="407"/>
      <c r="Q18" s="406"/>
      <c r="S18" s="705">
        <f>+IF(NOVIEMBRE!S18=0,"",NOVIEMBRE!S18)</f>
        <v>1010102</v>
      </c>
      <c r="T18" s="681" t="str">
        <f>+IF(NOVIEMBRE!T18=0,"",NOVIEMBRE!T18)</f>
        <v>Horas Extras,Dominic.,Festivos y Rec. Nocturnos</v>
      </c>
      <c r="U18" s="27">
        <f>+ENERO!U18</f>
        <v>0</v>
      </c>
      <c r="V18" s="15">
        <f>NOVIEMBRE!V18+DICIEMBRE!AL18</f>
        <v>0</v>
      </c>
      <c r="W18" s="15">
        <f>NOVIEMBRE!W18+DICIEMBRE!AM18</f>
        <v>0</v>
      </c>
      <c r="X18" s="18">
        <f>SUM(U18:W18)</f>
        <v>0</v>
      </c>
      <c r="Y18" s="19">
        <f>NOVIEMBRE!AA18</f>
        <v>0</v>
      </c>
      <c r="Z18" s="374">
        <v>0</v>
      </c>
      <c r="AA18" s="18">
        <f>SUM(Y18:Z18)</f>
        <v>0</v>
      </c>
      <c r="AB18" s="19">
        <f>NOVIEMBRE!AD18</f>
        <v>0</v>
      </c>
      <c r="AC18" s="374">
        <v>0</v>
      </c>
      <c r="AD18" s="18">
        <f>SUM(AB18:AC18)</f>
        <v>0</v>
      </c>
      <c r="AE18" s="19">
        <f>NOVIEMBRE!AG18</f>
        <v>0</v>
      </c>
      <c r="AF18" s="374">
        <v>0</v>
      </c>
      <c r="AG18" s="18">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125236928</v>
      </c>
      <c r="BD18" s="74">
        <f>+I95+I96+I97+I99+I100+I101</f>
        <v>125236928</v>
      </c>
      <c r="BE18" s="75">
        <f>+K95+K96+K97+K99+K100+K101</f>
        <v>0</v>
      </c>
      <c r="BF18" s="53">
        <f>+BE18+NOVIEMBRE!BE18+OCTUBRE!BE18+SEPTIEMBRE!BF18</f>
        <v>125236928</v>
      </c>
      <c r="BM18" s="137" t="s">
        <v>87</v>
      </c>
      <c r="BN18" s="83">
        <f>X148+X156</f>
        <v>2058462544</v>
      </c>
      <c r="BO18" s="81">
        <f>AA148+AA156</f>
        <v>978641777</v>
      </c>
      <c r="BP18" s="81">
        <f>AD148+AD156</f>
        <v>978641777</v>
      </c>
      <c r="BQ18" s="82">
        <f>AF148+AF156</f>
        <v>128014079</v>
      </c>
      <c r="BR18" s="118">
        <f>+BQ18+NOVIEMBRE!BQ18+OCTUBRE!BQ18+SEPTIEMBRE!BQ18+AGOSTO!BQ18+JULIO!BQ18+JUNIO!BQ18+MAYO!BQ18+ABRIL!BQ18+MARZO!BQ18+FEBRERO!BQ18+ENERO!BQ18</f>
        <v>443849978</v>
      </c>
    </row>
    <row r="19" spans="1:249" s="9" customFormat="1" ht="24.95" customHeight="1" thickBot="1">
      <c r="A19" s="733">
        <f>+IF(NOVIEMBRE!A19=0,"",NOVIEMBRE!A19)</f>
        <v>113</v>
      </c>
      <c r="B19" s="642" t="str">
        <f>+IF(NOVIEMBRE!B19=0,"",NOVIEMBRE!B19)</f>
        <v>VENTA DE SERVICIOS</v>
      </c>
      <c r="C19" s="334">
        <f t="shared" ref="C19:N19" si="18">C21+C85</f>
        <v>40501810887</v>
      </c>
      <c r="D19" s="331">
        <f t="shared" si="18"/>
        <v>0</v>
      </c>
      <c r="E19" s="331">
        <f t="shared" si="18"/>
        <v>18519686520</v>
      </c>
      <c r="F19" s="332">
        <f t="shared" si="18"/>
        <v>59021497407</v>
      </c>
      <c r="G19" s="334">
        <f t="shared" si="18"/>
        <v>61014302890</v>
      </c>
      <c r="H19" s="331">
        <f t="shared" si="18"/>
        <v>4253969870</v>
      </c>
      <c r="I19" s="332">
        <f t="shared" si="18"/>
        <v>65268272760</v>
      </c>
      <c r="J19" s="334">
        <f t="shared" si="18"/>
        <v>35599768244</v>
      </c>
      <c r="K19" s="331">
        <f t="shared" si="18"/>
        <v>5699562318</v>
      </c>
      <c r="L19" s="332">
        <f t="shared" si="18"/>
        <v>41299330562</v>
      </c>
      <c r="M19" s="334">
        <f t="shared" si="18"/>
        <v>-6246775353</v>
      </c>
      <c r="N19" s="332">
        <f t="shared" si="18"/>
        <v>17722166845</v>
      </c>
      <c r="O19" s="382"/>
      <c r="P19" s="43">
        <f>P21+P85</f>
        <v>0</v>
      </c>
      <c r="Q19" s="45">
        <f>Q21+Q85</f>
        <v>716567290</v>
      </c>
      <c r="S19" s="705">
        <f>+IF(NOVIEMBRE!S19=0,"",NOVIEMBRE!S19)</f>
        <v>1010103</v>
      </c>
      <c r="T19" s="681" t="str">
        <f>+IF(NOVIEMBRE!T19=0,"",NOVIEMBRE!T19)</f>
        <v>Prima Técnica</v>
      </c>
      <c r="U19" s="27">
        <f>+ENERO!U19</f>
        <v>0</v>
      </c>
      <c r="V19" s="15">
        <f>NOVIEMBRE!V19+DICIEMBRE!AL19</f>
        <v>0</v>
      </c>
      <c r="W19" s="15">
        <f>NOVIEMBRE!W19+DICIEMBRE!AM19</f>
        <v>0</v>
      </c>
      <c r="X19" s="18">
        <f>SUM(U19:W19)</f>
        <v>0</v>
      </c>
      <c r="Y19" s="19">
        <f>NOVIEMBRE!AA19</f>
        <v>0</v>
      </c>
      <c r="Z19" s="374">
        <v>0</v>
      </c>
      <c r="AA19" s="18">
        <f>SUM(Y19:Z19)</f>
        <v>0</v>
      </c>
      <c r="AB19" s="19">
        <f>NOVIEMBRE!AD19</f>
        <v>0</v>
      </c>
      <c r="AC19" s="374">
        <v>0</v>
      </c>
      <c r="AD19" s="18">
        <f>SUM(AB19:AC19)</f>
        <v>0</v>
      </c>
      <c r="AE19" s="19">
        <f>NOVIEMBRE!AG19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859557263</v>
      </c>
      <c r="BD19" s="93">
        <f>+I105+I106+I107+I108+I109+I110+I98</f>
        <v>1200062211</v>
      </c>
      <c r="BE19" s="94">
        <f>+K105+K106+K107+K108+K109+K110+K98</f>
        <v>19612630</v>
      </c>
      <c r="BF19" s="53">
        <f>+BE19+NOVIEMBRE!BE19+OCTUBRE!BE19+SEPTIEMBRE!BF19</f>
        <v>742897249</v>
      </c>
      <c r="BG19" s="382"/>
      <c r="BH19" s="382">
        <f>BN33</f>
        <v>0</v>
      </c>
      <c r="BI19" s="382"/>
      <c r="BJ19" s="382"/>
      <c r="BK19" s="382"/>
      <c r="BM19" s="137" t="s">
        <v>94</v>
      </c>
      <c r="BN19" s="83">
        <f>X126+X167</f>
        <v>1145500000</v>
      </c>
      <c r="BO19" s="81">
        <f>AA126+AA167</f>
        <v>1064050342</v>
      </c>
      <c r="BP19" s="81">
        <f>AD126+AD167</f>
        <v>1064050342</v>
      </c>
      <c r="BQ19" s="82">
        <f>AF126+AF167</f>
        <v>84823641</v>
      </c>
      <c r="BR19" s="118">
        <f>+BQ19+NOVIEMBRE!BQ19+OCTUBRE!BQ19+SEPTIEMBRE!BQ19+AGOSTO!BQ19+JULIO!BQ19+JUNIO!BQ19+MAYO!BQ19+ABRIL!BQ19+MARZO!BQ19+FEBRERO!BQ19+ENERO!BQ19</f>
        <v>1058612199</v>
      </c>
    </row>
    <row r="20" spans="1:249" s="422" customFormat="1" ht="24.95" customHeight="1" thickBot="1">
      <c r="A20" s="611" t="str">
        <f>+IF(NOVIEMBRE!A20=0,"",NOVIEMBRE!A20)</f>
        <v/>
      </c>
      <c r="B20" s="643" t="str">
        <f>+IF(NOVIEMBRE!B20=0,"",NOVIEMBRE!B20)</f>
        <v/>
      </c>
      <c r="C20" s="294"/>
      <c r="D20" s="294"/>
      <c r="E20" s="294"/>
      <c r="F20" s="294"/>
      <c r="G20" s="294"/>
      <c r="H20" s="294"/>
      <c r="I20" s="294"/>
      <c r="J20" s="294"/>
      <c r="K20" s="294"/>
      <c r="L20" s="294"/>
      <c r="M20" s="294"/>
      <c r="N20" s="463"/>
      <c r="O20" s="9"/>
      <c r="P20" s="407"/>
      <c r="Q20" s="406"/>
      <c r="R20" s="9"/>
      <c r="S20" s="705">
        <f>+IF(NOVIEMBRE!S20=0,"",NOVIEMBRE!S20)</f>
        <v>1010104</v>
      </c>
      <c r="T20" s="681" t="str">
        <f>+IF(NOVIEMBRE!T20=0,"",NOVIEMBRE!T20)</f>
        <v>Otros</v>
      </c>
      <c r="U20" s="27">
        <f t="shared" ref="U20:AJ20" si="19">SUM(U21:U32)</f>
        <v>143259177</v>
      </c>
      <c r="V20" s="15">
        <f t="shared" si="19"/>
        <v>-8647000</v>
      </c>
      <c r="W20" s="15">
        <f t="shared" si="19"/>
        <v>43449099</v>
      </c>
      <c r="X20" s="18">
        <f t="shared" si="19"/>
        <v>178061276</v>
      </c>
      <c r="Y20" s="19">
        <f t="shared" si="19"/>
        <v>96589170</v>
      </c>
      <c r="Z20" s="142">
        <f t="shared" si="19"/>
        <v>39440770</v>
      </c>
      <c r="AA20" s="18">
        <f t="shared" si="19"/>
        <v>136029940</v>
      </c>
      <c r="AB20" s="19">
        <f t="shared" si="19"/>
        <v>96589170</v>
      </c>
      <c r="AC20" s="142">
        <f t="shared" si="19"/>
        <v>39440770</v>
      </c>
      <c r="AD20" s="18">
        <f t="shared" si="19"/>
        <v>136029940</v>
      </c>
      <c r="AE20" s="19">
        <f t="shared" si="19"/>
        <v>96589170</v>
      </c>
      <c r="AF20" s="142">
        <f t="shared" si="19"/>
        <v>39440770</v>
      </c>
      <c r="AG20" s="18">
        <f t="shared" si="19"/>
        <v>136029940</v>
      </c>
      <c r="AH20" s="19">
        <f t="shared" si="19"/>
        <v>42031336</v>
      </c>
      <c r="AI20" s="15">
        <f t="shared" si="19"/>
        <v>42031336</v>
      </c>
      <c r="AJ20" s="16">
        <f t="shared" si="19"/>
        <v>42031336</v>
      </c>
      <c r="AK20" s="9"/>
      <c r="AL20" s="29">
        <f>SUM(AL21:AL32)</f>
        <v>-11000000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158049585</v>
      </c>
      <c r="BD20" s="66">
        <f>+I115+I117+I119+I120+I121+I123+I124</f>
        <v>1578175518</v>
      </c>
      <c r="BE20" s="67">
        <f>+K115+K117+K119+K120+K121+K123+K124</f>
        <v>1420285763</v>
      </c>
      <c r="BF20" s="53">
        <f>+BE20+NOVIEMBRE!BE20+OCTUBRE!BE20+SEPTIEMBRE!BF20</f>
        <v>1578175518</v>
      </c>
      <c r="BG20" s="382"/>
      <c r="BH20" s="382">
        <f>BH19-BH16</f>
        <v>-70007618202</v>
      </c>
      <c r="BI20" s="382"/>
      <c r="BJ20" s="382"/>
      <c r="BK20" s="382"/>
      <c r="BL20" s="382"/>
      <c r="BM20" s="139" t="s">
        <v>444</v>
      </c>
      <c r="BN20" s="83">
        <f>+X141-X143</f>
        <v>2892178</v>
      </c>
      <c r="BO20" s="81">
        <f>+AA141-AA143</f>
        <v>2892178</v>
      </c>
      <c r="BP20" s="81">
        <f>+AD141-AD143</f>
        <v>2892178</v>
      </c>
      <c r="BQ20" s="82">
        <f>+AF141-AF143</f>
        <v>0</v>
      </c>
      <c r="BR20" s="118">
        <f>+BQ20+NOVIEMBRE!BQ20+OCTUBRE!BQ20+SEPTIEMBRE!BQ20+AGOSTO!BQ20+JULIO!BQ20+JUNIO!BQ20+MAYO!BQ20+ABRIL!BQ20+MARZO!BQ20+FEBRERO!BQ20+ENERO!BQ20</f>
        <v>2892178</v>
      </c>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c r="HO20" s="382"/>
      <c r="HP20" s="382"/>
      <c r="HQ20" s="382"/>
      <c r="HR20" s="382"/>
      <c r="HS20" s="382"/>
      <c r="HT20" s="382"/>
      <c r="HU20" s="382"/>
      <c r="HV20" s="382"/>
      <c r="HW20" s="382"/>
      <c r="HX20" s="382"/>
      <c r="HY20" s="382"/>
      <c r="HZ20" s="382"/>
      <c r="IA20" s="382"/>
      <c r="IB20" s="382"/>
      <c r="IC20" s="382"/>
      <c r="ID20" s="382"/>
      <c r="IE20" s="382"/>
      <c r="IF20" s="382"/>
      <c r="IG20" s="382"/>
      <c r="IH20" s="382"/>
      <c r="II20" s="382"/>
      <c r="IJ20" s="382"/>
      <c r="IK20" s="382"/>
      <c r="IL20" s="382"/>
      <c r="IM20" s="382"/>
      <c r="IN20" s="382"/>
      <c r="IO20" s="382"/>
    </row>
    <row r="21" spans="1:249" s="422" customFormat="1" ht="24.95" customHeight="1" thickBot="1">
      <c r="A21" s="734">
        <f>+IF(NOVIEMBRE!A21=0,"",NOVIEMBRE!A21)</f>
        <v>11301</v>
      </c>
      <c r="B21" s="644" t="str">
        <f>+IF(NOVIEMBRE!B21=0,"",NOVIEMBRE!B21)</f>
        <v>Venta de Servicios de Salud</v>
      </c>
      <c r="C21" s="174">
        <f t="shared" ref="C21:N21" si="20">C22+C25+C28+C41+C42+C45+C48+C51+C54+C57+C60+C63+C66+C69+C72+C75+C78+C81</f>
        <v>40501810887</v>
      </c>
      <c r="D21" s="354">
        <f t="shared" si="20"/>
        <v>0</v>
      </c>
      <c r="E21" s="354">
        <f t="shared" si="20"/>
        <v>18519686520</v>
      </c>
      <c r="F21" s="354">
        <f t="shared" si="20"/>
        <v>59021497407</v>
      </c>
      <c r="G21" s="354">
        <f t="shared" si="20"/>
        <v>61014302890</v>
      </c>
      <c r="H21" s="354">
        <f t="shared" si="20"/>
        <v>4253969870</v>
      </c>
      <c r="I21" s="354">
        <f t="shared" si="20"/>
        <v>65268272760</v>
      </c>
      <c r="J21" s="354">
        <f t="shared" si="20"/>
        <v>35599768244</v>
      </c>
      <c r="K21" s="354">
        <f t="shared" si="20"/>
        <v>5699562318</v>
      </c>
      <c r="L21" s="354">
        <f t="shared" si="20"/>
        <v>41299330562</v>
      </c>
      <c r="M21" s="354">
        <f t="shared" si="20"/>
        <v>-6246775353</v>
      </c>
      <c r="N21" s="175">
        <f t="shared" si="20"/>
        <v>17722166845</v>
      </c>
      <c r="O21" s="382"/>
      <c r="P21" s="43">
        <f>P22+P25+P28+P41+P42+P45+P48+P51+P54+P57+P60+P63+P66+P69+P72+P75+P78+P81</f>
        <v>0</v>
      </c>
      <c r="Q21" s="45">
        <f>Q22+Q25+Q28+Q41+Q42+Q45+Q48+Q51+Q54+Q57+Q60+Q63+Q66+Q69+Q72+Q75+Q78+Q81</f>
        <v>716567290</v>
      </c>
      <c r="R21" s="9"/>
      <c r="S21" s="706" t="str">
        <f>+IF(NOVIEMBRE!S21=0,"",NOVIEMBRE!S21)</f>
        <v>1010104-1</v>
      </c>
      <c r="T21" s="682" t="str">
        <f>+IF(NOVIEMBRE!T21=0,"",NOVIEMBRE!T21)</f>
        <v xml:space="preserve">Prima de Navidad </v>
      </c>
      <c r="U21" s="27">
        <f>+ENERO!U21</f>
        <v>52257791</v>
      </c>
      <c r="V21" s="15">
        <f>NOVIEMBRE!V21+DICIEMBRE!AL21</f>
        <v>-5000000</v>
      </c>
      <c r="W21" s="15">
        <f>NOVIEMBRE!W21+DICIEMBRE!AM21</f>
        <v>0</v>
      </c>
      <c r="X21" s="18">
        <f t="shared" ref="X21:X33" si="21">SUM(U21:W21)</f>
        <v>47257791</v>
      </c>
      <c r="Y21" s="19">
        <f>NOVIEMBRE!AA21</f>
        <v>5441848</v>
      </c>
      <c r="Z21" s="374">
        <v>38118104</v>
      </c>
      <c r="AA21" s="18">
        <f t="shared" ref="AA21:AA33" si="22">SUM(Y21:Z21)</f>
        <v>43559952</v>
      </c>
      <c r="AB21" s="19">
        <f>NOVIEMBRE!AD21</f>
        <v>5441848</v>
      </c>
      <c r="AC21" s="374">
        <v>38118104</v>
      </c>
      <c r="AD21" s="18">
        <f t="shared" ref="AD21:AD33" si="23">SUM(AB21:AC21)</f>
        <v>43559952</v>
      </c>
      <c r="AE21" s="19">
        <f>NOVIEMBRE!AG21</f>
        <v>5441848</v>
      </c>
      <c r="AF21" s="374">
        <v>38118104</v>
      </c>
      <c r="AG21" s="18">
        <f t="shared" ref="AG21:AG33" si="24">SUM(AE21:AF21)</f>
        <v>43559952</v>
      </c>
      <c r="AH21" s="19">
        <f t="shared" ref="AH21:AH33" si="25">X21-AA21</f>
        <v>3697839</v>
      </c>
      <c r="AI21" s="15">
        <f t="shared" ref="AI21:AI33" si="26">X21-AD21</f>
        <v>3697839</v>
      </c>
      <c r="AJ21" s="16">
        <f t="shared" ref="AJ21:AJ33" si="27">X21-AG21</f>
        <v>3697839</v>
      </c>
      <c r="AK21" s="9"/>
      <c r="AL21" s="372">
        <v>-5000000</v>
      </c>
      <c r="AM21" s="375">
        <v>0</v>
      </c>
      <c r="AN21" s="9"/>
      <c r="AO21" s="349"/>
      <c r="AP21" s="423"/>
      <c r="AQ21" s="424"/>
      <c r="AR21" s="425" t="str">
        <f>AR6</f>
        <v>DICIEMBRE</v>
      </c>
      <c r="AS21" s="426" t="str">
        <f>AR6</f>
        <v>DICIEMBRE</v>
      </c>
      <c r="AT21" s="425" t="str">
        <f>AR6</f>
        <v>DICIEMBRE</v>
      </c>
      <c r="AU21" s="425" t="s">
        <v>44</v>
      </c>
      <c r="AV21" s="425" t="s">
        <v>22</v>
      </c>
      <c r="AW21" s="427"/>
      <c r="AX21" s="427"/>
      <c r="AY21" s="425" t="s">
        <v>44</v>
      </c>
      <c r="AZ21" s="428" t="s">
        <v>22</v>
      </c>
      <c r="BA21" s="9"/>
      <c r="BB21" s="101" t="s">
        <v>437</v>
      </c>
      <c r="BC21" s="65">
        <f>SUMIF($B8:B122,$B24,F8:F122)+F122</f>
        <v>27176374865</v>
      </c>
      <c r="BD21" s="66">
        <f>SUMIF($B8:B122,$B24,I8:I122)+I122</f>
        <v>18305199792</v>
      </c>
      <c r="BE21" s="67">
        <f>SUMIF($B8:B122,$B24,K8:K122)+K122</f>
        <v>960956</v>
      </c>
      <c r="BF21" s="53">
        <f>+BE21+NOVIEMBRE!BE21+OCTUBRE!BE21+SEPTIEMBRE!BF21</f>
        <v>18305199792</v>
      </c>
      <c r="BG21" s="382"/>
      <c r="BH21" s="382"/>
      <c r="BI21" s="382"/>
      <c r="BJ21" s="382"/>
      <c r="BK21" s="382"/>
      <c r="BL21" s="382"/>
      <c r="BM21" s="137" t="s">
        <v>99</v>
      </c>
      <c r="BN21" s="83">
        <v>0</v>
      </c>
      <c r="BO21" s="81">
        <v>0</v>
      </c>
      <c r="BP21" s="81">
        <v>0</v>
      </c>
      <c r="BQ21" s="196">
        <v>0</v>
      </c>
      <c r="BR21" s="118">
        <f>+BQ21+NOVIEMBRE!BQ21+OCTUBRE!BQ21+SEPTIEMBRE!BQ21+AGOSTO!BQ21+JULIO!BQ21+JUNIO!BQ21+MAYO!BQ21+ABRIL!BQ21+MARZO!BQ21+FEBRERO!BQ21+ENERO!BQ21</f>
        <v>0</v>
      </c>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c r="HQ21" s="382"/>
      <c r="HR21" s="382"/>
      <c r="HS21" s="382"/>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row>
    <row r="22" spans="1:249" s="9" customFormat="1" ht="24.95" customHeight="1" thickBot="1">
      <c r="A22" s="733">
        <f>+IF(NOVIEMBRE!A22=0,"",NOVIEMBRE!A22)</f>
        <v>1130101</v>
      </c>
      <c r="B22" s="645" t="str">
        <f>+IF(NOVIEMBRE!B22=0,"",NOVIEMBRE!B22)</f>
        <v>EPS - REGIMEN CONTRIBUTIVO</v>
      </c>
      <c r="C22" s="43">
        <f t="shared" ref="C22:N22" si="28">SUM(C23:C24)</f>
        <v>18905646713</v>
      </c>
      <c r="D22" s="44">
        <f t="shared" si="28"/>
        <v>0</v>
      </c>
      <c r="E22" s="44">
        <f t="shared" si="28"/>
        <v>8566069055</v>
      </c>
      <c r="F22" s="44">
        <f t="shared" si="28"/>
        <v>27471715768</v>
      </c>
      <c r="G22" s="44">
        <f t="shared" si="28"/>
        <v>23266525224</v>
      </c>
      <c r="H22" s="44">
        <f t="shared" si="28"/>
        <v>1674101834</v>
      </c>
      <c r="I22" s="44">
        <f t="shared" si="28"/>
        <v>24940627058</v>
      </c>
      <c r="J22" s="44">
        <f t="shared" si="28"/>
        <v>13238220471</v>
      </c>
      <c r="K22" s="44">
        <f t="shared" si="28"/>
        <v>2159092221</v>
      </c>
      <c r="L22" s="44">
        <f t="shared" si="28"/>
        <v>15397312692</v>
      </c>
      <c r="M22" s="44">
        <f t="shared" si="28"/>
        <v>2531088710</v>
      </c>
      <c r="N22" s="45">
        <f t="shared" si="28"/>
        <v>12074403076</v>
      </c>
      <c r="P22" s="43">
        <f>SUM(P23:P24)</f>
        <v>0</v>
      </c>
      <c r="Q22" s="45">
        <f>SUM(Q23:Q24)</f>
        <v>347645064</v>
      </c>
      <c r="S22" s="706" t="str">
        <f>+IF(NOVIEMBRE!S22=0,"",NOVIEMBRE!S22)</f>
        <v>1010104-2</v>
      </c>
      <c r="T22" s="682" t="str">
        <f>+IF(NOVIEMBRE!T22=0,"",NOVIEMBRE!T22)</f>
        <v>Prima Vida Cara</v>
      </c>
      <c r="U22" s="27">
        <f>+ENERO!U22</f>
        <v>24380551</v>
      </c>
      <c r="V22" s="15">
        <f>NOVIEMBRE!V22+DICIEMBRE!AL22</f>
        <v>0</v>
      </c>
      <c r="W22" s="15">
        <f>NOVIEMBRE!W22+DICIEMBRE!AM22</f>
        <v>41042730</v>
      </c>
      <c r="X22" s="18">
        <f t="shared" si="21"/>
        <v>65423281</v>
      </c>
      <c r="Y22" s="19">
        <f>NOVIEMBRE!AA22</f>
        <v>41042460</v>
      </c>
      <c r="Z22" s="374">
        <v>0</v>
      </c>
      <c r="AA22" s="18">
        <f t="shared" si="22"/>
        <v>41042460</v>
      </c>
      <c r="AB22" s="19">
        <f>NOVIEMBRE!AD22</f>
        <v>41042460</v>
      </c>
      <c r="AC22" s="374">
        <v>0</v>
      </c>
      <c r="AD22" s="18">
        <f t="shared" si="23"/>
        <v>41042460</v>
      </c>
      <c r="AE22" s="19">
        <f>NOVIEMBRE!AG22</f>
        <v>41042460</v>
      </c>
      <c r="AF22" s="374">
        <v>0</v>
      </c>
      <c r="AG22" s="18">
        <f t="shared" si="24"/>
        <v>41042460</v>
      </c>
      <c r="AH22" s="19">
        <f t="shared" si="25"/>
        <v>24380821</v>
      </c>
      <c r="AI22" s="15">
        <f t="shared" si="26"/>
        <v>24380821</v>
      </c>
      <c r="AJ22" s="16">
        <f t="shared" si="27"/>
        <v>24380821</v>
      </c>
      <c r="AL22" s="372">
        <v>0</v>
      </c>
      <c r="AM22" s="375">
        <v>0</v>
      </c>
      <c r="AO22" s="21"/>
      <c r="AP22" s="429" t="s">
        <v>104</v>
      </c>
      <c r="AQ22" s="430">
        <f>X17+X66</f>
        <v>1387755363</v>
      </c>
      <c r="AR22" s="430">
        <f>AD17+AD66</f>
        <v>1334459429</v>
      </c>
      <c r="AS22" s="430">
        <f>AG17+AG66</f>
        <v>1334459429</v>
      </c>
      <c r="AT22" s="431"/>
      <c r="AU22" s="432">
        <f t="shared" ref="AU22:AU32" si="29">IF(AQ22=0," ",AR22/AQ22)</f>
        <v>0.96159558419231272</v>
      </c>
      <c r="AV22" s="432">
        <f t="shared" ref="AV22:AV32" si="30">IF(AQ22=0," ",AS22/AQ22)</f>
        <v>0.96159558419231272</v>
      </c>
      <c r="AW22" s="433">
        <f>AR22/$AO$2*12</f>
        <v>1334459429</v>
      </c>
      <c r="AX22" s="433">
        <f>AS22/$AO$2*12</f>
        <v>1334459429</v>
      </c>
      <c r="AY22" s="433">
        <f t="shared" ref="AY22:AY31" si="31">AW22-AQ22</f>
        <v>-53295934</v>
      </c>
      <c r="AZ22" s="434">
        <f t="shared" ref="AZ22:AZ31" si="32">AQ22-AX22</f>
        <v>53295934</v>
      </c>
      <c r="BA22" s="382"/>
      <c r="BB22" s="102" t="s">
        <v>109</v>
      </c>
      <c r="BC22" s="103">
        <f>BC7+BC8+BC20+BC21</f>
        <v>70007618202</v>
      </c>
      <c r="BD22" s="104">
        <f>BD7+BD8+BD20+BD21</f>
        <v>69143849363</v>
      </c>
      <c r="BE22" s="105">
        <f>BE7+BE8+BE20+BE21</f>
        <v>7139468562</v>
      </c>
      <c r="BF22" s="53">
        <f>+BE22+NOVIEMBRE!BE22+OCTUBRE!BE22+SEPTIEMBRE!BF22</f>
        <v>44717742203</v>
      </c>
      <c r="BG22" s="382"/>
      <c r="BH22" s="382"/>
      <c r="BI22" s="382"/>
      <c r="BJ22" s="382"/>
      <c r="BK22" s="382"/>
      <c r="BM22" s="71" t="s">
        <v>67</v>
      </c>
      <c r="BN22" s="83">
        <f>BN23+BN24</f>
        <v>149730003</v>
      </c>
      <c r="BO22" s="81">
        <f>BO23+BO24</f>
        <v>105829686</v>
      </c>
      <c r="BP22" s="81">
        <f>BP23+BP24</f>
        <v>105829686</v>
      </c>
      <c r="BQ22" s="196">
        <f>BQ23+BQ24</f>
        <v>673964</v>
      </c>
      <c r="BR22" s="118">
        <f>BR23+BR24</f>
        <v>90342674</v>
      </c>
    </row>
    <row r="23" spans="1:249" s="422" customFormat="1" ht="24.95" customHeight="1">
      <c r="A23" s="611" t="str">
        <f>+IF(NOVIEMBRE!A23=0,"",NOVIEMBRE!A23)</f>
        <v>1130101-1</v>
      </c>
      <c r="B23" s="646" t="str">
        <f>+CONCATENATE("Vigencia ",INSTRUCCIONES!$F$3)</f>
        <v>Vigencia 2017</v>
      </c>
      <c r="C23" s="671">
        <f>+ENERO!C23</f>
        <v>18905646713</v>
      </c>
      <c r="D23" s="373">
        <f>NOVIEMBRE!D23+DICIEMBRE!P23</f>
        <v>0</v>
      </c>
      <c r="E23" s="373">
        <f>NOVIEMBRE!E23+DICIEMBRE!Q23</f>
        <v>0</v>
      </c>
      <c r="F23" s="373">
        <f>SUM(C23:E23)</f>
        <v>18905646713</v>
      </c>
      <c r="G23" s="373">
        <f>NOVIEMBRE!I23</f>
        <v>14700456169</v>
      </c>
      <c r="H23" s="374">
        <v>1674101834</v>
      </c>
      <c r="I23" s="373">
        <f>SUM(G23:H23)</f>
        <v>16374558003</v>
      </c>
      <c r="J23" s="373">
        <f>NOVIEMBRE!L23</f>
        <v>4672151416</v>
      </c>
      <c r="K23" s="374">
        <v>2159092221</v>
      </c>
      <c r="L23" s="373">
        <f>SUM(J23:K23)</f>
        <v>6831243637</v>
      </c>
      <c r="M23" s="373">
        <f>F23-I23</f>
        <v>2531088710</v>
      </c>
      <c r="N23" s="143">
        <f>F23-L23</f>
        <v>12074403076</v>
      </c>
      <c r="O23" s="9"/>
      <c r="P23" s="372">
        <v>0</v>
      </c>
      <c r="Q23" s="375">
        <v>0</v>
      </c>
      <c r="R23" s="9"/>
      <c r="S23" s="706" t="str">
        <f>+IF(NOVIEMBRE!S23=0,"",NOVIEMBRE!S23)</f>
        <v>1010104-3</v>
      </c>
      <c r="T23" s="682" t="str">
        <f>+IF(NOVIEMBRE!T23=0,"",NOVIEMBRE!T23)</f>
        <v>Prima de Vacaciones</v>
      </c>
      <c r="U23" s="27">
        <f>+ENERO!U23</f>
        <v>25221642</v>
      </c>
      <c r="V23" s="15">
        <f>NOVIEMBRE!V23+DICIEMBRE!AL23</f>
        <v>-6000000</v>
      </c>
      <c r="W23" s="15">
        <f>NOVIEMBRE!W23+DICIEMBRE!AM23</f>
        <v>189657</v>
      </c>
      <c r="X23" s="18">
        <f t="shared" si="21"/>
        <v>19411299</v>
      </c>
      <c r="Y23" s="19">
        <f>NOVIEMBRE!AA23</f>
        <v>12766543</v>
      </c>
      <c r="Z23" s="374">
        <v>0</v>
      </c>
      <c r="AA23" s="18">
        <f t="shared" si="22"/>
        <v>12766543</v>
      </c>
      <c r="AB23" s="19">
        <f>NOVIEMBRE!AD23</f>
        <v>12766543</v>
      </c>
      <c r="AC23" s="374">
        <v>0</v>
      </c>
      <c r="AD23" s="18">
        <f t="shared" si="23"/>
        <v>12766543</v>
      </c>
      <c r="AE23" s="19">
        <f>NOVIEMBRE!AG23</f>
        <v>12766543</v>
      </c>
      <c r="AF23" s="374">
        <v>0</v>
      </c>
      <c r="AG23" s="18">
        <f t="shared" si="24"/>
        <v>12766543</v>
      </c>
      <c r="AH23" s="19">
        <f t="shared" si="25"/>
        <v>6644756</v>
      </c>
      <c r="AI23" s="15">
        <f t="shared" si="26"/>
        <v>6644756</v>
      </c>
      <c r="AJ23" s="16">
        <f t="shared" si="27"/>
        <v>6644756</v>
      </c>
      <c r="AK23" s="9"/>
      <c r="AL23" s="372">
        <v>-6000000</v>
      </c>
      <c r="AM23" s="375">
        <v>0</v>
      </c>
      <c r="AN23" s="9"/>
      <c r="AO23" s="370"/>
      <c r="AP23" s="435" t="s">
        <v>108</v>
      </c>
      <c r="AQ23" s="436">
        <f>X16+X65-AQ22</f>
        <v>705009175</v>
      </c>
      <c r="AR23" s="436">
        <f>AD16+AD65-AR22</f>
        <v>574429656</v>
      </c>
      <c r="AS23" s="436">
        <f>AG16+AG65-AS22</f>
        <v>574429656</v>
      </c>
      <c r="AT23" s="327"/>
      <c r="AU23" s="342">
        <f t="shared" si="29"/>
        <v>0.81478323455861412</v>
      </c>
      <c r="AV23" s="342">
        <f t="shared" si="30"/>
        <v>0.81478323455861412</v>
      </c>
      <c r="AW23" s="436">
        <f>(AR23-AD21-AD22-AD23-AD25-AD30-AD33-AD70-AD71-AD72-AD74-AD78-AD81)/$AO$2*12+AX22/12*2.5+AD30+AD33+AD78+AD81</f>
        <v>513124664.04166669</v>
      </c>
      <c r="AX23" s="436">
        <f>(AS23-AG21-AG22-AG23-AG25-AG30-AG33-AG70-AG71-AG72-AG74-AG78-AG81)/$AO$2*12+AX22/12*2.5+AG30+AG33+AG78+AG81</f>
        <v>513124664.04166669</v>
      </c>
      <c r="AY23" s="436">
        <f t="shared" si="31"/>
        <v>-191884510.95833331</v>
      </c>
      <c r="AZ23" s="46">
        <f t="shared" si="32"/>
        <v>191884510.95833331</v>
      </c>
      <c r="BA23" s="382"/>
      <c r="BF23" s="382"/>
      <c r="BG23" s="382"/>
      <c r="BH23" s="382"/>
      <c r="BI23" s="382"/>
      <c r="BJ23" s="382"/>
      <c r="BK23" s="382"/>
      <c r="BL23" s="382"/>
      <c r="BM23" s="137" t="s">
        <v>105</v>
      </c>
      <c r="BN23" s="83">
        <f>X177</f>
        <v>18619412</v>
      </c>
      <c r="BO23" s="81">
        <f>AA177</f>
        <v>12094696</v>
      </c>
      <c r="BP23" s="81">
        <f>AD177</f>
        <v>12094696</v>
      </c>
      <c r="BQ23" s="196">
        <f>AF177</f>
        <v>493376</v>
      </c>
      <c r="BR23" s="118">
        <f>+BQ23+NOVIEMBRE!BQ23+OCTUBRE!BQ23+SEPTIEMBRE!BQ23+AGOSTO!BQ23+JULIO!BQ23+JUNIO!BQ23+MAYO!BQ23+ABRIL!BQ23+MARZO!BQ23+FEBRERO!BQ23+ENERO!BQ23</f>
        <v>12094696</v>
      </c>
      <c r="BS23" s="382"/>
      <c r="BT23" s="382"/>
      <c r="BU23" s="382"/>
      <c r="BV23" s="382"/>
      <c r="BW23" s="382"/>
      <c r="BX23" s="382"/>
      <c r="BY23" s="382"/>
      <c r="BZ23" s="382"/>
      <c r="CA23" s="382"/>
      <c r="CB23" s="382"/>
      <c r="CC23" s="382"/>
      <c r="CD23" s="382"/>
      <c r="CE23" s="382"/>
      <c r="CF23" s="382"/>
      <c r="CG23" s="382"/>
      <c r="CH23" s="382"/>
      <c r="CI23" s="382"/>
      <c r="CJ23" s="382"/>
      <c r="CK23" s="382"/>
      <c r="CL23" s="382"/>
      <c r="CM23" s="382"/>
      <c r="CN23" s="382"/>
      <c r="CO23" s="382"/>
      <c r="CP23" s="382"/>
      <c r="CQ23" s="382"/>
      <c r="CR23" s="382"/>
      <c r="CS23" s="382"/>
      <c r="CT23" s="382"/>
      <c r="CU23" s="382"/>
      <c r="CV23" s="382"/>
      <c r="CW23" s="382"/>
      <c r="CX23" s="382"/>
      <c r="CY23" s="382"/>
      <c r="CZ23" s="382"/>
      <c r="DA23" s="382"/>
      <c r="DB23" s="382"/>
      <c r="DC23" s="382"/>
      <c r="DD23" s="382"/>
      <c r="DE23" s="382"/>
      <c r="DF23" s="382"/>
      <c r="DG23" s="382"/>
      <c r="DH23" s="382"/>
      <c r="DI23" s="382"/>
      <c r="DJ23" s="382"/>
      <c r="DK23" s="382"/>
      <c r="DL23" s="382"/>
      <c r="DM23" s="382"/>
      <c r="DN23" s="382"/>
      <c r="DO23" s="382"/>
      <c r="DP23" s="382"/>
      <c r="DQ23" s="382"/>
      <c r="DR23" s="382"/>
      <c r="DS23" s="382"/>
      <c r="DT23" s="382"/>
      <c r="DU23" s="382"/>
      <c r="DV23" s="382"/>
      <c r="DW23" s="382"/>
      <c r="DX23" s="382"/>
      <c r="DY23" s="382"/>
      <c r="DZ23" s="382"/>
      <c r="EA23" s="382"/>
      <c r="EB23" s="382"/>
      <c r="EC23" s="382"/>
      <c r="ED23" s="382"/>
      <c r="EE23" s="382"/>
      <c r="EF23" s="382"/>
      <c r="EG23" s="382"/>
      <c r="EH23" s="382"/>
      <c r="EI23" s="382"/>
      <c r="EJ23" s="382"/>
      <c r="EK23" s="382"/>
      <c r="EL23" s="382"/>
      <c r="EM23" s="382"/>
      <c r="EN23" s="382"/>
      <c r="EO23" s="382"/>
      <c r="EP23" s="382"/>
      <c r="EQ23" s="382"/>
      <c r="ER23" s="382"/>
      <c r="ES23" s="382"/>
      <c r="ET23" s="382"/>
      <c r="EU23" s="382"/>
      <c r="EV23" s="382"/>
      <c r="EW23" s="382"/>
      <c r="EX23" s="382"/>
      <c r="EY23" s="382"/>
      <c r="EZ23" s="382"/>
      <c r="FA23" s="382"/>
      <c r="FB23" s="382"/>
      <c r="FC23" s="382"/>
      <c r="FD23" s="382"/>
      <c r="FE23" s="382"/>
      <c r="FF23" s="382"/>
      <c r="FG23" s="382"/>
      <c r="FH23" s="382"/>
      <c r="FI23" s="382"/>
      <c r="FJ23" s="382"/>
      <c r="FK23" s="382"/>
      <c r="FL23" s="382"/>
      <c r="FM23" s="382"/>
      <c r="FN23" s="382"/>
      <c r="FO23" s="382"/>
      <c r="FP23" s="382"/>
      <c r="FQ23" s="382"/>
      <c r="FR23" s="382"/>
      <c r="FS23" s="382"/>
      <c r="FT23" s="382"/>
      <c r="FU23" s="382"/>
      <c r="FV23" s="382"/>
      <c r="FW23" s="382"/>
      <c r="FX23" s="382"/>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c r="HO23" s="382"/>
      <c r="HP23" s="382"/>
      <c r="HQ23" s="382"/>
      <c r="HR23" s="382"/>
      <c r="HS23" s="382"/>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row>
    <row r="24" spans="1:249" s="422" customFormat="1" ht="24.95" customHeight="1">
      <c r="A24" s="611" t="str">
        <f>+IF(NOVIEMBRE!A24=0,"",NOVIEMBRE!A24)</f>
        <v>1130101-2</v>
      </c>
      <c r="B24" s="646" t="str">
        <f>+IF(NOVIEMBRE!B24=0,"",NOVIEMBRE!B24)</f>
        <v>Vigencia Anterior</v>
      </c>
      <c r="C24" s="671">
        <f>+ENERO!C24</f>
        <v>0</v>
      </c>
      <c r="D24" s="373">
        <f>NOVIEMBRE!D24+DICIEMBRE!P24</f>
        <v>0</v>
      </c>
      <c r="E24" s="373">
        <f>NOVIEMBRE!E24+DICIEMBRE!Q24</f>
        <v>8566069055</v>
      </c>
      <c r="F24" s="373">
        <f>SUM(C24:E24)</f>
        <v>8566069055</v>
      </c>
      <c r="G24" s="373">
        <f>NOVIEMBRE!I24</f>
        <v>8566069055</v>
      </c>
      <c r="H24" s="374">
        <v>0</v>
      </c>
      <c r="I24" s="373">
        <f>SUM(G24:H24)</f>
        <v>8566069055</v>
      </c>
      <c r="J24" s="373">
        <f>NOVIEMBRE!L24</f>
        <v>8566069055</v>
      </c>
      <c r="K24" s="374">
        <v>0</v>
      </c>
      <c r="L24" s="373">
        <f>SUM(J24:K24)</f>
        <v>8566069055</v>
      </c>
      <c r="M24" s="373">
        <f>F24-I24</f>
        <v>0</v>
      </c>
      <c r="N24" s="2912">
        <f>F24-L24</f>
        <v>0</v>
      </c>
      <c r="O24" s="382"/>
      <c r="P24" s="372">
        <v>0</v>
      </c>
      <c r="Q24" s="375">
        <v>347645064</v>
      </c>
      <c r="R24" s="9"/>
      <c r="S24" s="706" t="str">
        <f>+IF(NOVIEMBRE!S24=0,"",NOVIEMBRE!S24)</f>
        <v>1010104-4</v>
      </c>
      <c r="T24" s="682" t="str">
        <f>+IF(NOVIEMBRE!T24=0,"",NOVIEMBRE!T24)</f>
        <v>Prima Clima</v>
      </c>
      <c r="U24" s="27">
        <f>+ENERO!U24</f>
        <v>0</v>
      </c>
      <c r="V24" s="15">
        <f>NOVIEMBRE!V24+DICIEMBRE!AL24</f>
        <v>0</v>
      </c>
      <c r="W24" s="15">
        <f>NOVIEMBRE!W24+DICIEMBRE!AM24</f>
        <v>0</v>
      </c>
      <c r="X24" s="18">
        <f t="shared" si="21"/>
        <v>0</v>
      </c>
      <c r="Y24" s="19">
        <f>NOVIEMBRE!AA24</f>
        <v>0</v>
      </c>
      <c r="Z24" s="374">
        <v>0</v>
      </c>
      <c r="AA24" s="18">
        <f t="shared" si="22"/>
        <v>0</v>
      </c>
      <c r="AB24" s="19">
        <f>NOVIEMBRE!AD24</f>
        <v>0</v>
      </c>
      <c r="AC24" s="374">
        <v>0</v>
      </c>
      <c r="AD24" s="18">
        <f t="shared" si="23"/>
        <v>0</v>
      </c>
      <c r="AE24" s="19">
        <f>NOVIEMBRE!AG24</f>
        <v>0</v>
      </c>
      <c r="AF24" s="374">
        <v>0</v>
      </c>
      <c r="AG24" s="18">
        <f t="shared" si="24"/>
        <v>0</v>
      </c>
      <c r="AH24" s="19">
        <f t="shared" si="25"/>
        <v>0</v>
      </c>
      <c r="AI24" s="15">
        <f t="shared" si="26"/>
        <v>0</v>
      </c>
      <c r="AJ24" s="16">
        <f t="shared" si="27"/>
        <v>0</v>
      </c>
      <c r="AK24" s="9"/>
      <c r="AL24" s="372">
        <v>0</v>
      </c>
      <c r="AM24" s="375">
        <v>0</v>
      </c>
      <c r="AN24" s="9"/>
      <c r="AO24" s="370"/>
      <c r="AP24" s="415" t="s">
        <v>113</v>
      </c>
      <c r="AQ24" s="431">
        <f>X35+X83</f>
        <v>38209634090</v>
      </c>
      <c r="AR24" s="431">
        <f>AD35+AD83</f>
        <v>35728747544</v>
      </c>
      <c r="AS24" s="431">
        <f>AG35+AG83</f>
        <v>25716124431</v>
      </c>
      <c r="AT24" s="431"/>
      <c r="AU24" s="373">
        <f t="shared" si="29"/>
        <v>0.93507170102292914</v>
      </c>
      <c r="AV24" s="373">
        <f t="shared" si="30"/>
        <v>0.6730272362835914</v>
      </c>
      <c r="AW24" s="373">
        <f>(AR24-AD41-AD88)/$AO$2*12+AD41+AD88</f>
        <v>35728747544</v>
      </c>
      <c r="AX24" s="373">
        <f>(AS24-AG41-AG88)/$AO$2*12+AG41+AG88</f>
        <v>25716124431</v>
      </c>
      <c r="AY24" s="373">
        <f t="shared" si="31"/>
        <v>-2480886546</v>
      </c>
      <c r="AZ24" s="143">
        <f t="shared" si="32"/>
        <v>12493509659</v>
      </c>
      <c r="BA24" s="9"/>
      <c r="BB24" s="437"/>
      <c r="BC24" s="382"/>
      <c r="BD24" s="382"/>
      <c r="BE24" s="382"/>
      <c r="BF24" s="382"/>
      <c r="BG24" s="382"/>
      <c r="BH24" s="382"/>
      <c r="BI24" s="382"/>
      <c r="BJ24" s="382"/>
      <c r="BK24" s="382"/>
      <c r="BL24" s="382"/>
      <c r="BM24" s="137" t="s">
        <v>110</v>
      </c>
      <c r="BN24" s="83">
        <f>X170-X177-X174-X183-X191</f>
        <v>131110591</v>
      </c>
      <c r="BO24" s="81">
        <f>AA170-AA177-AA174-AA183-AA191</f>
        <v>93734990</v>
      </c>
      <c r="BP24" s="81">
        <f>AD170-AD177-AD174-AD183-AD191</f>
        <v>93734990</v>
      </c>
      <c r="BQ24" s="196">
        <f>AF170-AF177-AF174-AF183-AF191</f>
        <v>180588</v>
      </c>
      <c r="BR24" s="118">
        <f>+BQ24+NOVIEMBRE!BQ24+OCTUBRE!BQ24+SEPTIEMBRE!BQ24+AGOSTO!BQ24+JULIO!BQ24+JUNIO!BQ24+MAYO!BQ24+ABRIL!BQ24+MARZO!BQ24+FEBRERO!BQ24+ENERO!BQ24</f>
        <v>78247978</v>
      </c>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c r="HO24" s="382"/>
      <c r="HP24" s="382"/>
      <c r="HQ24" s="382"/>
      <c r="HR24" s="382"/>
      <c r="HS24" s="382"/>
      <c r="HT24" s="382"/>
      <c r="HU24" s="382"/>
      <c r="HV24" s="382"/>
      <c r="HW24" s="382"/>
      <c r="HX24" s="382"/>
      <c r="HY24" s="382"/>
      <c r="HZ24" s="382"/>
      <c r="IA24" s="382"/>
      <c r="IB24" s="382"/>
      <c r="IC24" s="382"/>
      <c r="ID24" s="382"/>
      <c r="IE24" s="382"/>
      <c r="IF24" s="382"/>
      <c r="IG24" s="382"/>
      <c r="IH24" s="382"/>
      <c r="II24" s="382"/>
      <c r="IJ24" s="382"/>
      <c r="IK24" s="382"/>
      <c r="IL24" s="382"/>
      <c r="IM24" s="382"/>
      <c r="IN24" s="382"/>
      <c r="IO24" s="382"/>
    </row>
    <row r="25" spans="1:249" s="382" customFormat="1" ht="24.95" customHeight="1">
      <c r="A25" s="733">
        <f>+IF(NOVIEMBRE!A25=0,"",NOVIEMBRE!A25)</f>
        <v>1130102</v>
      </c>
      <c r="B25" s="645" t="str">
        <f>+IF(NOVIEMBRE!B25=0,"",NOVIEMBRE!B25)</f>
        <v>ARS - REGIMEN SUBSIDIADO</v>
      </c>
      <c r="C25" s="43">
        <f t="shared" ref="C25:N25" si="33">SUM(C26:C27)</f>
        <v>13439321219</v>
      </c>
      <c r="D25" s="44">
        <f t="shared" si="33"/>
        <v>0</v>
      </c>
      <c r="E25" s="44">
        <f t="shared" si="33"/>
        <v>6032386810</v>
      </c>
      <c r="F25" s="44">
        <f t="shared" si="33"/>
        <v>19471708029</v>
      </c>
      <c r="G25" s="44">
        <f t="shared" si="33"/>
        <v>25341684541</v>
      </c>
      <c r="H25" s="44">
        <f t="shared" si="33"/>
        <v>1914867003</v>
      </c>
      <c r="I25" s="44">
        <f t="shared" si="33"/>
        <v>27256551544</v>
      </c>
      <c r="J25" s="44">
        <f t="shared" si="33"/>
        <v>16275193649</v>
      </c>
      <c r="K25" s="44">
        <f t="shared" si="33"/>
        <v>3196514380</v>
      </c>
      <c r="L25" s="44">
        <f t="shared" si="33"/>
        <v>19471708029</v>
      </c>
      <c r="M25" s="44">
        <f t="shared" si="33"/>
        <v>-7784843515</v>
      </c>
      <c r="N25" s="45">
        <f t="shared" si="33"/>
        <v>0</v>
      </c>
      <c r="P25" s="43">
        <f>SUM(P26:P27)</f>
        <v>0</v>
      </c>
      <c r="Q25" s="45">
        <f>SUM(Q26:Q27)</f>
        <v>143416651</v>
      </c>
      <c r="R25" s="9"/>
      <c r="S25" s="706" t="str">
        <f>+IF(NOVIEMBRE!S25=0,"",NOVIEMBRE!S25)</f>
        <v>1010104-5</v>
      </c>
      <c r="T25" s="682" t="str">
        <f>+IF(NOVIEMBRE!T25=0,"",NOVIEMBRE!T25)</f>
        <v>Prima de Servicios</v>
      </c>
      <c r="U25" s="27">
        <f>+ENERO!U25</f>
        <v>26128895</v>
      </c>
      <c r="V25" s="15">
        <f>NOVIEMBRE!V25+DICIEMBRE!AL25</f>
        <v>0</v>
      </c>
      <c r="W25" s="15">
        <f>NOVIEMBRE!W25+DICIEMBRE!AM25</f>
        <v>1296699</v>
      </c>
      <c r="X25" s="18">
        <f t="shared" si="21"/>
        <v>27425594</v>
      </c>
      <c r="Y25" s="19">
        <f>NOVIEMBRE!AA25</f>
        <v>21363733</v>
      </c>
      <c r="Z25" s="374">
        <v>0</v>
      </c>
      <c r="AA25" s="18">
        <f t="shared" si="22"/>
        <v>21363733</v>
      </c>
      <c r="AB25" s="19">
        <f>NOVIEMBRE!AD25</f>
        <v>21363733</v>
      </c>
      <c r="AC25" s="374">
        <v>0</v>
      </c>
      <c r="AD25" s="18">
        <f t="shared" si="23"/>
        <v>21363733</v>
      </c>
      <c r="AE25" s="19">
        <f>NOVIEMBRE!AG25</f>
        <v>21363733</v>
      </c>
      <c r="AF25" s="374">
        <v>0</v>
      </c>
      <c r="AG25" s="18">
        <f t="shared" si="24"/>
        <v>21363733</v>
      </c>
      <c r="AH25" s="19">
        <f t="shared" si="25"/>
        <v>6061861</v>
      </c>
      <c r="AI25" s="15">
        <f t="shared" si="26"/>
        <v>6061861</v>
      </c>
      <c r="AJ25" s="16">
        <f t="shared" si="27"/>
        <v>6061861</v>
      </c>
      <c r="AK25" s="9"/>
      <c r="AL25" s="372">
        <v>0</v>
      </c>
      <c r="AM25" s="375">
        <v>0</v>
      </c>
      <c r="AN25" s="9"/>
      <c r="AO25" s="21"/>
      <c r="AP25" s="438" t="s">
        <v>116</v>
      </c>
      <c r="AQ25" s="373">
        <f>X43+X57+X90+X104</f>
        <v>718834377</v>
      </c>
      <c r="AR25" s="373">
        <f>AD43+AD57+AD90+AD104</f>
        <v>476013219</v>
      </c>
      <c r="AS25" s="373">
        <f>AG43+AG57+AG90+AG104</f>
        <v>476013219</v>
      </c>
      <c r="AT25" s="431"/>
      <c r="AU25" s="373">
        <f t="shared" si="29"/>
        <v>0.66220152267425569</v>
      </c>
      <c r="AV25" s="373">
        <f t="shared" si="30"/>
        <v>0.66220152267425569</v>
      </c>
      <c r="AW25" s="373">
        <f>(AR25-AD55-AD61-AD102-AD108)/$AO$2*12+AD55+AD61+AD102+AD108</f>
        <v>476013219</v>
      </c>
      <c r="AX25" s="373">
        <f>(AS25-AG55-AG61-AG102-AG108)/$AO$2*12+AG55+AG61+AG102+AG108</f>
        <v>476013219</v>
      </c>
      <c r="AY25" s="373">
        <f t="shared" si="31"/>
        <v>-242821158</v>
      </c>
      <c r="AZ25" s="143">
        <f t="shared" si="32"/>
        <v>242821158</v>
      </c>
      <c r="BM25" s="140" t="s">
        <v>445</v>
      </c>
      <c r="BN25" s="106">
        <f>+SUM(BN26:BN28)</f>
        <v>13405609615</v>
      </c>
      <c r="BO25" s="107">
        <f>+SUM(BO26:BO28)</f>
        <v>12164104460</v>
      </c>
      <c r="BP25" s="107">
        <f>+SUM(BP26:BP28)</f>
        <v>12164104459</v>
      </c>
      <c r="BQ25" s="198">
        <f>+SUM(BQ26:BQ28)</f>
        <v>825883234</v>
      </c>
      <c r="BR25" s="118">
        <f>+SUM(BR26:BR28)</f>
        <v>5673531285</v>
      </c>
    </row>
    <row r="26" spans="1:249" s="9" customFormat="1" ht="24.95" customHeight="1">
      <c r="A26" s="611" t="str">
        <f>+IF(NOVIEMBRE!A26=0,"",NOVIEMBRE!A26)</f>
        <v>1130102-1</v>
      </c>
      <c r="B26" s="646" t="str">
        <f>+CONCATENATE("Vigencia ",INSTRUCCIONES!$F$3)</f>
        <v>Vigencia 2017</v>
      </c>
      <c r="C26" s="671">
        <f>+ENERO!C26</f>
        <v>13439321219</v>
      </c>
      <c r="D26" s="373">
        <f>NOVIEMBRE!D26+DICIEMBRE!P26</f>
        <v>0</v>
      </c>
      <c r="E26" s="373">
        <f>NOVIEMBRE!E26+DICIEMBRE!Q26</f>
        <v>0</v>
      </c>
      <c r="F26" s="373">
        <f>SUM(C26:E26)</f>
        <v>13439321219</v>
      </c>
      <c r="G26" s="373">
        <f>NOVIEMBRE!I26</f>
        <v>19309297731</v>
      </c>
      <c r="H26" s="374">
        <v>1914867003</v>
      </c>
      <c r="I26" s="373">
        <f>SUM(G26:H26)</f>
        <v>21224164734</v>
      </c>
      <c r="J26" s="373">
        <f>NOVIEMBRE!L26</f>
        <v>10242806839</v>
      </c>
      <c r="K26" s="374">
        <v>3196514380</v>
      </c>
      <c r="L26" s="373">
        <f>SUM(J26:K26)</f>
        <v>13439321219</v>
      </c>
      <c r="M26" s="373">
        <f>F26-I26</f>
        <v>-7784843515</v>
      </c>
      <c r="N26" s="143">
        <f>F26-L26</f>
        <v>0</v>
      </c>
      <c r="P26" s="372">
        <v>0</v>
      </c>
      <c r="Q26" s="375">
        <v>0</v>
      </c>
      <c r="S26" s="706" t="str">
        <f>+IF(NOVIEMBRE!S26=0,"",NOVIEMBRE!S26)</f>
        <v>1010104-8</v>
      </c>
      <c r="T26" s="682" t="str">
        <f>+IF(NOVIEMBRE!T26=0,"",NOVIEMBRE!T26)</f>
        <v>Bonific. por Servicios Prestados</v>
      </c>
      <c r="U26" s="27">
        <f>+ENERO!U26</f>
        <v>12868455</v>
      </c>
      <c r="V26" s="15">
        <f>NOVIEMBRE!V26+DICIEMBRE!AL26</f>
        <v>0</v>
      </c>
      <c r="W26" s="15">
        <f>NOVIEMBRE!W26+DICIEMBRE!AM26</f>
        <v>719637</v>
      </c>
      <c r="X26" s="18">
        <f t="shared" si="21"/>
        <v>13588092</v>
      </c>
      <c r="Y26" s="19">
        <f>NOVIEMBRE!AA26</f>
        <v>12177701</v>
      </c>
      <c r="Z26" s="374">
        <v>1265410</v>
      </c>
      <c r="AA26" s="18">
        <f t="shared" si="22"/>
        <v>13443111</v>
      </c>
      <c r="AB26" s="19">
        <f>NOVIEMBRE!AD26</f>
        <v>12177701</v>
      </c>
      <c r="AC26" s="374">
        <v>1265410</v>
      </c>
      <c r="AD26" s="18">
        <f t="shared" si="23"/>
        <v>13443111</v>
      </c>
      <c r="AE26" s="19">
        <f>NOVIEMBRE!AG26</f>
        <v>12177701</v>
      </c>
      <c r="AF26" s="374">
        <v>1265410</v>
      </c>
      <c r="AG26" s="18">
        <f t="shared" si="24"/>
        <v>13443111</v>
      </c>
      <c r="AH26" s="19">
        <f t="shared" si="25"/>
        <v>144981</v>
      </c>
      <c r="AI26" s="15">
        <f t="shared" si="26"/>
        <v>144981</v>
      </c>
      <c r="AJ26" s="16">
        <f t="shared" si="27"/>
        <v>144981</v>
      </c>
      <c r="AL26" s="372">
        <v>0</v>
      </c>
      <c r="AM26" s="375">
        <v>0</v>
      </c>
      <c r="AO26" s="21"/>
      <c r="AP26" s="439" t="s">
        <v>120</v>
      </c>
      <c r="AQ26" s="327">
        <f>X110</f>
        <v>11295083528</v>
      </c>
      <c r="AR26" s="327">
        <f>AD110</f>
        <v>8960107080</v>
      </c>
      <c r="AS26" s="327">
        <f>AG110</f>
        <v>6113062897</v>
      </c>
      <c r="AT26" s="371">
        <f>AO2/12</f>
        <v>1</v>
      </c>
      <c r="AU26" s="342">
        <f t="shared" si="29"/>
        <v>0.79327497293741134</v>
      </c>
      <c r="AV26" s="342">
        <f t="shared" si="30"/>
        <v>0.54121449229180063</v>
      </c>
      <c r="AW26" s="436">
        <f>(AR26-AD121-AD139-AD143-AD153-AD168)/$AO$2*12+AD121+AD139+AD143+AD153+AD168</f>
        <v>8960107080</v>
      </c>
      <c r="AX26" s="436">
        <f>(AS26-AG121-AG139-AG143-AG153-AG168)/$AO$2*12+AG121+AG139+AG143+AG153+AG168</f>
        <v>6113062897</v>
      </c>
      <c r="AY26" s="436">
        <f t="shared" si="31"/>
        <v>-2334976448</v>
      </c>
      <c r="AZ26" s="46">
        <f t="shared" si="32"/>
        <v>5182020631</v>
      </c>
      <c r="BA26" s="382"/>
      <c r="BB26" s="382"/>
      <c r="BC26" s="382"/>
      <c r="BD26" s="382"/>
      <c r="BE26" s="382"/>
      <c r="BF26" s="382"/>
      <c r="BG26" s="382"/>
      <c r="BH26" s="382"/>
      <c r="BI26" s="382"/>
      <c r="BJ26" s="382"/>
      <c r="BK26" s="382"/>
      <c r="BM26" s="109" t="s">
        <v>446</v>
      </c>
      <c r="BN26" s="86">
        <f>+X198+X212</f>
        <v>4419700346</v>
      </c>
      <c r="BO26" s="84">
        <f>+AA198+AA212</f>
        <v>3934932538</v>
      </c>
      <c r="BP26" s="84">
        <f>+AD198+AD212</f>
        <v>3934932538</v>
      </c>
      <c r="BQ26" s="197">
        <f>+AF198+AF212</f>
        <v>338005132</v>
      </c>
      <c r="BR26" s="118">
        <f>+BQ26+NOVIEMBRE!BQ26+OCTUBRE!BQ26+SEPTIEMBRE!BQ26+AGOSTO!BQ26+JULIO!BQ26+JUNIO!BQ26+MAYO!BQ26+ABRIL!BQ26+MARZO!BQ26+FEBRERO!BQ26+ENERO!BQ26</f>
        <v>2194762934</v>
      </c>
    </row>
    <row r="27" spans="1:249" s="422" customFormat="1" ht="24.95" customHeight="1">
      <c r="A27" s="611" t="str">
        <f>+IF(NOVIEMBRE!A27=0,"",NOVIEMBRE!A27)</f>
        <v>1130102-2</v>
      </c>
      <c r="B27" s="646" t="str">
        <f>+IF(NOVIEMBRE!B27=0,"",NOVIEMBRE!B27)</f>
        <v>Vigencia Anterior</v>
      </c>
      <c r="C27" s="671">
        <f>+ENERO!C27</f>
        <v>0</v>
      </c>
      <c r="D27" s="373">
        <f>NOVIEMBRE!D27+DICIEMBRE!P27</f>
        <v>0</v>
      </c>
      <c r="E27" s="373">
        <f>NOVIEMBRE!E27+DICIEMBRE!Q27</f>
        <v>6032386810</v>
      </c>
      <c r="F27" s="373">
        <f>SUM(C27:E27)</f>
        <v>6032386810</v>
      </c>
      <c r="G27" s="373">
        <f>NOVIEMBRE!I27</f>
        <v>6032386810</v>
      </c>
      <c r="H27" s="374">
        <v>0</v>
      </c>
      <c r="I27" s="373">
        <f>SUM(G27:H27)</f>
        <v>6032386810</v>
      </c>
      <c r="J27" s="373">
        <f>NOVIEMBRE!L27</f>
        <v>6032386810</v>
      </c>
      <c r="K27" s="374">
        <v>0</v>
      </c>
      <c r="L27" s="373">
        <f>SUM(J27:K27)</f>
        <v>6032386810</v>
      </c>
      <c r="M27" s="373">
        <f>F27-I27</f>
        <v>0</v>
      </c>
      <c r="N27" s="2912">
        <f>F27-L27</f>
        <v>0</v>
      </c>
      <c r="O27" s="382"/>
      <c r="P27" s="372">
        <v>0</v>
      </c>
      <c r="Q27" s="375">
        <v>143416651</v>
      </c>
      <c r="R27" s="9"/>
      <c r="S27" s="706" t="str">
        <f>+IF(NOVIEMBRE!S27=0,"",NOVIEMBRE!S27)</f>
        <v>1010104-9</v>
      </c>
      <c r="T27" s="682" t="str">
        <f>+IF(NOVIEMBRE!T27=0,"",NOVIEMBRE!T27)</f>
        <v>Auxilio de Transporte</v>
      </c>
      <c r="U27" s="27">
        <f>+ENERO!U27</f>
        <v>0</v>
      </c>
      <c r="V27" s="15">
        <f>NOVIEMBRE!V27+DICIEMBRE!AL27</f>
        <v>0</v>
      </c>
      <c r="W27" s="15">
        <f>NOVIEMBRE!W27+DICIEMBRE!AM27</f>
        <v>0</v>
      </c>
      <c r="X27" s="18">
        <f t="shared" si="21"/>
        <v>0</v>
      </c>
      <c r="Y27" s="19">
        <f>NOVIEMBRE!AA27</f>
        <v>0</v>
      </c>
      <c r="Z27" s="374">
        <v>0</v>
      </c>
      <c r="AA27" s="18">
        <f t="shared" si="22"/>
        <v>0</v>
      </c>
      <c r="AB27" s="19">
        <f>NOVIEMBRE!AD27</f>
        <v>0</v>
      </c>
      <c r="AC27" s="374">
        <v>0</v>
      </c>
      <c r="AD27" s="18">
        <f t="shared" si="23"/>
        <v>0</v>
      </c>
      <c r="AE27" s="19">
        <f>NOVIEMBRE!AG27</f>
        <v>0</v>
      </c>
      <c r="AF27" s="374">
        <v>0</v>
      </c>
      <c r="AG27" s="18">
        <f t="shared" si="24"/>
        <v>0</v>
      </c>
      <c r="AH27" s="19">
        <f t="shared" si="25"/>
        <v>0</v>
      </c>
      <c r="AI27" s="15">
        <f t="shared" si="26"/>
        <v>0</v>
      </c>
      <c r="AJ27" s="16">
        <f t="shared" si="27"/>
        <v>0</v>
      </c>
      <c r="AK27" s="9"/>
      <c r="AL27" s="372">
        <v>0</v>
      </c>
      <c r="AM27" s="375">
        <v>0</v>
      </c>
      <c r="AN27" s="9"/>
      <c r="AO27" s="349"/>
      <c r="AP27" s="438" t="s">
        <v>124</v>
      </c>
      <c r="AQ27" s="373">
        <f>X170</f>
        <v>149730003</v>
      </c>
      <c r="AR27" s="373">
        <f>AD170</f>
        <v>105829686</v>
      </c>
      <c r="AS27" s="373">
        <f>AG170</f>
        <v>90342674</v>
      </c>
      <c r="AT27" s="431"/>
      <c r="AU27" s="373">
        <f t="shared" si="29"/>
        <v>0.70680347211373529</v>
      </c>
      <c r="AV27" s="373">
        <f t="shared" si="30"/>
        <v>0.60337054825277736</v>
      </c>
      <c r="AW27" s="373">
        <f>(AR27-AD174-AD183-AD191)/$AO$2*12+AD174+AD183+AD191</f>
        <v>105829686</v>
      </c>
      <c r="AX27" s="373">
        <f>(AS27-AG174-AG183-AG191)/$AO$2*12+AG174+AG183+AG191</f>
        <v>90342674</v>
      </c>
      <c r="AY27" s="373">
        <f t="shared" si="31"/>
        <v>-43900317</v>
      </c>
      <c r="AZ27" s="143">
        <f t="shared" si="32"/>
        <v>59387329</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row>
    <row r="28" spans="1:249" s="422" customFormat="1" ht="24.95" customHeight="1">
      <c r="A28" s="733">
        <f>+IF(NOVIEMBRE!A28=0,"",NOVIEMBRE!A28)</f>
        <v>1130103</v>
      </c>
      <c r="B28" s="622" t="str">
        <f>+IF(NOVIEMBRE!B28=0,"",NOVIEMBRE!B28)</f>
        <v>SUBSIDIO A LA OFERTA- ATENCION PERSONAS POBRES NO CUBIERTOS CON SUBSIDIO A LA DEMANDA</v>
      </c>
      <c r="C28" s="43">
        <f>C29+C32+C35+C38+C39+C40</f>
        <v>157521482</v>
      </c>
      <c r="D28" s="44">
        <f>+D29+D32+D35+D38+D39+D40</f>
        <v>0</v>
      </c>
      <c r="E28" s="44">
        <f>+E29+E32+E35+E38+E39+E40</f>
        <v>258289958</v>
      </c>
      <c r="F28" s="44">
        <f>+F29+F32+F35+F38+F39+F40</f>
        <v>415811440</v>
      </c>
      <c r="G28" s="44">
        <f t="shared" ref="G28:N28" si="34">G29+G32+G35+G38+G39+G40</f>
        <v>1671030138</v>
      </c>
      <c r="H28" s="44">
        <f t="shared" si="34"/>
        <v>210357896</v>
      </c>
      <c r="I28" s="44">
        <f t="shared" si="34"/>
        <v>1881388034</v>
      </c>
      <c r="J28" s="44">
        <f t="shared" si="34"/>
        <v>341776089</v>
      </c>
      <c r="K28" s="44">
        <f t="shared" si="34"/>
        <v>158548856</v>
      </c>
      <c r="L28" s="44">
        <f t="shared" si="34"/>
        <v>500324945</v>
      </c>
      <c r="M28" s="44">
        <f t="shared" si="34"/>
        <v>-1465576594</v>
      </c>
      <c r="N28" s="45">
        <f t="shared" si="34"/>
        <v>-84513505</v>
      </c>
      <c r="O28" s="382"/>
      <c r="P28" s="43">
        <f>P29+P32+P35+P38+P39+P940</f>
        <v>0</v>
      </c>
      <c r="Q28" s="45">
        <f>Q29+Q32+Q35+Q38+Q39+Q40</f>
        <v>0</v>
      </c>
      <c r="R28" s="9"/>
      <c r="S28" s="706" t="str">
        <f>+IF(NOVIEMBRE!S28=0,"",NOVIEMBRE!S28)</f>
        <v>1010104-10</v>
      </c>
      <c r="T28" s="682" t="str">
        <f>+IF(NOVIEMBRE!T28=0,"",NOVIEMBRE!T28)</f>
        <v>Subsidio de Alimentación</v>
      </c>
      <c r="U28" s="27">
        <f>+ENERO!U28</f>
        <v>532000</v>
      </c>
      <c r="V28" s="15">
        <f>NOVIEMBRE!V28+DICIEMBRE!AL28</f>
        <v>353000</v>
      </c>
      <c r="W28" s="15">
        <f>NOVIEMBRE!W28+DICIEMBRE!AM28</f>
        <v>183111</v>
      </c>
      <c r="X28" s="18">
        <f t="shared" si="21"/>
        <v>1068111</v>
      </c>
      <c r="Y28" s="19">
        <f>NOVIEMBRE!AA28</f>
        <v>741090</v>
      </c>
      <c r="Z28" s="374">
        <v>57256</v>
      </c>
      <c r="AA28" s="18">
        <f t="shared" si="22"/>
        <v>798346</v>
      </c>
      <c r="AB28" s="19">
        <f>NOVIEMBRE!AD28</f>
        <v>741090</v>
      </c>
      <c r="AC28" s="374">
        <v>57256</v>
      </c>
      <c r="AD28" s="18">
        <f t="shared" si="23"/>
        <v>798346</v>
      </c>
      <c r="AE28" s="19">
        <f>NOVIEMBRE!AG28</f>
        <v>741090</v>
      </c>
      <c r="AF28" s="374">
        <v>57256</v>
      </c>
      <c r="AG28" s="18">
        <f t="shared" si="24"/>
        <v>798346</v>
      </c>
      <c r="AH28" s="19">
        <f t="shared" si="25"/>
        <v>269765</v>
      </c>
      <c r="AI28" s="15">
        <f t="shared" si="26"/>
        <v>269765</v>
      </c>
      <c r="AJ28" s="16">
        <f t="shared" si="27"/>
        <v>269765</v>
      </c>
      <c r="AK28" s="9"/>
      <c r="AL28" s="372">
        <v>0</v>
      </c>
      <c r="AM28" s="375">
        <v>0</v>
      </c>
      <c r="AN28" s="9"/>
      <c r="AO28" s="349"/>
      <c r="AP28" s="787" t="s">
        <v>586</v>
      </c>
      <c r="AQ28" s="373">
        <f>X195</f>
        <v>17077006874</v>
      </c>
      <c r="AR28" s="373">
        <f>AD195</f>
        <v>15835501718</v>
      </c>
      <c r="AS28" s="373">
        <f>AG195</f>
        <v>9344928544</v>
      </c>
      <c r="AT28" s="431"/>
      <c r="AU28" s="373">
        <f t="shared" si="29"/>
        <v>0.92729960436508285</v>
      </c>
      <c r="AV28" s="373">
        <f t="shared" si="30"/>
        <v>0.54722286012707499</v>
      </c>
      <c r="AW28" s="373">
        <f>(AR28-AD207)/$AO$2*12+AD207</f>
        <v>15835501718</v>
      </c>
      <c r="AX28" s="373">
        <f>(AS28-AG207)/$AO$2*12+AG207</f>
        <v>9344928544</v>
      </c>
      <c r="AY28" s="373">
        <f t="shared" si="31"/>
        <v>-1241505156</v>
      </c>
      <c r="AZ28" s="143">
        <f t="shared" si="32"/>
        <v>7732078330</v>
      </c>
      <c r="BA28" s="382"/>
      <c r="BB28" s="382"/>
      <c r="BC28" s="382"/>
      <c r="BD28" s="382"/>
      <c r="BE28" s="382"/>
      <c r="BF28" s="382"/>
      <c r="BG28" s="382"/>
      <c r="BH28" s="382"/>
      <c r="BI28" s="382"/>
      <c r="BJ28" s="382"/>
      <c r="BK28" s="382"/>
      <c r="BL28" s="382"/>
      <c r="BM28" s="71" t="s">
        <v>448</v>
      </c>
      <c r="BN28" s="83">
        <f>+X196-X198-X207</f>
        <v>8985909269</v>
      </c>
      <c r="BO28" s="81">
        <f>+AA196-AA198-AA207</f>
        <v>8229171922</v>
      </c>
      <c r="BP28" s="81">
        <f>+AD196-AD198-AD207</f>
        <v>8229171921</v>
      </c>
      <c r="BQ28" s="196">
        <f>+AF196-AF198-AF207</f>
        <v>487878102</v>
      </c>
      <c r="BR28" s="118">
        <f>+BQ28+NOVIEMBRE!BQ28+OCTUBRE!BQ28+SEPTIEMBRE!BQ28+AGOSTO!BQ28+JULIO!BQ28+JUNIO!BQ28+MAYO!BQ28+ABRIL!BQ28+MARZO!BQ28+FEBRERO!BQ28+ENERO!BQ28</f>
        <v>3478768351</v>
      </c>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row>
    <row r="29" spans="1:249" s="9" customFormat="1" ht="24.95" customHeight="1">
      <c r="A29" s="611" t="str">
        <f>+IF(NOVIEMBRE!A29=0,"",NOVIEMBRE!A29)</f>
        <v>1130103-1</v>
      </c>
      <c r="B29" s="647" t="str">
        <f>+IF(NOVIEMBRE!B29=0,"",NOVIEMBRE!B29)</f>
        <v>Prestación de Servicios de salud  1er Nivel</v>
      </c>
      <c r="C29" s="19">
        <f t="shared" ref="C29:N29" si="35">SUM(C30:C31)</f>
        <v>0</v>
      </c>
      <c r="D29" s="15">
        <f t="shared" si="35"/>
        <v>0</v>
      </c>
      <c r="E29" s="15">
        <f t="shared" si="35"/>
        <v>0</v>
      </c>
      <c r="F29" s="15">
        <f t="shared" si="35"/>
        <v>0</v>
      </c>
      <c r="G29" s="15">
        <f t="shared" si="35"/>
        <v>0</v>
      </c>
      <c r="H29" s="15">
        <f t="shared" si="35"/>
        <v>0</v>
      </c>
      <c r="I29" s="15">
        <f t="shared" si="35"/>
        <v>0</v>
      </c>
      <c r="J29" s="15">
        <f t="shared" si="35"/>
        <v>0</v>
      </c>
      <c r="K29" s="15">
        <f t="shared" si="35"/>
        <v>0</v>
      </c>
      <c r="L29" s="15">
        <f t="shared" si="35"/>
        <v>0</v>
      </c>
      <c r="M29" s="15">
        <f t="shared" si="35"/>
        <v>0</v>
      </c>
      <c r="N29" s="16">
        <f t="shared" si="35"/>
        <v>0</v>
      </c>
      <c r="O29" s="382"/>
      <c r="P29" s="144">
        <f>SUM(P30:P31)</f>
        <v>0</v>
      </c>
      <c r="Q29" s="145">
        <f>SUM(Q30:Q31)</f>
        <v>0</v>
      </c>
      <c r="S29" s="706" t="str">
        <f>+IF(NOVIEMBRE!S29=0,"",NOVIEMBRE!S29)</f>
        <v>1010104-11</v>
      </c>
      <c r="T29" s="682" t="str">
        <f>+IF(NOVIEMBRE!T29=0,"",NOVIEMBRE!T29)</f>
        <v>Gastos de Representación</v>
      </c>
      <c r="U29" s="27">
        <f>+ENERO!U29</f>
        <v>0</v>
      </c>
      <c r="V29" s="15">
        <f>NOVIEMBRE!V29+DICIEMBRE!AL29</f>
        <v>0</v>
      </c>
      <c r="W29" s="15">
        <f>NOVIEMBRE!W29+DICIEMBRE!AM29</f>
        <v>0</v>
      </c>
      <c r="X29" s="18">
        <f t="shared" si="21"/>
        <v>0</v>
      </c>
      <c r="Y29" s="19">
        <f>NOVIEMBRE!AA29</f>
        <v>0</v>
      </c>
      <c r="Z29" s="374">
        <v>0</v>
      </c>
      <c r="AA29" s="18">
        <f t="shared" si="22"/>
        <v>0</v>
      </c>
      <c r="AB29" s="19">
        <f>NOVIEMBRE!AD29</f>
        <v>0</v>
      </c>
      <c r="AC29" s="374">
        <v>0</v>
      </c>
      <c r="AD29" s="18">
        <f t="shared" si="23"/>
        <v>0</v>
      </c>
      <c r="AE29" s="19">
        <f>NOVIEMBRE!AG29</f>
        <v>0</v>
      </c>
      <c r="AF29" s="374">
        <v>0</v>
      </c>
      <c r="AG29" s="18">
        <f t="shared" si="24"/>
        <v>0</v>
      </c>
      <c r="AH29" s="19">
        <f t="shared" si="25"/>
        <v>0</v>
      </c>
      <c r="AI29" s="15">
        <f t="shared" si="26"/>
        <v>0</v>
      </c>
      <c r="AJ29" s="16">
        <f t="shared" si="27"/>
        <v>0</v>
      </c>
      <c r="AL29" s="372">
        <v>0</v>
      </c>
      <c r="AM29" s="375">
        <v>0</v>
      </c>
      <c r="AO29" s="21"/>
      <c r="AP29" s="787" t="s">
        <v>585</v>
      </c>
      <c r="AQ29" s="373">
        <f>X209</f>
        <v>0</v>
      </c>
      <c r="AR29" s="373">
        <f>AD209</f>
        <v>0</v>
      </c>
      <c r="AS29" s="373">
        <f>AG209</f>
        <v>0</v>
      </c>
      <c r="AT29" s="327"/>
      <c r="AU29" s="342" t="str">
        <f t="shared" si="29"/>
        <v xml:space="preserve"> </v>
      </c>
      <c r="AV29" s="342" t="str">
        <f t="shared" si="30"/>
        <v xml:space="preserve"> </v>
      </c>
      <c r="AW29" s="436">
        <f>(AR29-AD218)/$AO$2*12+AD218</f>
        <v>0</v>
      </c>
      <c r="AX29" s="436">
        <f>(AS29-AG218)/$AO$2*12+AG218</f>
        <v>0</v>
      </c>
      <c r="AY29" s="436">
        <f t="shared" si="31"/>
        <v>0</v>
      </c>
      <c r="AZ29" s="46">
        <f t="shared" si="32"/>
        <v>0</v>
      </c>
      <c r="BA29" s="382"/>
      <c r="BB29" s="422"/>
      <c r="BC29" s="422"/>
      <c r="BD29" s="422"/>
      <c r="BE29" s="422"/>
      <c r="BF29" s="422"/>
      <c r="BG29" s="382"/>
      <c r="BH29" s="382"/>
      <c r="BI29" s="382"/>
      <c r="BJ29" s="382"/>
      <c r="BK29" s="382"/>
      <c r="BM29" s="110" t="s">
        <v>70</v>
      </c>
      <c r="BN29" s="106">
        <f>X232-X256-X241</f>
        <v>464564792</v>
      </c>
      <c r="BO29" s="107">
        <f>AA232-AA256-AA241</f>
        <v>336273002</v>
      </c>
      <c r="BP29" s="107">
        <f>AD232-AD256-AD241</f>
        <v>336273002</v>
      </c>
      <c r="BQ29" s="198">
        <f>AF232-AF256-AF241</f>
        <v>0</v>
      </c>
      <c r="BR29" s="118">
        <f>+BQ29+NOVIEMBRE!BQ29+OCTUBRE!BQ29+SEPTIEMBRE!BQ29+AGOSTO!BQ29+JULIO!BQ29+JUNIO!BQ29+MAYO!BQ29+ABRIL!BQ29+MARZO!BQ29+FEBRERO!BQ29+ENERO!BQ29</f>
        <v>172740563</v>
      </c>
    </row>
    <row r="30" spans="1:249" s="422" customFormat="1" ht="24.95" customHeight="1">
      <c r="A30" s="611" t="str">
        <f>+IF(NOVIEMBRE!A30=0,"",NOVIEMBRE!A30)</f>
        <v>1130103-1-1</v>
      </c>
      <c r="B30" s="646" t="str">
        <f>+CONCATENATE("Vigencia ",INSTRUCCIONES!$F$3)</f>
        <v>Vigencia 2017</v>
      </c>
      <c r="C30" s="671">
        <f>+ENERO!C30</f>
        <v>0</v>
      </c>
      <c r="D30" s="373">
        <f>NOVIEMBRE!D30+DICIEMBRE!P30</f>
        <v>0</v>
      </c>
      <c r="E30" s="373">
        <f>NOVIEMBRE!E30+DICIEMBRE!Q30</f>
        <v>0</v>
      </c>
      <c r="F30" s="373">
        <f>SUM(C30:E30)</f>
        <v>0</v>
      </c>
      <c r="G30" s="373">
        <f>NOVIEMBRE!I30</f>
        <v>0</v>
      </c>
      <c r="H30" s="374">
        <v>0</v>
      </c>
      <c r="I30" s="373">
        <f>SUM(G30:H30)</f>
        <v>0</v>
      </c>
      <c r="J30" s="373">
        <f>NOVIEMBRE!L30</f>
        <v>0</v>
      </c>
      <c r="K30" s="374">
        <v>0</v>
      </c>
      <c r="L30" s="373">
        <f>SUM(J30:K30)</f>
        <v>0</v>
      </c>
      <c r="M30" s="373">
        <f>F30-I30</f>
        <v>0</v>
      </c>
      <c r="N30" s="143">
        <f>F30-L30</f>
        <v>0</v>
      </c>
      <c r="O30" s="9"/>
      <c r="P30" s="372">
        <v>0</v>
      </c>
      <c r="Q30" s="375">
        <v>0</v>
      </c>
      <c r="R30" s="9"/>
      <c r="S30" s="706" t="str">
        <f>+IF(NOVIEMBRE!S30=0,"",NOVIEMBRE!S30)</f>
        <v>1010104-12</v>
      </c>
      <c r="T30" s="682" t="str">
        <f>+IF(NOVIEMBRE!T30=0,"",NOVIEMBRE!T30)</f>
        <v xml:space="preserve"> Indemnizaciones por Vacaciones o Supresión de Cargos por Reestructuración</v>
      </c>
      <c r="U30" s="27">
        <f>+ENERO!U30</f>
        <v>0</v>
      </c>
      <c r="V30" s="15">
        <f>NOVIEMBRE!V30+DICIEMBRE!AL30</f>
        <v>0</v>
      </c>
      <c r="W30" s="15">
        <f>NOVIEMBRE!W30+DICIEMBRE!AM30</f>
        <v>0</v>
      </c>
      <c r="X30" s="18">
        <f t="shared" si="21"/>
        <v>0</v>
      </c>
      <c r="Y30" s="19">
        <f>NOVIEMBRE!AA30</f>
        <v>0</v>
      </c>
      <c r="Z30" s="374">
        <v>0</v>
      </c>
      <c r="AA30" s="18">
        <f t="shared" si="22"/>
        <v>0</v>
      </c>
      <c r="AB30" s="19">
        <f>NOVIEMBRE!AD30</f>
        <v>0</v>
      </c>
      <c r="AC30" s="374">
        <v>0</v>
      </c>
      <c r="AD30" s="18">
        <f t="shared" si="23"/>
        <v>0</v>
      </c>
      <c r="AE30" s="19">
        <f>NOVIEMBRE!AG30</f>
        <v>0</v>
      </c>
      <c r="AF30" s="374">
        <v>0</v>
      </c>
      <c r="AG30" s="18">
        <f t="shared" si="24"/>
        <v>0</v>
      </c>
      <c r="AH30" s="19">
        <f t="shared" si="25"/>
        <v>0</v>
      </c>
      <c r="AI30" s="15">
        <f t="shared" si="26"/>
        <v>0</v>
      </c>
      <c r="AJ30" s="16">
        <f t="shared" si="27"/>
        <v>0</v>
      </c>
      <c r="AK30" s="9"/>
      <c r="AL30" s="372">
        <v>0</v>
      </c>
      <c r="AM30" s="375">
        <v>0</v>
      </c>
      <c r="AN30" s="9"/>
      <c r="AO30" s="370" t="s">
        <v>51</v>
      </c>
      <c r="AP30" s="438" t="s">
        <v>132</v>
      </c>
      <c r="AQ30" s="373">
        <f>X220+X232</f>
        <v>464564792</v>
      </c>
      <c r="AR30" s="373">
        <f>AD220+AD232</f>
        <v>336273002</v>
      </c>
      <c r="AS30" s="373">
        <f>AG220+AG232</f>
        <v>172740563</v>
      </c>
      <c r="AT30" s="431"/>
      <c r="AU30" s="373">
        <f t="shared" si="29"/>
        <v>0.72384521554530545</v>
      </c>
      <c r="AV30" s="373">
        <f t="shared" si="30"/>
        <v>0.37183309190594022</v>
      </c>
      <c r="AW30" s="373">
        <f>(AR30-AD225-AD230-AD241-AD256)/$AO$2*12+AD225+AD230+AD241+AD256</f>
        <v>336273002</v>
      </c>
      <c r="AX30" s="373">
        <f>(AS30-AG225-AG230-AG241-AG256)/$AO$2*12+AG225+AG230+AG241+AG256</f>
        <v>172740563</v>
      </c>
      <c r="AY30" s="373">
        <f t="shared" si="31"/>
        <v>-128291790</v>
      </c>
      <c r="AZ30" s="143">
        <f t="shared" si="32"/>
        <v>291824229</v>
      </c>
      <c r="BA30" s="382"/>
      <c r="BG30" s="382"/>
      <c r="BH30" s="382"/>
      <c r="BI30" s="382"/>
      <c r="BJ30" s="382"/>
      <c r="BK30" s="382"/>
      <c r="BL30" s="38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row>
    <row r="31" spans="1:249" s="422" customFormat="1" ht="24.95" customHeight="1">
      <c r="A31" s="611" t="str">
        <f>+IF(NOVIEMBRE!A31=0,"",NOVIEMBRE!A31)</f>
        <v>1130103-1-2</v>
      </c>
      <c r="B31" s="646" t="str">
        <f>+IF(NOVIEMBRE!B31=0,"",NOVIEMBRE!B31)</f>
        <v>Vigencia Anterior</v>
      </c>
      <c r="C31" s="671">
        <f>+ENERO!C31</f>
        <v>0</v>
      </c>
      <c r="D31" s="373">
        <f>NOVIEMBRE!D31+DICIEMBRE!P31</f>
        <v>0</v>
      </c>
      <c r="E31" s="373">
        <f>NOVIEMBRE!E31+DICIEMBRE!Q31</f>
        <v>0</v>
      </c>
      <c r="F31" s="373">
        <f>SUM(C31:E31)</f>
        <v>0</v>
      </c>
      <c r="G31" s="373">
        <f>NOVIEMBRE!I31</f>
        <v>0</v>
      </c>
      <c r="H31" s="374">
        <v>0</v>
      </c>
      <c r="I31" s="373">
        <f>SUM(G31:H31)</f>
        <v>0</v>
      </c>
      <c r="J31" s="373">
        <f>NOVIEMBRE!L31</f>
        <v>0</v>
      </c>
      <c r="K31" s="374">
        <v>0</v>
      </c>
      <c r="L31" s="373">
        <f>SUM(J31:K31)</f>
        <v>0</v>
      </c>
      <c r="M31" s="373">
        <f>F31-I31</f>
        <v>0</v>
      </c>
      <c r="N31" s="143">
        <f>F31-L31</f>
        <v>0</v>
      </c>
      <c r="O31" s="382"/>
      <c r="P31" s="372">
        <v>0</v>
      </c>
      <c r="Q31" s="375">
        <v>0</v>
      </c>
      <c r="R31" s="9"/>
      <c r="S31" s="706" t="str">
        <f>+IF(NOVIEMBRE!S31=0,"",NOVIEMBRE!S31)</f>
        <v>1010104-13</v>
      </c>
      <c r="T31" s="682" t="str">
        <f>+IF(NOVIEMBRE!T31=0,"",NOVIEMBRE!T31)</f>
        <v>Bonificación Especial por Recreación</v>
      </c>
      <c r="U31" s="27">
        <f>+ENERO!U31</f>
        <v>1869843</v>
      </c>
      <c r="V31" s="15">
        <f>NOVIEMBRE!V31+DICIEMBRE!AL31</f>
        <v>2000000</v>
      </c>
      <c r="W31" s="15">
        <f>NOVIEMBRE!W31+DICIEMBRE!AM31</f>
        <v>17265</v>
      </c>
      <c r="X31" s="18">
        <f t="shared" si="21"/>
        <v>3887108</v>
      </c>
      <c r="Y31" s="19">
        <f>NOVIEMBRE!AA31</f>
        <v>3055795</v>
      </c>
      <c r="Z31" s="374">
        <v>0</v>
      </c>
      <c r="AA31" s="18">
        <f t="shared" si="22"/>
        <v>3055795</v>
      </c>
      <c r="AB31" s="19">
        <f>NOVIEMBRE!AD31</f>
        <v>3055795</v>
      </c>
      <c r="AC31" s="374">
        <v>0</v>
      </c>
      <c r="AD31" s="18">
        <f t="shared" si="23"/>
        <v>3055795</v>
      </c>
      <c r="AE31" s="19">
        <f>NOVIEMBRE!AG31</f>
        <v>3055795</v>
      </c>
      <c r="AF31" s="374">
        <v>0</v>
      </c>
      <c r="AG31" s="18">
        <f t="shared" si="24"/>
        <v>3055795</v>
      </c>
      <c r="AH31" s="19">
        <f t="shared" si="25"/>
        <v>831313</v>
      </c>
      <c r="AI31" s="15">
        <f t="shared" si="26"/>
        <v>831313</v>
      </c>
      <c r="AJ31" s="16">
        <f t="shared" si="27"/>
        <v>831313</v>
      </c>
      <c r="AK31" s="9"/>
      <c r="AL31" s="372">
        <v>0</v>
      </c>
      <c r="AM31" s="375">
        <v>0</v>
      </c>
      <c r="AN31" s="9"/>
      <c r="AO31" s="349"/>
      <c r="AP31" s="415" t="s">
        <v>135</v>
      </c>
      <c r="AQ31" s="431">
        <f>X258</f>
        <v>0</v>
      </c>
      <c r="AR31" s="431">
        <f>AD258</f>
        <v>-18633619131</v>
      </c>
      <c r="AS31" s="431">
        <f>AG258</f>
        <v>-43822101413</v>
      </c>
      <c r="AT31" s="431"/>
      <c r="AU31" s="373" t="str">
        <f t="shared" si="29"/>
        <v xml:space="preserve"> </v>
      </c>
      <c r="AV31" s="373" t="str">
        <f t="shared" si="30"/>
        <v xml:space="preserve"> </v>
      </c>
      <c r="AW31" s="373">
        <f>AQ31</f>
        <v>0</v>
      </c>
      <c r="AX31" s="373">
        <f>AQ31</f>
        <v>0</v>
      </c>
      <c r="AY31" s="373">
        <f t="shared" si="31"/>
        <v>0</v>
      </c>
      <c r="AZ31" s="143">
        <f t="shared" si="32"/>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14156833135</v>
      </c>
      <c r="BO31" s="107">
        <f>AA33+AA41+AA55+AA61+AA81+AA88+AA102+AA108+AA121+AA139+AA143+AA153+AA168+AA174+AA183+AA191+AA207+AA218+AA230+AA241+AA256+AA225</f>
        <v>14145405017</v>
      </c>
      <c r="BP31" s="107">
        <f>AD33+AD41+AD55+AD61+AD81+AD88+AD102+AD108+AD121+AD139+AD143+AD153+AD168+AD174+AD183+AD191+AD207+AD218+AD230+AD241+AD256+AD225</f>
        <v>14145405017</v>
      </c>
      <c r="BQ31" s="198">
        <f>AF33+AF41+AF55+AF61+AF81+AF88+AF102+AF108+AF121+AF139+AF143+AF153+AF168+AF174+AF183+AF191+AF207+AF218+AF230+AF241+AF256+AF225</f>
        <v>1864470851</v>
      </c>
      <c r="BR31" s="118">
        <f>+BQ31+NOVIEMBRE!BQ31+OCTUBRE!BQ31+SEPTIEMBRE!BQ31+AGOSTO!BQ31+JULIO!BQ31+JUNIO!BQ31+MAYO!BQ31+ABRIL!BQ31+MARZO!BQ31+FEBRERO!BQ31+ENERO!BQ31</f>
        <v>14145405017</v>
      </c>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row>
    <row r="32" spans="1:249" s="9" customFormat="1" ht="24.95" customHeight="1" thickBot="1">
      <c r="A32" s="611" t="str">
        <f>+IF(NOVIEMBRE!A32=0,"",NOVIEMBRE!A32)</f>
        <v>1130103-2</v>
      </c>
      <c r="B32" s="647" t="str">
        <f>+IF(NOVIEMBRE!B32=0,"",NOVIEMBRE!B32)</f>
        <v>Prestación de Servicios de salud  2o. Nivel</v>
      </c>
      <c r="C32" s="19">
        <f t="shared" ref="C32:N32" si="36">SUM(C33:C34)</f>
        <v>157521482</v>
      </c>
      <c r="D32" s="15">
        <f t="shared" si="36"/>
        <v>0</v>
      </c>
      <c r="E32" s="15">
        <f t="shared" si="36"/>
        <v>212958</v>
      </c>
      <c r="F32" s="15">
        <f t="shared" si="36"/>
        <v>157734440</v>
      </c>
      <c r="G32" s="15">
        <f t="shared" si="36"/>
        <v>1455965978</v>
      </c>
      <c r="H32" s="15">
        <f t="shared" si="36"/>
        <v>51809040</v>
      </c>
      <c r="I32" s="15">
        <f t="shared" si="36"/>
        <v>1507775018</v>
      </c>
      <c r="J32" s="15">
        <f t="shared" si="36"/>
        <v>126711929</v>
      </c>
      <c r="K32" s="15">
        <f t="shared" si="36"/>
        <v>0</v>
      </c>
      <c r="L32" s="15">
        <f t="shared" si="36"/>
        <v>126711929</v>
      </c>
      <c r="M32" s="15">
        <f t="shared" si="36"/>
        <v>-1350040578</v>
      </c>
      <c r="N32" s="16">
        <f t="shared" si="36"/>
        <v>31022511</v>
      </c>
      <c r="O32" s="382"/>
      <c r="P32" s="144">
        <f>SUM(P33:P34)</f>
        <v>0</v>
      </c>
      <c r="Q32" s="145">
        <f>SUM(Q33:Q34)</f>
        <v>0</v>
      </c>
      <c r="S32" s="706" t="str">
        <f>+IF(NOVIEMBRE!S32=0,"",NOVIEMBRE!S32)</f>
        <v>1010104-14</v>
      </c>
      <c r="T32" s="682" t="str">
        <f>+IF(NOVIEMBRE!T32=0,"",NOVIEMBRE!T32)</f>
        <v/>
      </c>
      <c r="U32" s="27">
        <f>+ENERO!U32</f>
        <v>0</v>
      </c>
      <c r="V32" s="15">
        <f>NOVIEMBRE!V32+DICIEMBRE!AL32</f>
        <v>0</v>
      </c>
      <c r="W32" s="15">
        <f>NOVIEMBRE!W32+DICIEMBRE!AM32</f>
        <v>0</v>
      </c>
      <c r="X32" s="18">
        <f t="shared" si="21"/>
        <v>0</v>
      </c>
      <c r="Y32" s="19">
        <f>NOVIEMBRE!AA32</f>
        <v>0</v>
      </c>
      <c r="Z32" s="374">
        <v>0</v>
      </c>
      <c r="AA32" s="18">
        <f t="shared" si="22"/>
        <v>0</v>
      </c>
      <c r="AB32" s="19">
        <f>NOVIEMBRE!AD32</f>
        <v>0</v>
      </c>
      <c r="AC32" s="374">
        <v>0</v>
      </c>
      <c r="AD32" s="18">
        <f t="shared" si="23"/>
        <v>0</v>
      </c>
      <c r="AE32" s="19">
        <f>NOVIEMBRE!AG32</f>
        <v>0</v>
      </c>
      <c r="AF32" s="374">
        <v>0</v>
      </c>
      <c r="AG32" s="18">
        <f t="shared" si="24"/>
        <v>0</v>
      </c>
      <c r="AH32" s="19">
        <f t="shared" si="25"/>
        <v>0</v>
      </c>
      <c r="AI32" s="15">
        <f t="shared" si="26"/>
        <v>0</v>
      </c>
      <c r="AJ32" s="16">
        <f t="shared" si="27"/>
        <v>0</v>
      </c>
      <c r="AL32" s="372">
        <v>0</v>
      </c>
      <c r="AM32" s="375">
        <v>0</v>
      </c>
      <c r="AO32" s="21"/>
      <c r="AP32" s="440" t="s">
        <v>140</v>
      </c>
      <c r="AQ32" s="395">
        <f>SUM(AQ22:AQ31)</f>
        <v>70007618202</v>
      </c>
      <c r="AR32" s="395">
        <f>SUM(AR22:AR31)</f>
        <v>44717742203</v>
      </c>
      <c r="AS32" s="395">
        <f>SUM(AS22:AS31)</f>
        <v>0</v>
      </c>
      <c r="AT32" s="441"/>
      <c r="AU32" s="442">
        <f t="shared" si="29"/>
        <v>0.63875537193640008</v>
      </c>
      <c r="AV32" s="442">
        <f t="shared" si="30"/>
        <v>0</v>
      </c>
      <c r="AW32" s="351">
        <f>SUM(AW22:AW31)</f>
        <v>63290056342.041664</v>
      </c>
      <c r="AX32" s="351">
        <f>SUM(AX22:AX31)</f>
        <v>43760796421.041672</v>
      </c>
      <c r="AY32" s="351">
        <f>SUM(AY22:AY31)</f>
        <v>-6717561859.958334</v>
      </c>
      <c r="AZ32" s="352">
        <f>SUM(AZ22:AZ31)</f>
        <v>26246821780.958336</v>
      </c>
      <c r="BA32" s="382"/>
      <c r="BB32" s="422"/>
      <c r="BC32" s="422"/>
      <c r="BD32" s="422"/>
      <c r="BE32" s="422"/>
      <c r="BF32" s="422"/>
      <c r="BG32" s="382"/>
      <c r="BH32" s="382"/>
      <c r="BI32" s="382"/>
      <c r="BJ32" s="382"/>
      <c r="BK32" s="382"/>
      <c r="BM32" s="110" t="s">
        <v>136</v>
      </c>
      <c r="BN32" s="106">
        <f>+BN7+BN25+BN29+BN30+BN31</f>
        <v>70007618202</v>
      </c>
      <c r="BO32" s="107">
        <f t="shared" ref="BO32:BQ32" si="37">+BO7+BO25+BO29+BO30+BO31</f>
        <v>63351361335</v>
      </c>
      <c r="BP32" s="107">
        <f t="shared" si="37"/>
        <v>63351361334</v>
      </c>
      <c r="BQ32" s="108">
        <f t="shared" si="37"/>
        <v>6423668025</v>
      </c>
      <c r="BR32" s="118">
        <f>+BQ32+NOVIEMBRE!BQ32+OCTUBRE!BQ32+SEPTIEMBRE!BQ32+AGOSTO!BQ32+JULIO!BQ32+JUNIO!BQ32+MAYO!BQ32+ABRIL!BQ32+MARZO!BQ32+FEBRERO!BQ32+ENERO!BQ32</f>
        <v>43822101413</v>
      </c>
    </row>
    <row r="33" spans="1:249" s="422" customFormat="1" ht="24.95" customHeight="1" thickBot="1">
      <c r="A33" s="611" t="str">
        <f>+IF(NOVIEMBRE!A33=0,"",NOVIEMBRE!A33)</f>
        <v>1130103-2-1</v>
      </c>
      <c r="B33" s="646" t="str">
        <f>+CONCATENATE("Vigencia ",INSTRUCCIONES!$F$3)</f>
        <v>Vigencia 2017</v>
      </c>
      <c r="C33" s="671">
        <f>+ENERO!C33</f>
        <v>157521482</v>
      </c>
      <c r="D33" s="373">
        <f>NOVIEMBRE!D33+DICIEMBRE!P33</f>
        <v>0</v>
      </c>
      <c r="E33" s="373">
        <f>NOVIEMBRE!E33+DICIEMBRE!Q33</f>
        <v>0</v>
      </c>
      <c r="F33" s="373">
        <f>SUM(C33:E33)</f>
        <v>157521482</v>
      </c>
      <c r="G33" s="373">
        <f>NOVIEMBRE!I33</f>
        <v>1455753020</v>
      </c>
      <c r="H33" s="374">
        <v>51809040</v>
      </c>
      <c r="I33" s="373">
        <f>SUM(G33:H33)</f>
        <v>1507562060</v>
      </c>
      <c r="J33" s="373">
        <f>NOVIEMBRE!L33</f>
        <v>126498971</v>
      </c>
      <c r="K33" s="374">
        <v>0</v>
      </c>
      <c r="L33" s="373">
        <f>SUM(J33:K33)</f>
        <v>126498971</v>
      </c>
      <c r="M33" s="373">
        <f>F33-I33</f>
        <v>-1350040578</v>
      </c>
      <c r="N33" s="143">
        <f>F33-L33</f>
        <v>31022511</v>
      </c>
      <c r="O33" s="9"/>
      <c r="P33" s="372">
        <v>0</v>
      </c>
      <c r="Q33" s="375">
        <v>0</v>
      </c>
      <c r="R33" s="9"/>
      <c r="S33" s="705">
        <f>+IF(NOVIEMBRE!S33=0,"",NOVIEMBRE!S33)</f>
        <v>1010199</v>
      </c>
      <c r="T33" s="681" t="str">
        <f>+IF(NOVIEMBRE!T33=0,"",NOVIEMBRE!T33)</f>
        <v>Vigencias Anteriores</v>
      </c>
      <c r="U33" s="27">
        <f>+ENERO!U33</f>
        <v>0</v>
      </c>
      <c r="V33" s="15">
        <f>NOVIEMBRE!V33+DICIEMBRE!AL33</f>
        <v>0</v>
      </c>
      <c r="W33" s="15">
        <f>NOVIEMBRE!W33+DICIEMBRE!AM33</f>
        <v>0</v>
      </c>
      <c r="X33" s="18">
        <f t="shared" si="21"/>
        <v>0</v>
      </c>
      <c r="Y33" s="19">
        <f>NOVIEMBRE!AA33</f>
        <v>0</v>
      </c>
      <c r="Z33" s="374">
        <v>0</v>
      </c>
      <c r="AA33" s="18">
        <f t="shared" si="22"/>
        <v>0</v>
      </c>
      <c r="AB33" s="19">
        <f>NOVIEMBRE!AD33</f>
        <v>0</v>
      </c>
      <c r="AC33" s="374">
        <v>0</v>
      </c>
      <c r="AD33" s="18">
        <f t="shared" si="23"/>
        <v>0</v>
      </c>
      <c r="AE33" s="19">
        <f>NOVIEMBRE!AG33</f>
        <v>0</v>
      </c>
      <c r="AF33" s="374">
        <v>0</v>
      </c>
      <c r="AG33" s="18">
        <f t="shared" si="24"/>
        <v>0</v>
      </c>
      <c r="AH33" s="19">
        <f t="shared" si="25"/>
        <v>0</v>
      </c>
      <c r="AI33" s="15">
        <f t="shared" si="26"/>
        <v>0</v>
      </c>
      <c r="AJ33" s="16">
        <f t="shared" si="27"/>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5792488028</v>
      </c>
      <c r="BP33" s="113">
        <f>AD258</f>
        <v>-18633619131</v>
      </c>
      <c r="BQ33" s="114">
        <f>AF258</f>
        <v>18866207974</v>
      </c>
      <c r="BR33" s="118"/>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row>
    <row r="34" spans="1:249" s="422" customFormat="1" ht="24.95" customHeight="1" thickBot="1">
      <c r="A34" s="611" t="str">
        <f>+IF(NOVIEMBRE!A34=0,"",NOVIEMBRE!A34)</f>
        <v>1130103-2-2</v>
      </c>
      <c r="B34" s="646" t="str">
        <f>+IF(NOVIEMBRE!B34=0,"",NOVIEMBRE!B34)</f>
        <v>Vigencia Anterior</v>
      </c>
      <c r="C34" s="671">
        <f>+ENERO!C34</f>
        <v>0</v>
      </c>
      <c r="D34" s="373">
        <f>NOVIEMBRE!D34+DICIEMBRE!P34</f>
        <v>0</v>
      </c>
      <c r="E34" s="373">
        <f>NOVIEMBRE!E34+DICIEMBRE!Q34</f>
        <v>212958</v>
      </c>
      <c r="F34" s="373">
        <f>SUM(C34:E34)</f>
        <v>212958</v>
      </c>
      <c r="G34" s="373">
        <f>NOVIEMBRE!I34</f>
        <v>212958</v>
      </c>
      <c r="H34" s="374">
        <v>0</v>
      </c>
      <c r="I34" s="373">
        <f>SUM(G34:H34)</f>
        <v>212958</v>
      </c>
      <c r="J34" s="373">
        <f>NOVIEMBRE!L34</f>
        <v>212958</v>
      </c>
      <c r="K34" s="374">
        <v>0</v>
      </c>
      <c r="L34" s="373">
        <f>SUM(J34:K34)</f>
        <v>212958</v>
      </c>
      <c r="M34" s="373">
        <f>F34-I34</f>
        <v>0</v>
      </c>
      <c r="N34" s="143">
        <f>F34-L34</f>
        <v>0</v>
      </c>
      <c r="O34" s="382"/>
      <c r="P34" s="372">
        <v>0</v>
      </c>
      <c r="Q34" s="375">
        <v>0</v>
      </c>
      <c r="R34" s="9"/>
      <c r="S34" s="366" t="str">
        <f>+IF(NOVIEMBRE!S34=0,"",NOVIEMBRE!S34)</f>
        <v/>
      </c>
      <c r="T34" s="695"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30"/>
      <c r="BR34" s="9"/>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row>
    <row r="35" spans="1:249" s="382" customFormat="1" ht="24.95" customHeight="1" thickBot="1">
      <c r="A35" s="611" t="str">
        <f>+IF(NOVIEMBRE!A35=0,"",NOVIEMBRE!A35)</f>
        <v>1130103-3</v>
      </c>
      <c r="B35" s="647" t="str">
        <f>+IF(NOVIEMBRE!B35=0,"",NOVIEMBRE!B35)</f>
        <v>Prestación de Servicios de salud  3o. Nivel</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704">
        <f>+IF(NOVIEMBRE!S35=0,"",NOVIEMBRE!S35)</f>
        <v>1010200</v>
      </c>
      <c r="T35" s="680" t="str">
        <f>+IF(NOVIEMBRE!T35=0,"",NOVIEMBRE!T35)</f>
        <v>Servicios Personales Indirectos</v>
      </c>
      <c r="U35" s="132">
        <f t="shared" ref="U35:AJ35" si="39">SUM(U36:U41)</f>
        <v>3034900183</v>
      </c>
      <c r="V35" s="122">
        <f t="shared" si="39"/>
        <v>621237496</v>
      </c>
      <c r="W35" s="122">
        <f t="shared" si="39"/>
        <v>2820585841</v>
      </c>
      <c r="X35" s="129">
        <f t="shared" si="39"/>
        <v>6476723520</v>
      </c>
      <c r="Y35" s="128">
        <f t="shared" si="39"/>
        <v>6275832133</v>
      </c>
      <c r="Z35" s="122">
        <f t="shared" si="39"/>
        <v>-236224767</v>
      </c>
      <c r="AA35" s="129">
        <f t="shared" si="39"/>
        <v>6039607366</v>
      </c>
      <c r="AB35" s="128">
        <f t="shared" si="39"/>
        <v>5342630026</v>
      </c>
      <c r="AC35" s="122">
        <f t="shared" si="39"/>
        <v>696977340</v>
      </c>
      <c r="AD35" s="129">
        <f t="shared" si="39"/>
        <v>6039607366</v>
      </c>
      <c r="AE35" s="128">
        <f t="shared" si="39"/>
        <v>4435954214</v>
      </c>
      <c r="AF35" s="122">
        <f t="shared" si="39"/>
        <v>460808954</v>
      </c>
      <c r="AG35" s="129">
        <f t="shared" si="39"/>
        <v>4896763168</v>
      </c>
      <c r="AH35" s="128">
        <f t="shared" si="39"/>
        <v>437116154</v>
      </c>
      <c r="AI35" s="122">
        <f t="shared" si="39"/>
        <v>437116154</v>
      </c>
      <c r="AJ35" s="130">
        <f t="shared" si="39"/>
        <v>1579960352</v>
      </c>
      <c r="AK35" s="9"/>
      <c r="AL35" s="128">
        <f>SUM(AL36:AL41)</f>
        <v>-97342872</v>
      </c>
      <c r="AM35" s="130">
        <f>SUM(AM36:AM41)</f>
        <v>95585841</v>
      </c>
      <c r="AN35" s="9"/>
      <c r="AO35" s="349"/>
      <c r="AP35" s="450"/>
      <c r="AQ35" s="292"/>
      <c r="AR35" s="451"/>
      <c r="AS35" s="451"/>
      <c r="AT35" s="451"/>
      <c r="AU35" s="452">
        <f>AR17-AR32</f>
        <v>22927788118</v>
      </c>
      <c r="AV35" s="453">
        <f>AS17-AR32</f>
        <v>-1041154080</v>
      </c>
      <c r="AW35" s="453" t="s">
        <v>153</v>
      </c>
      <c r="AX35" s="454"/>
      <c r="AY35" s="453">
        <f>AY17+AY32</f>
        <v>-6423516604.958334</v>
      </c>
      <c r="AZ35" s="455">
        <f>AZ17+AY32</f>
        <v>-30849623764.958336</v>
      </c>
      <c r="BB35" s="422"/>
      <c r="BC35" s="422"/>
      <c r="BD35" s="422"/>
      <c r="BE35" s="422"/>
      <c r="BF35" s="422"/>
      <c r="BQ35" s="461"/>
    </row>
    <row r="36" spans="1:249" s="382" customFormat="1" ht="24.95" customHeight="1" thickBot="1">
      <c r="A36" s="611" t="str">
        <f>+IF(NOVIEMBRE!A36=0,"",NOVIEMBRE!A36)</f>
        <v>1130103-3-1</v>
      </c>
      <c r="B36" s="646" t="str">
        <f>+CONCATENATE("Vigencia ",INSTRUCCIONES!$F$3)</f>
        <v>Vigencia 2017</v>
      </c>
      <c r="C36" s="671">
        <f>+ENERO!C36</f>
        <v>0</v>
      </c>
      <c r="D36" s="373">
        <f>NOVIEMBRE!D36+DICIEMBRE!P36</f>
        <v>0</v>
      </c>
      <c r="E36" s="373">
        <f>NOVIEMBRE!E36+DICIEMBRE!Q36</f>
        <v>0</v>
      </c>
      <c r="F36" s="373">
        <f>SUM(C36:E36)</f>
        <v>0</v>
      </c>
      <c r="G36" s="373">
        <f>NOVIEMBRE!I36</f>
        <v>0</v>
      </c>
      <c r="H36" s="374">
        <v>0</v>
      </c>
      <c r="I36" s="373">
        <f>SUM(G36:H36)</f>
        <v>0</v>
      </c>
      <c r="J36" s="373">
        <f>NOVIEMBRE!L36</f>
        <v>0</v>
      </c>
      <c r="K36" s="374">
        <v>0</v>
      </c>
      <c r="L36" s="373">
        <f>SUM(J36:K36)</f>
        <v>0</v>
      </c>
      <c r="M36" s="373">
        <f>F36-I36</f>
        <v>0</v>
      </c>
      <c r="N36" s="143">
        <f>F36-L36</f>
        <v>0</v>
      </c>
      <c r="O36" s="9"/>
      <c r="P36" s="372">
        <v>0</v>
      </c>
      <c r="Q36" s="375">
        <v>0</v>
      </c>
      <c r="R36" s="9"/>
      <c r="S36" s="705" t="str">
        <f>+IF(NOVIEMBRE!S36=0,"",NOVIEMBRE!S36)</f>
        <v>1010200-1</v>
      </c>
      <c r="T36" s="681" t="str">
        <f>+IF(NOVIEMBRE!T36=0,"",NOVIEMBRE!T36)</f>
        <v>Remuneración y Honorarios por Servicios Técnicos y Profesionales</v>
      </c>
      <c r="U36" s="27">
        <f>+ENERO!U36</f>
        <v>999690000</v>
      </c>
      <c r="V36" s="15">
        <f>NOVIEMBRE!V36+DICIEMBRE!AL36</f>
        <v>386300000</v>
      </c>
      <c r="W36" s="15">
        <f>NOVIEMBRE!W36+DICIEMBRE!AM36</f>
        <v>430491854</v>
      </c>
      <c r="X36" s="18">
        <f t="shared" ref="X36:X41" si="40">SUM(U36:W36)</f>
        <v>1816481854</v>
      </c>
      <c r="Y36" s="19">
        <f>NOVIEMBRE!AA36</f>
        <v>1804554398</v>
      </c>
      <c r="Z36" s="374">
        <v>-35892350</v>
      </c>
      <c r="AA36" s="18">
        <f t="shared" ref="AA36:AA41" si="41">SUM(Y36:Z36)</f>
        <v>1768662048</v>
      </c>
      <c r="AB36" s="19">
        <f>NOVIEMBRE!AD36</f>
        <v>1608633048</v>
      </c>
      <c r="AC36" s="374">
        <v>160029000</v>
      </c>
      <c r="AD36" s="18">
        <f t="shared" ref="AD36:AD41" si="42">SUM(AB36:AC36)</f>
        <v>1768662048</v>
      </c>
      <c r="AE36" s="19">
        <f>NOVIEMBRE!AG36</f>
        <v>1365740089</v>
      </c>
      <c r="AF36" s="374">
        <v>194010052</v>
      </c>
      <c r="AG36" s="18">
        <f t="shared" ref="AG36:AG41" si="43">SUM(AE36:AF36)</f>
        <v>1559750141</v>
      </c>
      <c r="AH36" s="19">
        <f t="shared" ref="AH36:AH41" si="44">X36-AA36</f>
        <v>47819806</v>
      </c>
      <c r="AI36" s="15">
        <f t="shared" ref="AI36:AI41" si="45">X36-AD36</f>
        <v>47819806</v>
      </c>
      <c r="AJ36" s="16">
        <f t="shared" ref="AJ36:AJ41" si="46">X36-AG36</f>
        <v>256731713</v>
      </c>
      <c r="AK36" s="9"/>
      <c r="AL36" s="372">
        <v>0</v>
      </c>
      <c r="AM36" s="375">
        <v>10491854</v>
      </c>
      <c r="AN36" s="9"/>
      <c r="AO36" s="456"/>
      <c r="AP36" s="22"/>
      <c r="AQ36" s="22"/>
      <c r="AR36" s="22"/>
      <c r="AS36" s="22"/>
      <c r="AT36" s="22"/>
      <c r="AU36" s="22"/>
      <c r="AV36" s="22"/>
      <c r="AW36" s="22"/>
      <c r="AX36" s="22"/>
      <c r="AY36" s="22"/>
      <c r="AZ36" s="23"/>
      <c r="BB36" s="422"/>
      <c r="BC36" s="422"/>
      <c r="BD36" s="422"/>
      <c r="BE36" s="422"/>
      <c r="BF36" s="422"/>
      <c r="BQ36" s="461"/>
    </row>
    <row r="37" spans="1:249" s="382" customFormat="1" ht="24.95" customHeight="1">
      <c r="A37" s="611" t="str">
        <f>+IF(NOVIEMBRE!A37=0,"",NOVIEMBRE!A37)</f>
        <v>1130103-3-2</v>
      </c>
      <c r="B37" s="646" t="str">
        <f>+IF(NOVIEMBRE!B37=0,"",NOVIEMBRE!B37)</f>
        <v>Vigencia Anterior</v>
      </c>
      <c r="C37" s="671">
        <f>+ENERO!C37</f>
        <v>0</v>
      </c>
      <c r="D37" s="373">
        <f>NOVIEMBRE!D37+DICIEMBRE!P37</f>
        <v>0</v>
      </c>
      <c r="E37" s="373">
        <f>NOVIEMBRE!E37+DICIEMBRE!Q37</f>
        <v>0</v>
      </c>
      <c r="F37" s="373">
        <f>SUM(C37:E37)</f>
        <v>0</v>
      </c>
      <c r="G37" s="373">
        <f>NOVIEMBRE!I37</f>
        <v>0</v>
      </c>
      <c r="H37" s="374">
        <v>0</v>
      </c>
      <c r="I37" s="373">
        <f>SUM(G37:H37)</f>
        <v>0</v>
      </c>
      <c r="J37" s="373">
        <f>NOVIEMBRE!L37</f>
        <v>0</v>
      </c>
      <c r="K37" s="374">
        <v>0</v>
      </c>
      <c r="L37" s="373">
        <f>SUM(J37:K37)</f>
        <v>0</v>
      </c>
      <c r="M37" s="373">
        <f>F37-I37</f>
        <v>0</v>
      </c>
      <c r="N37" s="143">
        <f>F37-L37</f>
        <v>0</v>
      </c>
      <c r="P37" s="372">
        <v>0</v>
      </c>
      <c r="Q37" s="375">
        <v>0</v>
      </c>
      <c r="R37" s="9"/>
      <c r="S37" s="705" t="str">
        <f>+IF(NOVIEMBRE!S37=0,"",NOVIEMBRE!S37)</f>
        <v>1010200-2</v>
      </c>
      <c r="T37" s="681" t="str">
        <f>+IF(NOVIEMBRE!T37=0,"",NOVIEMBRE!T37)</f>
        <v>Personal Supernumerario</v>
      </c>
      <c r="U37" s="27">
        <f>+ENERO!U37</f>
        <v>0</v>
      </c>
      <c r="V37" s="15">
        <f>NOVIEMBRE!V37+DICIEMBRE!AL37</f>
        <v>0</v>
      </c>
      <c r="W37" s="15">
        <f>NOVIEMBRE!W37+DICIEMBRE!AM37</f>
        <v>0</v>
      </c>
      <c r="X37" s="18">
        <f t="shared" si="40"/>
        <v>0</v>
      </c>
      <c r="Y37" s="19">
        <f>NOVIEMBRE!AA37</f>
        <v>0</v>
      </c>
      <c r="Z37" s="374">
        <v>0</v>
      </c>
      <c r="AA37" s="18">
        <f t="shared" si="41"/>
        <v>0</v>
      </c>
      <c r="AB37" s="19">
        <f>NOVIEMBRE!AD37</f>
        <v>0</v>
      </c>
      <c r="AC37" s="374">
        <v>0</v>
      </c>
      <c r="AD37" s="18">
        <f t="shared" si="42"/>
        <v>0</v>
      </c>
      <c r="AE37" s="19">
        <f>NOVIEMBRE!AG37</f>
        <v>0</v>
      </c>
      <c r="AF37" s="374">
        <v>0</v>
      </c>
      <c r="AG37" s="18">
        <f t="shared" si="43"/>
        <v>0</v>
      </c>
      <c r="AH37" s="19">
        <f t="shared" si="44"/>
        <v>0</v>
      </c>
      <c r="AI37" s="15">
        <f t="shared" si="45"/>
        <v>0</v>
      </c>
      <c r="AJ37" s="16">
        <f t="shared" si="46"/>
        <v>0</v>
      </c>
      <c r="AK37" s="9"/>
      <c r="AL37" s="372">
        <v>0</v>
      </c>
      <c r="AM37" s="375">
        <v>0</v>
      </c>
      <c r="AN37" s="9"/>
      <c r="AO37" s="24" t="s">
        <v>156</v>
      </c>
      <c r="BQ37" s="461"/>
    </row>
    <row r="38" spans="1:249" s="382" customFormat="1" ht="24.95" customHeight="1">
      <c r="A38" s="735" t="str">
        <f>+IF(NOVIEMBRE!A38=0,"",NOVIEMBRE!A38)</f>
        <v>1130103-4</v>
      </c>
      <c r="B38" s="648" t="str">
        <f>+IF(NOVIEMBRE!B38=0,"",NOVIEMBRE!B38)</f>
        <v xml:space="preserve"> Aportes Patronales  1o. Nivel</v>
      </c>
      <c r="C38" s="671">
        <f>+ENERO!C38</f>
        <v>0</v>
      </c>
      <c r="D38" s="373">
        <f>NOVIEMBRE!D38+DICIEMBRE!P38</f>
        <v>0</v>
      </c>
      <c r="E38" s="373">
        <f>NOVIEMBRE!E38+DICIEMBRE!Q38</f>
        <v>0</v>
      </c>
      <c r="F38" s="373">
        <f t="shared" ref="F38:F41" si="47">SUM(C38:E38)</f>
        <v>0</v>
      </c>
      <c r="G38" s="373">
        <f>NOVIEMBRE!I38</f>
        <v>0</v>
      </c>
      <c r="H38" s="374">
        <v>0</v>
      </c>
      <c r="I38" s="373">
        <f t="shared" ref="I38:I41" si="48">SUM(G38:H38)</f>
        <v>0</v>
      </c>
      <c r="J38" s="373">
        <f>NOVIEMBRE!L38</f>
        <v>0</v>
      </c>
      <c r="K38" s="374">
        <v>0</v>
      </c>
      <c r="L38" s="373">
        <f t="shared" ref="L38:L41" si="49">SUM(J38:K38)</f>
        <v>0</v>
      </c>
      <c r="M38" s="373">
        <f t="shared" ref="M38:M41" si="50">F38-I38</f>
        <v>0</v>
      </c>
      <c r="N38" s="143">
        <f t="shared" ref="N38:N41" si="51">F38-L38</f>
        <v>0</v>
      </c>
      <c r="O38" s="525"/>
      <c r="P38" s="372">
        <v>0</v>
      </c>
      <c r="Q38" s="375">
        <v>0</v>
      </c>
      <c r="R38" s="9"/>
      <c r="S38" s="705" t="str">
        <f>+IF(NOVIEMBRE!S38=0,"",NOVIEMBRE!S38)</f>
        <v>1010200-3</v>
      </c>
      <c r="T38" s="681" t="str">
        <f>+IF(NOVIEMBRE!T38=0,"",NOVIEMBRE!T38)</f>
        <v>Honorarios de la Junta Directiva</v>
      </c>
      <c r="U38" s="27">
        <f>+ENERO!U38</f>
        <v>5000000</v>
      </c>
      <c r="V38" s="15">
        <f>NOVIEMBRE!V38+DICIEMBRE!AL38</f>
        <v>0</v>
      </c>
      <c r="W38" s="15">
        <f>NOVIEMBRE!W38+DICIEMBRE!AM38</f>
        <v>5000000</v>
      </c>
      <c r="X38" s="18">
        <f t="shared" si="40"/>
        <v>10000000</v>
      </c>
      <c r="Y38" s="19">
        <f>NOVIEMBRE!AA38</f>
        <v>4329776</v>
      </c>
      <c r="Z38" s="374">
        <v>368858</v>
      </c>
      <c r="AA38" s="18">
        <f t="shared" si="41"/>
        <v>4698634</v>
      </c>
      <c r="AB38" s="19">
        <f>NOVIEMBRE!AD38</f>
        <v>4329776</v>
      </c>
      <c r="AC38" s="374">
        <v>368858</v>
      </c>
      <c r="AD38" s="18">
        <f t="shared" si="42"/>
        <v>4698634</v>
      </c>
      <c r="AE38" s="19">
        <f>NOVIEMBRE!AG38</f>
        <v>2164889</v>
      </c>
      <c r="AF38" s="374">
        <v>0</v>
      </c>
      <c r="AG38" s="18">
        <f t="shared" si="43"/>
        <v>2164889</v>
      </c>
      <c r="AH38" s="19">
        <f t="shared" si="44"/>
        <v>5301366</v>
      </c>
      <c r="AI38" s="15">
        <f t="shared" si="45"/>
        <v>5301366</v>
      </c>
      <c r="AJ38" s="16">
        <f t="shared" si="46"/>
        <v>7835111</v>
      </c>
      <c r="AK38" s="9"/>
      <c r="AL38" s="372">
        <v>0</v>
      </c>
      <c r="AM38" s="375">
        <v>0</v>
      </c>
      <c r="AN38" s="9"/>
      <c r="AO38" s="294"/>
      <c r="AP38" s="294"/>
      <c r="AQ38" s="294"/>
      <c r="AR38" s="294"/>
      <c r="AS38" s="294"/>
      <c r="AT38" s="294"/>
      <c r="AU38" s="294"/>
      <c r="AV38" s="294"/>
      <c r="AW38" s="294"/>
      <c r="AX38" s="294"/>
      <c r="AY38" s="294"/>
      <c r="AZ38" s="294"/>
      <c r="BQ38" s="461"/>
    </row>
    <row r="39" spans="1:249" s="382" customFormat="1" ht="24.95" customHeight="1">
      <c r="A39" s="735" t="str">
        <f>+IF(NOVIEMBRE!A39=0,"",NOVIEMBRE!A39)</f>
        <v>1130103-5</v>
      </c>
      <c r="B39" s="648" t="str">
        <f>+IF(NOVIEMBRE!B39=0,"",NOVIEMBRE!B39)</f>
        <v xml:space="preserve"> Aportes Patronales  2o. Nivel</v>
      </c>
      <c r="C39" s="671">
        <f>+ENERO!C39</f>
        <v>0</v>
      </c>
      <c r="D39" s="373">
        <f>NOVIEMBRE!D39+DICIEMBRE!P39</f>
        <v>0</v>
      </c>
      <c r="E39" s="373">
        <f>NOVIEMBRE!E39+DICIEMBRE!Q39</f>
        <v>258077000</v>
      </c>
      <c r="F39" s="373">
        <f t="shared" si="47"/>
        <v>258077000</v>
      </c>
      <c r="G39" s="373">
        <f>NOVIEMBRE!I39</f>
        <v>215064160</v>
      </c>
      <c r="H39" s="374">
        <f>158548856</f>
        <v>158548856</v>
      </c>
      <c r="I39" s="373">
        <f t="shared" si="48"/>
        <v>373613016</v>
      </c>
      <c r="J39" s="373">
        <f>NOVIEMBRE!L39</f>
        <v>215064160</v>
      </c>
      <c r="K39" s="374">
        <f>158548856</f>
        <v>158548856</v>
      </c>
      <c r="L39" s="373">
        <f t="shared" si="49"/>
        <v>373613016</v>
      </c>
      <c r="M39" s="373">
        <f t="shared" si="50"/>
        <v>-115536016</v>
      </c>
      <c r="N39" s="143">
        <f t="shared" si="51"/>
        <v>-115536016</v>
      </c>
      <c r="O39" s="525"/>
      <c r="P39" s="372">
        <v>0</v>
      </c>
      <c r="Q39" s="375">
        <v>0</v>
      </c>
      <c r="R39" s="9"/>
      <c r="S39" s="705" t="str">
        <f>+IF(NOVIEMBRE!S39=0,"",NOVIEMBRE!S39)</f>
        <v>1010200-4</v>
      </c>
      <c r="T39" s="681" t="str">
        <f>+IF(NOVIEMBRE!T39=0,"",NOVIEMBRE!T39)</f>
        <v>Otros Honorarios</v>
      </c>
      <c r="U39" s="27">
        <f>+ENERO!U39</f>
        <v>2030210183</v>
      </c>
      <c r="V39" s="15">
        <f>NOVIEMBRE!V39+DICIEMBRE!AL39</f>
        <v>191100000</v>
      </c>
      <c r="W39" s="15">
        <f>NOVIEMBRE!W39+DICIEMBRE!AM39</f>
        <v>1535093987</v>
      </c>
      <c r="X39" s="18">
        <f t="shared" si="40"/>
        <v>3756404170</v>
      </c>
      <c r="Y39" s="19">
        <f>NOVIEMBRE!AA39</f>
        <v>3573110463</v>
      </c>
      <c r="Z39" s="374">
        <v>-200701275</v>
      </c>
      <c r="AA39" s="18">
        <f t="shared" si="41"/>
        <v>3372409188</v>
      </c>
      <c r="AB39" s="19">
        <f>NOVIEMBRE!AD39</f>
        <v>2835829706</v>
      </c>
      <c r="AC39" s="374">
        <v>536579482</v>
      </c>
      <c r="AD39" s="18">
        <f t="shared" si="42"/>
        <v>3372409188</v>
      </c>
      <c r="AE39" s="19">
        <f>NOVIEMBRE!AG39</f>
        <v>2174211740</v>
      </c>
      <c r="AF39" s="374">
        <v>266798902</v>
      </c>
      <c r="AG39" s="18">
        <f t="shared" si="43"/>
        <v>2441010642</v>
      </c>
      <c r="AH39" s="19">
        <f t="shared" si="44"/>
        <v>383994982</v>
      </c>
      <c r="AI39" s="15">
        <f t="shared" si="45"/>
        <v>383994982</v>
      </c>
      <c r="AJ39" s="16">
        <f t="shared" si="46"/>
        <v>1315393528</v>
      </c>
      <c r="AK39" s="9"/>
      <c r="AL39" s="372">
        <v>0</v>
      </c>
      <c r="AM39" s="375">
        <v>85093987</v>
      </c>
      <c r="AN39" s="9"/>
      <c r="AO39" s="294"/>
      <c r="AP39" s="294"/>
      <c r="AQ39" s="294"/>
      <c r="AR39" s="294"/>
      <c r="AS39" s="294"/>
      <c r="AT39" s="294"/>
      <c r="AU39" s="294"/>
      <c r="AV39" s="294"/>
      <c r="AW39" s="294"/>
      <c r="AX39" s="294"/>
      <c r="AY39" s="294"/>
      <c r="AZ39" s="294"/>
      <c r="BQ39" s="461"/>
    </row>
    <row r="40" spans="1:249" s="422" customFormat="1" ht="24.95" customHeight="1">
      <c r="A40" s="735" t="str">
        <f>+IF(NOVIEMBRE!A40=0,"",NOVIEMBRE!A40)</f>
        <v>1130103-6</v>
      </c>
      <c r="B40" s="648" t="str">
        <f>+IF(NOVIEMBRE!B40=0,"",NOVIEMBRE!B40)</f>
        <v xml:space="preserve"> Aportes Patronales  3er. Nivel</v>
      </c>
      <c r="C40" s="671">
        <f>+ENERO!C40</f>
        <v>0</v>
      </c>
      <c r="D40" s="373">
        <f>NOVIEMBRE!D40+DICIEMBRE!P40</f>
        <v>0</v>
      </c>
      <c r="E40" s="373">
        <f>NOVIEMBRE!E40+DICIEMBRE!Q40</f>
        <v>0</v>
      </c>
      <c r="F40" s="373">
        <f t="shared" si="47"/>
        <v>0</v>
      </c>
      <c r="G40" s="373">
        <f>NOVIEMBRE!I40</f>
        <v>0</v>
      </c>
      <c r="H40" s="374">
        <v>0</v>
      </c>
      <c r="I40" s="373">
        <f t="shared" si="48"/>
        <v>0</v>
      </c>
      <c r="J40" s="373">
        <f>NOVIEMBRE!L40</f>
        <v>0</v>
      </c>
      <c r="K40" s="374">
        <v>0</v>
      </c>
      <c r="L40" s="373">
        <f t="shared" si="49"/>
        <v>0</v>
      </c>
      <c r="M40" s="373">
        <f t="shared" si="50"/>
        <v>0</v>
      </c>
      <c r="N40" s="143">
        <f t="shared" si="51"/>
        <v>0</v>
      </c>
      <c r="O40" s="525"/>
      <c r="P40" s="372">
        <v>0</v>
      </c>
      <c r="Q40" s="375">
        <v>0</v>
      </c>
      <c r="R40" s="9"/>
      <c r="S40" s="705" t="str">
        <f>+IF(NOVIEMBRE!S40=0,"",NOVIEMBRE!S40)</f>
        <v>1010200-6</v>
      </c>
      <c r="T40" s="681" t="str">
        <f>+IF(NOVIEMBRE!T40=0,"",NOVIEMBRE!T40)</f>
        <v>Certificación, Habilitación y Acreditación</v>
      </c>
      <c r="U40" s="27">
        <f>+ENERO!U40</f>
        <v>0</v>
      </c>
      <c r="V40" s="15">
        <f>NOVIEMBRE!V40+DICIEMBRE!AL40</f>
        <v>0</v>
      </c>
      <c r="W40" s="15">
        <f>NOVIEMBRE!W40+DICIEMBRE!AM40</f>
        <v>0</v>
      </c>
      <c r="X40" s="18">
        <f t="shared" si="40"/>
        <v>0</v>
      </c>
      <c r="Y40" s="19">
        <f>NOVIEMBRE!AA40</f>
        <v>0</v>
      </c>
      <c r="Z40" s="374">
        <v>0</v>
      </c>
      <c r="AA40" s="18">
        <f t="shared" si="41"/>
        <v>0</v>
      </c>
      <c r="AB40" s="19">
        <f>NOVIEMBRE!AD40</f>
        <v>0</v>
      </c>
      <c r="AC40" s="374">
        <v>0</v>
      </c>
      <c r="AD40" s="18">
        <f t="shared" si="42"/>
        <v>0</v>
      </c>
      <c r="AE40" s="19">
        <f>NOVIEMBRE!AG40</f>
        <v>0</v>
      </c>
      <c r="AF40" s="374">
        <v>0</v>
      </c>
      <c r="AG40" s="18">
        <f t="shared" si="43"/>
        <v>0</v>
      </c>
      <c r="AH40" s="19">
        <f t="shared" si="44"/>
        <v>0</v>
      </c>
      <c r="AI40" s="15">
        <f t="shared" si="45"/>
        <v>0</v>
      </c>
      <c r="AJ40" s="16">
        <f t="shared" si="46"/>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461"/>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row>
    <row r="41" spans="1:249" s="422" customFormat="1" ht="24.95" customHeight="1">
      <c r="A41" s="733">
        <f>+IF(NOVIEMBRE!A41=0,"",NOVIEMBRE!A41)</f>
        <v>1130104</v>
      </c>
      <c r="B41" s="645" t="str">
        <f>+IF(NOVIEMBRE!B41=0,"",NOVIEMBRE!B41)</f>
        <v>SUBSIDIO A LA OFERTA- ACTIVIDADES NO POS-S</v>
      </c>
      <c r="C41" s="671">
        <f>+ENERO!C41</f>
        <v>0</v>
      </c>
      <c r="D41" s="122">
        <f>NOVIEMBRE!D41+DICIEMBRE!P41</f>
        <v>0</v>
      </c>
      <c r="E41" s="122">
        <f>NOVIEMBRE!E41+DICIEMBRE!Q41</f>
        <v>0</v>
      </c>
      <c r="F41" s="122">
        <f t="shared" si="47"/>
        <v>0</v>
      </c>
      <c r="G41" s="122">
        <f>NOVIEMBRE!I41</f>
        <v>0</v>
      </c>
      <c r="H41" s="374">
        <v>0</v>
      </c>
      <c r="I41" s="122">
        <f t="shared" si="48"/>
        <v>0</v>
      </c>
      <c r="J41" s="122">
        <f>NOVIEMBRE!L41</f>
        <v>0</v>
      </c>
      <c r="K41" s="374">
        <v>0</v>
      </c>
      <c r="L41" s="122">
        <f t="shared" si="49"/>
        <v>0</v>
      </c>
      <c r="M41" s="122">
        <f t="shared" si="50"/>
        <v>0</v>
      </c>
      <c r="N41" s="130">
        <f t="shared" si="51"/>
        <v>0</v>
      </c>
      <c r="O41" s="382"/>
      <c r="P41" s="374">
        <v>0</v>
      </c>
      <c r="Q41" s="375">
        <v>0</v>
      </c>
      <c r="R41" s="9"/>
      <c r="S41" s="705">
        <f>+IF(NOVIEMBRE!S41=0,"",NOVIEMBRE!S41)</f>
        <v>1010299</v>
      </c>
      <c r="T41" s="681" t="str">
        <f>+IF(NOVIEMBRE!T41=0,"",NOVIEMBRE!T41)</f>
        <v>Vigencias Anteriores</v>
      </c>
      <c r="U41" s="27">
        <f>+ENERO!U41</f>
        <v>0</v>
      </c>
      <c r="V41" s="15">
        <f>NOVIEMBRE!V41+DICIEMBRE!AL41</f>
        <v>43837496</v>
      </c>
      <c r="W41" s="15">
        <f>NOVIEMBRE!W41+DICIEMBRE!AM41</f>
        <v>850000000</v>
      </c>
      <c r="X41" s="18">
        <f t="shared" si="40"/>
        <v>893837496</v>
      </c>
      <c r="Y41" s="19">
        <f>NOVIEMBRE!AA41</f>
        <v>893837496</v>
      </c>
      <c r="Z41" s="374">
        <v>0</v>
      </c>
      <c r="AA41" s="18">
        <f t="shared" si="41"/>
        <v>893837496</v>
      </c>
      <c r="AB41" s="19">
        <f>NOVIEMBRE!AD41</f>
        <v>893837496</v>
      </c>
      <c r="AC41" s="374">
        <v>0</v>
      </c>
      <c r="AD41" s="18">
        <f t="shared" si="42"/>
        <v>893837496</v>
      </c>
      <c r="AE41" s="19">
        <f>NOVIEMBRE!AG41</f>
        <v>893837496</v>
      </c>
      <c r="AF41" s="374">
        <v>0</v>
      </c>
      <c r="AG41" s="18">
        <f t="shared" si="43"/>
        <v>893837496</v>
      </c>
      <c r="AH41" s="19">
        <f t="shared" si="44"/>
        <v>0</v>
      </c>
      <c r="AI41" s="15">
        <f t="shared" si="45"/>
        <v>0</v>
      </c>
      <c r="AJ41" s="16">
        <f t="shared" si="46"/>
        <v>0</v>
      </c>
      <c r="AK41" s="9"/>
      <c r="AL41" s="372">
        <v>-97342872</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c r="BQ41" s="524"/>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row>
    <row r="42" spans="1:249" s="382" customFormat="1" ht="24.95" customHeight="1">
      <c r="A42" s="733">
        <f>+IF(NOVIEMBRE!A42=0,"",NOVIEMBRE!A42)</f>
        <v>1130106</v>
      </c>
      <c r="B42" s="645" t="str">
        <f>+IF(NOVIEMBRE!B42=0,"",NOVIEMBRE!B42)</f>
        <v>SALUD PUBLICA - PLAN DE INTERVENCIONES COLECTIVAS</v>
      </c>
      <c r="C42" s="43">
        <f t="shared" ref="C42:N42" si="52">SUM(C43:C44)</f>
        <v>0</v>
      </c>
      <c r="D42" s="44">
        <f t="shared" si="52"/>
        <v>0</v>
      </c>
      <c r="E42" s="44">
        <f t="shared" si="52"/>
        <v>0</v>
      </c>
      <c r="F42" s="44">
        <f t="shared" si="52"/>
        <v>0</v>
      </c>
      <c r="G42" s="44">
        <f t="shared" si="52"/>
        <v>0</v>
      </c>
      <c r="H42" s="44">
        <f t="shared" si="52"/>
        <v>0</v>
      </c>
      <c r="I42" s="44">
        <f t="shared" si="52"/>
        <v>0</v>
      </c>
      <c r="J42" s="44">
        <f t="shared" si="52"/>
        <v>0</v>
      </c>
      <c r="K42" s="44">
        <f t="shared" si="52"/>
        <v>0</v>
      </c>
      <c r="L42" s="44">
        <f t="shared" si="52"/>
        <v>0</v>
      </c>
      <c r="M42" s="44">
        <f t="shared" si="52"/>
        <v>0</v>
      </c>
      <c r="N42" s="45">
        <f t="shared" si="52"/>
        <v>0</v>
      </c>
      <c r="P42" s="43">
        <f>SUM(P43:P44)</f>
        <v>0</v>
      </c>
      <c r="Q42" s="45">
        <f>SUM(Q43:Q44)</f>
        <v>0</v>
      </c>
      <c r="R42" s="9"/>
      <c r="S42" s="366" t="str">
        <f>+IF(NOVIEMBRE!S42=0,"",NOVIEMBRE!S42)</f>
        <v/>
      </c>
      <c r="T42" s="695"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c r="BQ42" s="461"/>
    </row>
    <row r="43" spans="1:249" s="422" customFormat="1" ht="24.95" customHeight="1">
      <c r="A43" s="611" t="str">
        <f>+IF(NOVIEMBRE!A43=0,"",NOVIEMBRE!A43)</f>
        <v>1130106-1</v>
      </c>
      <c r="B43" s="646" t="str">
        <f>+CONCATENATE("Vigencia ",INSTRUCCIONES!$F$3)</f>
        <v>Vigencia 2017</v>
      </c>
      <c r="C43" s="671">
        <f>+ENERO!C43</f>
        <v>0</v>
      </c>
      <c r="D43" s="373">
        <f>NOVIEMBRE!D43+DICIEMBRE!P43</f>
        <v>0</v>
      </c>
      <c r="E43" s="373">
        <f>NOVIEMBRE!E43+DICIEMBRE!Q43</f>
        <v>0</v>
      </c>
      <c r="F43" s="373">
        <f>SUM(C43:E43)</f>
        <v>0</v>
      </c>
      <c r="G43" s="373">
        <f>NOVIEMBRE!I43</f>
        <v>0</v>
      </c>
      <c r="H43" s="374">
        <v>0</v>
      </c>
      <c r="I43" s="373">
        <f>SUM(G43:H43)</f>
        <v>0</v>
      </c>
      <c r="J43" s="373">
        <f>NOVIEMBRE!L43</f>
        <v>0</v>
      </c>
      <c r="K43" s="374">
        <v>0</v>
      </c>
      <c r="L43" s="373">
        <f>SUM(J43:K43)</f>
        <v>0</v>
      </c>
      <c r="M43" s="373">
        <f>F43-I43</f>
        <v>0</v>
      </c>
      <c r="N43" s="143">
        <f>F43-L43</f>
        <v>0</v>
      </c>
      <c r="O43" s="382"/>
      <c r="P43" s="372">
        <v>0</v>
      </c>
      <c r="Q43" s="375">
        <v>0</v>
      </c>
      <c r="R43" s="9"/>
      <c r="S43" s="704">
        <f>+IF(NOVIEMBRE!S43=0,"",NOVIEMBRE!S43)</f>
        <v>1010300</v>
      </c>
      <c r="T43" s="680" t="str">
        <f>+IF(NOVIEMBRE!T43=0,"",NOVIEMBRE!T43)</f>
        <v>Contribuciones Inherentes nómina al Sector Privado</v>
      </c>
      <c r="U43" s="132">
        <f t="shared" ref="U43:AJ43" si="53">U44+U49+U55</f>
        <v>182861553</v>
      </c>
      <c r="V43" s="122">
        <f t="shared" si="53"/>
        <v>-76913867</v>
      </c>
      <c r="W43" s="122">
        <f t="shared" si="53"/>
        <v>97321330</v>
      </c>
      <c r="X43" s="129">
        <f t="shared" si="53"/>
        <v>203269016</v>
      </c>
      <c r="Y43" s="128">
        <f t="shared" si="53"/>
        <v>110459834</v>
      </c>
      <c r="Z43" s="122">
        <f t="shared" si="53"/>
        <v>18150025</v>
      </c>
      <c r="AA43" s="129">
        <f t="shared" si="53"/>
        <v>128609859</v>
      </c>
      <c r="AB43" s="128">
        <f t="shared" si="53"/>
        <v>110459834</v>
      </c>
      <c r="AC43" s="122">
        <f t="shared" si="53"/>
        <v>18150025</v>
      </c>
      <c r="AD43" s="129">
        <f t="shared" si="53"/>
        <v>128609859</v>
      </c>
      <c r="AE43" s="128">
        <f t="shared" si="53"/>
        <v>110459834</v>
      </c>
      <c r="AF43" s="122">
        <f t="shared" si="53"/>
        <v>18150025</v>
      </c>
      <c r="AG43" s="129">
        <f t="shared" si="53"/>
        <v>128609859</v>
      </c>
      <c r="AH43" s="128">
        <f t="shared" si="53"/>
        <v>74659157</v>
      </c>
      <c r="AI43" s="122">
        <f t="shared" si="53"/>
        <v>74659157</v>
      </c>
      <c r="AJ43" s="130">
        <f t="shared" si="53"/>
        <v>74659157</v>
      </c>
      <c r="AK43" s="9"/>
      <c r="AL43" s="128">
        <f>AL44+AL49+AL55</f>
        <v>-14111787</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461"/>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row>
    <row r="44" spans="1:249" s="422" customFormat="1" ht="24.95" customHeight="1">
      <c r="A44" s="611" t="str">
        <f>+IF(NOVIEMBRE!A44=0,"",NOVIEMBRE!A44)</f>
        <v>1130106-2</v>
      </c>
      <c r="B44" s="646" t="str">
        <f>+IF(NOVIEMBRE!B44=0,"",NOVIEMBRE!B44)</f>
        <v>Vigencia Anterior</v>
      </c>
      <c r="C44" s="671">
        <f>+ENERO!C44</f>
        <v>0</v>
      </c>
      <c r="D44" s="373">
        <f>NOVIEMBRE!D44+DICIEMBRE!P44</f>
        <v>0</v>
      </c>
      <c r="E44" s="373">
        <f>NOVIEMBRE!E44+DICIEMBRE!Q44</f>
        <v>0</v>
      </c>
      <c r="F44" s="373">
        <f>SUM(C44:E44)</f>
        <v>0</v>
      </c>
      <c r="G44" s="373">
        <f>NOVIEMBRE!I44</f>
        <v>0</v>
      </c>
      <c r="H44" s="374">
        <v>0</v>
      </c>
      <c r="I44" s="373">
        <f>SUM(G44:H44)</f>
        <v>0</v>
      </c>
      <c r="J44" s="373">
        <f>NOVIEMBRE!L44</f>
        <v>0</v>
      </c>
      <c r="K44" s="374">
        <v>0</v>
      </c>
      <c r="L44" s="373">
        <f>SUM(J44:K44)</f>
        <v>0</v>
      </c>
      <c r="M44" s="373">
        <f>F44-I44</f>
        <v>0</v>
      </c>
      <c r="N44" s="143">
        <f>F44-L44</f>
        <v>0</v>
      </c>
      <c r="O44" s="382"/>
      <c r="P44" s="372">
        <v>0</v>
      </c>
      <c r="Q44" s="375">
        <v>0</v>
      </c>
      <c r="R44" s="9"/>
      <c r="S44" s="705">
        <f>+IF(NOVIEMBRE!S44=0,"",NOVIEMBRE!S44)</f>
        <v>1010301</v>
      </c>
      <c r="T44" s="681" t="str">
        <f>+IF(NOVIEMBRE!T44=0,"",NOVIEMBRE!T44)</f>
        <v>Contribuciones - SGP - Aportes Patronales - Cuentas Maestras</v>
      </c>
      <c r="U44" s="27">
        <f t="shared" ref="U44:AJ44" si="54">SUM(U45:U48)</f>
        <v>0</v>
      </c>
      <c r="V44" s="15">
        <f t="shared" si="54"/>
        <v>14000000</v>
      </c>
      <c r="W44" s="15">
        <f t="shared" si="54"/>
        <v>64519250</v>
      </c>
      <c r="X44" s="18">
        <f t="shared" si="54"/>
        <v>78519250</v>
      </c>
      <c r="Y44" s="19">
        <f t="shared" si="54"/>
        <v>43373537</v>
      </c>
      <c r="Z44" s="142">
        <f t="shared" si="54"/>
        <v>15243022</v>
      </c>
      <c r="AA44" s="18">
        <f t="shared" si="54"/>
        <v>58616559</v>
      </c>
      <c r="AB44" s="19">
        <f t="shared" si="54"/>
        <v>43373537</v>
      </c>
      <c r="AC44" s="142">
        <f t="shared" si="54"/>
        <v>15243022</v>
      </c>
      <c r="AD44" s="18">
        <f t="shared" si="54"/>
        <v>58616559</v>
      </c>
      <c r="AE44" s="19">
        <f t="shared" si="54"/>
        <v>43373537</v>
      </c>
      <c r="AF44" s="142">
        <f t="shared" si="54"/>
        <v>15243022</v>
      </c>
      <c r="AG44" s="18">
        <f t="shared" si="54"/>
        <v>58616559</v>
      </c>
      <c r="AH44" s="19">
        <f t="shared" si="54"/>
        <v>19902691</v>
      </c>
      <c r="AI44" s="15">
        <f t="shared" si="54"/>
        <v>19902691</v>
      </c>
      <c r="AJ44" s="16">
        <f t="shared" si="54"/>
        <v>19902691</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461"/>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row>
    <row r="45" spans="1:249" s="382" customFormat="1" ht="24.95" customHeight="1">
      <c r="A45" s="733">
        <f>+IF(NOVIEMBRE!A45=0,"",NOVIEMBRE!A45)</f>
        <v>1130107</v>
      </c>
      <c r="B45" s="645" t="str">
        <f>+IF(NOVIEMBRE!B45=0,"",NOVIEMBRE!B45)</f>
        <v>MINSALUD-FOSYGA-RECLAMACIONES ECAT</v>
      </c>
      <c r="C45" s="43">
        <f t="shared" ref="C45:N45" si="55">SUM(C46:C47)</f>
        <v>375197511</v>
      </c>
      <c r="D45" s="44">
        <f t="shared" si="55"/>
        <v>0</v>
      </c>
      <c r="E45" s="44">
        <f t="shared" si="55"/>
        <v>79487</v>
      </c>
      <c r="F45" s="44">
        <f t="shared" si="55"/>
        <v>375276998</v>
      </c>
      <c r="G45" s="44">
        <f t="shared" si="55"/>
        <v>374942730</v>
      </c>
      <c r="H45" s="44">
        <f t="shared" si="55"/>
        <v>24352194</v>
      </c>
      <c r="I45" s="44">
        <f t="shared" si="55"/>
        <v>399294924</v>
      </c>
      <c r="J45" s="44">
        <f t="shared" si="55"/>
        <v>79487</v>
      </c>
      <c r="K45" s="44">
        <f t="shared" si="55"/>
        <v>0</v>
      </c>
      <c r="L45" s="44">
        <f t="shared" si="55"/>
        <v>79487</v>
      </c>
      <c r="M45" s="44">
        <f t="shared" si="55"/>
        <v>-24017926</v>
      </c>
      <c r="N45" s="45">
        <f t="shared" si="55"/>
        <v>375197511</v>
      </c>
      <c r="P45" s="43">
        <f>SUM(P46:P47)</f>
        <v>0</v>
      </c>
      <c r="Q45" s="45">
        <f>SUM(Q46:Q47)</f>
        <v>0</v>
      </c>
      <c r="R45" s="9"/>
      <c r="S45" s="706" t="str">
        <f>+IF(NOVIEMBRE!S45=0,"",NOVIEMBRE!S45)</f>
        <v>1010301-1</v>
      </c>
      <c r="T45" s="682" t="str">
        <f>+IF(NOVIEMBRE!T45=0,"",NOVIEMBRE!T45)</f>
        <v>E.P.S. - Aportes cuentas maestras</v>
      </c>
      <c r="U45" s="27">
        <f>+ENERO!U45</f>
        <v>0</v>
      </c>
      <c r="V45" s="15">
        <f>NOVIEMBRE!V45+DICIEMBRE!AL45</f>
        <v>14000000</v>
      </c>
      <c r="W45" s="15">
        <f>NOVIEMBRE!W45+DICIEMBRE!AM45</f>
        <v>13633482</v>
      </c>
      <c r="X45" s="18">
        <f>SUM(U45:W45)</f>
        <v>27633482</v>
      </c>
      <c r="Y45" s="19">
        <f>NOVIEMBRE!AA45</f>
        <v>17760377</v>
      </c>
      <c r="Z45" s="374">
        <v>6177382</v>
      </c>
      <c r="AA45" s="18">
        <f>SUM(Y45:Z45)</f>
        <v>23937759</v>
      </c>
      <c r="AB45" s="19">
        <f>NOVIEMBRE!AD45</f>
        <v>17760377</v>
      </c>
      <c r="AC45" s="374">
        <v>6177382</v>
      </c>
      <c r="AD45" s="18">
        <f>SUM(AB45:AC45)</f>
        <v>23937759</v>
      </c>
      <c r="AE45" s="19">
        <f>NOVIEMBRE!AG45</f>
        <v>17760377</v>
      </c>
      <c r="AF45" s="374">
        <v>6177382</v>
      </c>
      <c r="AG45" s="18">
        <f>SUM(AE45:AF45)</f>
        <v>23937759</v>
      </c>
      <c r="AH45" s="19">
        <f>X45-AA45</f>
        <v>3695723</v>
      </c>
      <c r="AI45" s="15">
        <f>X45-AD45</f>
        <v>3695723</v>
      </c>
      <c r="AJ45" s="16">
        <f>X45-AG45</f>
        <v>3695723</v>
      </c>
      <c r="AK45" s="9"/>
      <c r="AL45" s="372">
        <v>0</v>
      </c>
      <c r="AM45" s="375">
        <v>0</v>
      </c>
      <c r="AN45" s="9"/>
      <c r="AO45" s="294"/>
      <c r="AP45" s="294"/>
      <c r="AQ45" s="294"/>
      <c r="AR45" s="294"/>
      <c r="AS45" s="294"/>
      <c r="AT45" s="294"/>
      <c r="AU45" s="294"/>
      <c r="AV45" s="294"/>
      <c r="AW45" s="294"/>
      <c r="AX45" s="294"/>
      <c r="AY45" s="294"/>
      <c r="AZ45" s="294"/>
      <c r="BQ45" s="461"/>
    </row>
    <row r="46" spans="1:249" s="422" customFormat="1" ht="24.95" customHeight="1">
      <c r="A46" s="611" t="str">
        <f>+IF(NOVIEMBRE!A46=0,"",NOVIEMBRE!A46)</f>
        <v>1130107-1</v>
      </c>
      <c r="B46" s="646" t="str">
        <f>+CONCATENATE("Vigencia ",INSTRUCCIONES!$F$3)</f>
        <v>Vigencia 2017</v>
      </c>
      <c r="C46" s="671">
        <f>+ENERO!C46</f>
        <v>375197511</v>
      </c>
      <c r="D46" s="373">
        <f>NOVIEMBRE!D46+DICIEMBRE!P46</f>
        <v>0</v>
      </c>
      <c r="E46" s="373">
        <f>NOVIEMBRE!E46+DICIEMBRE!Q46</f>
        <v>0</v>
      </c>
      <c r="F46" s="373">
        <f>SUM(C46:E46)</f>
        <v>375197511</v>
      </c>
      <c r="G46" s="373">
        <f>NOVIEMBRE!I46</f>
        <v>374863243</v>
      </c>
      <c r="H46" s="374">
        <v>24352194</v>
      </c>
      <c r="I46" s="373">
        <f>SUM(G46:H46)</f>
        <v>399215437</v>
      </c>
      <c r="J46" s="373">
        <f>NOVIEMBRE!L46</f>
        <v>0</v>
      </c>
      <c r="K46" s="374">
        <v>0</v>
      </c>
      <c r="L46" s="373">
        <f>SUM(J46:K46)</f>
        <v>0</v>
      </c>
      <c r="M46" s="373">
        <f>F46-I46</f>
        <v>-24017926</v>
      </c>
      <c r="N46" s="143">
        <f>F46-L46</f>
        <v>375197511</v>
      </c>
      <c r="O46" s="382"/>
      <c r="P46" s="372">
        <v>0</v>
      </c>
      <c r="Q46" s="375">
        <v>0</v>
      </c>
      <c r="R46" s="9"/>
      <c r="S46" s="706" t="str">
        <f>+IF(NOVIEMBRE!S46=0,"",NOVIEMBRE!S46)</f>
        <v>1010301-2</v>
      </c>
      <c r="T46" s="682" t="str">
        <f>+IF(NOVIEMBRE!T46=0,"",NOVIEMBRE!T46)</f>
        <v>Fondos pensionales - Aportes cuentas maestras</v>
      </c>
      <c r="U46" s="27">
        <f>+ENERO!U46</f>
        <v>0</v>
      </c>
      <c r="V46" s="15">
        <f>NOVIEMBRE!V46+DICIEMBRE!AL46</f>
        <v>0</v>
      </c>
      <c r="W46" s="15">
        <f>NOVIEMBRE!W46+DICIEMBRE!AM46</f>
        <v>38239500</v>
      </c>
      <c r="X46" s="18">
        <f>SUM(U46:W46)</f>
        <v>38239500</v>
      </c>
      <c r="Y46" s="19">
        <f>NOVIEMBRE!AA46</f>
        <v>24596103</v>
      </c>
      <c r="Z46" s="374">
        <v>8721010</v>
      </c>
      <c r="AA46" s="18">
        <f>SUM(Y46:Z46)</f>
        <v>33317113</v>
      </c>
      <c r="AB46" s="19">
        <f>NOVIEMBRE!AD46</f>
        <v>24596103</v>
      </c>
      <c r="AC46" s="374">
        <v>8721010</v>
      </c>
      <c r="AD46" s="18">
        <f>SUM(AB46:AC46)</f>
        <v>33317113</v>
      </c>
      <c r="AE46" s="19">
        <f>NOVIEMBRE!AG46</f>
        <v>24596103</v>
      </c>
      <c r="AF46" s="374">
        <v>8721010</v>
      </c>
      <c r="AG46" s="18">
        <f>SUM(AE46:AF46)</f>
        <v>33317113</v>
      </c>
      <c r="AH46" s="19">
        <f>X46-AA46</f>
        <v>4922387</v>
      </c>
      <c r="AI46" s="15">
        <f>X46-AD46</f>
        <v>4922387</v>
      </c>
      <c r="AJ46" s="16">
        <f>X46-AG46</f>
        <v>4922387</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c r="BQ46" s="524"/>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row>
    <row r="47" spans="1:249" s="422" customFormat="1" ht="24.95" customHeight="1">
      <c r="A47" s="611" t="str">
        <f>+IF(NOVIEMBRE!A47=0,"",NOVIEMBRE!A47)</f>
        <v>1130107-2</v>
      </c>
      <c r="B47" s="646" t="str">
        <f>+IF(NOVIEMBRE!B47=0,"",NOVIEMBRE!B47)</f>
        <v>Vigencia Anterior</v>
      </c>
      <c r="C47" s="671">
        <f>+ENERO!C47</f>
        <v>0</v>
      </c>
      <c r="D47" s="373">
        <f>NOVIEMBRE!D47+DICIEMBRE!P47</f>
        <v>0</v>
      </c>
      <c r="E47" s="373">
        <f>NOVIEMBRE!E47+DICIEMBRE!Q47</f>
        <v>79487</v>
      </c>
      <c r="F47" s="373">
        <f>SUM(C47:E47)</f>
        <v>79487</v>
      </c>
      <c r="G47" s="373">
        <f>NOVIEMBRE!I47</f>
        <v>79487</v>
      </c>
      <c r="H47" s="374">
        <v>0</v>
      </c>
      <c r="I47" s="373">
        <f>SUM(G47:H47)</f>
        <v>79487</v>
      </c>
      <c r="J47" s="373">
        <f>NOVIEMBRE!L47</f>
        <v>79487</v>
      </c>
      <c r="K47" s="374">
        <v>0</v>
      </c>
      <c r="L47" s="373">
        <f>SUM(J47:K47)</f>
        <v>79487</v>
      </c>
      <c r="M47" s="373">
        <f>F47-I47</f>
        <v>0</v>
      </c>
      <c r="N47" s="143">
        <f>F47-L47</f>
        <v>0</v>
      </c>
      <c r="O47" s="382"/>
      <c r="P47" s="372">
        <v>0</v>
      </c>
      <c r="Q47" s="375">
        <v>0</v>
      </c>
      <c r="R47" s="9"/>
      <c r="S47" s="706" t="str">
        <f>+IF(NOVIEMBRE!S47=0,"",NOVIEMBRE!S47)</f>
        <v>1010301-3</v>
      </c>
      <c r="T47" s="682" t="str">
        <f>+IF(NOVIEMBRE!T47=0,"",NOVIEMBRE!T47)</f>
        <v>Fondos de cesantías - Aportes cuentas maestras</v>
      </c>
      <c r="U47" s="27">
        <f>+ENERO!U47</f>
        <v>0</v>
      </c>
      <c r="V47" s="15">
        <f>NOVIEMBRE!V47+DICIEMBRE!AL47</f>
        <v>0</v>
      </c>
      <c r="W47" s="15">
        <f>NOVIEMBRE!W47+DICIEMBRE!AM47</f>
        <v>9400000</v>
      </c>
      <c r="X47" s="18">
        <f>SUM(U47:W47)</f>
        <v>9400000</v>
      </c>
      <c r="Y47" s="19">
        <f>NOVIEMBRE!AA47</f>
        <v>0</v>
      </c>
      <c r="Z47" s="374">
        <v>0</v>
      </c>
      <c r="AA47" s="18">
        <f>SUM(Y47:Z47)</f>
        <v>0</v>
      </c>
      <c r="AB47" s="19">
        <f>NOVIEMBRE!AD47</f>
        <v>0</v>
      </c>
      <c r="AC47" s="374">
        <v>0</v>
      </c>
      <c r="AD47" s="18">
        <f>SUM(AB47:AC47)</f>
        <v>0</v>
      </c>
      <c r="AE47" s="19">
        <f>NOVIEMBRE!AG47</f>
        <v>0</v>
      </c>
      <c r="AF47" s="374">
        <v>0</v>
      </c>
      <c r="AG47" s="18">
        <f>SUM(AE47:AF47)</f>
        <v>0</v>
      </c>
      <c r="AH47" s="19">
        <f>X47-AA47</f>
        <v>9400000</v>
      </c>
      <c r="AI47" s="15">
        <f>X47-AD47</f>
        <v>9400000</v>
      </c>
      <c r="AJ47" s="16">
        <f>X47-AG47</f>
        <v>9400000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461"/>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row>
    <row r="48" spans="1:249" s="382" customFormat="1" ht="24.95" customHeight="1">
      <c r="A48" s="733">
        <f>+IF(NOVIEMBRE!A48=0,"",NOVIEMBRE!A48)</f>
        <v>1130108</v>
      </c>
      <c r="B48" s="645"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706" t="str">
        <f>+IF(NOVIEMBRE!S48=0,"",NOVIEMBRE!S48)</f>
        <v>1010301-4</v>
      </c>
      <c r="T48" s="682" t="str">
        <f>+IF(NOVIEMBRE!T48=0,"",NOVIEMBRE!T48)</f>
        <v>Riesgos laborales - Aportes cuentas maestras</v>
      </c>
      <c r="U48" s="27">
        <f>+ENERO!U48</f>
        <v>0</v>
      </c>
      <c r="V48" s="15">
        <f>NOVIEMBRE!V48+DICIEMBRE!AL48</f>
        <v>0</v>
      </c>
      <c r="W48" s="15">
        <f>NOVIEMBRE!W48+DICIEMBRE!AM48</f>
        <v>3246268</v>
      </c>
      <c r="X48" s="18">
        <f>SUM(U48:W48)</f>
        <v>3246268</v>
      </c>
      <c r="Y48" s="19">
        <f>NOVIEMBRE!AA48</f>
        <v>1017057</v>
      </c>
      <c r="Z48" s="374">
        <v>344630</v>
      </c>
      <c r="AA48" s="18">
        <f>SUM(Y48:Z48)</f>
        <v>1361687</v>
      </c>
      <c r="AB48" s="19">
        <f>NOVIEMBRE!AD48</f>
        <v>1017057</v>
      </c>
      <c r="AC48" s="374">
        <v>344630</v>
      </c>
      <c r="AD48" s="18">
        <f>SUM(AB48:AC48)</f>
        <v>1361687</v>
      </c>
      <c r="AE48" s="19">
        <f>NOVIEMBRE!AG48</f>
        <v>1017057</v>
      </c>
      <c r="AF48" s="374">
        <v>344630</v>
      </c>
      <c r="AG48" s="18">
        <f>SUM(AE48:AF48)</f>
        <v>1361687</v>
      </c>
      <c r="AH48" s="19">
        <f>X48-AA48</f>
        <v>1884581</v>
      </c>
      <c r="AI48" s="15">
        <f>X48-AD48</f>
        <v>1884581</v>
      </c>
      <c r="AJ48" s="16">
        <f>X48-AG48</f>
        <v>1884581</v>
      </c>
      <c r="AK48" s="9"/>
      <c r="AL48" s="372">
        <v>0</v>
      </c>
      <c r="AM48" s="375">
        <v>0</v>
      </c>
      <c r="AN48" s="9"/>
      <c r="AO48" s="294"/>
      <c r="AP48" s="294"/>
      <c r="AQ48" s="294"/>
      <c r="AR48" s="294"/>
      <c r="AS48" s="294"/>
      <c r="AT48" s="294"/>
      <c r="AU48" s="294"/>
      <c r="AV48" s="294"/>
      <c r="AW48" s="294"/>
      <c r="AX48" s="294"/>
      <c r="AY48" s="294"/>
      <c r="AZ48" s="294"/>
      <c r="BQ48" s="461"/>
    </row>
    <row r="49" spans="1:249" s="422" customFormat="1" ht="24.95" customHeight="1">
      <c r="A49" s="611" t="str">
        <f>+IF(NOVIEMBRE!A49=0,"",NOVIEMBRE!A49)</f>
        <v>1130108-1</v>
      </c>
      <c r="B49" s="646" t="str">
        <f>+CONCATENATE("Vigencia ",INSTRUCCIONES!$F$3)</f>
        <v>Vigencia 2017</v>
      </c>
      <c r="C49" s="671">
        <f>+ENERO!C49</f>
        <v>0</v>
      </c>
      <c r="D49" s="373">
        <f>NOVIEMBRE!D49+DICIEMBRE!P49</f>
        <v>0</v>
      </c>
      <c r="E49" s="373">
        <f>NOVIEMBRE!E49+DICIEMBRE!Q49</f>
        <v>0</v>
      </c>
      <c r="F49" s="373">
        <f>SUM(C49:E49)</f>
        <v>0</v>
      </c>
      <c r="G49" s="373">
        <f>NOVIEMBRE!I49</f>
        <v>0</v>
      </c>
      <c r="H49" s="374">
        <v>0</v>
      </c>
      <c r="I49" s="373">
        <f>SUM(G49:H49)</f>
        <v>0</v>
      </c>
      <c r="J49" s="373">
        <f>NOVIEMBRE!L49</f>
        <v>0</v>
      </c>
      <c r="K49" s="374">
        <v>0</v>
      </c>
      <c r="L49" s="373">
        <f>SUM(J49:K49)</f>
        <v>0</v>
      </c>
      <c r="M49" s="373">
        <f>F49-I49</f>
        <v>0</v>
      </c>
      <c r="N49" s="143">
        <f>F49-L49</f>
        <v>0</v>
      </c>
      <c r="O49" s="382"/>
      <c r="P49" s="372">
        <v>0</v>
      </c>
      <c r="Q49" s="375">
        <v>0</v>
      </c>
      <c r="R49" s="9"/>
      <c r="S49" s="705">
        <f>+IF(NOVIEMBRE!S49=0,"",NOVIEMBRE!S49)</f>
        <v>1010302</v>
      </c>
      <c r="T49" s="681" t="str">
        <f>+IF(NOVIEMBRE!T49=0,"",NOVIEMBRE!T49)</f>
        <v>Contribuciones - Otros</v>
      </c>
      <c r="U49" s="27">
        <f t="shared" ref="U49:AJ49" si="57">SUM(U50:U54)</f>
        <v>182861553</v>
      </c>
      <c r="V49" s="15">
        <f t="shared" si="57"/>
        <v>-66111787</v>
      </c>
      <c r="W49" s="15">
        <f t="shared" si="57"/>
        <v>8000000</v>
      </c>
      <c r="X49" s="18">
        <f t="shared" si="57"/>
        <v>124749766</v>
      </c>
      <c r="Y49" s="19">
        <f t="shared" si="57"/>
        <v>67086297</v>
      </c>
      <c r="Z49" s="142">
        <f t="shared" si="57"/>
        <v>2907003</v>
      </c>
      <c r="AA49" s="18">
        <f t="shared" si="57"/>
        <v>69993300</v>
      </c>
      <c r="AB49" s="19">
        <f t="shared" si="57"/>
        <v>67086297</v>
      </c>
      <c r="AC49" s="142">
        <f t="shared" si="57"/>
        <v>2907003</v>
      </c>
      <c r="AD49" s="18">
        <f t="shared" si="57"/>
        <v>69993300</v>
      </c>
      <c r="AE49" s="19">
        <f t="shared" si="57"/>
        <v>67086297</v>
      </c>
      <c r="AF49" s="142">
        <f t="shared" si="57"/>
        <v>2907003</v>
      </c>
      <c r="AG49" s="18">
        <f t="shared" si="57"/>
        <v>69993300</v>
      </c>
      <c r="AH49" s="19">
        <f t="shared" si="57"/>
        <v>54756466</v>
      </c>
      <c r="AI49" s="15">
        <f t="shared" si="57"/>
        <v>54756466</v>
      </c>
      <c r="AJ49" s="16">
        <f t="shared" si="57"/>
        <v>54756466</v>
      </c>
      <c r="AK49" s="9"/>
      <c r="AL49" s="29">
        <f>SUM(AL50:AL54)</f>
        <v>-14111787</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461"/>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O49" s="382"/>
      <c r="DP49" s="382"/>
      <c r="DQ49" s="382"/>
      <c r="DR49" s="382"/>
      <c r="DS49" s="382"/>
      <c r="DT49" s="382"/>
      <c r="DU49" s="382"/>
      <c r="DV49" s="382"/>
      <c r="DW49" s="382"/>
      <c r="DX49" s="382"/>
      <c r="DY49" s="382"/>
      <c r="DZ49" s="382"/>
      <c r="EA49" s="382"/>
      <c r="EB49" s="382"/>
      <c r="EC49" s="382"/>
      <c r="ED49" s="382"/>
      <c r="EE49" s="382"/>
      <c r="EF49" s="382"/>
      <c r="EG49" s="382"/>
      <c r="EH49" s="382"/>
      <c r="EI49" s="382"/>
      <c r="EJ49" s="382"/>
      <c r="EK49" s="382"/>
      <c r="EL49" s="382"/>
      <c r="EM49" s="382"/>
      <c r="EN49" s="382"/>
      <c r="EO49" s="382"/>
      <c r="EP49" s="382"/>
      <c r="EQ49" s="382"/>
      <c r="ER49" s="382"/>
      <c r="ES49" s="382"/>
      <c r="ET49" s="382"/>
      <c r="EU49" s="382"/>
      <c r="EV49" s="382"/>
      <c r="EW49" s="382"/>
      <c r="EX49" s="382"/>
      <c r="EY49" s="382"/>
      <c r="EZ49" s="382"/>
      <c r="FA49" s="382"/>
      <c r="FB49" s="382"/>
      <c r="FC49" s="382"/>
      <c r="FD49" s="382"/>
      <c r="FE49" s="382"/>
      <c r="FF49" s="382"/>
      <c r="FG49" s="382"/>
      <c r="FH49" s="382"/>
      <c r="FI49" s="382"/>
      <c r="FJ49" s="382"/>
      <c r="FK49" s="382"/>
      <c r="FL49" s="382"/>
      <c r="FM49" s="382"/>
      <c r="FN49" s="382"/>
      <c r="FO49" s="382"/>
      <c r="FP49" s="382"/>
      <c r="FQ49" s="382"/>
      <c r="FR49" s="382"/>
      <c r="FS49" s="382"/>
      <c r="FT49" s="382"/>
      <c r="FU49" s="382"/>
      <c r="FV49" s="382"/>
      <c r="FW49" s="382"/>
      <c r="FX49" s="382"/>
      <c r="FY49" s="382"/>
      <c r="FZ49" s="382"/>
      <c r="GA49" s="382"/>
      <c r="GB49" s="382"/>
      <c r="GC49" s="382"/>
      <c r="GD49" s="382"/>
      <c r="GE49" s="382"/>
      <c r="GF49" s="382"/>
      <c r="GG49" s="382"/>
      <c r="GH49" s="382"/>
      <c r="GI49" s="382"/>
      <c r="GJ49" s="382"/>
      <c r="GK49" s="382"/>
      <c r="GL49" s="382"/>
      <c r="GM49" s="382"/>
      <c r="GN49" s="382"/>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c r="HO49" s="382"/>
      <c r="HP49" s="382"/>
      <c r="HQ49" s="382"/>
      <c r="HR49" s="382"/>
      <c r="HS49" s="382"/>
      <c r="HT49" s="382"/>
      <c r="HU49" s="382"/>
      <c r="HV49" s="382"/>
      <c r="HW49" s="382"/>
      <c r="HX49" s="382"/>
      <c r="HY49" s="382"/>
      <c r="HZ49" s="382"/>
      <c r="IA49" s="382"/>
      <c r="IB49" s="382"/>
      <c r="IC49" s="382"/>
      <c r="ID49" s="382"/>
      <c r="IE49" s="382"/>
      <c r="IF49" s="382"/>
      <c r="IG49" s="382"/>
      <c r="IH49" s="382"/>
      <c r="II49" s="382"/>
      <c r="IJ49" s="382"/>
      <c r="IK49" s="382"/>
      <c r="IL49" s="382"/>
      <c r="IM49" s="382"/>
      <c r="IN49" s="382"/>
      <c r="IO49" s="382"/>
    </row>
    <row r="50" spans="1:249" s="422" customFormat="1" ht="24.95" customHeight="1">
      <c r="A50" s="611" t="str">
        <f>+IF(NOVIEMBRE!A50=0,"",NOVIEMBRE!A50)</f>
        <v>1130108-2</v>
      </c>
      <c r="B50" s="646" t="str">
        <f>+IF(NOVIEMBRE!B50=0,"",NOVIEMBRE!B50)</f>
        <v>Vigencia Anterior</v>
      </c>
      <c r="C50" s="671">
        <f>+ENERO!C50</f>
        <v>0</v>
      </c>
      <c r="D50" s="373">
        <f>NOVIEMBRE!D50+DICIEMBRE!P50</f>
        <v>0</v>
      </c>
      <c r="E50" s="373">
        <f>NOVIEMBRE!E50+DICIEMBRE!Q50</f>
        <v>0</v>
      </c>
      <c r="F50" s="373">
        <f>SUM(C50:E50)</f>
        <v>0</v>
      </c>
      <c r="G50" s="373">
        <f>NOVIEMBRE!I50</f>
        <v>0</v>
      </c>
      <c r="H50" s="374">
        <v>0</v>
      </c>
      <c r="I50" s="373">
        <f>SUM(G50:H50)</f>
        <v>0</v>
      </c>
      <c r="J50" s="373">
        <f>NOVIEMBRE!L50</f>
        <v>0</v>
      </c>
      <c r="K50" s="374">
        <v>0</v>
      </c>
      <c r="L50" s="373">
        <f>SUM(J50:K50)</f>
        <v>0</v>
      </c>
      <c r="M50" s="373">
        <f>F50-I50</f>
        <v>0</v>
      </c>
      <c r="N50" s="143">
        <f>F50-L50</f>
        <v>0</v>
      </c>
      <c r="O50" s="382"/>
      <c r="P50" s="372">
        <v>0</v>
      </c>
      <c r="Q50" s="375">
        <v>0</v>
      </c>
      <c r="R50" s="9"/>
      <c r="S50" s="706" t="str">
        <f>+IF(NOVIEMBRE!S50=0,"",NOVIEMBRE!S50)</f>
        <v>1010302-1</v>
      </c>
      <c r="T50" s="682" t="str">
        <f>+IF(NOVIEMBRE!T50=0,"",NOVIEMBRE!T50)</f>
        <v>Aportes a E.P.S.- Con sit. Fondos</v>
      </c>
      <c r="U50" s="27">
        <f>+ENERO!U50</f>
        <v>72876516</v>
      </c>
      <c r="V50" s="15">
        <f>NOVIEMBRE!V50+DICIEMBRE!AL50</f>
        <v>-38500000</v>
      </c>
      <c r="W50" s="15">
        <f>NOVIEMBRE!W50+DICIEMBRE!AM50</f>
        <v>0</v>
      </c>
      <c r="X50" s="18">
        <f t="shared" ref="X50:X55" si="58">SUM(U50:W50)</f>
        <v>34376516</v>
      </c>
      <c r="Y50" s="19">
        <f>NOVIEMBRE!AA50</f>
        <v>19832896</v>
      </c>
      <c r="Z50" s="374">
        <v>0</v>
      </c>
      <c r="AA50" s="18">
        <f t="shared" ref="AA50:AA55" si="59">SUM(Y50:Z50)</f>
        <v>19832896</v>
      </c>
      <c r="AB50" s="19">
        <f>NOVIEMBRE!AD50</f>
        <v>19832896</v>
      </c>
      <c r="AC50" s="374">
        <v>0</v>
      </c>
      <c r="AD50" s="18">
        <f t="shared" ref="AD50:AD55" si="60">SUM(AB50:AC50)</f>
        <v>19832896</v>
      </c>
      <c r="AE50" s="19">
        <f>NOVIEMBRE!AG50</f>
        <v>19832896</v>
      </c>
      <c r="AF50" s="374">
        <v>0</v>
      </c>
      <c r="AG50" s="18">
        <f t="shared" ref="AG50:AG55" si="61">SUM(AE50:AF50)</f>
        <v>19832896</v>
      </c>
      <c r="AH50" s="19">
        <f t="shared" ref="AH50:AH55" si="62">X50-AA50</f>
        <v>14543620</v>
      </c>
      <c r="AI50" s="15">
        <f t="shared" ref="AI50:AI55" si="63">X50-AD50</f>
        <v>14543620</v>
      </c>
      <c r="AJ50" s="16">
        <f t="shared" ref="AJ50:AJ55" si="64">X50-AG50</f>
        <v>14543620</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461"/>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c r="DZ50" s="382"/>
      <c r="EA50" s="382"/>
      <c r="EB50" s="382"/>
      <c r="EC50" s="382"/>
      <c r="ED50" s="382"/>
      <c r="EE50" s="382"/>
      <c r="EF50" s="382"/>
      <c r="EG50" s="382"/>
      <c r="EH50" s="382"/>
      <c r="EI50" s="382"/>
      <c r="EJ50" s="382"/>
      <c r="EK50" s="382"/>
      <c r="EL50" s="382"/>
      <c r="EM50" s="382"/>
      <c r="EN50" s="382"/>
      <c r="EO50" s="382"/>
      <c r="EP50" s="382"/>
      <c r="EQ50" s="382"/>
      <c r="ER50" s="382"/>
      <c r="ES50" s="382"/>
      <c r="ET50" s="382"/>
      <c r="EU50" s="382"/>
      <c r="EV50" s="382"/>
      <c r="EW50" s="382"/>
      <c r="EX50" s="382"/>
      <c r="EY50" s="382"/>
      <c r="EZ50" s="382"/>
      <c r="FA50" s="382"/>
      <c r="FB50" s="382"/>
      <c r="FC50" s="382"/>
      <c r="FD50" s="382"/>
      <c r="FE50" s="382"/>
      <c r="FF50" s="382"/>
      <c r="FG50" s="382"/>
      <c r="FH50" s="382"/>
      <c r="FI50" s="382"/>
      <c r="FJ50" s="382"/>
      <c r="FK50" s="382"/>
      <c r="FL50" s="382"/>
      <c r="FM50" s="382"/>
      <c r="FN50" s="382"/>
      <c r="FO50" s="382"/>
      <c r="FP50" s="382"/>
      <c r="FQ50" s="382"/>
      <c r="FR50" s="382"/>
      <c r="FS50" s="382"/>
      <c r="FT50" s="382"/>
      <c r="FU50" s="382"/>
      <c r="FV50" s="382"/>
      <c r="FW50" s="382"/>
      <c r="FX50" s="382"/>
      <c r="FY50" s="382"/>
      <c r="FZ50" s="382"/>
      <c r="GA50" s="382"/>
      <c r="GB50" s="382"/>
      <c r="GC50" s="382"/>
      <c r="GD50" s="382"/>
      <c r="GE50" s="382"/>
      <c r="GF50" s="382"/>
      <c r="GG50" s="382"/>
      <c r="GH50" s="382"/>
      <c r="GI50" s="382"/>
      <c r="GJ50" s="382"/>
      <c r="GK50" s="382"/>
      <c r="GL50" s="382"/>
      <c r="GM50" s="382"/>
      <c r="GN50" s="382"/>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c r="HO50" s="382"/>
      <c r="HP50" s="382"/>
      <c r="HQ50" s="382"/>
      <c r="HR50" s="382"/>
      <c r="HS50" s="382"/>
      <c r="HT50" s="382"/>
      <c r="HU50" s="382"/>
      <c r="HV50" s="382"/>
      <c r="HW50" s="382"/>
      <c r="HX50" s="382"/>
      <c r="HY50" s="382"/>
      <c r="HZ50" s="382"/>
      <c r="IA50" s="382"/>
      <c r="IB50" s="382"/>
      <c r="IC50" s="382"/>
      <c r="ID50" s="382"/>
      <c r="IE50" s="382"/>
      <c r="IF50" s="382"/>
      <c r="IG50" s="382"/>
      <c r="IH50" s="382"/>
      <c r="II50" s="382"/>
      <c r="IJ50" s="382"/>
      <c r="IK50" s="382"/>
      <c r="IL50" s="382"/>
      <c r="IM50" s="382"/>
      <c r="IN50" s="382"/>
      <c r="IO50" s="382"/>
    </row>
    <row r="51" spans="1:249" s="382" customFormat="1" ht="24.95" customHeight="1">
      <c r="A51" s="733">
        <f>+IF(NOVIEMBRE!A51=0,"",NOVIEMBRE!A51)</f>
        <v>1130109</v>
      </c>
      <c r="B51" s="645"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706" t="str">
        <f>+IF(NOVIEMBRE!S51=0,"",NOVIEMBRE!S51)</f>
        <v>1010302-2</v>
      </c>
      <c r="T51" s="682" t="str">
        <f>+IF(NOVIEMBRE!T51=0,"",NOVIEMBRE!T51)</f>
        <v>Aportes Fondos Pensionales - Con Sit. Fondos</v>
      </c>
      <c r="U51" s="27">
        <f>+ENERO!U51</f>
        <v>75101971</v>
      </c>
      <c r="V51" s="15">
        <f>NOVIEMBRE!V51+DICIEMBRE!AL51</f>
        <v>-27111787</v>
      </c>
      <c r="W51" s="15">
        <f>NOVIEMBRE!W51+DICIEMBRE!AM51</f>
        <v>0</v>
      </c>
      <c r="X51" s="18">
        <f t="shared" si="58"/>
        <v>47990184</v>
      </c>
      <c r="Y51" s="19">
        <f>NOVIEMBRE!AA51</f>
        <v>27539061</v>
      </c>
      <c r="Z51" s="374">
        <v>0</v>
      </c>
      <c r="AA51" s="18">
        <f t="shared" si="59"/>
        <v>27539061</v>
      </c>
      <c r="AB51" s="19">
        <f>NOVIEMBRE!AD51</f>
        <v>27539061</v>
      </c>
      <c r="AC51" s="374">
        <v>0</v>
      </c>
      <c r="AD51" s="18">
        <f t="shared" si="60"/>
        <v>27539061</v>
      </c>
      <c r="AE51" s="19">
        <f>NOVIEMBRE!AG51</f>
        <v>27539061</v>
      </c>
      <c r="AF51" s="374">
        <v>0</v>
      </c>
      <c r="AG51" s="18">
        <f t="shared" si="61"/>
        <v>27539061</v>
      </c>
      <c r="AH51" s="19">
        <f t="shared" si="62"/>
        <v>20451123</v>
      </c>
      <c r="AI51" s="15">
        <f t="shared" si="63"/>
        <v>20451123</v>
      </c>
      <c r="AJ51" s="16">
        <f t="shared" si="64"/>
        <v>20451123</v>
      </c>
      <c r="AK51" s="9"/>
      <c r="AL51" s="372">
        <v>-17111787</v>
      </c>
      <c r="AM51" s="375">
        <v>0</v>
      </c>
      <c r="AN51" s="9"/>
      <c r="AO51" s="294"/>
      <c r="AP51" s="294"/>
      <c r="AQ51" s="294"/>
      <c r="AR51" s="294"/>
      <c r="AS51" s="294"/>
      <c r="AT51" s="294"/>
      <c r="AU51" s="294"/>
      <c r="AV51" s="294"/>
      <c r="AW51" s="294"/>
      <c r="AX51" s="294"/>
      <c r="AY51" s="294"/>
      <c r="AZ51" s="294"/>
      <c r="BQ51" s="461"/>
    </row>
    <row r="52" spans="1:249" s="422" customFormat="1" ht="24.95" customHeight="1">
      <c r="A52" s="611" t="str">
        <f>+IF(NOVIEMBRE!A52=0,"",NOVIEMBRE!A52)</f>
        <v>1130109-1</v>
      </c>
      <c r="B52" s="646" t="str">
        <f>+CONCATENATE("Vigencia ",INSTRUCCIONES!$F$3)</f>
        <v>Vigencia 2017</v>
      </c>
      <c r="C52" s="671">
        <f>+ENERO!C52</f>
        <v>0</v>
      </c>
      <c r="D52" s="373">
        <f>NOVIEMBRE!D52+DICIEMBRE!P52</f>
        <v>0</v>
      </c>
      <c r="E52" s="373">
        <f>NOVIEMBRE!E52+DICIEMBRE!Q52</f>
        <v>0</v>
      </c>
      <c r="F52" s="373">
        <f>SUM(C52:E52)</f>
        <v>0</v>
      </c>
      <c r="G52" s="373">
        <f>NOVIEMBRE!I52</f>
        <v>0</v>
      </c>
      <c r="H52" s="374">
        <v>0</v>
      </c>
      <c r="I52" s="373">
        <f>SUM(G52:H52)</f>
        <v>0</v>
      </c>
      <c r="J52" s="373">
        <f>NOVIEMBRE!L52</f>
        <v>0</v>
      </c>
      <c r="K52" s="374">
        <v>0</v>
      </c>
      <c r="L52" s="373">
        <f>SUM(J52:K52)</f>
        <v>0</v>
      </c>
      <c r="M52" s="373">
        <f>F52-I52</f>
        <v>0</v>
      </c>
      <c r="N52" s="143">
        <f>F52-L52</f>
        <v>0</v>
      </c>
      <c r="O52" s="382"/>
      <c r="P52" s="372">
        <v>0</v>
      </c>
      <c r="Q52" s="375">
        <v>0</v>
      </c>
      <c r="R52" s="9"/>
      <c r="S52" s="706" t="str">
        <f>+IF(NOVIEMBRE!S52=0,"",NOVIEMBRE!S52)</f>
        <v>1010302-3</v>
      </c>
      <c r="T52" s="682" t="str">
        <f>+IF(NOVIEMBRE!T52=0,"",NOVIEMBRE!T52)</f>
        <v xml:space="preserve">Aportes a Fondos de Cesantia - Con Sit. de Fondos </v>
      </c>
      <c r="U52" s="27">
        <f>+ENERO!U52</f>
        <v>12471386</v>
      </c>
      <c r="V52" s="15">
        <f>NOVIEMBRE!V52+DICIEMBRE!AL52</f>
        <v>0</v>
      </c>
      <c r="W52" s="15">
        <f>NOVIEMBRE!W52+DICIEMBRE!AM52</f>
        <v>0</v>
      </c>
      <c r="X52" s="18">
        <f t="shared" si="58"/>
        <v>12471386</v>
      </c>
      <c r="Y52" s="19">
        <f>NOVIEMBRE!AA52</f>
        <v>0</v>
      </c>
      <c r="Z52" s="374">
        <v>0</v>
      </c>
      <c r="AA52" s="18">
        <f t="shared" si="59"/>
        <v>0</v>
      </c>
      <c r="AB52" s="19">
        <f>NOVIEMBRE!AD52</f>
        <v>0</v>
      </c>
      <c r="AC52" s="374">
        <v>0</v>
      </c>
      <c r="AD52" s="18">
        <f t="shared" si="60"/>
        <v>0</v>
      </c>
      <c r="AE52" s="19">
        <f>NOVIEMBRE!AG52</f>
        <v>0</v>
      </c>
      <c r="AF52" s="374">
        <v>0</v>
      </c>
      <c r="AG52" s="18">
        <f t="shared" si="61"/>
        <v>0</v>
      </c>
      <c r="AH52" s="19">
        <f t="shared" si="62"/>
        <v>12471386</v>
      </c>
      <c r="AI52" s="15">
        <f t="shared" si="63"/>
        <v>12471386</v>
      </c>
      <c r="AJ52" s="16">
        <f t="shared" si="64"/>
        <v>12471386</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461"/>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382"/>
      <c r="DB52" s="382"/>
      <c r="DC52" s="382"/>
      <c r="DD52" s="382"/>
      <c r="DE52" s="382"/>
      <c r="DF52" s="382"/>
      <c r="DG52" s="382"/>
      <c r="DH52" s="382"/>
      <c r="DI52" s="382"/>
      <c r="DJ52" s="382"/>
      <c r="DK52" s="382"/>
      <c r="DL52" s="382"/>
      <c r="DM52" s="382"/>
      <c r="DN52" s="382"/>
      <c r="DO52" s="382"/>
      <c r="DP52" s="382"/>
      <c r="DQ52" s="382"/>
      <c r="DR52" s="382"/>
      <c r="DS52" s="382"/>
      <c r="DT52" s="382"/>
      <c r="DU52" s="382"/>
      <c r="DV52" s="382"/>
      <c r="DW52" s="382"/>
      <c r="DX52" s="382"/>
      <c r="DY52" s="382"/>
      <c r="DZ52" s="382"/>
      <c r="EA52" s="382"/>
      <c r="EB52" s="382"/>
      <c r="EC52" s="382"/>
      <c r="ED52" s="382"/>
      <c r="EE52" s="382"/>
      <c r="EF52" s="382"/>
      <c r="EG52" s="382"/>
      <c r="EH52" s="382"/>
      <c r="EI52" s="382"/>
      <c r="EJ52" s="382"/>
      <c r="EK52" s="382"/>
      <c r="EL52" s="382"/>
      <c r="EM52" s="382"/>
      <c r="EN52" s="382"/>
      <c r="EO52" s="382"/>
      <c r="EP52" s="382"/>
      <c r="EQ52" s="382"/>
      <c r="ER52" s="382"/>
      <c r="ES52" s="382"/>
      <c r="ET52" s="382"/>
      <c r="EU52" s="382"/>
      <c r="EV52" s="382"/>
      <c r="EW52" s="382"/>
      <c r="EX52" s="382"/>
      <c r="EY52" s="382"/>
      <c r="EZ52" s="382"/>
      <c r="FA52" s="382"/>
      <c r="FB52" s="382"/>
      <c r="FC52" s="382"/>
      <c r="FD52" s="382"/>
      <c r="FE52" s="382"/>
      <c r="FF52" s="382"/>
      <c r="FG52" s="382"/>
      <c r="FH52" s="382"/>
      <c r="FI52" s="382"/>
      <c r="FJ52" s="382"/>
      <c r="FK52" s="382"/>
      <c r="FL52" s="382"/>
      <c r="FM52" s="382"/>
      <c r="FN52" s="382"/>
      <c r="FO52" s="382"/>
      <c r="FP52" s="382"/>
      <c r="FQ52" s="382"/>
      <c r="FR52" s="382"/>
      <c r="FS52" s="382"/>
      <c r="FT52" s="382"/>
      <c r="FU52" s="382"/>
      <c r="FV52" s="382"/>
      <c r="FW52" s="382"/>
      <c r="FX52" s="382"/>
      <c r="FY52" s="382"/>
      <c r="FZ52" s="382"/>
      <c r="GA52" s="382"/>
      <c r="GB52" s="382"/>
      <c r="GC52" s="382"/>
      <c r="GD52" s="382"/>
      <c r="GE52" s="382"/>
      <c r="GF52" s="382"/>
      <c r="GG52" s="382"/>
      <c r="GH52" s="382"/>
      <c r="GI52" s="382"/>
      <c r="GJ52" s="382"/>
      <c r="GK52" s="382"/>
      <c r="GL52" s="382"/>
      <c r="GM52" s="382"/>
      <c r="GN52" s="382"/>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c r="HO52" s="382"/>
      <c r="HP52" s="382"/>
      <c r="HQ52" s="382"/>
      <c r="HR52" s="382"/>
      <c r="HS52" s="382"/>
      <c r="HT52" s="382"/>
      <c r="HU52" s="382"/>
      <c r="HV52" s="382"/>
      <c r="HW52" s="382"/>
      <c r="HX52" s="382"/>
      <c r="HY52" s="382"/>
      <c r="HZ52" s="382"/>
      <c r="IA52" s="382"/>
      <c r="IB52" s="382"/>
      <c r="IC52" s="382"/>
      <c r="ID52" s="382"/>
      <c r="IE52" s="382"/>
      <c r="IF52" s="382"/>
      <c r="IG52" s="382"/>
      <c r="IH52" s="382"/>
      <c r="II52" s="382"/>
      <c r="IJ52" s="382"/>
      <c r="IK52" s="382"/>
      <c r="IL52" s="382"/>
      <c r="IM52" s="382"/>
      <c r="IN52" s="382"/>
      <c r="IO52" s="382"/>
    </row>
    <row r="53" spans="1:249" s="422" customFormat="1" ht="24.95" customHeight="1">
      <c r="A53" s="611" t="str">
        <f>+IF(NOVIEMBRE!A53=0,"",NOVIEMBRE!A53)</f>
        <v>1130109-2</v>
      </c>
      <c r="B53" s="646" t="str">
        <f>+IF(NOVIEMBRE!B53=0,"",NOVIEMBRE!B53)</f>
        <v>Vigencia Anterior</v>
      </c>
      <c r="C53" s="671">
        <f>+ENERO!C53</f>
        <v>0</v>
      </c>
      <c r="D53" s="373">
        <f>NOVIEMBRE!D53+DICIEMBRE!P53</f>
        <v>0</v>
      </c>
      <c r="E53" s="373">
        <f>NOVIEMBRE!E53+DICIEMBRE!Q53</f>
        <v>0</v>
      </c>
      <c r="F53" s="373">
        <f>SUM(C53:E53)</f>
        <v>0</v>
      </c>
      <c r="G53" s="373">
        <f>NOVIEMBRE!I53</f>
        <v>0</v>
      </c>
      <c r="H53" s="374">
        <v>0</v>
      </c>
      <c r="I53" s="373">
        <f>SUM(G53:H53)</f>
        <v>0</v>
      </c>
      <c r="J53" s="373">
        <f>NOVIEMBRE!L53</f>
        <v>0</v>
      </c>
      <c r="K53" s="374">
        <v>0</v>
      </c>
      <c r="L53" s="373">
        <f>SUM(J53:K53)</f>
        <v>0</v>
      </c>
      <c r="M53" s="373">
        <f>F53-I53</f>
        <v>0</v>
      </c>
      <c r="N53" s="143">
        <f>F53-L53</f>
        <v>0</v>
      </c>
      <c r="O53" s="382"/>
      <c r="P53" s="372">
        <v>0</v>
      </c>
      <c r="Q53" s="375">
        <v>0</v>
      </c>
      <c r="R53" s="9"/>
      <c r="S53" s="706" t="str">
        <f>+IF(NOVIEMBRE!S53=0,"",NOVIEMBRE!S53)</f>
        <v>1010302-4</v>
      </c>
      <c r="T53" s="682" t="str">
        <f>+IF(NOVIEMBRE!T53=0,"",NOVIEMBRE!T53)</f>
        <v>Aporte a ARL. - Con Sit. de Fondos</v>
      </c>
      <c r="U53" s="27">
        <f>+ENERO!U53</f>
        <v>15124020</v>
      </c>
      <c r="V53" s="15">
        <f>NOVIEMBRE!V53+DICIEMBRE!AL53</f>
        <v>-7000000</v>
      </c>
      <c r="W53" s="15">
        <f>NOVIEMBRE!W53+DICIEMBRE!AM53</f>
        <v>0</v>
      </c>
      <c r="X53" s="18">
        <f t="shared" si="58"/>
        <v>8124020</v>
      </c>
      <c r="Y53" s="19">
        <f>NOVIEMBRE!AA53</f>
        <v>1188615</v>
      </c>
      <c r="Z53" s="374">
        <v>0</v>
      </c>
      <c r="AA53" s="18">
        <f t="shared" si="59"/>
        <v>1188615</v>
      </c>
      <c r="AB53" s="19">
        <f>NOVIEMBRE!AD53</f>
        <v>1188615</v>
      </c>
      <c r="AC53" s="374">
        <v>0</v>
      </c>
      <c r="AD53" s="18">
        <f t="shared" si="60"/>
        <v>1188615</v>
      </c>
      <c r="AE53" s="19">
        <f>NOVIEMBRE!AG53</f>
        <v>1188615</v>
      </c>
      <c r="AF53" s="374">
        <v>0</v>
      </c>
      <c r="AG53" s="18">
        <f t="shared" si="61"/>
        <v>1188615</v>
      </c>
      <c r="AH53" s="19">
        <f t="shared" si="62"/>
        <v>6935405</v>
      </c>
      <c r="AI53" s="15">
        <f t="shared" si="63"/>
        <v>6935405</v>
      </c>
      <c r="AJ53" s="16">
        <f t="shared" si="64"/>
        <v>6935405</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461"/>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382"/>
      <c r="DB53" s="382"/>
      <c r="DC53" s="382"/>
      <c r="DD53" s="382"/>
      <c r="DE53" s="382"/>
      <c r="DF53" s="382"/>
      <c r="DG53" s="382"/>
      <c r="DH53" s="382"/>
      <c r="DI53" s="382"/>
      <c r="DJ53" s="382"/>
      <c r="DK53" s="382"/>
      <c r="DL53" s="382"/>
      <c r="DM53" s="382"/>
      <c r="DN53" s="382"/>
      <c r="DO53" s="382"/>
      <c r="DP53" s="382"/>
      <c r="DQ53" s="382"/>
      <c r="DR53" s="382"/>
      <c r="DS53" s="382"/>
      <c r="DT53" s="382"/>
      <c r="DU53" s="382"/>
      <c r="DV53" s="382"/>
      <c r="DW53" s="382"/>
      <c r="DX53" s="382"/>
      <c r="DY53" s="382"/>
      <c r="DZ53" s="382"/>
      <c r="EA53" s="382"/>
      <c r="EB53" s="382"/>
      <c r="EC53" s="382"/>
      <c r="ED53" s="382"/>
      <c r="EE53" s="382"/>
      <c r="EF53" s="382"/>
      <c r="EG53" s="382"/>
      <c r="EH53" s="382"/>
      <c r="EI53" s="382"/>
      <c r="EJ53" s="382"/>
      <c r="EK53" s="382"/>
      <c r="EL53" s="382"/>
      <c r="EM53" s="382"/>
      <c r="EN53" s="382"/>
      <c r="EO53" s="382"/>
      <c r="EP53" s="382"/>
      <c r="EQ53" s="382"/>
      <c r="ER53" s="382"/>
      <c r="ES53" s="382"/>
      <c r="ET53" s="382"/>
      <c r="EU53" s="382"/>
      <c r="EV53" s="382"/>
      <c r="EW53" s="382"/>
      <c r="EX53" s="382"/>
      <c r="EY53" s="382"/>
      <c r="EZ53" s="382"/>
      <c r="FA53" s="382"/>
      <c r="FB53" s="382"/>
      <c r="FC53" s="382"/>
      <c r="FD53" s="382"/>
      <c r="FE53" s="382"/>
      <c r="FF53" s="382"/>
      <c r="FG53" s="382"/>
      <c r="FH53" s="382"/>
      <c r="FI53" s="382"/>
      <c r="FJ53" s="382"/>
      <c r="FK53" s="382"/>
      <c r="FL53" s="382"/>
      <c r="FM53" s="382"/>
      <c r="FN53" s="382"/>
      <c r="FO53" s="382"/>
      <c r="FP53" s="382"/>
      <c r="FQ53" s="382"/>
      <c r="FR53" s="382"/>
      <c r="FS53" s="382"/>
      <c r="FT53" s="382"/>
      <c r="FU53" s="382"/>
      <c r="FV53" s="382"/>
      <c r="FW53" s="382"/>
      <c r="FX53" s="382"/>
      <c r="FY53" s="382"/>
      <c r="FZ53" s="382"/>
      <c r="GA53" s="382"/>
      <c r="GB53" s="382"/>
      <c r="GC53" s="382"/>
      <c r="GD53" s="382"/>
      <c r="GE53" s="382"/>
      <c r="GF53" s="382"/>
      <c r="GG53" s="382"/>
      <c r="GH53" s="382"/>
      <c r="GI53" s="382"/>
      <c r="GJ53" s="382"/>
      <c r="GK53" s="382"/>
      <c r="GL53" s="382"/>
      <c r="GM53" s="382"/>
      <c r="GN53" s="382"/>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c r="HO53" s="382"/>
      <c r="HP53" s="382"/>
      <c r="HQ53" s="382"/>
      <c r="HR53" s="382"/>
      <c r="HS53" s="382"/>
      <c r="HT53" s="382"/>
      <c r="HU53" s="382"/>
      <c r="HV53" s="382"/>
      <c r="HW53" s="382"/>
      <c r="HX53" s="382"/>
      <c r="HY53" s="382"/>
      <c r="HZ53" s="382"/>
      <c r="IA53" s="382"/>
      <c r="IB53" s="382"/>
      <c r="IC53" s="382"/>
      <c r="ID53" s="382"/>
      <c r="IE53" s="382"/>
      <c r="IF53" s="382"/>
      <c r="IG53" s="382"/>
      <c r="IH53" s="382"/>
      <c r="II53" s="382"/>
      <c r="IJ53" s="382"/>
      <c r="IK53" s="382"/>
      <c r="IL53" s="382"/>
      <c r="IM53" s="382"/>
      <c r="IN53" s="382"/>
      <c r="IO53" s="382"/>
    </row>
    <row r="54" spans="1:249" s="382" customFormat="1" ht="24.95" customHeight="1">
      <c r="A54" s="733">
        <f>+IF(NOVIEMBRE!A54=0,"",NOVIEMBRE!A54)</f>
        <v>1130110</v>
      </c>
      <c r="B54" s="645" t="str">
        <f>+IF(NOVIEMBRE!B54=0,"",NOVIEMBRE!B54)</f>
        <v>EMPRESAS MEDICINA PREPAGADA</v>
      </c>
      <c r="C54" s="43">
        <f t="shared" ref="C54:N54" si="66">SUM(C55:C56)</f>
        <v>0</v>
      </c>
      <c r="D54" s="44">
        <f t="shared" si="66"/>
        <v>0</v>
      </c>
      <c r="E54" s="44">
        <f t="shared" si="66"/>
        <v>0</v>
      </c>
      <c r="F54" s="44">
        <f t="shared" si="66"/>
        <v>0</v>
      </c>
      <c r="G54" s="44">
        <f t="shared" si="66"/>
        <v>0</v>
      </c>
      <c r="H54" s="44">
        <f t="shared" si="66"/>
        <v>0</v>
      </c>
      <c r="I54" s="44">
        <f t="shared" si="66"/>
        <v>0</v>
      </c>
      <c r="J54" s="44">
        <f t="shared" si="66"/>
        <v>0</v>
      </c>
      <c r="K54" s="44">
        <f t="shared" si="66"/>
        <v>0</v>
      </c>
      <c r="L54" s="44">
        <f t="shared" si="66"/>
        <v>0</v>
      </c>
      <c r="M54" s="44">
        <f t="shared" si="66"/>
        <v>0</v>
      </c>
      <c r="N54" s="45">
        <f t="shared" si="66"/>
        <v>0</v>
      </c>
      <c r="P54" s="43">
        <f>SUM(P55:P56)</f>
        <v>0</v>
      </c>
      <c r="Q54" s="45">
        <f>SUM(Q55:Q56)</f>
        <v>0</v>
      </c>
      <c r="R54" s="9"/>
      <c r="S54" s="706" t="str">
        <f>+IF(NOVIEMBRE!S54=0,"",NOVIEMBRE!S54)</f>
        <v>1010302-5</v>
      </c>
      <c r="T54" s="682" t="str">
        <f>+IF(NOVIEMBRE!T54=0,"",NOVIEMBRE!T54)</f>
        <v>Aporte a Caja Compensación Familiar</v>
      </c>
      <c r="U54" s="27">
        <f>+ENERO!U54</f>
        <v>7287660</v>
      </c>
      <c r="V54" s="15">
        <f>NOVIEMBRE!V54+DICIEMBRE!AL54</f>
        <v>6500000</v>
      </c>
      <c r="W54" s="15">
        <f>NOVIEMBRE!W54+DICIEMBRE!AM54</f>
        <v>8000000</v>
      </c>
      <c r="X54" s="18">
        <f t="shared" si="58"/>
        <v>21787660</v>
      </c>
      <c r="Y54" s="19">
        <f>NOVIEMBRE!AA54</f>
        <v>18525725</v>
      </c>
      <c r="Z54" s="374">
        <v>2907003</v>
      </c>
      <c r="AA54" s="18">
        <f t="shared" si="59"/>
        <v>21432728</v>
      </c>
      <c r="AB54" s="19">
        <f>NOVIEMBRE!AD54</f>
        <v>18525725</v>
      </c>
      <c r="AC54" s="374">
        <v>2907003</v>
      </c>
      <c r="AD54" s="18">
        <f t="shared" si="60"/>
        <v>21432728</v>
      </c>
      <c r="AE54" s="19">
        <f>NOVIEMBRE!AG54</f>
        <v>18525725</v>
      </c>
      <c r="AF54" s="374">
        <v>2907003</v>
      </c>
      <c r="AG54" s="18">
        <f t="shared" si="61"/>
        <v>21432728</v>
      </c>
      <c r="AH54" s="19">
        <f t="shared" si="62"/>
        <v>354932</v>
      </c>
      <c r="AI54" s="15">
        <f t="shared" si="63"/>
        <v>354932</v>
      </c>
      <c r="AJ54" s="16">
        <f t="shared" si="64"/>
        <v>354932</v>
      </c>
      <c r="AK54" s="9"/>
      <c r="AL54" s="372">
        <v>3000000</v>
      </c>
      <c r="AM54" s="375">
        <v>0</v>
      </c>
      <c r="AN54" s="9"/>
      <c r="AO54" s="294"/>
      <c r="AP54" s="294"/>
      <c r="AQ54" s="294"/>
      <c r="AR54" s="294"/>
      <c r="AS54" s="294"/>
      <c r="AT54" s="294"/>
      <c r="AU54" s="294"/>
      <c r="AV54" s="294"/>
      <c r="AW54" s="294"/>
      <c r="AX54" s="294"/>
      <c r="AY54" s="294"/>
      <c r="AZ54" s="294"/>
      <c r="BQ54" s="461"/>
    </row>
    <row r="55" spans="1:249" s="422" customFormat="1" ht="24.95" customHeight="1">
      <c r="A55" s="611" t="str">
        <f>+IF(NOVIEMBRE!A55=0,"",NOVIEMBRE!A55)</f>
        <v>1130110-1</v>
      </c>
      <c r="B55" s="646" t="str">
        <f>+CONCATENATE("Vigencia ",INSTRUCCIONES!$F$3)</f>
        <v>Vigencia 2017</v>
      </c>
      <c r="C55" s="671">
        <f>+ENERO!C55</f>
        <v>0</v>
      </c>
      <c r="D55" s="373">
        <f>NOVIEMBRE!D55+DICIEMBRE!P55</f>
        <v>0</v>
      </c>
      <c r="E55" s="373">
        <f>NOVIEMBRE!E55+DICIEMBRE!Q55</f>
        <v>0</v>
      </c>
      <c r="F55" s="373">
        <f>SUM(C55:E55)</f>
        <v>0</v>
      </c>
      <c r="G55" s="373">
        <f>NOVIEMBRE!I55</f>
        <v>0</v>
      </c>
      <c r="H55" s="374">
        <v>0</v>
      </c>
      <c r="I55" s="373">
        <f>SUM(G55:H55)</f>
        <v>0</v>
      </c>
      <c r="J55" s="373">
        <f>NOVIEMBRE!L55</f>
        <v>0</v>
      </c>
      <c r="K55" s="374">
        <v>0</v>
      </c>
      <c r="L55" s="373">
        <f>SUM(J55:K55)</f>
        <v>0</v>
      </c>
      <c r="M55" s="373">
        <f>F55-I55</f>
        <v>0</v>
      </c>
      <c r="N55" s="143">
        <f>F55-L55</f>
        <v>0</v>
      </c>
      <c r="O55" s="382"/>
      <c r="P55" s="372">
        <v>0</v>
      </c>
      <c r="Q55" s="375">
        <v>0</v>
      </c>
      <c r="R55" s="9"/>
      <c r="S55" s="705">
        <f>+IF(NOVIEMBRE!S55=0,"",NOVIEMBRE!S55)</f>
        <v>1010399</v>
      </c>
      <c r="T55" s="681" t="str">
        <f>+IF(NOVIEMBRE!T55=0,"",NOVIEMBRE!T55)</f>
        <v>Vigencias Anteriores</v>
      </c>
      <c r="U55" s="27">
        <f>+ENERO!U55</f>
        <v>0</v>
      </c>
      <c r="V55" s="15">
        <f>NOVIEMBRE!V55+DICIEMBRE!AL55</f>
        <v>-24802080</v>
      </c>
      <c r="W55" s="15">
        <f>NOVIEMBRE!W55+DICIEMBRE!AM55</f>
        <v>24802080</v>
      </c>
      <c r="X55" s="18">
        <f t="shared" si="58"/>
        <v>0</v>
      </c>
      <c r="Y55" s="19">
        <f>NOVIEMBRE!AA55</f>
        <v>0</v>
      </c>
      <c r="Z55" s="374">
        <v>0</v>
      </c>
      <c r="AA55" s="18">
        <f t="shared" si="59"/>
        <v>0</v>
      </c>
      <c r="AB55" s="19">
        <f>NOVIEMBRE!AD55</f>
        <v>0</v>
      </c>
      <c r="AC55" s="374">
        <v>0</v>
      </c>
      <c r="AD55" s="18">
        <f t="shared" si="60"/>
        <v>0</v>
      </c>
      <c r="AE55" s="19">
        <f>NOVIEMBRE!AG55</f>
        <v>0</v>
      </c>
      <c r="AF55" s="374">
        <v>0</v>
      </c>
      <c r="AG55" s="18">
        <f t="shared" si="61"/>
        <v>0</v>
      </c>
      <c r="AH55" s="19">
        <f t="shared" si="62"/>
        <v>0</v>
      </c>
      <c r="AI55" s="15">
        <f t="shared" si="63"/>
        <v>0</v>
      </c>
      <c r="AJ55" s="16">
        <f t="shared" si="64"/>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461"/>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row>
    <row r="56" spans="1:249" s="422" customFormat="1" ht="24.95" customHeight="1">
      <c r="A56" s="611" t="str">
        <f>+IF(NOVIEMBRE!A56=0,"",NOVIEMBRE!A56)</f>
        <v>1130110-2</v>
      </c>
      <c r="B56" s="646" t="str">
        <f>+IF(NOVIEMBRE!B56=0,"",NOVIEMBRE!B56)</f>
        <v>Vigencia Anterior</v>
      </c>
      <c r="C56" s="671">
        <f>+ENERO!C56</f>
        <v>0</v>
      </c>
      <c r="D56" s="373">
        <f>NOVIEMBRE!D56+DICIEMBRE!P56</f>
        <v>0</v>
      </c>
      <c r="E56" s="373">
        <f>NOVIEMBRE!E56+DICIEMBRE!Q56</f>
        <v>0</v>
      </c>
      <c r="F56" s="373">
        <f>SUM(C56:E56)</f>
        <v>0</v>
      </c>
      <c r="G56" s="373">
        <f>NOVIEMBRE!I56</f>
        <v>0</v>
      </c>
      <c r="H56" s="374">
        <v>0</v>
      </c>
      <c r="I56" s="373">
        <f>SUM(G56:H56)</f>
        <v>0</v>
      </c>
      <c r="J56" s="373">
        <f>NOVIEMBRE!L56</f>
        <v>0</v>
      </c>
      <c r="K56" s="374">
        <v>0</v>
      </c>
      <c r="L56" s="373">
        <f>SUM(J56:K56)</f>
        <v>0</v>
      </c>
      <c r="M56" s="373">
        <f>F56-I56</f>
        <v>0</v>
      </c>
      <c r="N56" s="143">
        <f>F56-L56</f>
        <v>0</v>
      </c>
      <c r="O56" s="382"/>
      <c r="P56" s="372">
        <v>0</v>
      </c>
      <c r="Q56" s="375">
        <v>0</v>
      </c>
      <c r="R56" s="9"/>
      <c r="S56" s="366" t="str">
        <f>+IF(NOVIEMBRE!S56=0,"",NOVIEMBRE!S56)</f>
        <v/>
      </c>
      <c r="T56" s="695"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461"/>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row>
    <row r="57" spans="1:249" s="382" customFormat="1" ht="24.95" customHeight="1">
      <c r="A57" s="733">
        <f>+IF(NOVIEMBRE!A57=0,"",NOVIEMBRE!A57)</f>
        <v>1130111</v>
      </c>
      <c r="B57" s="645" t="str">
        <f>+IF(NOVIEMBRE!B57=0,"",NOVIEMBRE!B57)</f>
        <v>IPS PRIVADAS</v>
      </c>
      <c r="C57" s="43">
        <f t="shared" ref="C57:N57" si="67">SUM(C58:C59)</f>
        <v>133639169</v>
      </c>
      <c r="D57" s="44">
        <f t="shared" si="67"/>
        <v>0</v>
      </c>
      <c r="E57" s="44">
        <f t="shared" si="67"/>
        <v>2852326</v>
      </c>
      <c r="F57" s="44">
        <f t="shared" si="67"/>
        <v>136491495</v>
      </c>
      <c r="G57" s="44">
        <f t="shared" si="67"/>
        <v>2870498</v>
      </c>
      <c r="H57" s="44">
        <f t="shared" si="67"/>
        <v>0</v>
      </c>
      <c r="I57" s="44">
        <f t="shared" si="67"/>
        <v>2870498</v>
      </c>
      <c r="J57" s="44">
        <f t="shared" si="67"/>
        <v>2852326</v>
      </c>
      <c r="K57" s="44">
        <f t="shared" si="67"/>
        <v>0</v>
      </c>
      <c r="L57" s="44">
        <f t="shared" si="67"/>
        <v>2852326</v>
      </c>
      <c r="M57" s="44">
        <f t="shared" si="67"/>
        <v>133620997</v>
      </c>
      <c r="N57" s="45">
        <f t="shared" si="67"/>
        <v>133639169</v>
      </c>
      <c r="P57" s="43">
        <f>SUM(P58:P59)</f>
        <v>0</v>
      </c>
      <c r="Q57" s="45">
        <f>SUM(Q58:Q59)</f>
        <v>2675366</v>
      </c>
      <c r="R57" s="9"/>
      <c r="S57" s="704">
        <f>+IF(NOVIEMBRE!S57=0,"",NOVIEMBRE!S57)</f>
        <v>1010400</v>
      </c>
      <c r="T57" s="680" t="str">
        <f>+IF(NOVIEMBRE!T57=0,"",NOVIEMBRE!T57)</f>
        <v>Contribuciones Inherentes nómina del Sector Publico</v>
      </c>
      <c r="U57" s="132">
        <f t="shared" ref="U57:AJ57" si="68">U58+U61</f>
        <v>31192586</v>
      </c>
      <c r="V57" s="122">
        <f t="shared" si="68"/>
        <v>2811787</v>
      </c>
      <c r="W57" s="122">
        <f t="shared" si="68"/>
        <v>0</v>
      </c>
      <c r="X57" s="129">
        <f t="shared" si="68"/>
        <v>34004373</v>
      </c>
      <c r="Y57" s="128">
        <f t="shared" si="68"/>
        <v>21747420</v>
      </c>
      <c r="Z57" s="122">
        <f t="shared" si="68"/>
        <v>3633754</v>
      </c>
      <c r="AA57" s="129">
        <f t="shared" si="68"/>
        <v>25381174</v>
      </c>
      <c r="AB57" s="128">
        <f t="shared" si="68"/>
        <v>21747420</v>
      </c>
      <c r="AC57" s="122">
        <f t="shared" si="68"/>
        <v>3633754</v>
      </c>
      <c r="AD57" s="129">
        <f t="shared" si="68"/>
        <v>25381174</v>
      </c>
      <c r="AE57" s="128">
        <f t="shared" si="68"/>
        <v>21747420</v>
      </c>
      <c r="AF57" s="122">
        <f t="shared" si="68"/>
        <v>3633754</v>
      </c>
      <c r="AG57" s="129">
        <f t="shared" si="68"/>
        <v>25381174</v>
      </c>
      <c r="AH57" s="128">
        <f t="shared" si="68"/>
        <v>8623199</v>
      </c>
      <c r="AI57" s="122">
        <f t="shared" si="68"/>
        <v>8623199</v>
      </c>
      <c r="AJ57" s="130">
        <f t="shared" si="68"/>
        <v>8623199</v>
      </c>
      <c r="AK57" s="9"/>
      <c r="AL57" s="128">
        <f>AL58+AL61</f>
        <v>811787</v>
      </c>
      <c r="AM57" s="130">
        <f>AM58+AM61</f>
        <v>0</v>
      </c>
      <c r="AN57" s="9"/>
      <c r="AO57" s="294"/>
      <c r="AP57" s="294"/>
      <c r="AQ57" s="294"/>
      <c r="AR57" s="294"/>
      <c r="AS57" s="294"/>
      <c r="AT57" s="294"/>
      <c r="AU57" s="294"/>
      <c r="AV57" s="294"/>
      <c r="AW57" s="294"/>
      <c r="AX57" s="294"/>
      <c r="AY57" s="294"/>
      <c r="AZ57" s="294"/>
      <c r="BQ57" s="461"/>
    </row>
    <row r="58" spans="1:249" s="422" customFormat="1" ht="24.95" customHeight="1">
      <c r="A58" s="611" t="str">
        <f>+IF(NOVIEMBRE!A58=0,"",NOVIEMBRE!A58)</f>
        <v>1130111-1</v>
      </c>
      <c r="B58" s="646" t="str">
        <f>+CONCATENATE("Vigencia ",INSTRUCCIONES!$F$3)</f>
        <v>Vigencia 2017</v>
      </c>
      <c r="C58" s="671">
        <f>+ENERO!C58</f>
        <v>133639169</v>
      </c>
      <c r="D58" s="373">
        <f>NOVIEMBRE!D58+DICIEMBRE!P58</f>
        <v>0</v>
      </c>
      <c r="E58" s="373">
        <f>NOVIEMBRE!E58+DICIEMBRE!Q58</f>
        <v>0</v>
      </c>
      <c r="F58" s="373">
        <f>SUM(C58:E58)</f>
        <v>133639169</v>
      </c>
      <c r="G58" s="373">
        <f>NOVIEMBRE!I58</f>
        <v>18172</v>
      </c>
      <c r="H58" s="374">
        <v>0</v>
      </c>
      <c r="I58" s="373">
        <f>SUM(G58:H58)</f>
        <v>18172</v>
      </c>
      <c r="J58" s="373">
        <f>NOVIEMBRE!L58</f>
        <v>0</v>
      </c>
      <c r="K58" s="374">
        <v>0</v>
      </c>
      <c r="L58" s="373">
        <f>SUM(J58:K58)</f>
        <v>0</v>
      </c>
      <c r="M58" s="373">
        <f>F58-I58</f>
        <v>133620997</v>
      </c>
      <c r="N58" s="143">
        <f>F58-L58</f>
        <v>133639169</v>
      </c>
      <c r="O58" s="382"/>
      <c r="P58" s="372">
        <v>0</v>
      </c>
      <c r="Q58" s="375">
        <v>0</v>
      </c>
      <c r="R58" s="9"/>
      <c r="S58" s="705">
        <f>+IF(NOVIEMBRE!S58=0,"",NOVIEMBRE!S58)</f>
        <v>1010402</v>
      </c>
      <c r="T58" s="681" t="str">
        <f>+IF(NOVIEMBRE!T58=0,"",NOVIEMBRE!T58)</f>
        <v>Contribuciones - Otros</v>
      </c>
      <c r="U58" s="27">
        <f t="shared" ref="U58:AJ58" si="69">SUM(U59:U60)</f>
        <v>31192586</v>
      </c>
      <c r="V58" s="15">
        <f t="shared" si="69"/>
        <v>2811787</v>
      </c>
      <c r="W58" s="15">
        <f t="shared" si="69"/>
        <v>0</v>
      </c>
      <c r="X58" s="18">
        <f t="shared" si="69"/>
        <v>34004373</v>
      </c>
      <c r="Y58" s="19">
        <f t="shared" si="69"/>
        <v>21747420</v>
      </c>
      <c r="Z58" s="142">
        <f t="shared" si="69"/>
        <v>3633754</v>
      </c>
      <c r="AA58" s="18">
        <f t="shared" si="69"/>
        <v>25381174</v>
      </c>
      <c r="AB58" s="19">
        <f t="shared" si="69"/>
        <v>21747420</v>
      </c>
      <c r="AC58" s="142">
        <f t="shared" si="69"/>
        <v>3633754</v>
      </c>
      <c r="AD58" s="18">
        <f t="shared" si="69"/>
        <v>25381174</v>
      </c>
      <c r="AE58" s="19">
        <f t="shared" si="69"/>
        <v>21747420</v>
      </c>
      <c r="AF58" s="142">
        <f t="shared" si="69"/>
        <v>3633754</v>
      </c>
      <c r="AG58" s="18">
        <f t="shared" si="69"/>
        <v>25381174</v>
      </c>
      <c r="AH58" s="19">
        <f t="shared" si="69"/>
        <v>8623199</v>
      </c>
      <c r="AI58" s="15">
        <f t="shared" si="69"/>
        <v>8623199</v>
      </c>
      <c r="AJ58" s="16">
        <f t="shared" si="69"/>
        <v>8623199</v>
      </c>
      <c r="AK58" s="9"/>
      <c r="AL58" s="29">
        <f>SUM(AL59:AL60)</f>
        <v>811787</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461"/>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row>
    <row r="59" spans="1:249" s="422" customFormat="1" ht="24.95" customHeight="1">
      <c r="A59" s="611" t="str">
        <f>+IF(NOVIEMBRE!A59=0,"",NOVIEMBRE!A59)</f>
        <v>1130111-2</v>
      </c>
      <c r="B59" s="646" t="str">
        <f>+IF(NOVIEMBRE!B59=0,"",NOVIEMBRE!B59)</f>
        <v>Vigencia Anterior</v>
      </c>
      <c r="C59" s="671">
        <f>+ENERO!C59</f>
        <v>0</v>
      </c>
      <c r="D59" s="373">
        <f>NOVIEMBRE!D59+DICIEMBRE!P59</f>
        <v>0</v>
      </c>
      <c r="E59" s="373">
        <f>NOVIEMBRE!E59+DICIEMBRE!Q59</f>
        <v>2852326</v>
      </c>
      <c r="F59" s="373">
        <f>SUM(C59:E59)</f>
        <v>2852326</v>
      </c>
      <c r="G59" s="373">
        <f>NOVIEMBRE!I59</f>
        <v>2852326</v>
      </c>
      <c r="H59" s="374">
        <v>0</v>
      </c>
      <c r="I59" s="373">
        <f>SUM(G59:H59)</f>
        <v>2852326</v>
      </c>
      <c r="J59" s="373">
        <f>NOVIEMBRE!L59</f>
        <v>2852326</v>
      </c>
      <c r="K59" s="374">
        <v>0</v>
      </c>
      <c r="L59" s="373">
        <f>SUM(J59:K59)</f>
        <v>2852326</v>
      </c>
      <c r="M59" s="373">
        <f>F59-I59</f>
        <v>0</v>
      </c>
      <c r="N59" s="2912">
        <f>F59-L59</f>
        <v>0</v>
      </c>
      <c r="O59" s="382"/>
      <c r="P59" s="372">
        <v>0</v>
      </c>
      <c r="Q59" s="375">
        <v>2675366</v>
      </c>
      <c r="R59" s="9"/>
      <c r="S59" s="706" t="str">
        <f>+IF(NOVIEMBRE!S59=0,"",NOVIEMBRE!S59)</f>
        <v>1010402-1</v>
      </c>
      <c r="T59" s="682" t="str">
        <f>+IF(NOVIEMBRE!T59=0,"",NOVIEMBRE!T59)</f>
        <v>S.E.N.A.</v>
      </c>
      <c r="U59" s="27">
        <f>+ENERO!U59</f>
        <v>18775492</v>
      </c>
      <c r="V59" s="15">
        <f>NOVIEMBRE!V59+DICIEMBRE!AL59</f>
        <v>0</v>
      </c>
      <c r="W59" s="15">
        <f>NOVIEMBRE!W59+DICIEMBRE!AM59</f>
        <v>0</v>
      </c>
      <c r="X59" s="18">
        <f>SUM(U59:W59)</f>
        <v>18775492</v>
      </c>
      <c r="Y59" s="19">
        <f>NOVIEMBRE!AA59</f>
        <v>8698791</v>
      </c>
      <c r="Z59" s="374">
        <v>1453502</v>
      </c>
      <c r="AA59" s="18">
        <f>SUM(Y59:Z59)</f>
        <v>10152293</v>
      </c>
      <c r="AB59" s="19">
        <f>NOVIEMBRE!AD59</f>
        <v>8698791</v>
      </c>
      <c r="AC59" s="374">
        <v>1453502</v>
      </c>
      <c r="AD59" s="18">
        <f>SUM(AB59:AC59)</f>
        <v>10152293</v>
      </c>
      <c r="AE59" s="19">
        <f>NOVIEMBRE!AG59</f>
        <v>8698791</v>
      </c>
      <c r="AF59" s="374">
        <v>1453502</v>
      </c>
      <c r="AG59" s="18">
        <f>SUM(AE59:AF59)</f>
        <v>10152293</v>
      </c>
      <c r="AH59" s="19">
        <f>X59-AA59</f>
        <v>8623199</v>
      </c>
      <c r="AI59" s="15">
        <f>X59-AD59</f>
        <v>8623199</v>
      </c>
      <c r="AJ59" s="16">
        <f>X59-AG59</f>
        <v>8623199</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461"/>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382"/>
      <c r="DB59" s="382"/>
      <c r="DC59" s="382"/>
      <c r="DD59" s="382"/>
      <c r="DE59" s="382"/>
      <c r="DF59" s="382"/>
      <c r="DG59" s="382"/>
      <c r="DH59" s="382"/>
      <c r="DI59" s="382"/>
      <c r="DJ59" s="382"/>
      <c r="DK59" s="382"/>
      <c r="DL59" s="382"/>
      <c r="DM59" s="382"/>
      <c r="DN59" s="382"/>
      <c r="DO59" s="382"/>
      <c r="DP59" s="382"/>
      <c r="DQ59" s="382"/>
      <c r="DR59" s="382"/>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c r="HO59" s="382"/>
      <c r="HP59" s="382"/>
      <c r="HQ59" s="382"/>
      <c r="HR59" s="382"/>
      <c r="HS59" s="382"/>
      <c r="HT59" s="382"/>
      <c r="HU59" s="382"/>
      <c r="HV59" s="382"/>
      <c r="HW59" s="382"/>
      <c r="HX59" s="382"/>
      <c r="HY59" s="382"/>
      <c r="HZ59" s="382"/>
      <c r="IA59" s="382"/>
      <c r="IB59" s="382"/>
      <c r="IC59" s="382"/>
      <c r="ID59" s="382"/>
      <c r="IE59" s="382"/>
      <c r="IF59" s="382"/>
      <c r="IG59" s="382"/>
      <c r="IH59" s="382"/>
      <c r="II59" s="382"/>
      <c r="IJ59" s="382"/>
      <c r="IK59" s="382"/>
      <c r="IL59" s="382"/>
      <c r="IM59" s="382"/>
      <c r="IN59" s="382"/>
      <c r="IO59" s="382"/>
    </row>
    <row r="60" spans="1:249" s="382" customFormat="1" ht="24.95" customHeight="1">
      <c r="A60" s="733">
        <f>+IF(NOVIEMBRE!A60=0,"",NOVIEMBRE!A60)</f>
        <v>1130112</v>
      </c>
      <c r="B60" s="645" t="str">
        <f>+IF(NOVIEMBRE!B60=0,"",NOVIEMBRE!B60)</f>
        <v>IPS PUBLICAS</v>
      </c>
      <c r="C60" s="43">
        <f t="shared" ref="C60:N60" si="70">SUM(C61:C62)</f>
        <v>45194994</v>
      </c>
      <c r="D60" s="44">
        <f t="shared" si="70"/>
        <v>0</v>
      </c>
      <c r="E60" s="44">
        <f t="shared" si="70"/>
        <v>3932397</v>
      </c>
      <c r="F60" s="44">
        <f t="shared" si="70"/>
        <v>49127391</v>
      </c>
      <c r="G60" s="44">
        <f t="shared" si="70"/>
        <v>312028168</v>
      </c>
      <c r="H60" s="44">
        <f t="shared" si="70"/>
        <v>5077533</v>
      </c>
      <c r="I60" s="44">
        <f t="shared" si="70"/>
        <v>317105701</v>
      </c>
      <c r="J60" s="44">
        <f t="shared" si="70"/>
        <v>22895327</v>
      </c>
      <c r="K60" s="44">
        <f t="shared" si="70"/>
        <v>101457</v>
      </c>
      <c r="L60" s="44">
        <f t="shared" si="70"/>
        <v>22996784</v>
      </c>
      <c r="M60" s="44">
        <f t="shared" si="70"/>
        <v>-267978310</v>
      </c>
      <c r="N60" s="45">
        <f t="shared" si="70"/>
        <v>26130607</v>
      </c>
      <c r="P60" s="43">
        <f>SUM(P61:P62)</f>
        <v>0</v>
      </c>
      <c r="Q60" s="45">
        <f>SUM(Q61:Q62)</f>
        <v>1144044</v>
      </c>
      <c r="R60" s="9"/>
      <c r="S60" s="706" t="str">
        <f>+IF(NOVIEMBRE!S60=0,"",NOVIEMBRE!S60)</f>
        <v>1010402-2</v>
      </c>
      <c r="T60" s="682" t="str">
        <f>+IF(NOVIEMBRE!T60=0,"",NOVIEMBRE!T60)</f>
        <v>I.C.B.F.</v>
      </c>
      <c r="U60" s="27">
        <f>+ENERO!U60</f>
        <v>12417094</v>
      </c>
      <c r="V60" s="15">
        <f>NOVIEMBRE!V60+DICIEMBRE!AL60</f>
        <v>2811787</v>
      </c>
      <c r="W60" s="15">
        <f>NOVIEMBRE!W60+DICIEMBRE!AM60</f>
        <v>0</v>
      </c>
      <c r="X60" s="18">
        <f>SUM(U60:W60)</f>
        <v>15228881</v>
      </c>
      <c r="Y60" s="19">
        <f>NOVIEMBRE!AA60</f>
        <v>13048629</v>
      </c>
      <c r="Z60" s="374">
        <v>2180252</v>
      </c>
      <c r="AA60" s="18">
        <f>SUM(Y60:Z60)</f>
        <v>15228881</v>
      </c>
      <c r="AB60" s="19">
        <f>NOVIEMBRE!AD60</f>
        <v>13048629</v>
      </c>
      <c r="AC60" s="374">
        <v>2180252</v>
      </c>
      <c r="AD60" s="18">
        <f>SUM(AB60:AC60)</f>
        <v>15228881</v>
      </c>
      <c r="AE60" s="19">
        <f>NOVIEMBRE!AG60</f>
        <v>13048629</v>
      </c>
      <c r="AF60" s="374">
        <v>2180252</v>
      </c>
      <c r="AG60" s="18">
        <f>SUM(AE60:AF60)</f>
        <v>15228881</v>
      </c>
      <c r="AH60" s="19">
        <f>X60-AA60</f>
        <v>0</v>
      </c>
      <c r="AI60" s="15">
        <f>X60-AD60</f>
        <v>0</v>
      </c>
      <c r="AJ60" s="16">
        <f>X60-AG60</f>
        <v>0</v>
      </c>
      <c r="AK60" s="9"/>
      <c r="AL60" s="372">
        <v>811787</v>
      </c>
      <c r="AM60" s="375">
        <v>0</v>
      </c>
      <c r="AN60" s="9"/>
      <c r="AO60" s="294"/>
      <c r="AP60" s="294"/>
      <c r="AQ60" s="294"/>
      <c r="AR60" s="294"/>
      <c r="AS60" s="294"/>
      <c r="AT60" s="294"/>
      <c r="AU60" s="294"/>
      <c r="AV60" s="294"/>
      <c r="AW60" s="294"/>
      <c r="AX60" s="294"/>
      <c r="AY60" s="294"/>
      <c r="AZ60" s="294"/>
      <c r="BQ60" s="461"/>
    </row>
    <row r="61" spans="1:249" s="422" customFormat="1" ht="24.95" customHeight="1">
      <c r="A61" s="611" t="str">
        <f>+IF(NOVIEMBRE!A61=0,"",NOVIEMBRE!A61)</f>
        <v>1130112-1</v>
      </c>
      <c r="B61" s="646" t="str">
        <f>+CONCATENATE("Vigencia ",INSTRUCCIONES!$F$3)</f>
        <v>Vigencia 2017</v>
      </c>
      <c r="C61" s="671">
        <f>+ENERO!C61</f>
        <v>45194994</v>
      </c>
      <c r="D61" s="373">
        <f>NOVIEMBRE!D61+DICIEMBRE!P61</f>
        <v>0</v>
      </c>
      <c r="E61" s="373">
        <f>NOVIEMBRE!E61+DICIEMBRE!Q61</f>
        <v>0</v>
      </c>
      <c r="F61" s="373">
        <f>SUM(C61:E61)</f>
        <v>45194994</v>
      </c>
      <c r="G61" s="373">
        <f>NOVIEMBRE!I61</f>
        <v>308095771</v>
      </c>
      <c r="H61" s="374">
        <v>5077533</v>
      </c>
      <c r="I61" s="373">
        <f>SUM(G61:H61)</f>
        <v>313173304</v>
      </c>
      <c r="J61" s="373">
        <f>NOVIEMBRE!L61</f>
        <v>18962930</v>
      </c>
      <c r="K61" s="374">
        <v>101457</v>
      </c>
      <c r="L61" s="373">
        <f>SUM(J61:K61)</f>
        <v>19064387</v>
      </c>
      <c r="M61" s="373">
        <f>F61-I61</f>
        <v>-267978310</v>
      </c>
      <c r="N61" s="143">
        <f>F61-L61</f>
        <v>26130607</v>
      </c>
      <c r="O61" s="382"/>
      <c r="P61" s="372">
        <v>0</v>
      </c>
      <c r="Q61" s="375">
        <v>0</v>
      </c>
      <c r="R61" s="9"/>
      <c r="S61" s="705">
        <f>+IF(NOVIEMBRE!S61=0,"",NOVIEMBRE!S61)</f>
        <v>1010499</v>
      </c>
      <c r="T61" s="681" t="str">
        <f>+IF(NOVIEMBRE!T61=0,"",NOVIEMBRE!T61)</f>
        <v>Vigencias Anteriores</v>
      </c>
      <c r="U61" s="27">
        <f>+ENERO!U61</f>
        <v>0</v>
      </c>
      <c r="V61" s="15">
        <f>NOVIEMBRE!V61+DICIEMBRE!AL61</f>
        <v>0</v>
      </c>
      <c r="W61" s="15">
        <f>NOVIEMBRE!W61+DICIEMBRE!AM61</f>
        <v>0</v>
      </c>
      <c r="X61" s="18">
        <f>SUM(U61:W61)</f>
        <v>0</v>
      </c>
      <c r="Y61" s="19">
        <f>NOVIEMBRE!AA61</f>
        <v>0</v>
      </c>
      <c r="Z61" s="374">
        <v>0</v>
      </c>
      <c r="AA61" s="18">
        <f>SUM(Y61:Z61)</f>
        <v>0</v>
      </c>
      <c r="AB61" s="19">
        <f>NOVIEMBRE!AD61</f>
        <v>0</v>
      </c>
      <c r="AC61" s="374">
        <v>0</v>
      </c>
      <c r="AD61" s="18">
        <f>SUM(AB61:AC61)</f>
        <v>0</v>
      </c>
      <c r="AE61" s="19">
        <f>NOVIEMBRE!AG61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461"/>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382"/>
      <c r="DB61" s="382"/>
      <c r="DC61" s="382"/>
      <c r="DD61" s="382"/>
      <c r="DE61" s="382"/>
      <c r="DF61" s="382"/>
      <c r="DG61" s="382"/>
      <c r="DH61" s="382"/>
      <c r="DI61" s="382"/>
      <c r="DJ61" s="382"/>
      <c r="DK61" s="382"/>
      <c r="DL61" s="382"/>
      <c r="DM61" s="382"/>
      <c r="DN61" s="382"/>
      <c r="DO61" s="382"/>
      <c r="DP61" s="382"/>
      <c r="DQ61" s="382"/>
      <c r="DR61" s="382"/>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c r="HO61" s="382"/>
      <c r="HP61" s="382"/>
      <c r="HQ61" s="382"/>
      <c r="HR61" s="382"/>
      <c r="HS61" s="382"/>
      <c r="HT61" s="382"/>
      <c r="HU61" s="382"/>
      <c r="HV61" s="382"/>
      <c r="HW61" s="382"/>
      <c r="HX61" s="382"/>
      <c r="HY61" s="382"/>
      <c r="HZ61" s="382"/>
      <c r="IA61" s="382"/>
      <c r="IB61" s="382"/>
      <c r="IC61" s="382"/>
      <c r="ID61" s="382"/>
      <c r="IE61" s="382"/>
      <c r="IF61" s="382"/>
      <c r="IG61" s="382"/>
      <c r="IH61" s="382"/>
      <c r="II61" s="382"/>
      <c r="IJ61" s="382"/>
      <c r="IK61" s="382"/>
      <c r="IL61" s="382"/>
      <c r="IM61" s="382"/>
      <c r="IN61" s="382"/>
      <c r="IO61" s="382"/>
    </row>
    <row r="62" spans="1:249" s="422" customFormat="1" ht="24.95" customHeight="1">
      <c r="A62" s="611" t="str">
        <f>+IF(NOVIEMBRE!A62=0,"",NOVIEMBRE!A62)</f>
        <v>1130112-2</v>
      </c>
      <c r="B62" s="646" t="str">
        <f>+IF(NOVIEMBRE!B62=0,"",NOVIEMBRE!B62)</f>
        <v>Vigencia Anterior</v>
      </c>
      <c r="C62" s="671">
        <f>+ENERO!C62</f>
        <v>0</v>
      </c>
      <c r="D62" s="373">
        <f>NOVIEMBRE!D62+DICIEMBRE!P62</f>
        <v>0</v>
      </c>
      <c r="E62" s="373">
        <f>NOVIEMBRE!E62+DICIEMBRE!Q62</f>
        <v>3932397</v>
      </c>
      <c r="F62" s="373">
        <f>SUM(C62:E62)</f>
        <v>3932397</v>
      </c>
      <c r="G62" s="373">
        <f>NOVIEMBRE!I62</f>
        <v>3932397</v>
      </c>
      <c r="H62" s="374">
        <v>0</v>
      </c>
      <c r="I62" s="373">
        <f>SUM(G62:H62)</f>
        <v>3932397</v>
      </c>
      <c r="J62" s="373">
        <f>NOVIEMBRE!L62</f>
        <v>3932397</v>
      </c>
      <c r="K62" s="374">
        <v>0</v>
      </c>
      <c r="L62" s="373">
        <f>SUM(J62:K62)</f>
        <v>3932397</v>
      </c>
      <c r="M62" s="373">
        <f>F62-I62</f>
        <v>0</v>
      </c>
      <c r="N62" s="2912">
        <f>F62-L62</f>
        <v>0</v>
      </c>
      <c r="O62" s="382"/>
      <c r="P62" s="372">
        <v>0</v>
      </c>
      <c r="Q62" s="375">
        <v>1144044</v>
      </c>
      <c r="R62" s="9"/>
      <c r="S62" s="366" t="str">
        <f>+IF(NOVIEMBRE!S62=0,"",NOVIEMBRE!S62)</f>
        <v/>
      </c>
      <c r="T62" s="695"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461"/>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382"/>
      <c r="DB62" s="382"/>
      <c r="DC62" s="382"/>
      <c r="DD62" s="382"/>
      <c r="DE62" s="382"/>
      <c r="DF62" s="382"/>
      <c r="DG62" s="382"/>
      <c r="DH62" s="382"/>
      <c r="DI62" s="382"/>
      <c r="DJ62" s="382"/>
      <c r="DK62" s="382"/>
      <c r="DL62" s="382"/>
      <c r="DM62" s="382"/>
      <c r="DN62" s="382"/>
      <c r="DO62" s="382"/>
      <c r="DP62" s="382"/>
      <c r="DQ62" s="382"/>
      <c r="DR62" s="382"/>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c r="HO62" s="382"/>
      <c r="HP62" s="382"/>
      <c r="HQ62" s="382"/>
      <c r="HR62" s="382"/>
      <c r="HS62" s="382"/>
      <c r="HT62" s="382"/>
      <c r="HU62" s="382"/>
      <c r="HV62" s="382"/>
      <c r="HW62" s="382"/>
      <c r="HX62" s="382"/>
      <c r="HY62" s="382"/>
      <c r="HZ62" s="382"/>
      <c r="IA62" s="382"/>
      <c r="IB62" s="382"/>
      <c r="IC62" s="382"/>
      <c r="ID62" s="382"/>
      <c r="IE62" s="382"/>
      <c r="IF62" s="382"/>
      <c r="IG62" s="382"/>
      <c r="IH62" s="382"/>
      <c r="II62" s="382"/>
      <c r="IJ62" s="382"/>
      <c r="IK62" s="382"/>
      <c r="IL62" s="382"/>
      <c r="IM62" s="382"/>
      <c r="IN62" s="382"/>
      <c r="IO62" s="382"/>
    </row>
    <row r="63" spans="1:249" s="382" customFormat="1" ht="24.95" customHeight="1">
      <c r="A63" s="733">
        <f>+IF(NOVIEMBRE!A63=0,"",NOVIEMBRE!A63)</f>
        <v>1130113</v>
      </c>
      <c r="B63" s="645" t="str">
        <f>+IF(NOVIEMBRE!B63=0,"",NOVIEMBRE!B63)</f>
        <v>COMPAÑIAS DE SEGUROS  - ACCIDENTES DE TRANSITO (SOAT)</v>
      </c>
      <c r="C63" s="43">
        <f t="shared" ref="C63:N63" si="71">SUM(C64:C65)</f>
        <v>5110724757</v>
      </c>
      <c r="D63" s="44">
        <f t="shared" si="71"/>
        <v>0</v>
      </c>
      <c r="E63" s="44">
        <f t="shared" si="71"/>
        <v>966670545</v>
      </c>
      <c r="F63" s="44">
        <f t="shared" si="71"/>
        <v>6077395302</v>
      </c>
      <c r="G63" s="44">
        <f t="shared" si="71"/>
        <v>3129487245</v>
      </c>
      <c r="H63" s="44">
        <f t="shared" si="71"/>
        <v>313478723</v>
      </c>
      <c r="I63" s="44">
        <f t="shared" si="71"/>
        <v>3442965968</v>
      </c>
      <c r="J63" s="44">
        <f t="shared" si="71"/>
        <v>1716621597</v>
      </c>
      <c r="K63" s="44">
        <f t="shared" si="71"/>
        <v>92178818</v>
      </c>
      <c r="L63" s="44">
        <f t="shared" si="71"/>
        <v>1808800415</v>
      </c>
      <c r="M63" s="44">
        <f t="shared" si="71"/>
        <v>2634429334</v>
      </c>
      <c r="N63" s="45">
        <f t="shared" si="71"/>
        <v>4268594887</v>
      </c>
      <c r="P63" s="43">
        <f>SUM(P64:P65)</f>
        <v>0</v>
      </c>
      <c r="Q63" s="45">
        <f>SUM(Q64:Q65)</f>
        <v>0</v>
      </c>
      <c r="R63" s="9"/>
      <c r="S63" s="703">
        <f>+IF(NOVIEMBRE!S63=0,"",NOVIEMBRE!S63)</f>
        <v>1020010</v>
      </c>
      <c r="T63" s="679" t="str">
        <f>+IF(NOVIEMBRE!T63=0,"",NOVIEMBRE!T63)</f>
        <v>Gastos de Operación</v>
      </c>
      <c r="U63" s="132">
        <f t="shared" ref="U63:AJ63" si="72">U65+U83+U90+U104</f>
        <v>23745928633</v>
      </c>
      <c r="V63" s="122">
        <f t="shared" si="72"/>
        <v>2045181713</v>
      </c>
      <c r="W63" s="122">
        <f t="shared" si="72"/>
        <v>7837819924</v>
      </c>
      <c r="X63" s="129">
        <f t="shared" si="72"/>
        <v>33628930270</v>
      </c>
      <c r="Y63" s="128">
        <f t="shared" si="72"/>
        <v>31762361030</v>
      </c>
      <c r="Z63" s="122">
        <f t="shared" si="72"/>
        <v>-449629150</v>
      </c>
      <c r="AA63" s="129">
        <f t="shared" si="72"/>
        <v>31312731880</v>
      </c>
      <c r="AB63" s="128">
        <f t="shared" si="72"/>
        <v>27022893872</v>
      </c>
      <c r="AC63" s="122">
        <f t="shared" si="72"/>
        <v>4289838008</v>
      </c>
      <c r="AD63" s="129">
        <f t="shared" si="72"/>
        <v>31312731880</v>
      </c>
      <c r="AE63" s="128">
        <f t="shared" si="72"/>
        <v>18254269927</v>
      </c>
      <c r="AF63" s="122">
        <f t="shared" si="72"/>
        <v>4188683038</v>
      </c>
      <c r="AG63" s="129">
        <f t="shared" si="72"/>
        <v>22442952965</v>
      </c>
      <c r="AH63" s="128">
        <f t="shared" si="72"/>
        <v>2316198390</v>
      </c>
      <c r="AI63" s="122">
        <f t="shared" si="72"/>
        <v>2316198390</v>
      </c>
      <c r="AJ63" s="130">
        <f t="shared" si="72"/>
        <v>11185977305</v>
      </c>
      <c r="AK63" s="9"/>
      <c r="AL63" s="128">
        <f>AL65+AL83+AL90+AL104</f>
        <v>828769997</v>
      </c>
      <c r="AM63" s="130">
        <f>AM65+AM83+AM90+AM104</f>
        <v>64754073</v>
      </c>
      <c r="AN63" s="9"/>
      <c r="AO63" s="294"/>
      <c r="AP63" s="294"/>
      <c r="AQ63" s="294"/>
      <c r="AR63" s="294"/>
      <c r="AS63" s="294"/>
      <c r="AT63" s="294"/>
      <c r="AU63" s="294"/>
      <c r="AV63" s="294"/>
      <c r="AW63" s="294"/>
      <c r="AX63" s="294"/>
      <c r="AY63" s="294"/>
      <c r="AZ63" s="294"/>
      <c r="BQ63" s="461"/>
    </row>
    <row r="64" spans="1:249" s="422" customFormat="1" ht="24.95" customHeight="1">
      <c r="A64" s="611" t="str">
        <f>+IF(NOVIEMBRE!A64=0,"",NOVIEMBRE!A64)</f>
        <v>1130113-1</v>
      </c>
      <c r="B64" s="646" t="str">
        <f>+CONCATENATE("Vigencia ",INSTRUCCIONES!$F$3)</f>
        <v>Vigencia 2017</v>
      </c>
      <c r="C64" s="671">
        <f>+ENERO!C64</f>
        <v>5110724757</v>
      </c>
      <c r="D64" s="373">
        <f>NOVIEMBRE!D64+DICIEMBRE!P64</f>
        <v>0</v>
      </c>
      <c r="E64" s="373">
        <f>NOVIEMBRE!E64+DICIEMBRE!Q64</f>
        <v>0</v>
      </c>
      <c r="F64" s="373">
        <f>SUM(C64:E64)</f>
        <v>5110724757</v>
      </c>
      <c r="G64" s="373">
        <f>NOVIEMBRE!I64</f>
        <v>2162816700</v>
      </c>
      <c r="H64" s="374">
        <v>313478723</v>
      </c>
      <c r="I64" s="373">
        <f>SUM(G64:H64)</f>
        <v>2476295423</v>
      </c>
      <c r="J64" s="373">
        <f>NOVIEMBRE!L64</f>
        <v>749951052</v>
      </c>
      <c r="K64" s="374">
        <v>92178818</v>
      </c>
      <c r="L64" s="373">
        <f>SUM(J64:K64)</f>
        <v>842129870</v>
      </c>
      <c r="M64" s="373">
        <f>F64-I64</f>
        <v>2634429334</v>
      </c>
      <c r="N64" s="143">
        <f>F64-L64</f>
        <v>4268594887</v>
      </c>
      <c r="O64" s="382"/>
      <c r="P64" s="372">
        <v>0</v>
      </c>
      <c r="Q64" s="375">
        <v>0</v>
      </c>
      <c r="R64" s="9"/>
      <c r="S64" s="366" t="str">
        <f>+IF(NOVIEMBRE!S64=0,"",NOVIEMBRE!S64)</f>
        <v/>
      </c>
      <c r="T64" s="695"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461"/>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2"/>
      <c r="DJ64" s="382"/>
      <c r="DK64" s="382"/>
      <c r="DL64" s="382"/>
      <c r="DM64" s="382"/>
      <c r="DN64" s="382"/>
      <c r="DO64" s="382"/>
      <c r="DP64" s="382"/>
      <c r="DQ64" s="382"/>
      <c r="DR64" s="382"/>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c r="HO64" s="382"/>
      <c r="HP64" s="382"/>
      <c r="HQ64" s="382"/>
      <c r="HR64" s="382"/>
      <c r="HS64" s="382"/>
      <c r="HT64" s="382"/>
      <c r="HU64" s="382"/>
      <c r="HV64" s="382"/>
      <c r="HW64" s="382"/>
      <c r="HX64" s="382"/>
      <c r="HY64" s="382"/>
      <c r="HZ64" s="382"/>
      <c r="IA64" s="382"/>
      <c r="IB64" s="382"/>
      <c r="IC64" s="382"/>
      <c r="ID64" s="382"/>
      <c r="IE64" s="382"/>
      <c r="IF64" s="382"/>
      <c r="IG64" s="382"/>
      <c r="IH64" s="382"/>
      <c r="II64" s="382"/>
      <c r="IJ64" s="382"/>
      <c r="IK64" s="382"/>
      <c r="IL64" s="382"/>
      <c r="IM64" s="382"/>
      <c r="IN64" s="382"/>
      <c r="IO64" s="382"/>
    </row>
    <row r="65" spans="1:249" s="422" customFormat="1" ht="24.95" customHeight="1">
      <c r="A65" s="611" t="str">
        <f>+IF(NOVIEMBRE!A65=0,"",NOVIEMBRE!A65)</f>
        <v>1130113-2</v>
      </c>
      <c r="B65" s="646" t="str">
        <f>+IF(NOVIEMBRE!B65=0,"",NOVIEMBRE!B65)</f>
        <v>Vigencia Anterior</v>
      </c>
      <c r="C65" s="671">
        <f>+ENERO!C65</f>
        <v>0</v>
      </c>
      <c r="D65" s="373">
        <f>NOVIEMBRE!D65+DICIEMBRE!P65</f>
        <v>0</v>
      </c>
      <c r="E65" s="373">
        <f>NOVIEMBRE!E65+DICIEMBRE!Q65</f>
        <v>966670545</v>
      </c>
      <c r="F65" s="373">
        <f>SUM(C65:E65)</f>
        <v>966670545</v>
      </c>
      <c r="G65" s="373">
        <f>NOVIEMBRE!I65</f>
        <v>966670545</v>
      </c>
      <c r="H65" s="374">
        <v>0</v>
      </c>
      <c r="I65" s="373">
        <f>SUM(G65:H65)</f>
        <v>966670545</v>
      </c>
      <c r="J65" s="373">
        <f>NOVIEMBRE!L65</f>
        <v>966670545</v>
      </c>
      <c r="K65" s="374">
        <v>0</v>
      </c>
      <c r="L65" s="373">
        <f>SUM(J65:K65)</f>
        <v>966670545</v>
      </c>
      <c r="M65" s="373">
        <f>F65-I65</f>
        <v>0</v>
      </c>
      <c r="N65" s="143">
        <f>F65-L65</f>
        <v>0</v>
      </c>
      <c r="O65" s="382"/>
      <c r="P65" s="372">
        <v>0</v>
      </c>
      <c r="Q65" s="375">
        <v>0</v>
      </c>
      <c r="R65" s="9"/>
      <c r="S65" s="704">
        <f>+IF(NOVIEMBRE!S65=0,"",NOVIEMBRE!S65)</f>
        <v>1020100</v>
      </c>
      <c r="T65" s="680" t="str">
        <f>+IF(NOVIEMBRE!T65=0,"",NOVIEMBRE!T65)</f>
        <v>Servicios Personales Asociados a Nómina</v>
      </c>
      <c r="U65" s="132">
        <f t="shared" ref="U65:AJ65" si="73">SUM(U66:U69)+U81</f>
        <v>1210753694</v>
      </c>
      <c r="V65" s="122">
        <f t="shared" si="73"/>
        <v>56342000</v>
      </c>
      <c r="W65" s="122">
        <f t="shared" si="73"/>
        <v>147363018</v>
      </c>
      <c r="X65" s="129">
        <f t="shared" si="73"/>
        <v>1414458712</v>
      </c>
      <c r="Y65" s="128">
        <f t="shared" si="73"/>
        <v>1095520671</v>
      </c>
      <c r="Z65" s="122">
        <f t="shared" si="73"/>
        <v>206048845</v>
      </c>
      <c r="AA65" s="129">
        <f t="shared" si="73"/>
        <v>1301569516</v>
      </c>
      <c r="AB65" s="128">
        <f t="shared" si="73"/>
        <v>1095520671</v>
      </c>
      <c r="AC65" s="122">
        <f t="shared" si="73"/>
        <v>206048845</v>
      </c>
      <c r="AD65" s="129">
        <f t="shared" si="73"/>
        <v>1301569516</v>
      </c>
      <c r="AE65" s="128">
        <f t="shared" si="73"/>
        <v>1095520671</v>
      </c>
      <c r="AF65" s="122">
        <f t="shared" si="73"/>
        <v>206048845</v>
      </c>
      <c r="AG65" s="129">
        <f t="shared" si="73"/>
        <v>1301569516</v>
      </c>
      <c r="AH65" s="128">
        <f t="shared" si="73"/>
        <v>112889196</v>
      </c>
      <c r="AI65" s="122">
        <f t="shared" si="73"/>
        <v>112889196</v>
      </c>
      <c r="AJ65" s="130">
        <f t="shared" si="73"/>
        <v>112889196</v>
      </c>
      <c r="AK65" s="9"/>
      <c r="AL65" s="128">
        <f>SUM(AL66:AL69)+AL81</f>
        <v>11000000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461"/>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2"/>
      <c r="DJ65" s="382"/>
      <c r="DK65" s="382"/>
      <c r="DL65" s="382"/>
      <c r="DM65" s="382"/>
      <c r="DN65" s="382"/>
      <c r="DO65" s="382"/>
      <c r="DP65" s="382"/>
      <c r="DQ65" s="382"/>
      <c r="DR65" s="382"/>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c r="HO65" s="382"/>
      <c r="HP65" s="382"/>
      <c r="HQ65" s="382"/>
      <c r="HR65" s="382"/>
      <c r="HS65" s="382"/>
      <c r="HT65" s="382"/>
      <c r="HU65" s="382"/>
      <c r="HV65" s="382"/>
      <c r="HW65" s="382"/>
      <c r="HX65" s="382"/>
      <c r="HY65" s="382"/>
      <c r="HZ65" s="382"/>
      <c r="IA65" s="382"/>
      <c r="IB65" s="382"/>
      <c r="IC65" s="382"/>
      <c r="ID65" s="382"/>
      <c r="IE65" s="382"/>
      <c r="IF65" s="382"/>
      <c r="IG65" s="382"/>
      <c r="IH65" s="382"/>
      <c r="II65" s="382"/>
      <c r="IJ65" s="382"/>
      <c r="IK65" s="382"/>
      <c r="IL65" s="382"/>
      <c r="IM65" s="382"/>
      <c r="IN65" s="382"/>
      <c r="IO65" s="382"/>
    </row>
    <row r="66" spans="1:249" s="382" customFormat="1" ht="24.95" customHeight="1">
      <c r="A66" s="733">
        <f>+IF(NOVIEMBRE!A66=0,"",NOVIEMBRE!A66)</f>
        <v>1130114</v>
      </c>
      <c r="B66" s="645" t="str">
        <f>+IF(NOVIEMBRE!B66=0,"",NOVIEMBRE!B66)</f>
        <v xml:space="preserve">COMPAÑIAS DE SEGUROS  - PLANES DE SALUD  </v>
      </c>
      <c r="C66" s="43">
        <f t="shared" ref="C66:N66" si="74">SUM(C67:C68)</f>
        <v>0</v>
      </c>
      <c r="D66" s="44">
        <f t="shared" si="74"/>
        <v>0</v>
      </c>
      <c r="E66" s="44">
        <f t="shared" si="74"/>
        <v>284986216</v>
      </c>
      <c r="F66" s="44">
        <f t="shared" si="74"/>
        <v>284986216</v>
      </c>
      <c r="G66" s="44">
        <f t="shared" si="74"/>
        <v>508421225</v>
      </c>
      <c r="H66" s="44">
        <f t="shared" si="74"/>
        <v>3204928</v>
      </c>
      <c r="I66" s="44">
        <f t="shared" si="74"/>
        <v>511626153</v>
      </c>
      <c r="J66" s="44">
        <f t="shared" si="74"/>
        <v>270974885</v>
      </c>
      <c r="K66" s="44">
        <f t="shared" si="74"/>
        <v>14011331</v>
      </c>
      <c r="L66" s="44">
        <f t="shared" si="74"/>
        <v>284986216</v>
      </c>
      <c r="M66" s="44">
        <f t="shared" si="74"/>
        <v>-226639937</v>
      </c>
      <c r="N66" s="45">
        <f t="shared" si="74"/>
        <v>0</v>
      </c>
      <c r="P66" s="43">
        <f>SUM(P67:P68)</f>
        <v>0</v>
      </c>
      <c r="Q66" s="45">
        <f>SUM(Q67:Q68)</f>
        <v>134247273</v>
      </c>
      <c r="R66" s="9"/>
      <c r="S66" s="705">
        <f>+IF(NOVIEMBRE!S66=0,"",NOVIEMBRE!S66)</f>
        <v>1020101</v>
      </c>
      <c r="T66" s="681" t="str">
        <f>+IF(NOVIEMBRE!T66=0,"",NOVIEMBRE!T66)</f>
        <v>Sueldos del Personal de nómina</v>
      </c>
      <c r="U66" s="27">
        <f>+ENERO!U66</f>
        <v>893219355</v>
      </c>
      <c r="V66" s="15">
        <f>NOVIEMBRE!V66+DICIEMBRE!AL66</f>
        <v>-36250000</v>
      </c>
      <c r="W66" s="15">
        <f>NOVIEMBRE!W66+DICIEMBRE!AM66</f>
        <v>30541458</v>
      </c>
      <c r="X66" s="18">
        <f>SUM(U66:W66)</f>
        <v>887510813</v>
      </c>
      <c r="Y66" s="19">
        <f>NOVIEMBRE!AA66</f>
        <v>770676861</v>
      </c>
      <c r="Z66" s="374">
        <v>92492939</v>
      </c>
      <c r="AA66" s="18">
        <f>SUM(Y66:Z66)</f>
        <v>863169800</v>
      </c>
      <c r="AB66" s="19">
        <f>NOVIEMBRE!AD66</f>
        <v>770676861</v>
      </c>
      <c r="AC66" s="374">
        <v>92492939</v>
      </c>
      <c r="AD66" s="18">
        <f>SUM(AB66:AC66)</f>
        <v>863169800</v>
      </c>
      <c r="AE66" s="19">
        <f>NOVIEMBRE!AG66</f>
        <v>770676861</v>
      </c>
      <c r="AF66" s="374">
        <v>92492939</v>
      </c>
      <c r="AG66" s="18">
        <f>SUM(AE66:AF66)</f>
        <v>863169800</v>
      </c>
      <c r="AH66" s="19">
        <f>X66-AA66</f>
        <v>24341013</v>
      </c>
      <c r="AI66" s="15">
        <f>X66-AD66</f>
        <v>24341013</v>
      </c>
      <c r="AJ66" s="16">
        <f>X66-AG66</f>
        <v>24341013</v>
      </c>
      <c r="AK66" s="9"/>
      <c r="AL66" s="372">
        <v>-6000000</v>
      </c>
      <c r="AM66" s="375">
        <v>0</v>
      </c>
      <c r="AN66" s="9"/>
      <c r="AO66" s="294"/>
      <c r="AP66" s="294"/>
      <c r="AQ66" s="294"/>
      <c r="AR66" s="294"/>
      <c r="AS66" s="294"/>
      <c r="AT66" s="294"/>
      <c r="AU66" s="294"/>
      <c r="AV66" s="294"/>
      <c r="AW66" s="294"/>
      <c r="AX66" s="294"/>
      <c r="AY66" s="294"/>
      <c r="AZ66" s="294"/>
      <c r="BQ66" s="461"/>
    </row>
    <row r="67" spans="1:249" s="422" customFormat="1" ht="24.95" customHeight="1">
      <c r="A67" s="611" t="str">
        <f>+IF(NOVIEMBRE!A67=0,"",NOVIEMBRE!A67)</f>
        <v>1130114-1</v>
      </c>
      <c r="B67" s="646" t="str">
        <f>+CONCATENATE("Vigencia ",INSTRUCCIONES!$F$3)</f>
        <v>Vigencia 2017</v>
      </c>
      <c r="C67" s="671">
        <f>+ENERO!C67</f>
        <v>0</v>
      </c>
      <c r="D67" s="373">
        <f>NOVIEMBRE!D67+DICIEMBRE!P67</f>
        <v>0</v>
      </c>
      <c r="E67" s="373">
        <f>NOVIEMBRE!E67+DICIEMBRE!Q67</f>
        <v>229481103</v>
      </c>
      <c r="F67" s="373">
        <f>SUM(C67:E67)</f>
        <v>229481103</v>
      </c>
      <c r="G67" s="373">
        <f>NOVIEMBRE!I67</f>
        <v>452916112</v>
      </c>
      <c r="H67" s="374">
        <v>3204928</v>
      </c>
      <c r="I67" s="373">
        <f>SUM(G67:H67)</f>
        <v>456121040</v>
      </c>
      <c r="J67" s="373">
        <f>NOVIEMBRE!L67</f>
        <v>215469772</v>
      </c>
      <c r="K67" s="374">
        <v>14011331</v>
      </c>
      <c r="L67" s="373">
        <f>SUM(J67:K67)</f>
        <v>229481103</v>
      </c>
      <c r="M67" s="373">
        <f>F67-I67</f>
        <v>-226639937</v>
      </c>
      <c r="N67" s="2912">
        <f>F67-L67</f>
        <v>0</v>
      </c>
      <c r="O67" s="382"/>
      <c r="P67" s="372">
        <v>0</v>
      </c>
      <c r="Q67" s="375">
        <v>134247273</v>
      </c>
      <c r="R67" s="9"/>
      <c r="S67" s="705">
        <f>+IF(NOVIEMBRE!S67=0,"",NOVIEMBRE!S67)</f>
        <v>1020102</v>
      </c>
      <c r="T67" s="681" t="str">
        <f>+IF(NOVIEMBRE!T67=0,"",NOVIEMBRE!T67)</f>
        <v>Horas Extras,Dominic.,Festivos y Rec. Nocturnos</v>
      </c>
      <c r="U67" s="27">
        <f>+ENERO!U67</f>
        <v>36988810</v>
      </c>
      <c r="V67" s="15">
        <f>NOVIEMBRE!V67+DICIEMBRE!AL67</f>
        <v>27623000</v>
      </c>
      <c r="W67" s="15">
        <f>NOVIEMBRE!W67+DICIEMBRE!AM67</f>
        <v>39509971</v>
      </c>
      <c r="X67" s="18">
        <f>SUM(U67:W67)</f>
        <v>104121781</v>
      </c>
      <c r="Y67" s="19">
        <f>NOVIEMBRE!AA67</f>
        <v>93701231</v>
      </c>
      <c r="Z67" s="374">
        <v>9323197</v>
      </c>
      <c r="AA67" s="18">
        <f>SUM(Y67:Z67)</f>
        <v>103024428</v>
      </c>
      <c r="AB67" s="19">
        <f>NOVIEMBRE!AD67</f>
        <v>93701231</v>
      </c>
      <c r="AC67" s="374">
        <v>9323197</v>
      </c>
      <c r="AD67" s="18">
        <f>SUM(AB67:AC67)</f>
        <v>103024428</v>
      </c>
      <c r="AE67" s="19">
        <f>NOVIEMBRE!AG67</f>
        <v>93701231</v>
      </c>
      <c r="AF67" s="374">
        <v>9323197</v>
      </c>
      <c r="AG67" s="18">
        <f>SUM(AE67:AF67)</f>
        <v>103024428</v>
      </c>
      <c r="AH67" s="19">
        <f>X67-AA67</f>
        <v>1097353</v>
      </c>
      <c r="AI67" s="15">
        <f>X67-AD67</f>
        <v>1097353</v>
      </c>
      <c r="AJ67" s="16">
        <f>X67-AG67</f>
        <v>1097353</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461"/>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row>
    <row r="68" spans="1:249" s="422" customFormat="1" ht="24.95" customHeight="1">
      <c r="A68" s="611" t="str">
        <f>+IF(NOVIEMBRE!A68=0,"",NOVIEMBRE!A68)</f>
        <v>1130114-2</v>
      </c>
      <c r="B68" s="646" t="str">
        <f>+IF(NOVIEMBRE!B68=0,"",NOVIEMBRE!B68)</f>
        <v>Vigencia Anterior</v>
      </c>
      <c r="C68" s="671">
        <f>+ENERO!C68</f>
        <v>0</v>
      </c>
      <c r="D68" s="373">
        <f>NOVIEMBRE!D68+DICIEMBRE!P68</f>
        <v>0</v>
      </c>
      <c r="E68" s="373">
        <f>NOVIEMBRE!E68+DICIEMBRE!Q68</f>
        <v>55505113</v>
      </c>
      <c r="F68" s="373">
        <f>SUM(C68:E68)</f>
        <v>55505113</v>
      </c>
      <c r="G68" s="373">
        <f>NOVIEMBRE!I68</f>
        <v>55505113</v>
      </c>
      <c r="H68" s="374">
        <v>0</v>
      </c>
      <c r="I68" s="373">
        <f>SUM(G68:H68)</f>
        <v>55505113</v>
      </c>
      <c r="J68" s="373">
        <f>NOVIEMBRE!L68</f>
        <v>55505113</v>
      </c>
      <c r="K68" s="374">
        <v>0</v>
      </c>
      <c r="L68" s="373">
        <f>SUM(J68:K68)</f>
        <v>55505113</v>
      </c>
      <c r="M68" s="373">
        <f>F68-I68</f>
        <v>0</v>
      </c>
      <c r="N68" s="143">
        <f>F68-L68</f>
        <v>0</v>
      </c>
      <c r="O68" s="382"/>
      <c r="P68" s="372">
        <v>0</v>
      </c>
      <c r="Q68" s="375">
        <v>0</v>
      </c>
      <c r="R68" s="9"/>
      <c r="S68" s="705">
        <f>+IF(NOVIEMBRE!S68=0,"",NOVIEMBRE!S68)</f>
        <v>1020103</v>
      </c>
      <c r="T68" s="681" t="str">
        <f>+IF(NOVIEMBRE!T68=0,"",NOVIEMBRE!T68)</f>
        <v>Prima Técnica</v>
      </c>
      <c r="U68" s="27">
        <f>+ENERO!U68</f>
        <v>0</v>
      </c>
      <c r="V68" s="15">
        <f>NOVIEMBRE!V68+DICIEMBRE!AL68</f>
        <v>0</v>
      </c>
      <c r="W68" s="15">
        <f>NOVIEMBRE!W68+DICIEMBRE!AM68</f>
        <v>0</v>
      </c>
      <c r="X68" s="18">
        <f>SUM(U68:W68)</f>
        <v>0</v>
      </c>
      <c r="Y68" s="19">
        <f>NOVIEMBRE!AA68</f>
        <v>0</v>
      </c>
      <c r="Z68" s="374">
        <v>0</v>
      </c>
      <c r="AA68" s="18">
        <f>SUM(Y68:Z68)</f>
        <v>0</v>
      </c>
      <c r="AB68" s="19">
        <f>NOVIEMBRE!AD68</f>
        <v>0</v>
      </c>
      <c r="AC68" s="374">
        <v>0</v>
      </c>
      <c r="AD68" s="18">
        <f>SUM(AB68:AC68)</f>
        <v>0</v>
      </c>
      <c r="AE68" s="19">
        <f>NOVIEMBRE!AG68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461"/>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row>
    <row r="69" spans="1:249" s="382" customFormat="1" ht="24.95" customHeight="1">
      <c r="A69" s="733">
        <f>+IF(NOVIEMBRE!A69=0,"",NOVIEMBRE!A69)</f>
        <v>1130115</v>
      </c>
      <c r="B69" s="645" t="str">
        <f>+IF(NOVIEMBRE!B69=0,"",NOVIEMBRE!B69)</f>
        <v>ENTIDADES DE REGIMEN ESPECIAL (Magisterio, Fuerza Pca.)</v>
      </c>
      <c r="C69" s="43">
        <f t="shared" ref="C69:N69" si="75">SUM(C70:C71)</f>
        <v>1373481412</v>
      </c>
      <c r="D69" s="44">
        <f t="shared" si="75"/>
        <v>0</v>
      </c>
      <c r="E69" s="44">
        <f t="shared" si="75"/>
        <v>2106748570</v>
      </c>
      <c r="F69" s="44">
        <f t="shared" si="75"/>
        <v>3480229982</v>
      </c>
      <c r="G69" s="44">
        <f t="shared" si="75"/>
        <v>5507786400</v>
      </c>
      <c r="H69" s="44">
        <f t="shared" si="75"/>
        <v>30587628</v>
      </c>
      <c r="I69" s="44">
        <f t="shared" si="75"/>
        <v>5538374028</v>
      </c>
      <c r="J69" s="44">
        <f t="shared" si="75"/>
        <v>2968692916</v>
      </c>
      <c r="K69" s="44">
        <f t="shared" si="75"/>
        <v>401263</v>
      </c>
      <c r="L69" s="44">
        <f t="shared" si="75"/>
        <v>2969094179</v>
      </c>
      <c r="M69" s="44">
        <f t="shared" si="75"/>
        <v>-2058144046</v>
      </c>
      <c r="N69" s="45">
        <f t="shared" si="75"/>
        <v>511135803</v>
      </c>
      <c r="P69" s="43">
        <f>SUM(P70:P71)</f>
        <v>0</v>
      </c>
      <c r="Q69" s="45">
        <f>SUM(Q70:Q71)</f>
        <v>689308</v>
      </c>
      <c r="R69" s="9"/>
      <c r="S69" s="705">
        <f>+IF(NOVIEMBRE!S69=0,"",NOVIEMBRE!S69)</f>
        <v>1020104</v>
      </c>
      <c r="T69" s="681" t="str">
        <f>+IF(NOVIEMBRE!T69=0,"",NOVIEMBRE!T69)</f>
        <v>Otros</v>
      </c>
      <c r="U69" s="27">
        <f t="shared" ref="U69:AJ69" si="76">SUM(U70:U80)</f>
        <v>280545529</v>
      </c>
      <c r="V69" s="15">
        <f t="shared" si="76"/>
        <v>64969000</v>
      </c>
      <c r="W69" s="15">
        <f t="shared" si="76"/>
        <v>77311589</v>
      </c>
      <c r="X69" s="18">
        <f t="shared" si="76"/>
        <v>422826118</v>
      </c>
      <c r="Y69" s="19">
        <f t="shared" si="76"/>
        <v>231142579</v>
      </c>
      <c r="Z69" s="142">
        <f t="shared" si="76"/>
        <v>104232709</v>
      </c>
      <c r="AA69" s="18">
        <f t="shared" si="76"/>
        <v>335375288</v>
      </c>
      <c r="AB69" s="19">
        <f t="shared" si="76"/>
        <v>231142579</v>
      </c>
      <c r="AC69" s="142">
        <f t="shared" si="76"/>
        <v>104232709</v>
      </c>
      <c r="AD69" s="18">
        <f t="shared" si="76"/>
        <v>335375288</v>
      </c>
      <c r="AE69" s="19">
        <f t="shared" si="76"/>
        <v>231142579</v>
      </c>
      <c r="AF69" s="142">
        <f t="shared" si="76"/>
        <v>104232709</v>
      </c>
      <c r="AG69" s="18">
        <f t="shared" si="76"/>
        <v>335375288</v>
      </c>
      <c r="AH69" s="19">
        <f t="shared" si="76"/>
        <v>87450830</v>
      </c>
      <c r="AI69" s="15">
        <f t="shared" si="76"/>
        <v>87450830</v>
      </c>
      <c r="AJ69" s="16">
        <f t="shared" si="76"/>
        <v>87450830</v>
      </c>
      <c r="AK69" s="9"/>
      <c r="AL69" s="29">
        <f>SUM(AL70:AL80)</f>
        <v>17000000</v>
      </c>
      <c r="AM69" s="26">
        <f>SUM(AM70:AM80)</f>
        <v>0</v>
      </c>
      <c r="AN69" s="9"/>
      <c r="AO69" s="294"/>
      <c r="AP69" s="294"/>
      <c r="AQ69" s="294"/>
      <c r="AR69" s="294"/>
      <c r="AS69" s="294"/>
      <c r="AT69" s="294"/>
      <c r="AU69" s="294"/>
      <c r="AV69" s="294"/>
      <c r="AW69" s="294"/>
      <c r="AX69" s="294"/>
      <c r="AY69" s="294"/>
      <c r="AZ69" s="294"/>
      <c r="BQ69" s="461"/>
    </row>
    <row r="70" spans="1:249" s="422" customFormat="1" ht="24.95" customHeight="1">
      <c r="A70" s="611" t="str">
        <f>+IF(NOVIEMBRE!A70=0,"",NOVIEMBRE!A70)</f>
        <v>1130115-1</v>
      </c>
      <c r="B70" s="646" t="str">
        <f>+CONCATENATE("Vigencia ",INSTRUCCIONES!$F$3)</f>
        <v>Vigencia 2017</v>
      </c>
      <c r="C70" s="671">
        <f>+ENERO!C70</f>
        <v>1373481412</v>
      </c>
      <c r="D70" s="373">
        <f>NOVIEMBRE!D70+DICIEMBRE!P70</f>
        <v>0</v>
      </c>
      <c r="E70" s="373">
        <f>NOVIEMBRE!E70+DICIEMBRE!Q70</f>
        <v>0</v>
      </c>
      <c r="F70" s="373">
        <f>SUM(C70:E70)</f>
        <v>1373481412</v>
      </c>
      <c r="G70" s="373">
        <f>NOVIEMBRE!I70</f>
        <v>3401037830</v>
      </c>
      <c r="H70" s="374">
        <v>30587628</v>
      </c>
      <c r="I70" s="373">
        <f>SUM(G70:H70)</f>
        <v>3431625458</v>
      </c>
      <c r="J70" s="373">
        <f>NOVIEMBRE!L70</f>
        <v>861944346</v>
      </c>
      <c r="K70" s="374">
        <v>401263</v>
      </c>
      <c r="L70" s="373">
        <f>SUM(J70:K70)</f>
        <v>862345609</v>
      </c>
      <c r="M70" s="373">
        <f>F70-I70</f>
        <v>-2058144046</v>
      </c>
      <c r="N70" s="143">
        <f>F70-L70</f>
        <v>511135803</v>
      </c>
      <c r="O70" s="382"/>
      <c r="P70" s="372">
        <v>0</v>
      </c>
      <c r="Q70" s="375">
        <v>0</v>
      </c>
      <c r="R70" s="9"/>
      <c r="S70" s="706" t="str">
        <f>+IF(NOVIEMBRE!S70=0,"",NOVIEMBRE!S70)</f>
        <v>1020104-1</v>
      </c>
      <c r="T70" s="682" t="str">
        <f>+IF(NOVIEMBRE!T70=0,"",NOVIEMBRE!T70)</f>
        <v xml:space="preserve">Prima de Navidad </v>
      </c>
      <c r="U70" s="27">
        <f>+ENERO!U70</f>
        <v>72165521</v>
      </c>
      <c r="V70" s="15">
        <f>NOVIEMBRE!V70+DICIEMBRE!AL70</f>
        <v>11000000</v>
      </c>
      <c r="W70" s="15">
        <f>NOVIEMBRE!W70+DICIEMBRE!AM70</f>
        <v>0</v>
      </c>
      <c r="X70" s="18">
        <f t="shared" ref="X70:X81" si="77">SUM(U70:W70)</f>
        <v>83165521</v>
      </c>
      <c r="Y70" s="19">
        <f>NOVIEMBRE!AA70</f>
        <v>0</v>
      </c>
      <c r="Z70" s="374">
        <v>77419645</v>
      </c>
      <c r="AA70" s="18">
        <f t="shared" ref="AA70:AA81" si="78">SUM(Y70:Z70)</f>
        <v>77419645</v>
      </c>
      <c r="AB70" s="19">
        <f>NOVIEMBRE!AD70</f>
        <v>0</v>
      </c>
      <c r="AC70" s="374">
        <v>77419645</v>
      </c>
      <c r="AD70" s="18">
        <f t="shared" ref="AD70:AD81" si="79">SUM(AB70:AC70)</f>
        <v>77419645</v>
      </c>
      <c r="AE70" s="19">
        <f>NOVIEMBRE!AG70</f>
        <v>0</v>
      </c>
      <c r="AF70" s="374">
        <v>77419645</v>
      </c>
      <c r="AG70" s="18">
        <f t="shared" ref="AG70:AG81" si="80">SUM(AE70:AF70)</f>
        <v>77419645</v>
      </c>
      <c r="AH70" s="19">
        <f t="shared" ref="AH70:AH81" si="81">X70-AA70</f>
        <v>5745876</v>
      </c>
      <c r="AI70" s="15">
        <f t="shared" ref="AI70:AI81" si="82">X70-AD70</f>
        <v>5745876</v>
      </c>
      <c r="AJ70" s="16">
        <f t="shared" ref="AJ70:AJ81" si="83">X70-AG70</f>
        <v>5745876</v>
      </c>
      <c r="AK70" s="9"/>
      <c r="AL70" s="372">
        <v>11000000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461"/>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2"/>
      <c r="DJ70" s="382"/>
      <c r="DK70" s="382"/>
      <c r="DL70" s="382"/>
      <c r="DM70" s="382"/>
      <c r="DN70" s="382"/>
      <c r="DO70" s="382"/>
      <c r="DP70" s="382"/>
      <c r="DQ70" s="382"/>
      <c r="DR70" s="382"/>
      <c r="DS70" s="382"/>
      <c r="DT70" s="382"/>
      <c r="DU70" s="382"/>
      <c r="DV70" s="382"/>
      <c r="DW70" s="382"/>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2"/>
      <c r="EY70" s="382"/>
      <c r="EZ70" s="382"/>
      <c r="FA70" s="382"/>
      <c r="FB70" s="382"/>
      <c r="FC70" s="382"/>
      <c r="FD70" s="382"/>
      <c r="FE70" s="382"/>
      <c r="FF70" s="382"/>
      <c r="FG70" s="382"/>
      <c r="FH70" s="382"/>
      <c r="FI70" s="382"/>
      <c r="FJ70" s="382"/>
      <c r="FK70" s="382"/>
      <c r="FL70" s="382"/>
      <c r="FM70" s="382"/>
      <c r="FN70" s="382"/>
      <c r="FO70" s="382"/>
      <c r="FP70" s="382"/>
      <c r="FQ70" s="382"/>
      <c r="FR70" s="382"/>
      <c r="FS70" s="382"/>
      <c r="FT70" s="382"/>
      <c r="FU70" s="382"/>
      <c r="FV70" s="382"/>
      <c r="FW70" s="382"/>
      <c r="FX70" s="382"/>
      <c r="FY70" s="382"/>
      <c r="FZ70" s="382"/>
      <c r="GA70" s="382"/>
      <c r="GB70" s="382"/>
      <c r="GC70" s="382"/>
      <c r="GD70" s="382"/>
      <c r="GE70" s="382"/>
      <c r="GF70" s="382"/>
      <c r="GG70" s="382"/>
      <c r="GH70" s="382"/>
      <c r="GI70" s="382"/>
      <c r="GJ70" s="382"/>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c r="HO70" s="382"/>
      <c r="HP70" s="382"/>
      <c r="HQ70" s="382"/>
      <c r="HR70" s="382"/>
      <c r="HS70" s="382"/>
      <c r="HT70" s="382"/>
      <c r="HU70" s="382"/>
      <c r="HV70" s="382"/>
      <c r="HW70" s="382"/>
      <c r="HX70" s="382"/>
      <c r="HY70" s="382"/>
      <c r="HZ70" s="382"/>
      <c r="IA70" s="382"/>
      <c r="IB70" s="382"/>
      <c r="IC70" s="382"/>
      <c r="ID70" s="382"/>
      <c r="IE70" s="382"/>
      <c r="IF70" s="382"/>
      <c r="IG70" s="382"/>
      <c r="IH70" s="382"/>
      <c r="II70" s="382"/>
      <c r="IJ70" s="382"/>
      <c r="IK70" s="382"/>
      <c r="IL70" s="382"/>
      <c r="IM70" s="382"/>
      <c r="IN70" s="382"/>
      <c r="IO70" s="382"/>
    </row>
    <row r="71" spans="1:249" s="422" customFormat="1" ht="24.95" customHeight="1">
      <c r="A71" s="611" t="str">
        <f>+IF(NOVIEMBRE!A71=0,"",NOVIEMBRE!A71)</f>
        <v>1130115-2</v>
      </c>
      <c r="B71" s="646" t="str">
        <f>+IF(NOVIEMBRE!B71=0,"",NOVIEMBRE!B71)</f>
        <v>Vigencia Anterior</v>
      </c>
      <c r="C71" s="671">
        <f>+ENERO!C71</f>
        <v>0</v>
      </c>
      <c r="D71" s="373">
        <f>NOVIEMBRE!D71+DICIEMBRE!P71</f>
        <v>0</v>
      </c>
      <c r="E71" s="373">
        <f>NOVIEMBRE!E71+DICIEMBRE!Q71</f>
        <v>2106748570</v>
      </c>
      <c r="F71" s="373">
        <f>SUM(C71:E71)</f>
        <v>2106748570</v>
      </c>
      <c r="G71" s="373">
        <f>NOVIEMBRE!I71</f>
        <v>2106748570</v>
      </c>
      <c r="H71" s="374">
        <v>0</v>
      </c>
      <c r="I71" s="373">
        <f>SUM(G71:H71)</f>
        <v>2106748570</v>
      </c>
      <c r="J71" s="373">
        <f>NOVIEMBRE!L71</f>
        <v>2106748570</v>
      </c>
      <c r="K71" s="374">
        <v>0</v>
      </c>
      <c r="L71" s="373">
        <f>SUM(J71:K71)</f>
        <v>2106748570</v>
      </c>
      <c r="M71" s="373">
        <f>F71-I71</f>
        <v>0</v>
      </c>
      <c r="N71" s="2912">
        <f>F71-L71</f>
        <v>0</v>
      </c>
      <c r="O71" s="382"/>
      <c r="P71" s="372">
        <v>0</v>
      </c>
      <c r="Q71" s="375">
        <v>689308</v>
      </c>
      <c r="R71" s="9"/>
      <c r="S71" s="706" t="str">
        <f>+IF(NOVIEMBRE!S71=0,"",NOVIEMBRE!S71)</f>
        <v>1020104-2</v>
      </c>
      <c r="T71" s="682" t="str">
        <f>+IF(NOVIEMBRE!T71=0,"",NOVIEMBRE!T71)</f>
        <v>Prima Vida Cara</v>
      </c>
      <c r="U71" s="27">
        <f>+ENERO!U71</f>
        <v>65329386</v>
      </c>
      <c r="V71" s="15">
        <f>NOVIEMBRE!V71+DICIEMBRE!AL71</f>
        <v>0</v>
      </c>
      <c r="W71" s="15">
        <f>NOVIEMBRE!W71+DICIEMBRE!AM71</f>
        <v>69429213</v>
      </c>
      <c r="X71" s="18">
        <f t="shared" si="77"/>
        <v>134758599</v>
      </c>
      <c r="Y71" s="19">
        <f>NOVIEMBRE!AA71</f>
        <v>69429074</v>
      </c>
      <c r="Z71" s="374">
        <v>0</v>
      </c>
      <c r="AA71" s="18">
        <f t="shared" si="78"/>
        <v>69429074</v>
      </c>
      <c r="AB71" s="19">
        <f>NOVIEMBRE!AD71</f>
        <v>69429074</v>
      </c>
      <c r="AC71" s="374">
        <v>0</v>
      </c>
      <c r="AD71" s="18">
        <f t="shared" si="79"/>
        <v>69429074</v>
      </c>
      <c r="AE71" s="19">
        <f>NOVIEMBRE!AG71</f>
        <v>69429074</v>
      </c>
      <c r="AF71" s="374">
        <v>0</v>
      </c>
      <c r="AG71" s="18">
        <f t="shared" si="80"/>
        <v>69429074</v>
      </c>
      <c r="AH71" s="19">
        <f t="shared" si="81"/>
        <v>65329525</v>
      </c>
      <c r="AI71" s="15">
        <f t="shared" si="82"/>
        <v>65329525</v>
      </c>
      <c r="AJ71" s="16">
        <f t="shared" si="83"/>
        <v>65329525</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461"/>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row>
    <row r="72" spans="1:249" s="382" customFormat="1" ht="24.95" customHeight="1">
      <c r="A72" s="733">
        <f>+IF(NOVIEMBRE!A72=0,"",NOVIEMBRE!A72)</f>
        <v>1130116</v>
      </c>
      <c r="B72" s="645" t="str">
        <f>+IF(NOVIEMBRE!B72=0,"",NOVIEMBRE!B72)</f>
        <v>ADMINISTRADORAS DE RIESGOS PROFESIONALES</v>
      </c>
      <c r="C72" s="43">
        <f t="shared" ref="C72:N72" si="84">SUM(C73:C74)</f>
        <v>474083630</v>
      </c>
      <c r="D72" s="44">
        <f t="shared" si="84"/>
        <v>0</v>
      </c>
      <c r="E72" s="44">
        <f t="shared" si="84"/>
        <v>206614627</v>
      </c>
      <c r="F72" s="44">
        <f t="shared" si="84"/>
        <v>680698257</v>
      </c>
      <c r="G72" s="44">
        <f t="shared" si="84"/>
        <v>382421661</v>
      </c>
      <c r="H72" s="44">
        <f t="shared" si="84"/>
        <v>38226148</v>
      </c>
      <c r="I72" s="44">
        <f t="shared" si="84"/>
        <v>420647809</v>
      </c>
      <c r="J72" s="44">
        <f t="shared" si="84"/>
        <v>275214651</v>
      </c>
      <c r="K72" s="44">
        <f t="shared" si="84"/>
        <v>38998009</v>
      </c>
      <c r="L72" s="44">
        <f t="shared" si="84"/>
        <v>314212660</v>
      </c>
      <c r="M72" s="44">
        <f t="shared" si="84"/>
        <v>260050448</v>
      </c>
      <c r="N72" s="45">
        <f t="shared" si="84"/>
        <v>366485597</v>
      </c>
      <c r="P72" s="43">
        <f>SUM(P73:P74)</f>
        <v>0</v>
      </c>
      <c r="Q72" s="45">
        <f>SUM(Q73:Q74)</f>
        <v>0</v>
      </c>
      <c r="R72" s="9"/>
      <c r="S72" s="706" t="str">
        <f>+IF(NOVIEMBRE!S72=0,"",NOVIEMBRE!S72)</f>
        <v>1020104-3</v>
      </c>
      <c r="T72" s="682" t="str">
        <f>+IF(NOVIEMBRE!T72=0,"",NOVIEMBRE!T72)</f>
        <v>Prima de Vacaciones</v>
      </c>
      <c r="U72" s="27">
        <f>+ENERO!U72</f>
        <v>34829886</v>
      </c>
      <c r="V72" s="15">
        <f>NOVIEMBRE!V72+DICIEMBRE!AL72</f>
        <v>6000000</v>
      </c>
      <c r="W72" s="15">
        <f>NOVIEMBRE!W72+DICIEMBRE!AM72</f>
        <v>1314922</v>
      </c>
      <c r="X72" s="18">
        <f t="shared" si="77"/>
        <v>42144808</v>
      </c>
      <c r="Y72" s="19">
        <f>NOVIEMBRE!AA72</f>
        <v>22233749</v>
      </c>
      <c r="Z72" s="374">
        <v>16853964</v>
      </c>
      <c r="AA72" s="18">
        <f t="shared" si="78"/>
        <v>39087713</v>
      </c>
      <c r="AB72" s="19">
        <f>NOVIEMBRE!AD72</f>
        <v>22233749</v>
      </c>
      <c r="AC72" s="374">
        <v>16853964</v>
      </c>
      <c r="AD72" s="18">
        <f t="shared" si="79"/>
        <v>39087713</v>
      </c>
      <c r="AE72" s="19">
        <f>NOVIEMBRE!AG72</f>
        <v>22233749</v>
      </c>
      <c r="AF72" s="374">
        <v>16853964</v>
      </c>
      <c r="AG72" s="18">
        <f t="shared" si="80"/>
        <v>39087713</v>
      </c>
      <c r="AH72" s="19">
        <f t="shared" si="81"/>
        <v>3057095</v>
      </c>
      <c r="AI72" s="15">
        <f t="shared" si="82"/>
        <v>3057095</v>
      </c>
      <c r="AJ72" s="16">
        <f t="shared" si="83"/>
        <v>3057095</v>
      </c>
      <c r="AK72" s="9"/>
      <c r="AL72" s="372">
        <v>6000000</v>
      </c>
      <c r="AM72" s="375">
        <v>0</v>
      </c>
      <c r="AN72" s="9"/>
      <c r="AO72" s="294"/>
      <c r="AP72" s="294"/>
      <c r="AQ72" s="294"/>
      <c r="AR72" s="294"/>
      <c r="AS72" s="294"/>
      <c r="AT72" s="294"/>
      <c r="AU72" s="294"/>
      <c r="AV72" s="294"/>
      <c r="AW72" s="294"/>
      <c r="AX72" s="294"/>
      <c r="AY72" s="294"/>
      <c r="AZ72" s="294"/>
      <c r="BQ72" s="461"/>
    </row>
    <row r="73" spans="1:249" s="422" customFormat="1" ht="24.95" customHeight="1">
      <c r="A73" s="611" t="str">
        <f>+IF(NOVIEMBRE!A73=0,"",NOVIEMBRE!A73)</f>
        <v>1130116-1</v>
      </c>
      <c r="B73" s="646" t="str">
        <f>+CONCATENATE("Vigencia ",INSTRUCCIONES!$F$3)</f>
        <v>Vigencia 2017</v>
      </c>
      <c r="C73" s="671">
        <f>+ENERO!C73</f>
        <v>474083630</v>
      </c>
      <c r="D73" s="373">
        <f>NOVIEMBRE!D73+DICIEMBRE!P73</f>
        <v>0</v>
      </c>
      <c r="E73" s="373">
        <f>NOVIEMBRE!E73+DICIEMBRE!Q73</f>
        <v>0</v>
      </c>
      <c r="F73" s="373">
        <f>SUM(C73:E73)</f>
        <v>474083630</v>
      </c>
      <c r="G73" s="373">
        <f>NOVIEMBRE!I73</f>
        <v>175807034</v>
      </c>
      <c r="H73" s="374">
        <v>38226148</v>
      </c>
      <c r="I73" s="373">
        <f>SUM(G73:H73)</f>
        <v>214033182</v>
      </c>
      <c r="J73" s="373">
        <f>NOVIEMBRE!L73</f>
        <v>68600024</v>
      </c>
      <c r="K73" s="374">
        <v>38998009</v>
      </c>
      <c r="L73" s="373">
        <f>SUM(J73:K73)</f>
        <v>107598033</v>
      </c>
      <c r="M73" s="373">
        <f>F73-I73</f>
        <v>260050448</v>
      </c>
      <c r="N73" s="143">
        <f>F73-L73</f>
        <v>366485597</v>
      </c>
      <c r="O73" s="382"/>
      <c r="P73" s="372">
        <v>0</v>
      </c>
      <c r="Q73" s="375">
        <v>0</v>
      </c>
      <c r="R73" s="9"/>
      <c r="S73" s="706" t="str">
        <f>+IF(NOVIEMBRE!S73=0,"",NOVIEMBRE!S73)</f>
        <v>1020104-4</v>
      </c>
      <c r="T73" s="682" t="str">
        <f>+IF(NOVIEMBRE!T73=0,"",NOVIEMBRE!T73)</f>
        <v>Prima Clima</v>
      </c>
      <c r="U73" s="27">
        <f>+ENERO!U73</f>
        <v>0</v>
      </c>
      <c r="V73" s="15">
        <f>NOVIEMBRE!V73+DICIEMBRE!AL73</f>
        <v>0</v>
      </c>
      <c r="W73" s="15">
        <f>NOVIEMBRE!W73+DICIEMBRE!AM73</f>
        <v>0</v>
      </c>
      <c r="X73" s="18">
        <f t="shared" si="77"/>
        <v>0</v>
      </c>
      <c r="Y73" s="19">
        <f>NOVIEMBRE!AA73</f>
        <v>0</v>
      </c>
      <c r="Z73" s="374">
        <v>0</v>
      </c>
      <c r="AA73" s="18">
        <f t="shared" si="78"/>
        <v>0</v>
      </c>
      <c r="AB73" s="19">
        <f>NOVIEMBRE!AD73</f>
        <v>0</v>
      </c>
      <c r="AC73" s="374">
        <v>0</v>
      </c>
      <c r="AD73" s="18">
        <f t="shared" si="79"/>
        <v>0</v>
      </c>
      <c r="AE73" s="19">
        <f>NOVIEMBRE!AG73</f>
        <v>0</v>
      </c>
      <c r="AF73" s="374">
        <v>0</v>
      </c>
      <c r="AG73" s="18">
        <f t="shared" si="80"/>
        <v>0</v>
      </c>
      <c r="AH73" s="19">
        <f t="shared" si="81"/>
        <v>0</v>
      </c>
      <c r="AI73" s="15">
        <f t="shared" si="82"/>
        <v>0</v>
      </c>
      <c r="AJ73" s="16">
        <f t="shared" si="83"/>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461"/>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2"/>
      <c r="DJ73" s="382"/>
      <c r="DK73" s="382"/>
      <c r="DL73" s="382"/>
      <c r="DM73" s="382"/>
      <c r="DN73" s="382"/>
      <c r="DO73" s="382"/>
      <c r="DP73" s="382"/>
      <c r="DQ73" s="382"/>
      <c r="DR73" s="382"/>
      <c r="DS73" s="382"/>
      <c r="DT73" s="382"/>
      <c r="DU73" s="382"/>
      <c r="DV73" s="382"/>
      <c r="DW73" s="382"/>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2"/>
      <c r="EY73" s="382"/>
      <c r="EZ73" s="382"/>
      <c r="FA73" s="382"/>
      <c r="FB73" s="382"/>
      <c r="FC73" s="382"/>
      <c r="FD73" s="382"/>
      <c r="FE73" s="382"/>
      <c r="FF73" s="382"/>
      <c r="FG73" s="382"/>
      <c r="FH73" s="382"/>
      <c r="FI73" s="382"/>
      <c r="FJ73" s="382"/>
      <c r="FK73" s="382"/>
      <c r="FL73" s="382"/>
      <c r="FM73" s="382"/>
      <c r="FN73" s="382"/>
      <c r="FO73" s="382"/>
      <c r="FP73" s="382"/>
      <c r="FQ73" s="382"/>
      <c r="FR73" s="382"/>
      <c r="FS73" s="382"/>
      <c r="FT73" s="382"/>
      <c r="FU73" s="382"/>
      <c r="FV73" s="382"/>
      <c r="FW73" s="382"/>
      <c r="FX73" s="382"/>
      <c r="FY73" s="382"/>
      <c r="FZ73" s="382"/>
      <c r="GA73" s="382"/>
      <c r="GB73" s="382"/>
      <c r="GC73" s="382"/>
      <c r="GD73" s="382"/>
      <c r="GE73" s="382"/>
      <c r="GF73" s="382"/>
      <c r="GG73" s="382"/>
      <c r="GH73" s="382"/>
      <c r="GI73" s="382"/>
      <c r="GJ73" s="382"/>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c r="HO73" s="382"/>
      <c r="HP73" s="382"/>
      <c r="HQ73" s="382"/>
      <c r="HR73" s="382"/>
      <c r="HS73" s="382"/>
      <c r="HT73" s="382"/>
      <c r="HU73" s="382"/>
      <c r="HV73" s="382"/>
      <c r="HW73" s="382"/>
      <c r="HX73" s="382"/>
      <c r="HY73" s="382"/>
      <c r="HZ73" s="382"/>
      <c r="IA73" s="382"/>
      <c r="IB73" s="382"/>
      <c r="IC73" s="382"/>
      <c r="ID73" s="382"/>
      <c r="IE73" s="382"/>
      <c r="IF73" s="382"/>
      <c r="IG73" s="382"/>
      <c r="IH73" s="382"/>
      <c r="II73" s="382"/>
      <c r="IJ73" s="382"/>
      <c r="IK73" s="382"/>
      <c r="IL73" s="382"/>
      <c r="IM73" s="382"/>
      <c r="IN73" s="382"/>
      <c r="IO73" s="382"/>
    </row>
    <row r="74" spans="1:249" s="422" customFormat="1" ht="24.95" customHeight="1">
      <c r="A74" s="611" t="str">
        <f>+IF(NOVIEMBRE!A74=0,"",NOVIEMBRE!A74)</f>
        <v>1130116-2</v>
      </c>
      <c r="B74" s="646" t="str">
        <f>+IF(NOVIEMBRE!B74=0,"",NOVIEMBRE!B74)</f>
        <v>Vigencia Anterior</v>
      </c>
      <c r="C74" s="671">
        <f>+ENERO!C74</f>
        <v>0</v>
      </c>
      <c r="D74" s="373">
        <f>NOVIEMBRE!D74+DICIEMBRE!P74</f>
        <v>0</v>
      </c>
      <c r="E74" s="373">
        <f>NOVIEMBRE!E74+DICIEMBRE!Q74</f>
        <v>206614627</v>
      </c>
      <c r="F74" s="373">
        <f>SUM(C74:E74)</f>
        <v>206614627</v>
      </c>
      <c r="G74" s="373">
        <f>NOVIEMBRE!I74</f>
        <v>206614627</v>
      </c>
      <c r="H74" s="374">
        <v>0</v>
      </c>
      <c r="I74" s="373">
        <f>SUM(G74:H74)</f>
        <v>206614627</v>
      </c>
      <c r="J74" s="373">
        <f>NOVIEMBRE!L74</f>
        <v>206614627</v>
      </c>
      <c r="K74" s="374">
        <v>0</v>
      </c>
      <c r="L74" s="373">
        <f>SUM(J74:K74)</f>
        <v>206614627</v>
      </c>
      <c r="M74" s="373">
        <f>F74-I74</f>
        <v>0</v>
      </c>
      <c r="N74" s="143">
        <f>F74-L74</f>
        <v>0</v>
      </c>
      <c r="O74" s="382"/>
      <c r="P74" s="372">
        <v>0</v>
      </c>
      <c r="Q74" s="375">
        <v>0</v>
      </c>
      <c r="R74" s="9"/>
      <c r="S74" s="706" t="str">
        <f>+IF(NOVIEMBRE!S74=0,"",NOVIEMBRE!S74)</f>
        <v>1020104-5</v>
      </c>
      <c r="T74" s="682" t="str">
        <f>+IF(NOVIEMBRE!T74=0,"",NOVIEMBRE!T74)</f>
        <v>Prima de Servicios</v>
      </c>
      <c r="U74" s="27">
        <f>+ENERO!U74</f>
        <v>36082760</v>
      </c>
      <c r="V74" s="15">
        <f>NOVIEMBRE!V74+DICIEMBRE!AL74</f>
        <v>0</v>
      </c>
      <c r="W74" s="15">
        <f>NOVIEMBRE!W74+DICIEMBRE!AM74</f>
        <v>2192113</v>
      </c>
      <c r="X74" s="18">
        <f t="shared" si="77"/>
        <v>38274873</v>
      </c>
      <c r="Y74" s="19">
        <f>NOVIEMBRE!AA74</f>
        <v>34648253</v>
      </c>
      <c r="Z74" s="374">
        <v>0</v>
      </c>
      <c r="AA74" s="18">
        <f t="shared" si="78"/>
        <v>34648253</v>
      </c>
      <c r="AB74" s="19">
        <f>NOVIEMBRE!AD74</f>
        <v>34648253</v>
      </c>
      <c r="AC74" s="374">
        <v>0</v>
      </c>
      <c r="AD74" s="18">
        <f t="shared" si="79"/>
        <v>34648253</v>
      </c>
      <c r="AE74" s="19">
        <f>NOVIEMBRE!AG74</f>
        <v>34648253</v>
      </c>
      <c r="AF74" s="374">
        <v>0</v>
      </c>
      <c r="AG74" s="18">
        <f t="shared" si="80"/>
        <v>34648253</v>
      </c>
      <c r="AH74" s="19">
        <f t="shared" si="81"/>
        <v>3626620</v>
      </c>
      <c r="AI74" s="15">
        <f t="shared" si="82"/>
        <v>3626620</v>
      </c>
      <c r="AJ74" s="16">
        <f t="shared" si="83"/>
        <v>3626620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461"/>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2"/>
      <c r="DJ74" s="382"/>
      <c r="DK74" s="382"/>
      <c r="DL74" s="382"/>
      <c r="DM74" s="382"/>
      <c r="DN74" s="382"/>
      <c r="DO74" s="382"/>
      <c r="DP74" s="382"/>
      <c r="DQ74" s="382"/>
      <c r="DR74" s="382"/>
      <c r="DS74" s="382"/>
      <c r="DT74" s="382"/>
      <c r="DU74" s="382"/>
      <c r="DV74" s="382"/>
      <c r="DW74" s="382"/>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2"/>
      <c r="EY74" s="382"/>
      <c r="EZ74" s="382"/>
      <c r="FA74" s="382"/>
      <c r="FB74" s="382"/>
      <c r="FC74" s="382"/>
      <c r="FD74" s="382"/>
      <c r="FE74" s="382"/>
      <c r="FF74" s="382"/>
      <c r="FG74" s="382"/>
      <c r="FH74" s="382"/>
      <c r="FI74" s="382"/>
      <c r="FJ74" s="382"/>
      <c r="FK74" s="382"/>
      <c r="FL74" s="382"/>
      <c r="FM74" s="382"/>
      <c r="FN74" s="382"/>
      <c r="FO74" s="382"/>
      <c r="FP74" s="382"/>
      <c r="FQ74" s="382"/>
      <c r="FR74" s="382"/>
      <c r="FS74" s="382"/>
      <c r="FT74" s="382"/>
      <c r="FU74" s="382"/>
      <c r="FV74" s="382"/>
      <c r="FW74" s="382"/>
      <c r="FX74" s="382"/>
      <c r="FY74" s="382"/>
      <c r="FZ74" s="382"/>
      <c r="GA74" s="382"/>
      <c r="GB74" s="382"/>
      <c r="GC74" s="382"/>
      <c r="GD74" s="382"/>
      <c r="GE74" s="382"/>
      <c r="GF74" s="382"/>
      <c r="GG74" s="382"/>
      <c r="GH74" s="382"/>
      <c r="GI74" s="382"/>
      <c r="GJ74" s="382"/>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c r="HO74" s="382"/>
      <c r="HP74" s="382"/>
      <c r="HQ74" s="382"/>
      <c r="HR74" s="382"/>
      <c r="HS74" s="382"/>
      <c r="HT74" s="382"/>
      <c r="HU74" s="382"/>
      <c r="HV74" s="382"/>
      <c r="HW74" s="382"/>
      <c r="HX74" s="382"/>
      <c r="HY74" s="382"/>
      <c r="HZ74" s="382"/>
      <c r="IA74" s="382"/>
      <c r="IB74" s="382"/>
      <c r="IC74" s="382"/>
      <c r="ID74" s="382"/>
      <c r="IE74" s="382"/>
      <c r="IF74" s="382"/>
      <c r="IG74" s="382"/>
      <c r="IH74" s="382"/>
      <c r="II74" s="382"/>
      <c r="IJ74" s="382"/>
      <c r="IK74" s="382"/>
      <c r="IL74" s="382"/>
      <c r="IM74" s="382"/>
      <c r="IN74" s="382"/>
      <c r="IO74" s="382"/>
    </row>
    <row r="75" spans="1:249" s="382" customFormat="1" ht="24.95" customHeight="1">
      <c r="A75" s="733">
        <f>+IF(NOVIEMBRE!A75=0,"",NOVIEMBRE!A75)</f>
        <v>1130117</v>
      </c>
      <c r="B75" s="645" t="str">
        <f>+IF(NOVIEMBRE!B75=0,"",NOVIEMBRE!B75)</f>
        <v>CUOTAS DE RECUPERACION</v>
      </c>
      <c r="C75" s="43">
        <f t="shared" ref="C75:N75" si="85">SUM(C76:C77)</f>
        <v>52000000</v>
      </c>
      <c r="D75" s="44">
        <f t="shared" si="85"/>
        <v>0</v>
      </c>
      <c r="E75" s="44">
        <f t="shared" si="85"/>
        <v>602749</v>
      </c>
      <c r="F75" s="44">
        <f t="shared" si="85"/>
        <v>52602749</v>
      </c>
      <c r="G75" s="44">
        <f t="shared" si="85"/>
        <v>31367263</v>
      </c>
      <c r="H75" s="44">
        <f t="shared" si="85"/>
        <v>0</v>
      </c>
      <c r="I75" s="44">
        <f t="shared" si="85"/>
        <v>31367263</v>
      </c>
      <c r="J75" s="44">
        <f t="shared" si="85"/>
        <v>1509049</v>
      </c>
      <c r="K75" s="44">
        <f t="shared" si="85"/>
        <v>0</v>
      </c>
      <c r="L75" s="44">
        <f t="shared" si="85"/>
        <v>1509049</v>
      </c>
      <c r="M75" s="44">
        <f t="shared" si="85"/>
        <v>21235486</v>
      </c>
      <c r="N75" s="45">
        <f t="shared" si="85"/>
        <v>51093700</v>
      </c>
      <c r="P75" s="43">
        <f>SUM(P76:P77)</f>
        <v>0</v>
      </c>
      <c r="Q75" s="45">
        <f>SUM(Q76:Q77)</f>
        <v>0</v>
      </c>
      <c r="R75" s="9"/>
      <c r="S75" s="706" t="str">
        <f>+IF(NOVIEMBRE!S75=0,"",NOVIEMBRE!S75)</f>
        <v>1020104-8</v>
      </c>
      <c r="T75" s="682" t="str">
        <f>+IF(NOVIEMBRE!T75=0,"",NOVIEMBRE!T75)</f>
        <v>Bonific. por Servicios Prestados</v>
      </c>
      <c r="U75" s="27">
        <f>+ENERO!U75</f>
        <v>17770724</v>
      </c>
      <c r="V75" s="15">
        <f>NOVIEMBRE!V75+DICIEMBRE!AL75</f>
        <v>14000000</v>
      </c>
      <c r="W75" s="15">
        <f>NOVIEMBRE!W75+DICIEMBRE!AM75</f>
        <v>694013</v>
      </c>
      <c r="X75" s="18">
        <f t="shared" si="77"/>
        <v>32464737</v>
      </c>
      <c r="Y75" s="19">
        <f>NOVIEMBRE!AA75</f>
        <v>23991877</v>
      </c>
      <c r="Z75" s="374">
        <v>1855635</v>
      </c>
      <c r="AA75" s="18">
        <f t="shared" si="78"/>
        <v>25847512</v>
      </c>
      <c r="AB75" s="19">
        <f>NOVIEMBRE!AD75</f>
        <v>23991877</v>
      </c>
      <c r="AC75" s="374">
        <v>1855635</v>
      </c>
      <c r="AD75" s="18">
        <f t="shared" si="79"/>
        <v>25847512</v>
      </c>
      <c r="AE75" s="19">
        <f>NOVIEMBRE!AG75</f>
        <v>23991877</v>
      </c>
      <c r="AF75" s="374">
        <v>1855635</v>
      </c>
      <c r="AG75" s="18">
        <f t="shared" si="80"/>
        <v>25847512</v>
      </c>
      <c r="AH75" s="19">
        <f t="shared" si="81"/>
        <v>6617225</v>
      </c>
      <c r="AI75" s="15">
        <f t="shared" si="82"/>
        <v>6617225</v>
      </c>
      <c r="AJ75" s="16">
        <f t="shared" si="83"/>
        <v>6617225</v>
      </c>
      <c r="AK75" s="9"/>
      <c r="AL75" s="372">
        <v>0</v>
      </c>
      <c r="AM75" s="375">
        <v>0</v>
      </c>
      <c r="AN75" s="9"/>
      <c r="AO75" s="294"/>
      <c r="AP75" s="294"/>
      <c r="AQ75" s="294"/>
      <c r="AR75" s="294"/>
      <c r="AS75" s="294"/>
      <c r="AT75" s="294"/>
      <c r="AU75" s="294"/>
      <c r="AV75" s="294"/>
      <c r="AW75" s="294"/>
      <c r="AX75" s="294"/>
      <c r="AY75" s="294"/>
      <c r="AZ75" s="294"/>
      <c r="BQ75" s="461"/>
    </row>
    <row r="76" spans="1:249" s="422" customFormat="1" ht="24.95" customHeight="1">
      <c r="A76" s="611" t="str">
        <f>+IF(NOVIEMBRE!A76=0,"",NOVIEMBRE!A76)</f>
        <v>1130117-1</v>
      </c>
      <c r="B76" s="646" t="str">
        <f>+CONCATENATE("Vigencia ",INSTRUCCIONES!$F$3)</f>
        <v>Vigencia 2017</v>
      </c>
      <c r="C76" s="671">
        <f>+ENERO!C76</f>
        <v>52000000</v>
      </c>
      <c r="D76" s="373">
        <f>NOVIEMBRE!D76+DICIEMBRE!P76</f>
        <v>0</v>
      </c>
      <c r="E76" s="373">
        <f>NOVIEMBRE!E76+DICIEMBRE!Q76</f>
        <v>0</v>
      </c>
      <c r="F76" s="373">
        <f t="shared" ref="F76:F83" si="86">SUM(C76:E76)</f>
        <v>52000000</v>
      </c>
      <c r="G76" s="373">
        <f>NOVIEMBRE!I76</f>
        <v>30764514</v>
      </c>
      <c r="H76" s="374">
        <v>0</v>
      </c>
      <c r="I76" s="373">
        <f t="shared" ref="I76:I83" si="87">SUM(G76:H76)</f>
        <v>30764514</v>
      </c>
      <c r="J76" s="373">
        <f>NOVIEMBRE!L76</f>
        <v>906300</v>
      </c>
      <c r="K76" s="374">
        <v>0</v>
      </c>
      <c r="L76" s="373">
        <f t="shared" ref="L76:L83" si="88">SUM(J76:K76)</f>
        <v>906300</v>
      </c>
      <c r="M76" s="373">
        <f t="shared" ref="M76:M83" si="89">F76-I76</f>
        <v>21235486</v>
      </c>
      <c r="N76" s="143">
        <f t="shared" ref="N76:N83" si="90">F76-L76</f>
        <v>51093700</v>
      </c>
      <c r="O76" s="382"/>
      <c r="P76" s="372">
        <v>0</v>
      </c>
      <c r="Q76" s="375">
        <v>0</v>
      </c>
      <c r="R76" s="9"/>
      <c r="S76" s="706" t="str">
        <f>+IF(NOVIEMBRE!S76=0,"",NOVIEMBRE!S76)</f>
        <v>1020104-9</v>
      </c>
      <c r="T76" s="682" t="str">
        <f>+IF(NOVIEMBRE!T76=0,"",NOVIEMBRE!T76)</f>
        <v>Auxilio de Transporte</v>
      </c>
      <c r="U76" s="27">
        <f>+ENERO!U76</f>
        <v>1703268</v>
      </c>
      <c r="V76" s="15">
        <f>NOVIEMBRE!V76+DICIEMBRE!AL76</f>
        <v>505000</v>
      </c>
      <c r="W76" s="15">
        <f>NOVIEMBRE!W76+DICIEMBRE!AM76</f>
        <v>0</v>
      </c>
      <c r="X76" s="18">
        <f t="shared" si="77"/>
        <v>2208268</v>
      </c>
      <c r="Y76" s="19">
        <f>NOVIEMBRE!AA76</f>
        <v>2036900</v>
      </c>
      <c r="Z76" s="374">
        <v>152423</v>
      </c>
      <c r="AA76" s="18">
        <f t="shared" si="78"/>
        <v>2189323</v>
      </c>
      <c r="AB76" s="19">
        <f>NOVIEMBRE!AD76</f>
        <v>2036900</v>
      </c>
      <c r="AC76" s="374">
        <v>152423</v>
      </c>
      <c r="AD76" s="18">
        <f t="shared" si="79"/>
        <v>2189323</v>
      </c>
      <c r="AE76" s="19">
        <f>NOVIEMBRE!AG76</f>
        <v>2036900</v>
      </c>
      <c r="AF76" s="374">
        <v>152423</v>
      </c>
      <c r="AG76" s="18">
        <f t="shared" si="80"/>
        <v>2189323</v>
      </c>
      <c r="AH76" s="19">
        <f t="shared" si="81"/>
        <v>18945</v>
      </c>
      <c r="AI76" s="15">
        <f t="shared" si="82"/>
        <v>18945</v>
      </c>
      <c r="AJ76" s="16">
        <f t="shared" si="83"/>
        <v>18945</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461"/>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2"/>
      <c r="DJ76" s="382"/>
      <c r="DK76" s="382"/>
      <c r="DL76" s="382"/>
      <c r="DM76" s="382"/>
      <c r="DN76" s="382"/>
      <c r="DO76" s="382"/>
      <c r="DP76" s="382"/>
      <c r="DQ76" s="382"/>
      <c r="DR76" s="382"/>
      <c r="DS76" s="382"/>
      <c r="DT76" s="382"/>
      <c r="DU76" s="382"/>
      <c r="DV76" s="382"/>
      <c r="DW76" s="382"/>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c r="HO76" s="382"/>
      <c r="HP76" s="382"/>
      <c r="HQ76" s="382"/>
      <c r="HR76" s="382"/>
      <c r="HS76" s="382"/>
      <c r="HT76" s="382"/>
      <c r="HU76" s="382"/>
      <c r="HV76" s="382"/>
      <c r="HW76" s="382"/>
      <c r="HX76" s="382"/>
      <c r="HY76" s="382"/>
      <c r="HZ76" s="382"/>
      <c r="IA76" s="382"/>
      <c r="IB76" s="382"/>
      <c r="IC76" s="382"/>
      <c r="ID76" s="382"/>
      <c r="IE76" s="382"/>
      <c r="IF76" s="382"/>
      <c r="IG76" s="382"/>
      <c r="IH76" s="382"/>
      <c r="II76" s="382"/>
      <c r="IJ76" s="382"/>
      <c r="IK76" s="382"/>
      <c r="IL76" s="382"/>
      <c r="IM76" s="382"/>
      <c r="IN76" s="382"/>
      <c r="IO76" s="382"/>
    </row>
    <row r="77" spans="1:249" s="422" customFormat="1" ht="24.95" customHeight="1">
      <c r="A77" s="611" t="str">
        <f>+IF(NOVIEMBRE!A77=0,"",NOVIEMBRE!A77)</f>
        <v>1130117-2</v>
      </c>
      <c r="B77" s="646" t="str">
        <f>+IF(NOVIEMBRE!B77=0,"",NOVIEMBRE!B77)</f>
        <v>Vigencia Anterior</v>
      </c>
      <c r="C77" s="671">
        <f>+ENERO!C77</f>
        <v>0</v>
      </c>
      <c r="D77" s="373">
        <f>NOVIEMBRE!D77+DICIEMBRE!P77</f>
        <v>0</v>
      </c>
      <c r="E77" s="373">
        <f>NOVIEMBRE!E77+DICIEMBRE!Q77</f>
        <v>602749</v>
      </c>
      <c r="F77" s="373">
        <f t="shared" si="86"/>
        <v>602749</v>
      </c>
      <c r="G77" s="373">
        <f>NOVIEMBRE!I77</f>
        <v>602749</v>
      </c>
      <c r="H77" s="374">
        <v>0</v>
      </c>
      <c r="I77" s="373">
        <f t="shared" si="87"/>
        <v>602749</v>
      </c>
      <c r="J77" s="373">
        <f>NOVIEMBRE!L77</f>
        <v>602749</v>
      </c>
      <c r="K77" s="374">
        <v>0</v>
      </c>
      <c r="L77" s="373">
        <f t="shared" si="88"/>
        <v>602749</v>
      </c>
      <c r="M77" s="373">
        <f t="shared" si="89"/>
        <v>0</v>
      </c>
      <c r="N77" s="143">
        <f t="shared" si="90"/>
        <v>0</v>
      </c>
      <c r="O77" s="382"/>
      <c r="P77" s="372">
        <v>0</v>
      </c>
      <c r="Q77" s="375">
        <v>0</v>
      </c>
      <c r="R77" s="9"/>
      <c r="S77" s="706" t="str">
        <f>+IF(NOVIEMBRE!S77=0,"",NOVIEMBRE!S77)</f>
        <v>1020104-10</v>
      </c>
      <c r="T77" s="682" t="str">
        <f>+IF(NOVIEMBRE!T77=0,"",NOVIEMBRE!T77)</f>
        <v>Subsidio de Alimentación</v>
      </c>
      <c r="U77" s="27">
        <f>+ENERO!U77</f>
        <v>1200000</v>
      </c>
      <c r="V77" s="15">
        <f>NOVIEMBRE!V77+DICIEMBRE!AL77</f>
        <v>464000</v>
      </c>
      <c r="W77" s="15">
        <f>NOVIEMBRE!W77+DICIEMBRE!AM77</f>
        <v>371291</v>
      </c>
      <c r="X77" s="18">
        <f t="shared" si="77"/>
        <v>2035291</v>
      </c>
      <c r="Y77" s="19">
        <f>NOVIEMBRE!AA77</f>
        <v>1546252</v>
      </c>
      <c r="Z77" s="374">
        <v>104969</v>
      </c>
      <c r="AA77" s="18">
        <f t="shared" si="78"/>
        <v>1651221</v>
      </c>
      <c r="AB77" s="19">
        <f>NOVIEMBRE!AD77</f>
        <v>1546252</v>
      </c>
      <c r="AC77" s="374">
        <v>104969</v>
      </c>
      <c r="AD77" s="18">
        <f t="shared" si="79"/>
        <v>1651221</v>
      </c>
      <c r="AE77" s="19">
        <f>NOVIEMBRE!AG77</f>
        <v>1546252</v>
      </c>
      <c r="AF77" s="374">
        <v>104969</v>
      </c>
      <c r="AG77" s="18">
        <f t="shared" si="80"/>
        <v>1651221</v>
      </c>
      <c r="AH77" s="19">
        <f t="shared" si="81"/>
        <v>384070</v>
      </c>
      <c r="AI77" s="15">
        <f t="shared" si="82"/>
        <v>384070</v>
      </c>
      <c r="AJ77" s="16">
        <f t="shared" si="83"/>
        <v>384070</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461"/>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row>
    <row r="78" spans="1:249" s="422" customFormat="1" ht="24.95" customHeight="1">
      <c r="A78" s="733">
        <f>+IF(NOVIEMBRE!A78=0,"",NOVIEMBRE!A78)</f>
        <v>1130118</v>
      </c>
      <c r="B78" s="645" t="str">
        <f>+IF(NOVIEMBRE!B78=0,"",NOVIEMBRE!B78)</f>
        <v>PARTICULARES   (Venta de Contado)</v>
      </c>
      <c r="C78" s="43">
        <f>SUM(C79:C80)</f>
        <v>435000000</v>
      </c>
      <c r="D78" s="44">
        <f>SUM(D79:D80)</f>
        <v>0</v>
      </c>
      <c r="E78" s="44">
        <f>SUM(E79:E80)</f>
        <v>90453780</v>
      </c>
      <c r="F78" s="44">
        <f t="shared" si="86"/>
        <v>525453780</v>
      </c>
      <c r="G78" s="44">
        <f>SUM(G79:G80)</f>
        <v>485737797</v>
      </c>
      <c r="H78" s="44">
        <f>SUM(H79:H80)</f>
        <v>39715983</v>
      </c>
      <c r="I78" s="44">
        <f t="shared" si="87"/>
        <v>525453780</v>
      </c>
      <c r="J78" s="44">
        <f>SUM(J79:J80)</f>
        <v>485737797</v>
      </c>
      <c r="K78" s="44">
        <f>SUM(K79:K80)</f>
        <v>39715983</v>
      </c>
      <c r="L78" s="44">
        <f t="shared" si="88"/>
        <v>525453780</v>
      </c>
      <c r="M78" s="44">
        <f t="shared" si="89"/>
        <v>0</v>
      </c>
      <c r="N78" s="45">
        <f t="shared" si="90"/>
        <v>0</v>
      </c>
      <c r="O78" s="382"/>
      <c r="P78" s="43">
        <f>SUM(P79:P80)</f>
        <v>0</v>
      </c>
      <c r="Q78" s="45">
        <f>SUM(Q79:Q80)</f>
        <v>86749584</v>
      </c>
      <c r="R78" s="9"/>
      <c r="S78" s="706" t="str">
        <f>+IF(NOVIEMBRE!S78=0,"",NOVIEMBRE!S78)</f>
        <v>1020104-12</v>
      </c>
      <c r="T78" s="682" t="str">
        <f>+IF(NOVIEMBRE!T78=0,"",NOVIEMBRE!T78)</f>
        <v>Indemnizaciones por Vacaciones o Supresión de Cargos por Reestructuración</v>
      </c>
      <c r="U78" s="27">
        <f>+ENERO!U78</f>
        <v>0</v>
      </c>
      <c r="V78" s="15">
        <f>NOVIEMBRE!V78+DICIEMBRE!AL78</f>
        <v>0</v>
      </c>
      <c r="W78" s="15">
        <f>NOVIEMBRE!W78+DICIEMBRE!AM78</f>
        <v>0</v>
      </c>
      <c r="X78" s="18">
        <f t="shared" si="77"/>
        <v>0</v>
      </c>
      <c r="Y78" s="19">
        <f>NOVIEMBRE!AA78</f>
        <v>0</v>
      </c>
      <c r="Z78" s="374">
        <v>0</v>
      </c>
      <c r="AA78" s="18">
        <f t="shared" si="78"/>
        <v>0</v>
      </c>
      <c r="AB78" s="19">
        <f>NOVIEMBRE!AD78</f>
        <v>0</v>
      </c>
      <c r="AC78" s="374">
        <v>0</v>
      </c>
      <c r="AD78" s="18">
        <f t="shared" si="79"/>
        <v>0</v>
      </c>
      <c r="AE78" s="19">
        <f>NOVIEMBRE!AG78</f>
        <v>0</v>
      </c>
      <c r="AF78" s="374">
        <v>0</v>
      </c>
      <c r="AG78" s="18">
        <f t="shared" si="80"/>
        <v>0</v>
      </c>
      <c r="AH78" s="19">
        <f t="shared" si="81"/>
        <v>0</v>
      </c>
      <c r="AI78" s="15">
        <f t="shared" si="82"/>
        <v>0</v>
      </c>
      <c r="AJ78" s="16">
        <f t="shared" si="83"/>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461"/>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2"/>
      <c r="DJ78" s="382"/>
      <c r="DK78" s="382"/>
      <c r="DL78" s="382"/>
      <c r="DM78" s="382"/>
      <c r="DN78" s="382"/>
      <c r="DO78" s="382"/>
      <c r="DP78" s="382"/>
      <c r="DQ78" s="382"/>
      <c r="DR78" s="382"/>
      <c r="DS78" s="382"/>
      <c r="DT78" s="382"/>
      <c r="DU78" s="382"/>
      <c r="DV78" s="382"/>
      <c r="DW78" s="382"/>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c r="HO78" s="382"/>
      <c r="HP78" s="382"/>
      <c r="HQ78" s="382"/>
      <c r="HR78" s="382"/>
      <c r="HS78" s="382"/>
      <c r="HT78" s="382"/>
      <c r="HU78" s="382"/>
      <c r="HV78" s="382"/>
      <c r="HW78" s="382"/>
      <c r="HX78" s="382"/>
      <c r="HY78" s="382"/>
      <c r="HZ78" s="382"/>
      <c r="IA78" s="382"/>
      <c r="IB78" s="382"/>
      <c r="IC78" s="382"/>
      <c r="ID78" s="382"/>
      <c r="IE78" s="382"/>
      <c r="IF78" s="382"/>
      <c r="IG78" s="382"/>
      <c r="IH78" s="382"/>
      <c r="II78" s="382"/>
      <c r="IJ78" s="382"/>
      <c r="IK78" s="382"/>
      <c r="IL78" s="382"/>
      <c r="IM78" s="382"/>
      <c r="IN78" s="382"/>
      <c r="IO78" s="382"/>
    </row>
    <row r="79" spans="1:249" s="382" customFormat="1" ht="24.95" customHeight="1">
      <c r="A79" s="611" t="str">
        <f>+IF(NOVIEMBRE!A79=0,"",NOVIEMBRE!A79)</f>
        <v>1130118-1</v>
      </c>
      <c r="B79" s="646" t="str">
        <f>+CONCATENATE("Vigencia ",INSTRUCCIONES!$F$3)</f>
        <v>Vigencia 2017</v>
      </c>
      <c r="C79" s="671">
        <f>+ENERO!C79</f>
        <v>435000000</v>
      </c>
      <c r="D79" s="373">
        <f>NOVIEMBRE!D79+DICIEMBRE!P79</f>
        <v>0</v>
      </c>
      <c r="E79" s="373">
        <f>NOVIEMBRE!E79+DICIEMBRE!Q79</f>
        <v>81700649</v>
      </c>
      <c r="F79" s="373">
        <f t="shared" si="86"/>
        <v>516700649</v>
      </c>
      <c r="G79" s="373">
        <f>NOVIEMBRE!I79</f>
        <v>477937771</v>
      </c>
      <c r="H79" s="374">
        <v>38762878</v>
      </c>
      <c r="I79" s="373">
        <f t="shared" si="87"/>
        <v>516700649</v>
      </c>
      <c r="J79" s="373">
        <f>NOVIEMBRE!L79</f>
        <v>477937771</v>
      </c>
      <c r="K79" s="374">
        <v>38762878</v>
      </c>
      <c r="L79" s="373">
        <f t="shared" si="88"/>
        <v>516700649</v>
      </c>
      <c r="M79" s="373">
        <f t="shared" si="89"/>
        <v>0</v>
      </c>
      <c r="N79" s="2912">
        <f t="shared" si="90"/>
        <v>0</v>
      </c>
      <c r="P79" s="372">
        <v>0</v>
      </c>
      <c r="Q79" s="375">
        <v>81700649</v>
      </c>
      <c r="R79" s="9"/>
      <c r="S79" s="706" t="str">
        <f>+IF(NOVIEMBRE!S79=0,"",NOVIEMBRE!S79)</f>
        <v>1020104-13</v>
      </c>
      <c r="T79" s="682" t="str">
        <f>+IF(NOVIEMBRE!T79=0,"",NOVIEMBRE!T79)</f>
        <v>Bonificación Especial por Recreación</v>
      </c>
      <c r="U79" s="27">
        <f>+ENERO!U79</f>
        <v>2582164</v>
      </c>
      <c r="V79" s="15">
        <f>NOVIEMBRE!V79+DICIEMBRE!AL79</f>
        <v>3000000</v>
      </c>
      <c r="W79" s="15">
        <f>NOVIEMBRE!W79+DICIEMBRE!AM79</f>
        <v>222542</v>
      </c>
      <c r="X79" s="18">
        <f t="shared" si="77"/>
        <v>5804706</v>
      </c>
      <c r="Y79" s="19">
        <f>NOVIEMBRE!AA79</f>
        <v>3175606</v>
      </c>
      <c r="Z79" s="374">
        <v>1949889</v>
      </c>
      <c r="AA79" s="18">
        <f t="shared" si="78"/>
        <v>5125495</v>
      </c>
      <c r="AB79" s="19">
        <f>NOVIEMBRE!AD79</f>
        <v>3175606</v>
      </c>
      <c r="AC79" s="374">
        <v>1949889</v>
      </c>
      <c r="AD79" s="18">
        <f t="shared" si="79"/>
        <v>5125495</v>
      </c>
      <c r="AE79" s="19">
        <f>NOVIEMBRE!AG79</f>
        <v>3175606</v>
      </c>
      <c r="AF79" s="374">
        <v>1949889</v>
      </c>
      <c r="AG79" s="18">
        <f t="shared" si="80"/>
        <v>5125495</v>
      </c>
      <c r="AH79" s="19">
        <f t="shared" si="81"/>
        <v>679211</v>
      </c>
      <c r="AI79" s="15">
        <f t="shared" si="82"/>
        <v>679211</v>
      </c>
      <c r="AJ79" s="16">
        <f t="shared" si="83"/>
        <v>679211</v>
      </c>
      <c r="AK79" s="9"/>
      <c r="AL79" s="372">
        <v>0</v>
      </c>
      <c r="AM79" s="375">
        <v>0</v>
      </c>
      <c r="AN79" s="9"/>
      <c r="AO79" s="294"/>
      <c r="AP79" s="294"/>
      <c r="AQ79" s="294"/>
      <c r="AR79" s="294"/>
      <c r="AS79" s="294"/>
      <c r="AT79" s="294"/>
      <c r="AU79" s="294"/>
      <c r="AV79" s="294"/>
      <c r="AW79" s="294"/>
      <c r="AX79" s="294"/>
      <c r="AY79" s="294"/>
      <c r="AZ79" s="294"/>
      <c r="BL79" s="9"/>
      <c r="BQ79" s="461"/>
    </row>
    <row r="80" spans="1:249" s="9" customFormat="1" ht="24.95" customHeight="1">
      <c r="A80" s="611" t="str">
        <f>+IF(NOVIEMBRE!A80=0,"",NOVIEMBRE!A80)</f>
        <v>1130118-2</v>
      </c>
      <c r="B80" s="646" t="str">
        <f>+IF(NOVIEMBRE!B80=0,"",NOVIEMBRE!B80)</f>
        <v>Vigencia Anterior</v>
      </c>
      <c r="C80" s="671">
        <f>+ENERO!C80</f>
        <v>0</v>
      </c>
      <c r="D80" s="373">
        <f>NOVIEMBRE!D80+DICIEMBRE!P80</f>
        <v>0</v>
      </c>
      <c r="E80" s="373">
        <f>NOVIEMBRE!E80+DICIEMBRE!Q80</f>
        <v>8753131</v>
      </c>
      <c r="F80" s="373">
        <f t="shared" si="86"/>
        <v>8753131</v>
      </c>
      <c r="G80" s="373">
        <f>NOVIEMBRE!I80</f>
        <v>7800026</v>
      </c>
      <c r="H80" s="374">
        <v>953105</v>
      </c>
      <c r="I80" s="373">
        <f t="shared" si="87"/>
        <v>8753131</v>
      </c>
      <c r="J80" s="373">
        <f>NOVIEMBRE!L80</f>
        <v>7800026</v>
      </c>
      <c r="K80" s="374">
        <v>953105</v>
      </c>
      <c r="L80" s="373">
        <f t="shared" si="88"/>
        <v>8753131</v>
      </c>
      <c r="M80" s="373">
        <f t="shared" si="89"/>
        <v>0</v>
      </c>
      <c r="N80" s="2912">
        <f t="shared" si="90"/>
        <v>0</v>
      </c>
      <c r="O80" s="382"/>
      <c r="P80" s="372">
        <v>0</v>
      </c>
      <c r="Q80" s="375">
        <v>5048935</v>
      </c>
      <c r="S80" s="706" t="str">
        <f>+IF(NOVIEMBRE!S80=0,"",NOVIEMBRE!S80)</f>
        <v>1020104-14</v>
      </c>
      <c r="T80" s="682" t="str">
        <f>+IF(NOVIEMBRE!T80=0,"",NOVIEMBRE!T80)</f>
        <v/>
      </c>
      <c r="U80" s="27">
        <f>+ENERO!U80</f>
        <v>48881820</v>
      </c>
      <c r="V80" s="15">
        <f>NOVIEMBRE!V80+DICIEMBRE!AL80</f>
        <v>30000000</v>
      </c>
      <c r="W80" s="15">
        <f>NOVIEMBRE!W80+DICIEMBRE!AM80</f>
        <v>3087495</v>
      </c>
      <c r="X80" s="18">
        <f t="shared" si="77"/>
        <v>81969315</v>
      </c>
      <c r="Y80" s="19">
        <f>NOVIEMBRE!AA80</f>
        <v>74080868</v>
      </c>
      <c r="Z80" s="374">
        <v>5896184</v>
      </c>
      <c r="AA80" s="18">
        <f t="shared" si="78"/>
        <v>79977052</v>
      </c>
      <c r="AB80" s="19">
        <f>NOVIEMBRE!AD80</f>
        <v>74080868</v>
      </c>
      <c r="AC80" s="374">
        <v>5896184</v>
      </c>
      <c r="AD80" s="18">
        <f t="shared" si="79"/>
        <v>79977052</v>
      </c>
      <c r="AE80" s="19">
        <f>NOVIEMBRE!AG80</f>
        <v>74080868</v>
      </c>
      <c r="AF80" s="374">
        <v>5896184</v>
      </c>
      <c r="AG80" s="18">
        <f t="shared" si="80"/>
        <v>79977052</v>
      </c>
      <c r="AH80" s="19">
        <f t="shared" si="81"/>
        <v>1992263</v>
      </c>
      <c r="AI80" s="15">
        <f t="shared" si="82"/>
        <v>1992263</v>
      </c>
      <c r="AJ80" s="16">
        <f t="shared" si="83"/>
        <v>1992263</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461"/>
      <c r="BR80" s="382"/>
    </row>
    <row r="81" spans="1:70" s="382" customFormat="1" ht="24.95" customHeight="1">
      <c r="A81" s="733">
        <f>+IF(NOVIEMBRE!A81=0,"",NOVIEMBRE!A81)</f>
        <v>1130119</v>
      </c>
      <c r="B81" s="649"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705">
        <f>+IF(NOVIEMBRE!S81=0,"",NOVIEMBRE!S81)</f>
        <v>1020199</v>
      </c>
      <c r="T81" s="681" t="str">
        <f>+IF(NOVIEMBRE!T81=0,"",NOVIEMBRE!T81)</f>
        <v>Vigencias Anteriores</v>
      </c>
      <c r="U81" s="27">
        <f>+ENERO!U81</f>
        <v>0</v>
      </c>
      <c r="V81" s="15">
        <f>NOVIEMBRE!V81+DICIEMBRE!AL81</f>
        <v>0</v>
      </c>
      <c r="W81" s="15">
        <f>NOVIEMBRE!W81+DICIEMBRE!AM81</f>
        <v>0</v>
      </c>
      <c r="X81" s="18">
        <f t="shared" si="77"/>
        <v>0</v>
      </c>
      <c r="Y81" s="19">
        <f>NOVIEMBRE!AA81</f>
        <v>0</v>
      </c>
      <c r="Z81" s="374">
        <v>0</v>
      </c>
      <c r="AA81" s="18">
        <f t="shared" si="78"/>
        <v>0</v>
      </c>
      <c r="AB81" s="19">
        <f>NOVIEMBRE!AD81</f>
        <v>0</v>
      </c>
      <c r="AC81" s="374">
        <v>0</v>
      </c>
      <c r="AD81" s="18">
        <f t="shared" si="79"/>
        <v>0</v>
      </c>
      <c r="AE81" s="19">
        <f>NOVIEMBRE!AG81</f>
        <v>0</v>
      </c>
      <c r="AF81" s="374">
        <v>0</v>
      </c>
      <c r="AG81" s="18">
        <f t="shared" si="80"/>
        <v>0</v>
      </c>
      <c r="AH81" s="19">
        <f t="shared" si="81"/>
        <v>0</v>
      </c>
      <c r="AI81" s="15">
        <f t="shared" si="82"/>
        <v>0</v>
      </c>
      <c r="AJ81" s="16">
        <f t="shared" si="83"/>
        <v>0</v>
      </c>
      <c r="AK81" s="9"/>
      <c r="AL81" s="372">
        <v>0</v>
      </c>
      <c r="AM81" s="375">
        <v>0</v>
      </c>
      <c r="AN81" s="9"/>
      <c r="AO81" s="294"/>
      <c r="AP81" s="294"/>
      <c r="AQ81" s="294"/>
      <c r="AR81" s="294"/>
      <c r="AS81" s="294"/>
      <c r="AT81" s="294"/>
      <c r="AU81" s="294"/>
      <c r="AV81" s="294"/>
      <c r="AW81" s="294"/>
      <c r="AX81" s="294"/>
      <c r="AY81" s="294"/>
      <c r="AZ81" s="294"/>
      <c r="BA81" s="9"/>
      <c r="BC81" s="9"/>
      <c r="BD81" s="9"/>
      <c r="BE81" s="9"/>
      <c r="BQ81" s="461"/>
    </row>
    <row r="82" spans="1:70" s="382" customFormat="1" ht="24.95" customHeight="1">
      <c r="A82" s="611" t="str">
        <f>+IF(NOVIEMBRE!A82=0,"",NOVIEMBRE!A82)</f>
        <v>1130119-1</v>
      </c>
      <c r="B82" s="646" t="str">
        <f>+CONCATENATE("Vigencia ",INSTRUCCIONES!$F$3)</f>
        <v>Vigencia 2017</v>
      </c>
      <c r="C82" s="671">
        <f>+ENERO!C82</f>
        <v>0</v>
      </c>
      <c r="D82" s="373">
        <f>NOVIEMBRE!D82+DICIEMBRE!P82</f>
        <v>0</v>
      </c>
      <c r="E82" s="373">
        <f>NOVIEMBRE!E82+DICIEMBRE!Q82</f>
        <v>0</v>
      </c>
      <c r="F82" s="373">
        <f t="shared" si="86"/>
        <v>0</v>
      </c>
      <c r="G82" s="373">
        <f>NOVIEMBRE!I82</f>
        <v>0</v>
      </c>
      <c r="H82" s="374">
        <v>0</v>
      </c>
      <c r="I82" s="373">
        <f t="shared" si="87"/>
        <v>0</v>
      </c>
      <c r="J82" s="373">
        <f>NOVIEMBRE!L82</f>
        <v>0</v>
      </c>
      <c r="K82" s="374">
        <v>0</v>
      </c>
      <c r="L82" s="373">
        <f t="shared" si="88"/>
        <v>0</v>
      </c>
      <c r="M82" s="373">
        <f t="shared" si="89"/>
        <v>0</v>
      </c>
      <c r="N82" s="143">
        <f t="shared" si="90"/>
        <v>0</v>
      </c>
      <c r="P82" s="372">
        <v>0</v>
      </c>
      <c r="Q82" s="375">
        <v>0</v>
      </c>
      <c r="R82" s="9"/>
      <c r="S82" s="366" t="str">
        <f>+IF(NOVIEMBRE!S82=0,"",NOVIEMBRE!S82)</f>
        <v/>
      </c>
      <c r="T82" s="695"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30"/>
      <c r="BR82" s="9"/>
    </row>
    <row r="83" spans="1:70" s="382" customFormat="1" ht="24.95" customHeight="1" thickBot="1">
      <c r="A83" s="611" t="str">
        <f>+IF(NOVIEMBRE!A83=0,"",NOVIEMBRE!A83)</f>
        <v>1130119-2</v>
      </c>
      <c r="B83" s="650" t="str">
        <f>+IF(NOVIEMBRE!B83=0,"",NOVIEMBRE!B83)</f>
        <v>Vigencia Anterior</v>
      </c>
      <c r="C83" s="769">
        <f>+ENERO!C83</f>
        <v>0</v>
      </c>
      <c r="D83" s="385">
        <f>NOVIEMBRE!D83+DICIEMBRE!P83</f>
        <v>0</v>
      </c>
      <c r="E83" s="385">
        <f>NOVIEMBRE!E83+DICIEMBRE!Q83</f>
        <v>0</v>
      </c>
      <c r="F83" s="385">
        <f t="shared" si="86"/>
        <v>0</v>
      </c>
      <c r="G83" s="385">
        <f>NOVIEMBRE!I83</f>
        <v>0</v>
      </c>
      <c r="H83" s="388">
        <v>0</v>
      </c>
      <c r="I83" s="385">
        <f t="shared" si="87"/>
        <v>0</v>
      </c>
      <c r="J83" s="385">
        <f>NOVIEMBRE!L83</f>
        <v>0</v>
      </c>
      <c r="K83" s="388">
        <v>0</v>
      </c>
      <c r="L83" s="385">
        <f t="shared" si="88"/>
        <v>0</v>
      </c>
      <c r="M83" s="385">
        <f t="shared" si="89"/>
        <v>0</v>
      </c>
      <c r="N83" s="386">
        <f t="shared" si="90"/>
        <v>0</v>
      </c>
      <c r="P83" s="372">
        <v>0</v>
      </c>
      <c r="Q83" s="375">
        <v>0</v>
      </c>
      <c r="R83" s="9"/>
      <c r="S83" s="704">
        <f>+IF(NOVIEMBRE!S83=0,"",NOVIEMBRE!S83)</f>
        <v>1020200</v>
      </c>
      <c r="T83" s="680" t="str">
        <f>+IF(NOVIEMBRE!T83=0,"",NOVIEMBRE!T83)</f>
        <v>Servicios Personales Indirectos</v>
      </c>
      <c r="U83" s="132">
        <f t="shared" ref="U83:AJ83" si="92">SUM(U84:U88)</f>
        <v>22232471701</v>
      </c>
      <c r="V83" s="122">
        <f t="shared" si="92"/>
        <v>2102079633</v>
      </c>
      <c r="W83" s="122">
        <f t="shared" si="92"/>
        <v>7398359236</v>
      </c>
      <c r="X83" s="129">
        <f t="shared" si="92"/>
        <v>31732910570</v>
      </c>
      <c r="Y83" s="128">
        <f t="shared" si="92"/>
        <v>30396756550</v>
      </c>
      <c r="Z83" s="122">
        <f t="shared" si="92"/>
        <v>-707616372</v>
      </c>
      <c r="AA83" s="129">
        <f t="shared" si="92"/>
        <v>29689140178</v>
      </c>
      <c r="AB83" s="128">
        <f t="shared" si="92"/>
        <v>25657289392</v>
      </c>
      <c r="AC83" s="122">
        <f t="shared" si="92"/>
        <v>4031850786</v>
      </c>
      <c r="AD83" s="129">
        <f t="shared" si="92"/>
        <v>29689140178</v>
      </c>
      <c r="AE83" s="128">
        <f t="shared" si="92"/>
        <v>16888665447</v>
      </c>
      <c r="AF83" s="122">
        <f t="shared" si="92"/>
        <v>3930695816</v>
      </c>
      <c r="AG83" s="129">
        <f t="shared" si="92"/>
        <v>20819361263</v>
      </c>
      <c r="AH83" s="128">
        <f t="shared" si="92"/>
        <v>2043770392</v>
      </c>
      <c r="AI83" s="122">
        <f t="shared" si="92"/>
        <v>2043770392</v>
      </c>
      <c r="AJ83" s="130">
        <f t="shared" si="92"/>
        <v>10913549307</v>
      </c>
      <c r="AK83" s="9"/>
      <c r="AL83" s="128">
        <f>SUM(AL84:AL88)</f>
        <v>814469997</v>
      </c>
      <c r="AM83" s="130">
        <f>SUM(AM84:AM88)</f>
        <v>64754073</v>
      </c>
      <c r="AN83" s="9"/>
      <c r="AO83" s="294"/>
      <c r="AP83" s="294"/>
      <c r="AQ83" s="294"/>
      <c r="AR83" s="294"/>
      <c r="AS83" s="294"/>
      <c r="AT83" s="294"/>
      <c r="AU83" s="294"/>
      <c r="AV83" s="294"/>
      <c r="AW83" s="294"/>
      <c r="AX83" s="294"/>
      <c r="AY83" s="294"/>
      <c r="AZ83" s="294"/>
      <c r="BM83" s="9"/>
      <c r="BQ83" s="461"/>
    </row>
    <row r="84" spans="1:70" s="382" customFormat="1" ht="24.95" customHeight="1" thickBot="1">
      <c r="A84" s="736" t="str">
        <f>+IF(NOVIEMBRE!A84=0,"",NOVIEMBRE!A84)</f>
        <v/>
      </c>
      <c r="B84" s="651" t="str">
        <f>+IF(NOVIEMBRE!B84=0,"",NOVIEMBRE!B84)</f>
        <v/>
      </c>
      <c r="C84" s="294"/>
      <c r="D84" s="294"/>
      <c r="E84" s="294"/>
      <c r="F84" s="294"/>
      <c r="G84" s="294"/>
      <c r="H84" s="294"/>
      <c r="I84" s="294"/>
      <c r="J84" s="294"/>
      <c r="K84" s="294"/>
      <c r="L84" s="294"/>
      <c r="M84" s="294"/>
      <c r="N84" s="463"/>
      <c r="O84" s="461"/>
      <c r="P84" s="467"/>
      <c r="Q84" s="391"/>
      <c r="R84" s="9"/>
      <c r="S84" s="705" t="str">
        <f>+IF(NOVIEMBRE!S84=0,"",NOVIEMBRE!S84)</f>
        <v>1020200-1</v>
      </c>
      <c r="T84" s="681" t="str">
        <f>+IF(NOVIEMBRE!T84=0,"",NOVIEMBRE!T84)</f>
        <v>Remuneración y Honorarios por Servicios Técnicos y Profesionales</v>
      </c>
      <c r="U84" s="27">
        <f>+ENERO!U84</f>
        <v>1000000000</v>
      </c>
      <c r="V84" s="15">
        <f>NOVIEMBRE!V84+DICIEMBRE!AL84</f>
        <v>2918458000</v>
      </c>
      <c r="W84" s="15">
        <f>NOVIEMBRE!W84+DICIEMBRE!AM84</f>
        <v>1300000000</v>
      </c>
      <c r="X84" s="18">
        <f>SUM(U84:W84)</f>
        <v>5218458000</v>
      </c>
      <c r="Y84" s="19">
        <f>NOVIEMBRE!AA84</f>
        <v>5183446127</v>
      </c>
      <c r="Z84" s="374">
        <v>-447062968</v>
      </c>
      <c r="AA84" s="18">
        <f>SUM(Y84:Z84)</f>
        <v>4736383159</v>
      </c>
      <c r="AB84" s="19">
        <f>NOVIEMBRE!AD84</f>
        <v>4050048479</v>
      </c>
      <c r="AC84" s="374">
        <v>686334680</v>
      </c>
      <c r="AD84" s="18">
        <f>SUM(AB84:AC84)</f>
        <v>4736383159</v>
      </c>
      <c r="AE84" s="19">
        <f>NOVIEMBRE!AG84</f>
        <v>3256444766</v>
      </c>
      <c r="AF84" s="374">
        <v>627791529</v>
      </c>
      <c r="AG84" s="18">
        <f>SUM(AE84:AF84)</f>
        <v>3884236295</v>
      </c>
      <c r="AH84" s="19">
        <f>X84-AA84</f>
        <v>482074841</v>
      </c>
      <c r="AI84" s="15">
        <f>X84-AD84</f>
        <v>482074841</v>
      </c>
      <c r="AJ84" s="16">
        <f>X84-AG84</f>
        <v>1334221705</v>
      </c>
      <c r="AK84" s="9"/>
      <c r="AL84" s="372">
        <v>0</v>
      </c>
      <c r="AM84" s="375">
        <v>0</v>
      </c>
      <c r="AN84" s="9"/>
      <c r="AO84" s="294"/>
      <c r="AP84" s="294"/>
      <c r="AQ84" s="294"/>
      <c r="AR84" s="294"/>
      <c r="AS84" s="294"/>
      <c r="AT84" s="294"/>
      <c r="AU84" s="294"/>
      <c r="AV84" s="294"/>
      <c r="AW84" s="294"/>
      <c r="AX84" s="294"/>
      <c r="AY84" s="294"/>
      <c r="AZ84" s="294"/>
      <c r="BQ84" s="461"/>
    </row>
    <row r="85" spans="1:70" s="382" customFormat="1" ht="24.95" customHeight="1">
      <c r="A85" s="737">
        <f>+IF(NOVIEMBRE!A85=0,"",NOVIEMBRE!A85)</f>
        <v>11302</v>
      </c>
      <c r="B85" s="652" t="str">
        <f>+IF(NOVIEMBRE!B85=0,"",NOVIEMBRE!B85)</f>
        <v>Otras Ventas de Servicios de Salud</v>
      </c>
      <c r="C85" s="617">
        <f t="shared" ref="C85:N85" si="93">SUM(C86:C92)</f>
        <v>0</v>
      </c>
      <c r="D85" s="615">
        <f t="shared" si="93"/>
        <v>0</v>
      </c>
      <c r="E85" s="615">
        <f t="shared" si="93"/>
        <v>0</v>
      </c>
      <c r="F85" s="615">
        <f t="shared" si="93"/>
        <v>0</v>
      </c>
      <c r="G85" s="615">
        <f t="shared" si="93"/>
        <v>0</v>
      </c>
      <c r="H85" s="615">
        <f t="shared" si="93"/>
        <v>0</v>
      </c>
      <c r="I85" s="615">
        <f t="shared" si="93"/>
        <v>0</v>
      </c>
      <c r="J85" s="615">
        <f t="shared" si="93"/>
        <v>0</v>
      </c>
      <c r="K85" s="615">
        <f t="shared" si="93"/>
        <v>0</v>
      </c>
      <c r="L85" s="615">
        <f t="shared" si="93"/>
        <v>0</v>
      </c>
      <c r="M85" s="615">
        <f t="shared" si="93"/>
        <v>0</v>
      </c>
      <c r="N85" s="616">
        <f t="shared" si="93"/>
        <v>0</v>
      </c>
      <c r="P85" s="43">
        <f>SUM(P86:P92)</f>
        <v>0</v>
      </c>
      <c r="Q85" s="45">
        <f>SUM(Q86:Q92)</f>
        <v>0</v>
      </c>
      <c r="R85" s="9"/>
      <c r="S85" s="705" t="str">
        <f>+IF(NOVIEMBRE!S85=0,"",NOVIEMBRE!S85)</f>
        <v>1020200-2</v>
      </c>
      <c r="T85" s="681" t="str">
        <f>+IF(NOVIEMBRE!T85=0,"",NOVIEMBRE!T85)</f>
        <v>Personal Supernumerario</v>
      </c>
      <c r="U85" s="27">
        <f>+ENERO!U85</f>
        <v>0</v>
      </c>
      <c r="V85" s="15">
        <f>NOVIEMBRE!V85+DICIEMBRE!AL85</f>
        <v>0</v>
      </c>
      <c r="W85" s="15">
        <f>NOVIEMBRE!W85+DICIEMBRE!AM85</f>
        <v>0</v>
      </c>
      <c r="X85" s="18">
        <f>SUM(U85:W85)</f>
        <v>0</v>
      </c>
      <c r="Y85" s="19">
        <f>NOVIEMBRE!AA85</f>
        <v>0</v>
      </c>
      <c r="Z85" s="374">
        <v>0</v>
      </c>
      <c r="AA85" s="18">
        <f>SUM(Y85:Z85)</f>
        <v>0</v>
      </c>
      <c r="AB85" s="19">
        <f>NOVIEMBRE!AD85</f>
        <v>0</v>
      </c>
      <c r="AC85" s="374">
        <v>0</v>
      </c>
      <c r="AD85" s="18">
        <f>SUM(AB85:AC85)</f>
        <v>0</v>
      </c>
      <c r="AE85" s="19">
        <f>NOVIEMBRE!AG85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c r="BQ85" s="461"/>
    </row>
    <row r="86" spans="1:70" s="9" customFormat="1" ht="24.95" customHeight="1">
      <c r="A86" s="738">
        <f>+IF(NOVIEMBRE!A86=0,"",NOVIEMBRE!A86)</f>
        <v>1130201</v>
      </c>
      <c r="B86" s="626" t="str">
        <f>+IF(NOVIEMBRE!B86=0,"",NOVIEMBRE!B86)</f>
        <v/>
      </c>
      <c r="C86" s="669">
        <f>+ENERO!C86</f>
        <v>0</v>
      </c>
      <c r="D86" s="373">
        <f>NOVIEMBRE!D86+DICIEMBRE!P86</f>
        <v>0</v>
      </c>
      <c r="E86" s="373">
        <f>NOVIEMBRE!E86+DICIEMBRE!Q86</f>
        <v>0</v>
      </c>
      <c r="F86" s="373">
        <f t="shared" ref="F86:F92" si="94">SUM(C86:E86)</f>
        <v>0</v>
      </c>
      <c r="G86" s="373">
        <f>NOVIEMBRE!I86</f>
        <v>0</v>
      </c>
      <c r="H86" s="374">
        <v>0</v>
      </c>
      <c r="I86" s="373">
        <f t="shared" ref="I86:I92" si="95">SUM(G86:H86)</f>
        <v>0</v>
      </c>
      <c r="J86" s="373">
        <f>NOVIEMBRE!L86</f>
        <v>0</v>
      </c>
      <c r="K86" s="374">
        <v>0</v>
      </c>
      <c r="L86" s="373">
        <f t="shared" ref="L86:L92" si="96">SUM(J86:K86)</f>
        <v>0</v>
      </c>
      <c r="M86" s="373">
        <f t="shared" ref="M86:M92" si="97">F86-I86</f>
        <v>0</v>
      </c>
      <c r="N86" s="143">
        <f t="shared" ref="N86:N92" si="98">F86-L86</f>
        <v>0</v>
      </c>
      <c r="O86" s="382"/>
      <c r="P86" s="372">
        <v>0</v>
      </c>
      <c r="Q86" s="375">
        <v>0</v>
      </c>
      <c r="S86" s="705" t="str">
        <f>+IF(NOVIEMBRE!S86=0,"",NOVIEMBRE!S86)</f>
        <v>1020200-4</v>
      </c>
      <c r="T86" s="681" t="str">
        <f>+IF(NOVIEMBRE!T86=0,"",NOVIEMBRE!T86)</f>
        <v>Otros Honorarios</v>
      </c>
      <c r="U86" s="27">
        <f>+ENERO!U86</f>
        <v>19000000000</v>
      </c>
      <c r="V86" s="15">
        <f>NOVIEMBRE!V86+DICIEMBRE!AL86</f>
        <v>-3728667921</v>
      </c>
      <c r="W86" s="15">
        <f>NOVIEMBRE!W86+DICIEMBRE!AM86</f>
        <v>2850000000</v>
      </c>
      <c r="X86" s="18">
        <f>SUM(U86:W86)</f>
        <v>18121332079</v>
      </c>
      <c r="Y86" s="19">
        <f>NOVIEMBRE!AA86</f>
        <v>18403573722</v>
      </c>
      <c r="Z86" s="374">
        <v>-1832509076</v>
      </c>
      <c r="AA86" s="18">
        <f>SUM(Y86:Z86)</f>
        <v>16571064646</v>
      </c>
      <c r="AB86" s="19">
        <f>NOVIEMBRE!AD86</f>
        <v>14797504212</v>
      </c>
      <c r="AC86" s="374">
        <v>1773560434</v>
      </c>
      <c r="AD86" s="18">
        <f>SUM(AB86:AC86)</f>
        <v>16571064646</v>
      </c>
      <c r="AE86" s="19">
        <f>NOVIEMBRE!AG86</f>
        <v>6822483980</v>
      </c>
      <c r="AF86" s="374">
        <v>1730948615</v>
      </c>
      <c r="AG86" s="18">
        <f>SUM(AE86:AF86)</f>
        <v>8553432595</v>
      </c>
      <c r="AH86" s="19">
        <f>X86-AA86</f>
        <v>1550267433</v>
      </c>
      <c r="AI86" s="15">
        <f>X86-AD86</f>
        <v>1550267433</v>
      </c>
      <c r="AJ86" s="16">
        <f>X86-AG86</f>
        <v>9567899484</v>
      </c>
      <c r="AL86" s="372">
        <v>-283221243</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461"/>
      <c r="BR86" s="382"/>
    </row>
    <row r="87" spans="1:70" s="382" customFormat="1" ht="24.95" customHeight="1">
      <c r="A87" s="738">
        <f>+IF(NOVIEMBRE!A87=0,"",NOVIEMBRE!A87)</f>
        <v>1130202</v>
      </c>
      <c r="B87" s="626" t="str">
        <f>+IF(NOVIEMBRE!B87=0,"",NOVIEMBRE!B87)</f>
        <v/>
      </c>
      <c r="C87" s="669">
        <f>+ENERO!C87</f>
        <v>0</v>
      </c>
      <c r="D87" s="373">
        <f>NOVIEMBRE!D87+DICIEMBRE!P87</f>
        <v>0</v>
      </c>
      <c r="E87" s="373">
        <f>NOVIEMBRE!E87+DICIEMBRE!Q87</f>
        <v>0</v>
      </c>
      <c r="F87" s="373">
        <f t="shared" si="94"/>
        <v>0</v>
      </c>
      <c r="G87" s="373">
        <f>NOVIEMBRE!I87</f>
        <v>0</v>
      </c>
      <c r="H87" s="374">
        <v>0</v>
      </c>
      <c r="I87" s="373">
        <f t="shared" si="95"/>
        <v>0</v>
      </c>
      <c r="J87" s="373">
        <f>NOVIEMBRE!L87</f>
        <v>0</v>
      </c>
      <c r="K87" s="374">
        <v>0</v>
      </c>
      <c r="L87" s="373">
        <f t="shared" si="96"/>
        <v>0</v>
      </c>
      <c r="M87" s="373">
        <f t="shared" si="97"/>
        <v>0</v>
      </c>
      <c r="N87" s="143">
        <f t="shared" si="98"/>
        <v>0</v>
      </c>
      <c r="P87" s="372">
        <v>0</v>
      </c>
      <c r="Q87" s="375">
        <v>0</v>
      </c>
      <c r="R87" s="9"/>
      <c r="S87" s="705" t="str">
        <f>+IF(NOVIEMBRE!S87=0,"",NOVIEMBRE!S87)</f>
        <v/>
      </c>
      <c r="T87" s="681" t="str">
        <f>+IF(NOVIEMBRE!T87=0,"",NOVIEMBRE!T87)</f>
        <v/>
      </c>
      <c r="U87" s="27">
        <f>+ENERO!U87</f>
        <v>0</v>
      </c>
      <c r="V87" s="15">
        <f>NOVIEMBRE!V87+DICIEMBRE!AL87</f>
        <v>0</v>
      </c>
      <c r="W87" s="15">
        <f>NOVIEMBRE!W87+DICIEMBRE!AM87</f>
        <v>0</v>
      </c>
      <c r="X87" s="18">
        <f>SUM(U87:W87)</f>
        <v>0</v>
      </c>
      <c r="Y87" s="19">
        <f>NOVIEMBRE!AA87</f>
        <v>0</v>
      </c>
      <c r="Z87" s="374">
        <v>0</v>
      </c>
      <c r="AA87" s="18">
        <f>SUM(Y87:Z87)</f>
        <v>0</v>
      </c>
      <c r="AB87" s="19">
        <f>NOVIEMBRE!AD87</f>
        <v>0</v>
      </c>
      <c r="AC87" s="374">
        <v>0</v>
      </c>
      <c r="AD87" s="18">
        <f>SUM(AB87:AC87)</f>
        <v>0</v>
      </c>
      <c r="AE87" s="19">
        <f>NOVIEMBRE!AG87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c r="BQ87" s="461"/>
    </row>
    <row r="88" spans="1:70" s="382" customFormat="1" ht="24.95" customHeight="1">
      <c r="A88" s="738">
        <f>+IF(NOVIEMBRE!A88=0,"",NOVIEMBRE!A88)</f>
        <v>1130203</v>
      </c>
      <c r="B88" s="627" t="str">
        <f>+IF(NOVIEMBRE!B88=0,"",NOVIEMBRE!B88)</f>
        <v>CONVENIOS CON LA NACION LIGADOS A LA VENTA DE SERVICIOS</v>
      </c>
      <c r="C88" s="669">
        <f>+ENERO!C88</f>
        <v>0</v>
      </c>
      <c r="D88" s="373">
        <f>NOVIEMBRE!D88+DICIEMBRE!P88</f>
        <v>0</v>
      </c>
      <c r="E88" s="373">
        <f>NOVIEMBRE!E88+DICIEMBRE!Q88</f>
        <v>0</v>
      </c>
      <c r="F88" s="373">
        <f t="shared" si="94"/>
        <v>0</v>
      </c>
      <c r="G88" s="373">
        <f>NOVIEMBRE!I88</f>
        <v>0</v>
      </c>
      <c r="H88" s="374">
        <v>0</v>
      </c>
      <c r="I88" s="373">
        <f t="shared" si="95"/>
        <v>0</v>
      </c>
      <c r="J88" s="373">
        <f>NOVIEMBRE!L88</f>
        <v>0</v>
      </c>
      <c r="K88" s="374">
        <v>0</v>
      </c>
      <c r="L88" s="373">
        <f t="shared" si="96"/>
        <v>0</v>
      </c>
      <c r="M88" s="373">
        <f t="shared" si="97"/>
        <v>0</v>
      </c>
      <c r="N88" s="143">
        <f t="shared" si="98"/>
        <v>0</v>
      </c>
      <c r="P88" s="372">
        <v>0</v>
      </c>
      <c r="Q88" s="375">
        <v>0</v>
      </c>
      <c r="R88" s="9"/>
      <c r="S88" s="705">
        <f>+IF(NOVIEMBRE!S88=0,"",NOVIEMBRE!S88)</f>
        <v>1020299</v>
      </c>
      <c r="T88" s="681" t="str">
        <f>+IF(NOVIEMBRE!T88=0,"",NOVIEMBRE!T88)</f>
        <v>Vigencias Anteriores</v>
      </c>
      <c r="U88" s="27">
        <f>+ENERO!U88</f>
        <v>2232471701</v>
      </c>
      <c r="V88" s="15">
        <f>NOVIEMBRE!V88+DICIEMBRE!AL88</f>
        <v>2912289554</v>
      </c>
      <c r="W88" s="15">
        <f>NOVIEMBRE!W88+DICIEMBRE!AM88</f>
        <v>3248359236</v>
      </c>
      <c r="X88" s="18">
        <f>SUM(U88:W88)</f>
        <v>8393120491</v>
      </c>
      <c r="Y88" s="19">
        <f>NOVIEMBRE!AA88</f>
        <v>6809736701</v>
      </c>
      <c r="Z88" s="374">
        <v>1571955672</v>
      </c>
      <c r="AA88" s="18">
        <f>SUM(Y88:Z88)</f>
        <v>8381692373</v>
      </c>
      <c r="AB88" s="19">
        <f>NOVIEMBRE!AD88</f>
        <v>6809736701</v>
      </c>
      <c r="AC88" s="374">
        <v>1571955672</v>
      </c>
      <c r="AD88" s="18">
        <f>SUM(AB88:AC88)</f>
        <v>8381692373</v>
      </c>
      <c r="AE88" s="19">
        <f>NOVIEMBRE!AG88</f>
        <v>6809736701</v>
      </c>
      <c r="AF88" s="813">
        <v>1571955672</v>
      </c>
      <c r="AG88" s="18">
        <f>SUM(AE88:AF88)</f>
        <v>8381692373</v>
      </c>
      <c r="AH88" s="19">
        <f>X88-AA88</f>
        <v>11428118</v>
      </c>
      <c r="AI88" s="15">
        <f>X88-AD88</f>
        <v>11428118</v>
      </c>
      <c r="AJ88" s="16">
        <f>X88-AG88</f>
        <v>11428118</v>
      </c>
      <c r="AK88" s="9"/>
      <c r="AL88" s="372">
        <v>1097691240</v>
      </c>
      <c r="AM88" s="375">
        <v>64754073</v>
      </c>
      <c r="AN88" s="9"/>
      <c r="AO88" s="294"/>
      <c r="AP88" s="294"/>
      <c r="AQ88" s="294"/>
      <c r="AR88" s="294"/>
      <c r="AS88" s="294"/>
      <c r="AT88" s="294"/>
      <c r="AU88" s="294"/>
      <c r="AV88" s="294"/>
      <c r="AW88" s="294"/>
      <c r="AX88" s="294"/>
      <c r="AY88" s="294"/>
      <c r="AZ88" s="294"/>
      <c r="BN88" s="9"/>
      <c r="BO88" s="9"/>
      <c r="BP88" s="9"/>
      <c r="BQ88" s="30"/>
      <c r="BR88" s="9"/>
    </row>
    <row r="89" spans="1:70" s="382" customFormat="1" ht="24.95" customHeight="1">
      <c r="A89" s="738">
        <f>+IF(NOVIEMBRE!A89=0,"",NOVIEMBRE!A89)</f>
        <v>1130204</v>
      </c>
      <c r="B89" s="627" t="str">
        <f>+IF(NOVIEMBRE!B89=0,"",NOVIEMBRE!B89)</f>
        <v>CONVENIOS CON EL DEPARTAMENTO LIGADOS A LA VENTA SERVICIOS</v>
      </c>
      <c r="C89" s="669">
        <f>+ENERO!C89</f>
        <v>0</v>
      </c>
      <c r="D89" s="373">
        <f>NOVIEMBRE!D89+DICIEMBRE!P89</f>
        <v>0</v>
      </c>
      <c r="E89" s="373">
        <f>NOVIEMBRE!E89+DICIEMBRE!Q89</f>
        <v>0</v>
      </c>
      <c r="F89" s="373">
        <f t="shared" si="94"/>
        <v>0</v>
      </c>
      <c r="G89" s="373">
        <f>NOVIEMBRE!I89</f>
        <v>0</v>
      </c>
      <c r="H89" s="374">
        <v>0</v>
      </c>
      <c r="I89" s="373">
        <f t="shared" si="95"/>
        <v>0</v>
      </c>
      <c r="J89" s="373">
        <f>NOVIEMBRE!L89</f>
        <v>0</v>
      </c>
      <c r="K89" s="374">
        <v>0</v>
      </c>
      <c r="L89" s="373">
        <f t="shared" si="96"/>
        <v>0</v>
      </c>
      <c r="M89" s="373">
        <f t="shared" si="97"/>
        <v>0</v>
      </c>
      <c r="N89" s="143">
        <f t="shared" si="98"/>
        <v>0</v>
      </c>
      <c r="P89" s="372">
        <v>0</v>
      </c>
      <c r="Q89" s="375">
        <v>0</v>
      </c>
      <c r="R89" s="9"/>
      <c r="S89" s="366" t="str">
        <f>+IF(NOVIEMBRE!S89=0,"",NOVIEMBRE!S89)</f>
        <v/>
      </c>
      <c r="T89" s="695"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c r="BQ89" s="461"/>
    </row>
    <row r="90" spans="1:70" s="461" customFormat="1" ht="24.95" customHeight="1">
      <c r="A90" s="738">
        <f>+IF(NOVIEMBRE!A90=0,"",NOVIEMBRE!A90)</f>
        <v>1130205</v>
      </c>
      <c r="B90" s="627" t="str">
        <f>+IF(NOVIEMBRE!B90=0,"",NOVIEMBRE!B90)</f>
        <v>CONVENIOS CON EL MUNICIPIO LIGADOS A LA VENTA DE SERVICIOS</v>
      </c>
      <c r="C90" s="669">
        <f>+ENERO!C90</f>
        <v>0</v>
      </c>
      <c r="D90" s="373">
        <f>NOVIEMBRE!D90+DICIEMBRE!P90</f>
        <v>0</v>
      </c>
      <c r="E90" s="373">
        <f>NOVIEMBRE!E90+DICIEMBRE!Q90</f>
        <v>0</v>
      </c>
      <c r="F90" s="373">
        <f t="shared" si="94"/>
        <v>0</v>
      </c>
      <c r="G90" s="373">
        <f>NOVIEMBRE!I90</f>
        <v>0</v>
      </c>
      <c r="H90" s="374">
        <v>0</v>
      </c>
      <c r="I90" s="373">
        <f t="shared" si="95"/>
        <v>0</v>
      </c>
      <c r="J90" s="373">
        <f>NOVIEMBRE!L90</f>
        <v>0</v>
      </c>
      <c r="K90" s="374">
        <v>0</v>
      </c>
      <c r="L90" s="373">
        <f t="shared" si="96"/>
        <v>0</v>
      </c>
      <c r="M90" s="373">
        <f t="shared" si="97"/>
        <v>0</v>
      </c>
      <c r="N90" s="143">
        <f t="shared" si="98"/>
        <v>0</v>
      </c>
      <c r="O90" s="382"/>
      <c r="P90" s="372">
        <v>0</v>
      </c>
      <c r="Q90" s="375">
        <v>0</v>
      </c>
      <c r="R90" s="30"/>
      <c r="S90" s="704">
        <f>+IF(NOVIEMBRE!S90=0,"",NOVIEMBRE!S90)</f>
        <v>1020300</v>
      </c>
      <c r="T90" s="680" t="str">
        <f>+IF(NOVIEMBRE!T90=0,"",NOVIEMBRE!T90)</f>
        <v>Contribuciones Inherentes nómina al Sector Privado</v>
      </c>
      <c r="U90" s="132">
        <f t="shared" ref="U90:AJ90" si="99">U91+U96+U102</f>
        <v>259627762</v>
      </c>
      <c r="V90" s="122">
        <f t="shared" si="99"/>
        <v>-128239920</v>
      </c>
      <c r="W90" s="122">
        <f t="shared" si="99"/>
        <v>292097670</v>
      </c>
      <c r="X90" s="129">
        <f t="shared" si="99"/>
        <v>423485512</v>
      </c>
      <c r="Y90" s="128">
        <f t="shared" si="99"/>
        <v>227431231</v>
      </c>
      <c r="Z90" s="122">
        <f t="shared" si="99"/>
        <v>43582290</v>
      </c>
      <c r="AA90" s="129">
        <f t="shared" si="99"/>
        <v>271013521</v>
      </c>
      <c r="AB90" s="128">
        <f t="shared" si="99"/>
        <v>227431231</v>
      </c>
      <c r="AC90" s="122">
        <f t="shared" si="99"/>
        <v>43582290</v>
      </c>
      <c r="AD90" s="129">
        <f t="shared" si="99"/>
        <v>271013521</v>
      </c>
      <c r="AE90" s="128">
        <f t="shared" si="99"/>
        <v>227431231</v>
      </c>
      <c r="AF90" s="122">
        <f t="shared" si="99"/>
        <v>43582290</v>
      </c>
      <c r="AG90" s="129">
        <f t="shared" si="99"/>
        <v>271013521</v>
      </c>
      <c r="AH90" s="128">
        <f t="shared" si="99"/>
        <v>152471991</v>
      </c>
      <c r="AI90" s="122">
        <f t="shared" si="99"/>
        <v>152471991</v>
      </c>
      <c r="AJ90" s="130">
        <f t="shared" si="99"/>
        <v>152471991</v>
      </c>
      <c r="AK90" s="9"/>
      <c r="AL90" s="128">
        <f>AL91+AL96+AL102</f>
        <v>3300000</v>
      </c>
      <c r="AM90" s="130">
        <f>AM91+AM96+AM102</f>
        <v>0</v>
      </c>
      <c r="AN90" s="30"/>
      <c r="AO90" s="460"/>
      <c r="AP90" s="460"/>
      <c r="AQ90" s="460"/>
      <c r="AR90" s="460"/>
      <c r="AS90" s="460"/>
      <c r="AT90" s="460"/>
      <c r="AU90" s="460"/>
      <c r="AV90" s="460"/>
      <c r="AW90" s="460"/>
      <c r="AX90" s="460"/>
      <c r="AY90" s="460"/>
      <c r="AZ90" s="460"/>
      <c r="BM90" s="382"/>
      <c r="BN90" s="382"/>
      <c r="BO90" s="382"/>
      <c r="BP90" s="382"/>
      <c r="BR90" s="382"/>
    </row>
    <row r="91" spans="1:70" s="461" customFormat="1" ht="24.95" customHeight="1">
      <c r="A91" s="738">
        <f>+IF(NOVIEMBRE!A91=0,"",NOVIEMBRE!A91)</f>
        <v>1130206</v>
      </c>
      <c r="B91" s="627" t="str">
        <f>+IF(NOVIEMBRE!B91=0,"",NOVIEMBRE!B91)</f>
        <v>OTROS CONVENIOS LIGADOS A LA VENTA DE SERVICIOS</v>
      </c>
      <c r="C91" s="669">
        <f>+ENERO!C91</f>
        <v>0</v>
      </c>
      <c r="D91" s="373">
        <f>NOVIEMBRE!D91+DICIEMBRE!P91</f>
        <v>0</v>
      </c>
      <c r="E91" s="373">
        <f>NOVIEMBRE!E91+DICIEMBRE!Q91</f>
        <v>0</v>
      </c>
      <c r="F91" s="373">
        <f t="shared" si="94"/>
        <v>0</v>
      </c>
      <c r="G91" s="373">
        <f>NOVIEMBRE!I91</f>
        <v>0</v>
      </c>
      <c r="H91" s="374">
        <v>0</v>
      </c>
      <c r="I91" s="373">
        <f t="shared" si="95"/>
        <v>0</v>
      </c>
      <c r="J91" s="373">
        <f>NOVIEMBRE!L91</f>
        <v>0</v>
      </c>
      <c r="K91" s="374">
        <v>0</v>
      </c>
      <c r="L91" s="373">
        <f t="shared" si="96"/>
        <v>0</v>
      </c>
      <c r="M91" s="373">
        <f t="shared" si="97"/>
        <v>0</v>
      </c>
      <c r="N91" s="143">
        <f t="shared" si="98"/>
        <v>0</v>
      </c>
      <c r="O91" s="382"/>
      <c r="P91" s="372">
        <v>0</v>
      </c>
      <c r="Q91" s="375">
        <v>0</v>
      </c>
      <c r="R91" s="30"/>
      <c r="S91" s="705">
        <f>+IF(NOVIEMBRE!S91=0,"",NOVIEMBRE!S91)</f>
        <v>1020301</v>
      </c>
      <c r="T91" s="681" t="str">
        <f>+IF(NOVIEMBRE!T91=0,"",NOVIEMBRE!T91)</f>
        <v>Contribuciones - SGP - Aportes Patronales - Cuentas Maestras</v>
      </c>
      <c r="U91" s="27">
        <f t="shared" ref="U91:AJ91" si="100">SUM(U92:U95)</f>
        <v>0</v>
      </c>
      <c r="V91" s="15">
        <f t="shared" si="100"/>
        <v>12740713</v>
      </c>
      <c r="W91" s="15">
        <f t="shared" si="100"/>
        <v>193557750</v>
      </c>
      <c r="X91" s="18">
        <f t="shared" si="100"/>
        <v>206298463</v>
      </c>
      <c r="Y91" s="19">
        <f t="shared" si="100"/>
        <v>92777024</v>
      </c>
      <c r="Z91" s="142">
        <f t="shared" si="100"/>
        <v>36897421</v>
      </c>
      <c r="AA91" s="18">
        <f t="shared" si="100"/>
        <v>129674445</v>
      </c>
      <c r="AB91" s="19">
        <f t="shared" si="100"/>
        <v>92777024</v>
      </c>
      <c r="AC91" s="142">
        <f t="shared" si="100"/>
        <v>36897421</v>
      </c>
      <c r="AD91" s="18">
        <f t="shared" si="100"/>
        <v>129674445</v>
      </c>
      <c r="AE91" s="19">
        <f t="shared" si="100"/>
        <v>92777024</v>
      </c>
      <c r="AF91" s="142">
        <f t="shared" si="100"/>
        <v>36897421</v>
      </c>
      <c r="AG91" s="18">
        <f t="shared" si="100"/>
        <v>129674445</v>
      </c>
      <c r="AH91" s="19">
        <f t="shared" si="100"/>
        <v>76624018</v>
      </c>
      <c r="AI91" s="15">
        <f t="shared" si="100"/>
        <v>76624018</v>
      </c>
      <c r="AJ91" s="16">
        <f t="shared" si="100"/>
        <v>76624018</v>
      </c>
      <c r="AK91" s="9"/>
      <c r="AL91" s="29">
        <f>SUM(AL92:AL95)</f>
        <v>10540713</v>
      </c>
      <c r="AM91" s="26">
        <f>SUM(AM92:AM95)</f>
        <v>0</v>
      </c>
      <c r="AN91" s="30"/>
      <c r="AO91" s="460"/>
      <c r="AP91" s="460"/>
      <c r="AQ91" s="460"/>
      <c r="AR91" s="460"/>
      <c r="AS91" s="460"/>
      <c r="AT91" s="460"/>
      <c r="AU91" s="460"/>
      <c r="AV91" s="460"/>
      <c r="AW91" s="460"/>
      <c r="AX91" s="460"/>
      <c r="AY91" s="460"/>
      <c r="AZ91" s="460"/>
      <c r="BL91" s="30"/>
      <c r="BM91" s="382"/>
      <c r="BN91" s="382"/>
      <c r="BO91" s="382"/>
      <c r="BP91" s="382"/>
      <c r="BR91" s="382"/>
    </row>
    <row r="92" spans="1:70" s="461" customFormat="1" ht="24.95" customHeight="1" thickBot="1">
      <c r="A92" s="738">
        <f>+IF(NOVIEMBRE!A92=0,"",NOVIEMBRE!A92)</f>
        <v>1130207</v>
      </c>
      <c r="B92" s="628" t="str">
        <f>+IF(NOVIEMBRE!B92=0,"",NOVIEMBRE!B92)</f>
        <v>Vigencia Anterior</v>
      </c>
      <c r="C92" s="770">
        <f>+ENERO!C92</f>
        <v>0</v>
      </c>
      <c r="D92" s="385">
        <f>NOVIEMBRE!D92+DICIEMBRE!P92</f>
        <v>0</v>
      </c>
      <c r="E92" s="385">
        <f>NOVIEMBRE!E92+DICIEMBRE!Q92</f>
        <v>0</v>
      </c>
      <c r="F92" s="385">
        <f t="shared" si="94"/>
        <v>0</v>
      </c>
      <c r="G92" s="385">
        <f>NOVIEMBRE!I92</f>
        <v>0</v>
      </c>
      <c r="H92" s="388">
        <v>0</v>
      </c>
      <c r="I92" s="385">
        <f t="shared" si="95"/>
        <v>0</v>
      </c>
      <c r="J92" s="385">
        <f>NOVIEMBRE!L92</f>
        <v>0</v>
      </c>
      <c r="K92" s="388">
        <v>0</v>
      </c>
      <c r="L92" s="385">
        <f t="shared" si="96"/>
        <v>0</v>
      </c>
      <c r="M92" s="385">
        <f t="shared" si="97"/>
        <v>0</v>
      </c>
      <c r="N92" s="386">
        <f t="shared" si="98"/>
        <v>0</v>
      </c>
      <c r="O92" s="382"/>
      <c r="P92" s="372">
        <v>0</v>
      </c>
      <c r="Q92" s="375">
        <v>0</v>
      </c>
      <c r="R92" s="30"/>
      <c r="S92" s="706" t="str">
        <f>+IF(NOVIEMBRE!S92=0,"",NOVIEMBRE!S92)</f>
        <v>1020301-1</v>
      </c>
      <c r="T92" s="682" t="str">
        <f>+IF(NOVIEMBRE!T92=0,"",NOVIEMBRE!T92)</f>
        <v>E.P.S. - Aportes cuentas maestras</v>
      </c>
      <c r="U92" s="27">
        <f>+ENERO!U92</f>
        <v>0</v>
      </c>
      <c r="V92" s="15">
        <f>NOVIEMBRE!V92+DICIEMBRE!AL92</f>
        <v>8922345</v>
      </c>
      <c r="W92" s="15">
        <f>NOVIEMBRE!W92+DICIEMBRE!AM92</f>
        <v>40900445</v>
      </c>
      <c r="X92" s="18">
        <f>SUM(U92:W92)</f>
        <v>49822790</v>
      </c>
      <c r="Y92" s="19">
        <f>NOVIEMBRE!AA92</f>
        <v>35617443</v>
      </c>
      <c r="Z92" s="374">
        <v>14205347</v>
      </c>
      <c r="AA92" s="18">
        <f>SUM(Y92:Z92)</f>
        <v>49822790</v>
      </c>
      <c r="AB92" s="19">
        <f>NOVIEMBRE!AD92</f>
        <v>35617443</v>
      </c>
      <c r="AC92" s="374">
        <v>14205347</v>
      </c>
      <c r="AD92" s="18">
        <f>SUM(AB92:AC92)</f>
        <v>49822790</v>
      </c>
      <c r="AE92" s="19">
        <f>NOVIEMBRE!AG92</f>
        <v>35617443</v>
      </c>
      <c r="AF92" s="374">
        <v>14205347</v>
      </c>
      <c r="AG92" s="18">
        <f>SUM(AE92:AF92)</f>
        <v>49822790</v>
      </c>
      <c r="AH92" s="19">
        <f>X92-AA92</f>
        <v>0</v>
      </c>
      <c r="AI92" s="15">
        <f>X92-AD92</f>
        <v>0</v>
      </c>
      <c r="AJ92" s="16">
        <f>X92-AG92</f>
        <v>0</v>
      </c>
      <c r="AK92" s="9"/>
      <c r="AL92" s="372">
        <v>8922345</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6" t="str">
        <f>+IF(NOVIEMBRE!A93=0,"",NOVIEMBRE!A93)</f>
        <v/>
      </c>
      <c r="B93" s="651" t="str">
        <f>+IF(NOVIEMBRE!B93=0,"",NOVIEMBRE!B93)</f>
        <v/>
      </c>
      <c r="C93" s="294"/>
      <c r="D93" s="294"/>
      <c r="E93" s="294"/>
      <c r="F93" s="294"/>
      <c r="G93" s="294"/>
      <c r="H93" s="294"/>
      <c r="I93" s="294"/>
      <c r="J93" s="294"/>
      <c r="K93" s="294"/>
      <c r="L93" s="294"/>
      <c r="M93" s="294"/>
      <c r="N93" s="463"/>
      <c r="P93" s="467"/>
      <c r="Q93" s="391"/>
      <c r="R93" s="30"/>
      <c r="S93" s="706" t="str">
        <f>+IF(NOVIEMBRE!S93=0,"",NOVIEMBRE!S93)</f>
        <v>1020301-2</v>
      </c>
      <c r="T93" s="682" t="str">
        <f>+IF(NOVIEMBRE!T93=0,"",NOVIEMBRE!T93)</f>
        <v>Fondos pensionales - Aportes cuentas maestras</v>
      </c>
      <c r="U93" s="27">
        <f>+ENERO!U93</f>
        <v>0</v>
      </c>
      <c r="V93" s="15">
        <f>NOVIEMBRE!V93+DICIEMBRE!AL93</f>
        <v>0</v>
      </c>
      <c r="W93" s="15">
        <f>NOVIEMBRE!W93+DICIEMBRE!AM93</f>
        <v>114718500</v>
      </c>
      <c r="X93" s="18">
        <f>SUM(U93:W93)</f>
        <v>114718500</v>
      </c>
      <c r="Y93" s="19">
        <f>NOVIEMBRE!AA93</f>
        <v>47331853</v>
      </c>
      <c r="Z93" s="374">
        <v>18962629</v>
      </c>
      <c r="AA93" s="18">
        <f>SUM(Y93:Z93)</f>
        <v>66294482</v>
      </c>
      <c r="AB93" s="19">
        <f>NOVIEMBRE!AD93</f>
        <v>47331853</v>
      </c>
      <c r="AC93" s="374">
        <v>18962629</v>
      </c>
      <c r="AD93" s="18">
        <f>SUM(AB93:AC93)</f>
        <v>66294482</v>
      </c>
      <c r="AE93" s="19">
        <f>NOVIEMBRE!AG93</f>
        <v>47331853</v>
      </c>
      <c r="AF93" s="374">
        <v>18962629</v>
      </c>
      <c r="AG93" s="18">
        <f>SUM(AE93:AF93)</f>
        <v>66294482</v>
      </c>
      <c r="AH93" s="19">
        <f>X93-AA93</f>
        <v>48424018</v>
      </c>
      <c r="AI93" s="15">
        <f>X93-AD93</f>
        <v>48424018</v>
      </c>
      <c r="AJ93" s="16">
        <f>X93-AG93</f>
        <v>48424018</v>
      </c>
      <c r="AK93" s="9"/>
      <c r="AL93" s="372">
        <v>0</v>
      </c>
      <c r="AM93" s="375">
        <v>0</v>
      </c>
      <c r="AN93" s="30"/>
      <c r="AO93" s="460"/>
      <c r="AP93" s="460"/>
      <c r="AQ93" s="460"/>
      <c r="AR93" s="460"/>
      <c r="AS93" s="460"/>
      <c r="AT93" s="460"/>
      <c r="AU93" s="460"/>
      <c r="AV93" s="460"/>
      <c r="AW93" s="460"/>
      <c r="AX93" s="460"/>
      <c r="AY93" s="460"/>
      <c r="AZ93" s="460"/>
      <c r="BL93" s="30"/>
    </row>
    <row r="94" spans="1:70" s="461" customFormat="1" ht="24.95" customHeight="1">
      <c r="A94" s="739">
        <f>+IF(NOVIEMBRE!A94=0,"",NOVIEMBRE!A94)</f>
        <v>11303</v>
      </c>
      <c r="B94" s="618" t="str">
        <f>+IF(NOVIEMBRE!B94=0,"",NOVIEMBRE!B94)</f>
        <v>Aportes (No ligados a la venta de servicios de salud)</v>
      </c>
      <c r="C94" s="617">
        <f>SUM(C95:C102)</f>
        <v>0</v>
      </c>
      <c r="D94" s="615">
        <f t="shared" ref="D94:N94" si="101">SUM(D95:D102)</f>
        <v>0</v>
      </c>
      <c r="E94" s="615">
        <f t="shared" si="101"/>
        <v>298256831</v>
      </c>
      <c r="F94" s="615">
        <f t="shared" si="101"/>
        <v>298256831</v>
      </c>
      <c r="G94" s="615">
        <f t="shared" si="101"/>
        <v>298256831</v>
      </c>
      <c r="H94" s="615">
        <f t="shared" si="101"/>
        <v>0</v>
      </c>
      <c r="I94" s="615">
        <f t="shared" si="101"/>
        <v>298256831</v>
      </c>
      <c r="J94" s="615">
        <f t="shared" si="101"/>
        <v>298256831</v>
      </c>
      <c r="K94" s="615">
        <f t="shared" si="101"/>
        <v>0</v>
      </c>
      <c r="L94" s="615">
        <f t="shared" si="101"/>
        <v>298256831</v>
      </c>
      <c r="M94" s="615">
        <f t="shared" si="101"/>
        <v>0</v>
      </c>
      <c r="N94" s="616">
        <f t="shared" si="101"/>
        <v>0</v>
      </c>
      <c r="O94" s="382"/>
      <c r="P94" s="43">
        <f>SUM(P95:P102)</f>
        <v>0</v>
      </c>
      <c r="Q94" s="45">
        <f>SUM(Q95:Q102)</f>
        <v>0</v>
      </c>
      <c r="R94" s="30"/>
      <c r="S94" s="706" t="str">
        <f>+IF(NOVIEMBRE!S94=0,"",NOVIEMBRE!S94)</f>
        <v>1020301-3</v>
      </c>
      <c r="T94" s="682" t="str">
        <f>+IF(NOVIEMBRE!T94=0,"",NOVIEMBRE!T94)</f>
        <v>Fondos de cesantías - Aportes cuentas maestras</v>
      </c>
      <c r="U94" s="27">
        <f>+ENERO!U94</f>
        <v>0</v>
      </c>
      <c r="V94" s="15">
        <f>NOVIEMBRE!V94+DICIEMBRE!AL94</f>
        <v>0</v>
      </c>
      <c r="W94" s="15">
        <f>NOVIEMBRE!W94+DICIEMBRE!AM94</f>
        <v>28200000</v>
      </c>
      <c r="X94" s="18">
        <f>SUM(U94:W94)</f>
        <v>28200000</v>
      </c>
      <c r="Y94" s="19">
        <f>NOVIEMBRE!AA94</f>
        <v>0</v>
      </c>
      <c r="Z94" s="374">
        <v>0</v>
      </c>
      <c r="AA94" s="18">
        <f>SUM(Y94:Z94)</f>
        <v>0</v>
      </c>
      <c r="AB94" s="19">
        <f>NOVIEMBRE!AD94</f>
        <v>0</v>
      </c>
      <c r="AC94" s="374">
        <v>0</v>
      </c>
      <c r="AD94" s="18">
        <f>SUM(AB94:AC94)</f>
        <v>0</v>
      </c>
      <c r="AE94" s="19">
        <f>NOVIEMBRE!AG94</f>
        <v>0</v>
      </c>
      <c r="AF94" s="374">
        <v>0</v>
      </c>
      <c r="AG94" s="18">
        <f>SUM(AE94:AF94)</f>
        <v>0</v>
      </c>
      <c r="AH94" s="19">
        <f>X94-AA94</f>
        <v>28200000</v>
      </c>
      <c r="AI94" s="15">
        <f>X94-AD94</f>
        <v>28200000</v>
      </c>
      <c r="AJ94" s="16">
        <f>X94-AG94</f>
        <v>28200000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0" t="str">
        <f>+IF(NOVIEMBRE!A95=0,"",NOVIEMBRE!A95)</f>
        <v>11303-1</v>
      </c>
      <c r="B95" s="619" t="str">
        <f>+IF(NOVIEMBRE!B95=0,"",NOVIEMBRE!B95)</f>
        <v>CONVENIOS CON LA NACION NO LIGADOS A LA VENTA DE SERVICIOS</v>
      </c>
      <c r="C95" s="669">
        <f>+ENERO!C95</f>
        <v>0</v>
      </c>
      <c r="D95" s="373">
        <f>NOVIEMBRE!D95+DICIEMBRE!P95</f>
        <v>0</v>
      </c>
      <c r="E95" s="373">
        <f>NOVIEMBRE!E95+DICIEMBRE!Q95</f>
        <v>0</v>
      </c>
      <c r="F95" s="373">
        <f t="shared" ref="F95:F102" si="102">SUM(C95:E95)</f>
        <v>0</v>
      </c>
      <c r="G95" s="373">
        <f>NOVIEMBRE!I95</f>
        <v>0</v>
      </c>
      <c r="H95" s="374">
        <v>0</v>
      </c>
      <c r="I95" s="373">
        <f t="shared" ref="I95:I102" si="103">SUM(G95:H95)</f>
        <v>0</v>
      </c>
      <c r="J95" s="373">
        <f>NOVIEMBRE!L95</f>
        <v>0</v>
      </c>
      <c r="K95" s="374">
        <v>0</v>
      </c>
      <c r="L95" s="373">
        <f t="shared" ref="L95:L102" si="104">SUM(J95:K95)</f>
        <v>0</v>
      </c>
      <c r="M95" s="373">
        <f t="shared" ref="M95:M102" si="105">F95-I95</f>
        <v>0</v>
      </c>
      <c r="N95" s="143">
        <f t="shared" ref="N95:N102" si="106">F95-L95</f>
        <v>0</v>
      </c>
      <c r="O95" s="382"/>
      <c r="P95" s="372">
        <v>0</v>
      </c>
      <c r="Q95" s="375">
        <v>0</v>
      </c>
      <c r="R95" s="30"/>
      <c r="S95" s="706" t="str">
        <f>+IF(NOVIEMBRE!S95=0,"",NOVIEMBRE!S95)</f>
        <v>1020301-4</v>
      </c>
      <c r="T95" s="682" t="str">
        <f>+IF(NOVIEMBRE!T95=0,"",NOVIEMBRE!T95)</f>
        <v>Riesgos laborales - Aportes cuentas maestras</v>
      </c>
      <c r="U95" s="27">
        <f>+ENERO!U95</f>
        <v>0</v>
      </c>
      <c r="V95" s="15">
        <f>NOVIEMBRE!V95+DICIEMBRE!AL95</f>
        <v>3818368</v>
      </c>
      <c r="W95" s="15">
        <f>NOVIEMBRE!W95+DICIEMBRE!AM95</f>
        <v>9738805</v>
      </c>
      <c r="X95" s="18">
        <f>SUM(U95:W95)</f>
        <v>13557173</v>
      </c>
      <c r="Y95" s="19">
        <f>NOVIEMBRE!AA95</f>
        <v>9827728</v>
      </c>
      <c r="Z95" s="374">
        <v>3729445</v>
      </c>
      <c r="AA95" s="18">
        <f>SUM(Y95:Z95)</f>
        <v>13557173</v>
      </c>
      <c r="AB95" s="19">
        <f>NOVIEMBRE!AD95</f>
        <v>9827728</v>
      </c>
      <c r="AC95" s="374">
        <v>3729445</v>
      </c>
      <c r="AD95" s="18">
        <f>SUM(AB95:AC95)</f>
        <v>13557173</v>
      </c>
      <c r="AE95" s="19">
        <f>NOVIEMBRE!AG95</f>
        <v>9827728</v>
      </c>
      <c r="AF95" s="374">
        <v>3729445</v>
      </c>
      <c r="AG95" s="18">
        <f>SUM(AE95:AF95)</f>
        <v>13557173</v>
      </c>
      <c r="AH95" s="19">
        <f>X95-AA95</f>
        <v>0</v>
      </c>
      <c r="AI95" s="15">
        <f>X95-AD95</f>
        <v>0</v>
      </c>
      <c r="AJ95" s="16">
        <f>X95-AG95</f>
        <v>0</v>
      </c>
      <c r="AK95" s="9"/>
      <c r="AL95" s="372">
        <v>1618368</v>
      </c>
      <c r="AM95" s="375">
        <v>0</v>
      </c>
      <c r="AN95" s="30"/>
      <c r="AO95" s="460"/>
      <c r="AP95" s="460"/>
      <c r="AQ95" s="460"/>
      <c r="AR95" s="460"/>
      <c r="AS95" s="460"/>
      <c r="AT95" s="460"/>
      <c r="AU95" s="460"/>
      <c r="AV95" s="460"/>
      <c r="AW95" s="460"/>
      <c r="AX95" s="460"/>
      <c r="AY95" s="460"/>
      <c r="AZ95" s="460"/>
      <c r="BL95" s="30"/>
    </row>
    <row r="96" spans="1:70" s="30" customFormat="1" ht="24.95" customHeight="1">
      <c r="A96" s="740" t="str">
        <f>+IF(NOVIEMBRE!A96=0,"",NOVIEMBRE!A96)</f>
        <v>11303-2</v>
      </c>
      <c r="B96" s="619" t="str">
        <f>+IF(NOVIEMBRE!B96=0,"",NOVIEMBRE!B96)</f>
        <v>CONVENIOS CON EL DEPARTAMENTO NO LIGADOS A LA VENTA SERVICIOS</v>
      </c>
      <c r="C96" s="669">
        <f>+ENERO!C96</f>
        <v>0</v>
      </c>
      <c r="D96" s="373">
        <f>NOVIEMBRE!D96+DICIEMBRE!P96</f>
        <v>0</v>
      </c>
      <c r="E96" s="373">
        <f>NOVIEMBRE!E96+DICIEMBRE!Q96</f>
        <v>125236928</v>
      </c>
      <c r="F96" s="373">
        <f t="shared" si="102"/>
        <v>125236928</v>
      </c>
      <c r="G96" s="373">
        <f>NOVIEMBRE!I96</f>
        <v>125236928</v>
      </c>
      <c r="H96" s="374">
        <v>0</v>
      </c>
      <c r="I96" s="373">
        <f t="shared" si="103"/>
        <v>125236928</v>
      </c>
      <c r="J96" s="373">
        <f>NOVIEMBRE!L96</f>
        <v>125236928</v>
      </c>
      <c r="K96" s="374">
        <v>0</v>
      </c>
      <c r="L96" s="373">
        <f t="shared" si="104"/>
        <v>125236928</v>
      </c>
      <c r="M96" s="373">
        <f t="shared" si="105"/>
        <v>0</v>
      </c>
      <c r="N96" s="143">
        <f t="shared" si="106"/>
        <v>0</v>
      </c>
      <c r="O96" s="382"/>
      <c r="P96" s="372">
        <v>0</v>
      </c>
      <c r="Q96" s="375">
        <v>0</v>
      </c>
      <c r="S96" s="705">
        <f>+IF(NOVIEMBRE!S96=0,"",NOVIEMBRE!S96)</f>
        <v>1020302</v>
      </c>
      <c r="T96" s="681" t="str">
        <f>+IF(NOVIEMBRE!T96=0,"",NOVIEMBRE!T96)</f>
        <v>Contribuciones - Otros</v>
      </c>
      <c r="U96" s="27">
        <f t="shared" ref="U96:AJ96" si="107">SUM(U97:U101)</f>
        <v>259627762</v>
      </c>
      <c r="V96" s="15">
        <f t="shared" si="107"/>
        <v>-62440713</v>
      </c>
      <c r="W96" s="15">
        <f t="shared" si="107"/>
        <v>20000000</v>
      </c>
      <c r="X96" s="18">
        <f t="shared" si="107"/>
        <v>217187049</v>
      </c>
      <c r="Y96" s="19">
        <f t="shared" si="107"/>
        <v>134654207</v>
      </c>
      <c r="Z96" s="142">
        <f t="shared" si="107"/>
        <v>6684869</v>
      </c>
      <c r="AA96" s="18">
        <f t="shared" si="107"/>
        <v>141339076</v>
      </c>
      <c r="AB96" s="19">
        <f t="shared" si="107"/>
        <v>134654207</v>
      </c>
      <c r="AC96" s="142">
        <f t="shared" si="107"/>
        <v>6684869</v>
      </c>
      <c r="AD96" s="18">
        <f t="shared" si="107"/>
        <v>141339076</v>
      </c>
      <c r="AE96" s="19">
        <f t="shared" si="107"/>
        <v>134654207</v>
      </c>
      <c r="AF96" s="142">
        <f t="shared" si="107"/>
        <v>6684869</v>
      </c>
      <c r="AG96" s="18">
        <f t="shared" si="107"/>
        <v>141339076</v>
      </c>
      <c r="AH96" s="19">
        <f t="shared" si="107"/>
        <v>75847973</v>
      </c>
      <c r="AI96" s="15">
        <f t="shared" si="107"/>
        <v>75847973</v>
      </c>
      <c r="AJ96" s="16">
        <f t="shared" si="107"/>
        <v>75847973</v>
      </c>
      <c r="AL96" s="32">
        <f>SUM(AL97:AL101)</f>
        <v>-7240713</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0" t="str">
        <f>+IF(NOVIEMBRE!A97=0,"",NOVIEMBRE!A97)</f>
        <v>11303-3</v>
      </c>
      <c r="B97" s="619" t="str">
        <f>+IF(NOVIEMBRE!B97=0,"",NOVIEMBRE!B97)</f>
        <v>CONVENIOS CON EL MUNICIPIO NO LIGADOS A LA VENTA DE SERVICIOS</v>
      </c>
      <c r="C97" s="669">
        <f>+ENERO!C97</f>
        <v>0</v>
      </c>
      <c r="D97" s="373">
        <f>NOVIEMBRE!D97+DICIEMBRE!P97</f>
        <v>0</v>
      </c>
      <c r="E97" s="373">
        <f>NOVIEMBRE!E97+DICIEMBRE!Q97</f>
        <v>0</v>
      </c>
      <c r="F97" s="373">
        <f t="shared" si="102"/>
        <v>0</v>
      </c>
      <c r="G97" s="373">
        <f>NOVIEMBRE!I97</f>
        <v>0</v>
      </c>
      <c r="H97" s="374">
        <v>0</v>
      </c>
      <c r="I97" s="373">
        <f t="shared" si="103"/>
        <v>0</v>
      </c>
      <c r="J97" s="373">
        <f>NOVIEMBRE!L97</f>
        <v>0</v>
      </c>
      <c r="K97" s="374">
        <v>0</v>
      </c>
      <c r="L97" s="373">
        <f t="shared" si="104"/>
        <v>0</v>
      </c>
      <c r="M97" s="373">
        <f t="shared" si="105"/>
        <v>0</v>
      </c>
      <c r="N97" s="143">
        <f t="shared" si="106"/>
        <v>0</v>
      </c>
      <c r="O97" s="382"/>
      <c r="P97" s="372">
        <v>0</v>
      </c>
      <c r="Q97" s="375">
        <v>0</v>
      </c>
      <c r="R97" s="30"/>
      <c r="S97" s="706" t="str">
        <f>+IF(NOVIEMBRE!S97=0,"",NOVIEMBRE!S97)</f>
        <v>1020302-1</v>
      </c>
      <c r="T97" s="682" t="str">
        <f>+IF(NOVIEMBRE!T97=0,"",NOVIEMBRE!T97)</f>
        <v>Aportes a E.P.S.- Con sit. Fondos</v>
      </c>
      <c r="U97" s="27">
        <f>+ENERO!U97</f>
        <v>52772649</v>
      </c>
      <c r="V97" s="15">
        <f>NOVIEMBRE!V97+DICIEMBRE!AL97</f>
        <v>-15762475</v>
      </c>
      <c r="W97" s="15">
        <f>NOVIEMBRE!W97+DICIEMBRE!AM97</f>
        <v>0</v>
      </c>
      <c r="X97" s="18">
        <f t="shared" ref="X97:X102" si="108">SUM(U97:W97)</f>
        <v>37010174</v>
      </c>
      <c r="Y97" s="19">
        <f>NOVIEMBRE!AA97</f>
        <v>37010174</v>
      </c>
      <c r="Z97" s="374">
        <v>0</v>
      </c>
      <c r="AA97" s="18">
        <f t="shared" ref="AA97:AA102" si="109">SUM(Y97:Z97)</f>
        <v>37010174</v>
      </c>
      <c r="AB97" s="19">
        <f>NOVIEMBRE!AD97</f>
        <v>37010174</v>
      </c>
      <c r="AC97" s="374">
        <v>0</v>
      </c>
      <c r="AD97" s="18">
        <f t="shared" ref="AD97:AD102" si="110">SUM(AB97:AC97)</f>
        <v>37010174</v>
      </c>
      <c r="AE97" s="19">
        <f>NOVIEMBRE!AG97</f>
        <v>37010174</v>
      </c>
      <c r="AF97" s="374">
        <v>0</v>
      </c>
      <c r="AG97" s="18">
        <f t="shared" ref="AG97:AG102" si="111">SUM(AE97:AF97)</f>
        <v>37010174</v>
      </c>
      <c r="AH97" s="19">
        <f t="shared" ref="AH97:AH102" si="112">X97-AA97</f>
        <v>0</v>
      </c>
      <c r="AI97" s="15">
        <f t="shared" ref="AI97:AI102" si="113">X97-AD97</f>
        <v>0</v>
      </c>
      <c r="AJ97" s="16">
        <f t="shared" ref="AJ97:AJ102" si="114">X97-AG97</f>
        <v>0</v>
      </c>
      <c r="AK97" s="30"/>
      <c r="AL97" s="372">
        <v>-8762475</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0" t="str">
        <f>+IF(NOVIEMBRE!A98=0,"",NOVIEMBRE!A98)</f>
        <v>11303-4</v>
      </c>
      <c r="B98" s="619" t="str">
        <f>+IF(NOVIEMBRE!B98=0,"",NOVIEMBRE!B98)</f>
        <v>OTROS CONVENIOS NO LIGADOS A LA VENTA DE SERVICIOS</v>
      </c>
      <c r="C98" s="669">
        <f>+ENERO!C98</f>
        <v>0</v>
      </c>
      <c r="D98" s="373">
        <f>NOVIEMBRE!D98+DICIEMBRE!P98</f>
        <v>0</v>
      </c>
      <c r="E98" s="373">
        <f>NOVIEMBRE!E98+DICIEMBRE!Q98</f>
        <v>0</v>
      </c>
      <c r="F98" s="373">
        <f t="shared" si="102"/>
        <v>0</v>
      </c>
      <c r="G98" s="373">
        <f>NOVIEMBRE!I98</f>
        <v>0</v>
      </c>
      <c r="H98" s="374">
        <v>0</v>
      </c>
      <c r="I98" s="373">
        <f t="shared" si="103"/>
        <v>0</v>
      </c>
      <c r="J98" s="373">
        <f>NOVIEMBRE!L98</f>
        <v>0</v>
      </c>
      <c r="K98" s="374">
        <v>0</v>
      </c>
      <c r="L98" s="373">
        <f t="shared" si="104"/>
        <v>0</v>
      </c>
      <c r="M98" s="373">
        <f t="shared" si="105"/>
        <v>0</v>
      </c>
      <c r="N98" s="143">
        <f t="shared" si="106"/>
        <v>0</v>
      </c>
      <c r="O98" s="382"/>
      <c r="P98" s="372">
        <v>0</v>
      </c>
      <c r="Q98" s="375">
        <v>0</v>
      </c>
      <c r="R98" s="30"/>
      <c r="S98" s="706" t="str">
        <f>+IF(NOVIEMBRE!S98=0,"",NOVIEMBRE!S98)</f>
        <v>1020302-2</v>
      </c>
      <c r="T98" s="682" t="str">
        <f>+IF(NOVIEMBRE!T98=0,"",NOVIEMBRE!T98)</f>
        <v>Aportes Fondos Pensionales - Con Sit. Fondos</v>
      </c>
      <c r="U98" s="27">
        <f>+ENERO!U98</f>
        <v>103712246</v>
      </c>
      <c r="V98" s="15">
        <f>NOVIEMBRE!V98+DICIEMBRE!AL98</f>
        <v>-45000000</v>
      </c>
      <c r="W98" s="15">
        <f>NOVIEMBRE!W98+DICIEMBRE!AM98</f>
        <v>0</v>
      </c>
      <c r="X98" s="18">
        <f t="shared" si="108"/>
        <v>58712246</v>
      </c>
      <c r="Y98" s="19">
        <f>NOVIEMBRE!AA98</f>
        <v>50124903</v>
      </c>
      <c r="Z98" s="374">
        <v>0</v>
      </c>
      <c r="AA98" s="18">
        <f t="shared" si="109"/>
        <v>50124903</v>
      </c>
      <c r="AB98" s="19">
        <f>NOVIEMBRE!AD98</f>
        <v>50124903</v>
      </c>
      <c r="AC98" s="374">
        <v>0</v>
      </c>
      <c r="AD98" s="18">
        <f t="shared" si="110"/>
        <v>50124903</v>
      </c>
      <c r="AE98" s="19">
        <f>NOVIEMBRE!AG98</f>
        <v>50124903</v>
      </c>
      <c r="AF98" s="374">
        <v>0</v>
      </c>
      <c r="AG98" s="18">
        <f t="shared" si="111"/>
        <v>50124903</v>
      </c>
      <c r="AH98" s="19">
        <f t="shared" si="112"/>
        <v>8587343</v>
      </c>
      <c r="AI98" s="15">
        <f t="shared" si="113"/>
        <v>8587343</v>
      </c>
      <c r="AJ98" s="16">
        <f t="shared" si="114"/>
        <v>8587343</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0" t="str">
        <f>+IF(NOVIEMBRE!A99=0,"",NOVIEMBRE!A99)</f>
        <v>11303-5</v>
      </c>
      <c r="B99" s="619" t="str">
        <f>+IF(NOVIEMBRE!B99=0,"",NOVIEMBRE!B99)</f>
        <v>APORTES PATRONALES - MUNICIPIO / DEPARTAMENTO</v>
      </c>
      <c r="C99" s="669">
        <f>+ENERO!C99</f>
        <v>0</v>
      </c>
      <c r="D99" s="373">
        <f>NOVIEMBRE!D99+DICIEMBRE!P99</f>
        <v>0</v>
      </c>
      <c r="E99" s="373">
        <f>NOVIEMBRE!E99+DICIEMBRE!Q99</f>
        <v>0</v>
      </c>
      <c r="F99" s="373">
        <f t="shared" si="102"/>
        <v>0</v>
      </c>
      <c r="G99" s="373">
        <f>NOVIEMBRE!I99</f>
        <v>0</v>
      </c>
      <c r="H99" s="670">
        <v>0</v>
      </c>
      <c r="I99" s="373">
        <f t="shared" si="103"/>
        <v>0</v>
      </c>
      <c r="J99" s="373">
        <f>NOVIEMBRE!L99</f>
        <v>0</v>
      </c>
      <c r="K99" s="670">
        <v>0</v>
      </c>
      <c r="L99" s="373">
        <f t="shared" si="104"/>
        <v>0</v>
      </c>
      <c r="M99" s="373">
        <f t="shared" si="105"/>
        <v>0</v>
      </c>
      <c r="N99" s="143">
        <f t="shared" si="106"/>
        <v>0</v>
      </c>
      <c r="O99" s="382"/>
      <c r="P99" s="671">
        <v>0</v>
      </c>
      <c r="Q99" s="672">
        <v>0</v>
      </c>
      <c r="R99" s="30"/>
      <c r="S99" s="706" t="str">
        <f>+IF(NOVIEMBRE!S99=0,"",NOVIEMBRE!S99)</f>
        <v>1020302-3</v>
      </c>
      <c r="T99" s="682" t="str">
        <f>+IF(NOVIEMBRE!T99=0,"",NOVIEMBRE!T99)</f>
        <v xml:space="preserve">Aportes a Fondos de Cesantia - Con Sit. de Fondos </v>
      </c>
      <c r="U99" s="27">
        <f>+ENERO!U99</f>
        <v>72193404</v>
      </c>
      <c r="V99" s="15">
        <f>NOVIEMBRE!V99+DICIEMBRE!AL99</f>
        <v>0</v>
      </c>
      <c r="W99" s="15">
        <f>NOVIEMBRE!W99+DICIEMBRE!AM99</f>
        <v>0</v>
      </c>
      <c r="X99" s="18">
        <f t="shared" si="108"/>
        <v>72193404</v>
      </c>
      <c r="Y99" s="19">
        <f>NOVIEMBRE!AA99</f>
        <v>5211546</v>
      </c>
      <c r="Z99" s="374">
        <v>0</v>
      </c>
      <c r="AA99" s="18">
        <f t="shared" si="109"/>
        <v>5211546</v>
      </c>
      <c r="AB99" s="19">
        <f>NOVIEMBRE!AD99</f>
        <v>5211546</v>
      </c>
      <c r="AC99" s="374">
        <v>0</v>
      </c>
      <c r="AD99" s="18">
        <f t="shared" si="110"/>
        <v>5211546</v>
      </c>
      <c r="AE99" s="19">
        <f>NOVIEMBRE!AG99</f>
        <v>5211546</v>
      </c>
      <c r="AF99" s="374">
        <v>0</v>
      </c>
      <c r="AG99" s="18">
        <f t="shared" si="111"/>
        <v>5211546</v>
      </c>
      <c r="AH99" s="19">
        <f t="shared" si="112"/>
        <v>66981858</v>
      </c>
      <c r="AI99" s="15">
        <f t="shared" si="113"/>
        <v>66981858</v>
      </c>
      <c r="AJ99" s="16">
        <f t="shared" si="114"/>
        <v>66981858</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0" t="str">
        <f>+IF(NOVIEMBRE!A100=0,"",NOVIEMBRE!A100)</f>
        <v>11303-6</v>
      </c>
      <c r="B100" s="619" t="str">
        <f>+IF(NOVIEMBRE!B100=0,"",NOVIEMBRE!B100)</f>
        <v>RECURSOS PARA PROGRAMA DE SANEAMIENTO FINANCIERO</v>
      </c>
      <c r="C100" s="669">
        <f>+ENERO!C100</f>
        <v>0</v>
      </c>
      <c r="D100" s="373">
        <f>NOVIEMBRE!D100+DICIEMBRE!P100</f>
        <v>0</v>
      </c>
      <c r="E100" s="373">
        <f>NOVIEMBRE!E100+DICIEMBRE!Q100</f>
        <v>0</v>
      </c>
      <c r="F100" s="373">
        <f t="shared" si="102"/>
        <v>0</v>
      </c>
      <c r="G100" s="373">
        <f>NOVIEMBRE!I100</f>
        <v>0</v>
      </c>
      <c r="H100" s="374">
        <v>0</v>
      </c>
      <c r="I100" s="373">
        <f t="shared" si="103"/>
        <v>0</v>
      </c>
      <c r="J100" s="373">
        <f>NOVIEMBRE!L100</f>
        <v>0</v>
      </c>
      <c r="K100" s="374">
        <v>0</v>
      </c>
      <c r="L100" s="373">
        <f t="shared" si="104"/>
        <v>0</v>
      </c>
      <c r="M100" s="373">
        <f t="shared" si="105"/>
        <v>0</v>
      </c>
      <c r="N100" s="143">
        <f t="shared" si="106"/>
        <v>0</v>
      </c>
      <c r="P100" s="372">
        <v>0</v>
      </c>
      <c r="Q100" s="375">
        <v>0</v>
      </c>
      <c r="R100" s="9"/>
      <c r="S100" s="706" t="str">
        <f>+IF(NOVIEMBRE!S100=0,"",NOVIEMBRE!S100)</f>
        <v>1020302-4</v>
      </c>
      <c r="T100" s="682" t="str">
        <f>+IF(NOVIEMBRE!T100=0,"",NOVIEMBRE!T100)</f>
        <v>Aporte a ARL. - Con Sit. de Fondos</v>
      </c>
      <c r="U100" s="27">
        <f>+ENERO!U100</f>
        <v>20885552</v>
      </c>
      <c r="V100" s="15">
        <f>NOVIEMBRE!V100+DICIEMBRE!AL100</f>
        <v>-10978238</v>
      </c>
      <c r="W100" s="15">
        <f>NOVIEMBRE!W100+DICIEMBRE!AM100</f>
        <v>0</v>
      </c>
      <c r="X100" s="18">
        <f t="shared" si="108"/>
        <v>9907314</v>
      </c>
      <c r="Y100" s="19">
        <f>NOVIEMBRE!AA100</f>
        <v>9831767</v>
      </c>
      <c r="Z100" s="374">
        <v>0</v>
      </c>
      <c r="AA100" s="18">
        <f t="shared" si="109"/>
        <v>9831767</v>
      </c>
      <c r="AB100" s="19">
        <f>NOVIEMBRE!AD100</f>
        <v>9831767</v>
      </c>
      <c r="AC100" s="374">
        <v>0</v>
      </c>
      <c r="AD100" s="18">
        <f t="shared" si="110"/>
        <v>9831767</v>
      </c>
      <c r="AE100" s="19">
        <f>NOVIEMBRE!AG100</f>
        <v>9831767</v>
      </c>
      <c r="AF100" s="374">
        <v>0</v>
      </c>
      <c r="AG100" s="18">
        <f t="shared" si="111"/>
        <v>9831767</v>
      </c>
      <c r="AH100" s="19">
        <f t="shared" si="112"/>
        <v>75547</v>
      </c>
      <c r="AI100" s="15">
        <f t="shared" si="113"/>
        <v>75547</v>
      </c>
      <c r="AJ100" s="16">
        <f t="shared" si="114"/>
        <v>75547</v>
      </c>
      <c r="AK100" s="30"/>
      <c r="AL100" s="372">
        <v>-1778238</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0" t="str">
        <f>+IF(NOVIEMBRE!A101=0,"",NOVIEMBRE!A101)</f>
        <v>11303-7</v>
      </c>
      <c r="B101" s="619" t="str">
        <f>+IF(NOVIEMBRE!B101=0,"",NOVIEMBRE!B101)</f>
        <v/>
      </c>
      <c r="C101" s="669">
        <f>+ENERO!C101</f>
        <v>0</v>
      </c>
      <c r="D101" s="373">
        <f>NOVIEMBRE!D101+DICIEMBRE!P101</f>
        <v>0</v>
      </c>
      <c r="E101" s="373">
        <f>NOVIEMBRE!E101+DICIEMBRE!Q101</f>
        <v>0</v>
      </c>
      <c r="F101" s="373">
        <f t="shared" si="102"/>
        <v>0</v>
      </c>
      <c r="G101" s="373">
        <f>NOVIEMBRE!I101</f>
        <v>0</v>
      </c>
      <c r="H101" s="374">
        <v>0</v>
      </c>
      <c r="I101" s="373">
        <f t="shared" si="103"/>
        <v>0</v>
      </c>
      <c r="J101" s="373">
        <f>NOVIEMBRE!L101</f>
        <v>0</v>
      </c>
      <c r="K101" s="374">
        <v>0</v>
      </c>
      <c r="L101" s="373">
        <f t="shared" si="104"/>
        <v>0</v>
      </c>
      <c r="M101" s="373">
        <f t="shared" si="105"/>
        <v>0</v>
      </c>
      <c r="N101" s="143">
        <f t="shared" si="106"/>
        <v>0</v>
      </c>
      <c r="P101" s="372">
        <v>0</v>
      </c>
      <c r="Q101" s="375">
        <v>0</v>
      </c>
      <c r="R101" s="9"/>
      <c r="S101" s="706" t="str">
        <f>+IF(NOVIEMBRE!S101=0,"",NOVIEMBRE!S101)</f>
        <v>1020302-5</v>
      </c>
      <c r="T101" s="682" t="str">
        <f>+IF(NOVIEMBRE!T101=0,"",NOVIEMBRE!T101)</f>
        <v>Aporte a Caja Compensación Familiar</v>
      </c>
      <c r="U101" s="27">
        <f>+ENERO!U101</f>
        <v>10063911</v>
      </c>
      <c r="V101" s="15">
        <f>NOVIEMBRE!V101+DICIEMBRE!AL101</f>
        <v>9300000</v>
      </c>
      <c r="W101" s="15">
        <f>NOVIEMBRE!W101+DICIEMBRE!AM101</f>
        <v>20000000</v>
      </c>
      <c r="X101" s="18">
        <f t="shared" si="108"/>
        <v>39363911</v>
      </c>
      <c r="Y101" s="19">
        <f>NOVIEMBRE!AA101</f>
        <v>32475817</v>
      </c>
      <c r="Z101" s="374">
        <v>6684869</v>
      </c>
      <c r="AA101" s="18">
        <f t="shared" si="109"/>
        <v>39160686</v>
      </c>
      <c r="AB101" s="19">
        <f>NOVIEMBRE!AD101</f>
        <v>32475817</v>
      </c>
      <c r="AC101" s="374">
        <v>6684869</v>
      </c>
      <c r="AD101" s="18">
        <f t="shared" si="110"/>
        <v>39160686</v>
      </c>
      <c r="AE101" s="19">
        <f>NOVIEMBRE!AG101</f>
        <v>32475817</v>
      </c>
      <c r="AF101" s="374">
        <v>6684869</v>
      </c>
      <c r="AG101" s="18">
        <f t="shared" si="111"/>
        <v>39160686</v>
      </c>
      <c r="AH101" s="19">
        <f t="shared" si="112"/>
        <v>203225</v>
      </c>
      <c r="AI101" s="15">
        <f t="shared" si="113"/>
        <v>203225</v>
      </c>
      <c r="AJ101" s="16">
        <f t="shared" si="114"/>
        <v>203225</v>
      </c>
      <c r="AK101" s="30"/>
      <c r="AL101" s="372">
        <v>3300000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tr">
        <f>+IF(NOVIEMBRE!A102=0,"",NOVIEMBRE!A102)</f>
        <v>11303-8</v>
      </c>
      <c r="B102" s="628" t="str">
        <f>+IF(NOVIEMBRE!B102=0,"",NOVIEMBRE!B102)</f>
        <v>Vigencia Anterior</v>
      </c>
      <c r="C102" s="770">
        <f>+ENERO!C102</f>
        <v>0</v>
      </c>
      <c r="D102" s="385">
        <f>NOVIEMBRE!D102+DICIEMBRE!P102</f>
        <v>0</v>
      </c>
      <c r="E102" s="385">
        <f>NOVIEMBRE!E102+DICIEMBRE!Q102</f>
        <v>173019903</v>
      </c>
      <c r="F102" s="385">
        <f t="shared" si="102"/>
        <v>173019903</v>
      </c>
      <c r="G102" s="385">
        <f>NOVIEMBRE!I102</f>
        <v>173019903</v>
      </c>
      <c r="H102" s="388">
        <v>0</v>
      </c>
      <c r="I102" s="385">
        <f t="shared" si="103"/>
        <v>173019903</v>
      </c>
      <c r="J102" s="385">
        <f>NOVIEMBRE!L102</f>
        <v>173019903</v>
      </c>
      <c r="K102" s="388">
        <v>0</v>
      </c>
      <c r="L102" s="385">
        <f t="shared" si="104"/>
        <v>173019903</v>
      </c>
      <c r="M102" s="385">
        <f t="shared" si="105"/>
        <v>0</v>
      </c>
      <c r="N102" s="386">
        <f t="shared" si="106"/>
        <v>0</v>
      </c>
      <c r="P102" s="372">
        <v>0</v>
      </c>
      <c r="Q102" s="375">
        <v>0</v>
      </c>
      <c r="R102" s="9"/>
      <c r="S102" s="705">
        <f>+IF(NOVIEMBRE!S102=0,"",NOVIEMBRE!S102)</f>
        <v>1020399</v>
      </c>
      <c r="T102" s="681" t="str">
        <f>+IF(NOVIEMBRE!T102=0,"",NOVIEMBRE!T102)</f>
        <v>Vigencias Anteriores</v>
      </c>
      <c r="U102" s="27">
        <f>+ENERO!U102</f>
        <v>0</v>
      </c>
      <c r="V102" s="15">
        <f>NOVIEMBRE!V102+DICIEMBRE!AL102</f>
        <v>-78539920</v>
      </c>
      <c r="W102" s="15">
        <f>NOVIEMBRE!W102+DICIEMBRE!AM102</f>
        <v>78539920</v>
      </c>
      <c r="X102" s="18">
        <f t="shared" si="108"/>
        <v>0</v>
      </c>
      <c r="Y102" s="19">
        <f>NOVIEMBRE!AA102</f>
        <v>0</v>
      </c>
      <c r="Z102" s="374">
        <v>0</v>
      </c>
      <c r="AA102" s="18">
        <f t="shared" si="109"/>
        <v>0</v>
      </c>
      <c r="AB102" s="19">
        <f>NOVIEMBRE!AD102</f>
        <v>0</v>
      </c>
      <c r="AC102" s="374">
        <v>0</v>
      </c>
      <c r="AD102" s="18">
        <f t="shared" si="110"/>
        <v>0</v>
      </c>
      <c r="AE102" s="19">
        <f>NOVIEMBRE!AG102</f>
        <v>0</v>
      </c>
      <c r="AF102" s="374">
        <v>0</v>
      </c>
      <c r="AG102" s="18">
        <f t="shared" si="111"/>
        <v>0</v>
      </c>
      <c r="AH102" s="19">
        <f t="shared" si="112"/>
        <v>0</v>
      </c>
      <c r="AI102" s="15">
        <f t="shared" si="113"/>
        <v>0</v>
      </c>
      <c r="AJ102" s="16">
        <f t="shared" si="114"/>
        <v>0</v>
      </c>
      <c r="AK102" s="9"/>
      <c r="AL102" s="372">
        <v>0</v>
      </c>
      <c r="AM102" s="375">
        <v>0</v>
      </c>
      <c r="AN102" s="9"/>
      <c r="AO102" s="294"/>
      <c r="AP102" s="294"/>
      <c r="AQ102" s="294"/>
      <c r="AR102" s="294"/>
      <c r="AS102" s="294"/>
      <c r="AT102" s="294"/>
      <c r="AU102" s="294"/>
      <c r="AV102" s="294"/>
      <c r="AW102" s="294"/>
      <c r="AX102" s="294"/>
      <c r="AY102" s="294"/>
      <c r="AZ102" s="294"/>
      <c r="BQ102" s="461"/>
    </row>
    <row r="103" spans="1:70" s="382" customFormat="1" ht="24.95" customHeight="1" thickBot="1">
      <c r="A103" s="741" t="str">
        <f>+IF(NOVIEMBRE!A103=0,"",NOVIEMBRE!A103)</f>
        <v/>
      </c>
      <c r="B103" s="653" t="str">
        <f>+IF(NOVIEMBRE!B103=0,"",NOVIEMBRE!B103)</f>
        <v/>
      </c>
      <c r="C103" s="480"/>
      <c r="D103" s="480"/>
      <c r="E103" s="480"/>
      <c r="F103" s="480"/>
      <c r="G103" s="480"/>
      <c r="H103" s="480"/>
      <c r="I103" s="480"/>
      <c r="J103" s="480"/>
      <c r="K103" s="480"/>
      <c r="L103" s="480"/>
      <c r="M103" s="480"/>
      <c r="N103" s="481"/>
      <c r="P103" s="482"/>
      <c r="Q103" s="481"/>
      <c r="R103" s="9"/>
      <c r="S103" s="366" t="str">
        <f>+IF(NOVIEMBRE!S103=0,"",NOVIEMBRE!S103)</f>
        <v/>
      </c>
      <c r="T103" s="695"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c r="BQ103" s="461"/>
    </row>
    <row r="104" spans="1:70" s="382" customFormat="1" ht="24.95" customHeight="1">
      <c r="A104" s="739">
        <f>+IF(NOVIEMBRE!A104=0,"",NOVIEMBRE!A104)</f>
        <v>11304</v>
      </c>
      <c r="B104" s="618" t="str">
        <f>+IF(NOVIEMBRE!B104=0,"",NOVIEMBRE!B104)</f>
        <v>Otros ingresos corrientes</v>
      </c>
      <c r="C104" s="617">
        <f>SUM(C105:C111)</f>
        <v>667440000</v>
      </c>
      <c r="D104" s="615">
        <f t="shared" ref="D104:N104" si="115">SUM(D105:D111)</f>
        <v>0</v>
      </c>
      <c r="E104" s="615">
        <f t="shared" si="115"/>
        <v>192117263</v>
      </c>
      <c r="F104" s="615">
        <f t="shared" si="115"/>
        <v>859557263</v>
      </c>
      <c r="G104" s="615">
        <f t="shared" si="115"/>
        <v>1124024043</v>
      </c>
      <c r="H104" s="615">
        <f t="shared" si="115"/>
        <v>76038168</v>
      </c>
      <c r="I104" s="615">
        <f t="shared" si="115"/>
        <v>1200062211</v>
      </c>
      <c r="J104" s="615">
        <f t="shared" si="115"/>
        <v>723284619</v>
      </c>
      <c r="K104" s="615">
        <f t="shared" si="115"/>
        <v>19612630</v>
      </c>
      <c r="L104" s="615">
        <f t="shared" si="115"/>
        <v>742897249</v>
      </c>
      <c r="M104" s="615">
        <f t="shared" si="115"/>
        <v>-340504948</v>
      </c>
      <c r="N104" s="616">
        <f t="shared" si="115"/>
        <v>116660014</v>
      </c>
      <c r="P104" s="43">
        <f>SUM(P105:P111)</f>
        <v>0</v>
      </c>
      <c r="Q104" s="45">
        <f>SUM(Q105:Q111)</f>
        <v>82211862</v>
      </c>
      <c r="R104" s="9"/>
      <c r="S104" s="704">
        <f>+IF(NOVIEMBRE!S104=0,"",NOVIEMBRE!S104)</f>
        <v>1020400</v>
      </c>
      <c r="T104" s="680" t="str">
        <f>+IF(NOVIEMBRE!T104=0,"",NOVIEMBRE!T104)</f>
        <v>Contribuciones Inherentes nómina del Sector Publico</v>
      </c>
      <c r="U104" s="132">
        <f t="shared" ref="U104:AJ104" si="116">U105+U108</f>
        <v>43075476</v>
      </c>
      <c r="V104" s="122">
        <f t="shared" si="116"/>
        <v>15000000</v>
      </c>
      <c r="W104" s="122">
        <f t="shared" si="116"/>
        <v>0</v>
      </c>
      <c r="X104" s="129">
        <f t="shared" si="116"/>
        <v>58075476</v>
      </c>
      <c r="Y104" s="128">
        <f t="shared" si="116"/>
        <v>42652578</v>
      </c>
      <c r="Z104" s="122">
        <f t="shared" si="116"/>
        <v>8356087</v>
      </c>
      <c r="AA104" s="129">
        <f t="shared" si="116"/>
        <v>51008665</v>
      </c>
      <c r="AB104" s="128">
        <f t="shared" si="116"/>
        <v>42652578</v>
      </c>
      <c r="AC104" s="122">
        <f t="shared" si="116"/>
        <v>8356087</v>
      </c>
      <c r="AD104" s="129">
        <f t="shared" si="116"/>
        <v>51008665</v>
      </c>
      <c r="AE104" s="128">
        <f t="shared" si="116"/>
        <v>42652578</v>
      </c>
      <c r="AF104" s="122">
        <f t="shared" si="116"/>
        <v>8356087</v>
      </c>
      <c r="AG104" s="129">
        <f t="shared" si="116"/>
        <v>51008665</v>
      </c>
      <c r="AH104" s="128">
        <f t="shared" si="116"/>
        <v>7066811</v>
      </c>
      <c r="AI104" s="122">
        <f t="shared" si="116"/>
        <v>7066811</v>
      </c>
      <c r="AJ104" s="130">
        <f t="shared" si="116"/>
        <v>7066811</v>
      </c>
      <c r="AK104" s="9"/>
      <c r="AL104" s="128">
        <f>AL105+AL108</f>
        <v>0</v>
      </c>
      <c r="AM104" s="130">
        <f>AM105+AM108</f>
        <v>0</v>
      </c>
      <c r="AN104" s="9"/>
      <c r="AO104" s="294"/>
      <c r="AP104" s="294"/>
      <c r="AQ104" s="294"/>
      <c r="AR104" s="294"/>
      <c r="AS104" s="294"/>
      <c r="AT104" s="294"/>
      <c r="AU104" s="294"/>
      <c r="AV104" s="294"/>
      <c r="AW104" s="294"/>
      <c r="AX104" s="294"/>
      <c r="AY104" s="294"/>
      <c r="AZ104" s="294"/>
      <c r="BQ104" s="461"/>
    </row>
    <row r="105" spans="1:70" s="382" customFormat="1" ht="24.95" customHeight="1">
      <c r="A105" s="740" t="str">
        <f>+IF(NOVIEMBRE!A105=0,"",NOVIEMBRE!A105)</f>
        <v>11304-1</v>
      </c>
      <c r="B105" s="619" t="str">
        <f>+IF(NOVIEMBRE!B105=0,"",NOVIEMBRE!B105)</f>
        <v>ARRENDAMIENTO Y ALQUILER DE BIENES MUEBLES E INMUEBLES</v>
      </c>
      <c r="C105" s="669">
        <f>+ENERO!C105</f>
        <v>667440000</v>
      </c>
      <c r="D105" s="373">
        <f>NOVIEMBRE!D105+DICIEMBRE!P105</f>
        <v>0</v>
      </c>
      <c r="E105" s="373">
        <f>NOVIEMBRE!E105+DICIEMBRE!Q105</f>
        <v>0</v>
      </c>
      <c r="F105" s="373">
        <f t="shared" ref="F105:F111" si="117">SUM(C105:E105)</f>
        <v>667440000</v>
      </c>
      <c r="G105" s="373">
        <f>NOVIEMBRE!I105</f>
        <v>782679660</v>
      </c>
      <c r="H105" s="374">
        <v>53508160</v>
      </c>
      <c r="I105" s="373">
        <f t="shared" ref="I105:I111" si="118">SUM(G105:H105)</f>
        <v>836187820</v>
      </c>
      <c r="J105" s="373">
        <f>NOVIEMBRE!L105</f>
        <v>531900456</v>
      </c>
      <c r="K105" s="374">
        <f>17464000+324300</f>
        <v>17788300</v>
      </c>
      <c r="L105" s="373">
        <f t="shared" ref="L105:L111" si="119">SUM(J105:K105)</f>
        <v>549688756</v>
      </c>
      <c r="M105" s="373">
        <f t="shared" ref="M105:M111" si="120">F105-I105</f>
        <v>-168747820</v>
      </c>
      <c r="N105" s="143">
        <f t="shared" ref="N105:N111" si="121">F105-L105</f>
        <v>117751244</v>
      </c>
      <c r="P105" s="372">
        <v>0</v>
      </c>
      <c r="Q105" s="375">
        <v>0</v>
      </c>
      <c r="R105" s="9"/>
      <c r="S105" s="705">
        <f>+IF(NOVIEMBRE!S105=0,"",NOVIEMBRE!S105)</f>
        <v>1020402</v>
      </c>
      <c r="T105" s="681" t="str">
        <f>+IF(NOVIEMBRE!T105=0,"",NOVIEMBRE!T105)</f>
        <v>Contribuciones - Otros</v>
      </c>
      <c r="U105" s="27">
        <f t="shared" ref="U105:AJ105" si="122">SUM(U106:U107)</f>
        <v>43075476</v>
      </c>
      <c r="V105" s="15">
        <f t="shared" si="122"/>
        <v>15000000</v>
      </c>
      <c r="W105" s="15">
        <f t="shared" si="122"/>
        <v>0</v>
      </c>
      <c r="X105" s="18">
        <f t="shared" si="122"/>
        <v>58075476</v>
      </c>
      <c r="Y105" s="19">
        <f t="shared" si="122"/>
        <v>42652578</v>
      </c>
      <c r="Z105" s="142">
        <f t="shared" si="122"/>
        <v>8356087</v>
      </c>
      <c r="AA105" s="18">
        <f t="shared" si="122"/>
        <v>51008665</v>
      </c>
      <c r="AB105" s="19">
        <f t="shared" si="122"/>
        <v>42652578</v>
      </c>
      <c r="AC105" s="142">
        <f t="shared" si="122"/>
        <v>8356087</v>
      </c>
      <c r="AD105" s="18">
        <f t="shared" si="122"/>
        <v>51008665</v>
      </c>
      <c r="AE105" s="19">
        <f t="shared" si="122"/>
        <v>42652578</v>
      </c>
      <c r="AF105" s="142">
        <f t="shared" si="122"/>
        <v>8356087</v>
      </c>
      <c r="AG105" s="18">
        <f t="shared" si="122"/>
        <v>51008665</v>
      </c>
      <c r="AH105" s="19">
        <f t="shared" si="122"/>
        <v>7066811</v>
      </c>
      <c r="AI105" s="15">
        <f t="shared" si="122"/>
        <v>7066811</v>
      </c>
      <c r="AJ105" s="16">
        <f t="shared" si="122"/>
        <v>7066811</v>
      </c>
      <c r="AK105" s="10"/>
      <c r="AL105" s="29">
        <f>SUM(AL106:AL107)</f>
        <v>0</v>
      </c>
      <c r="AM105" s="26">
        <f>SUM(AM106:AM107)</f>
        <v>0</v>
      </c>
      <c r="AN105" s="9"/>
      <c r="AO105" s="294"/>
      <c r="AP105" s="294"/>
      <c r="AQ105" s="294"/>
      <c r="AR105" s="294"/>
      <c r="AS105" s="294"/>
      <c r="AT105" s="294"/>
      <c r="AU105" s="294"/>
      <c r="AV105" s="294"/>
      <c r="AW105" s="294"/>
      <c r="AX105" s="294"/>
      <c r="AY105" s="294"/>
      <c r="AZ105" s="294"/>
      <c r="BQ105" s="461"/>
    </row>
    <row r="106" spans="1:70" s="382" customFormat="1" ht="24.95" customHeight="1">
      <c r="A106" s="740" t="str">
        <f>+IF(NOVIEMBRE!A106=0,"",NOVIEMBRE!A106)</f>
        <v>11304-2</v>
      </c>
      <c r="B106" s="620" t="str">
        <f>+IF(NOVIEMBRE!B106=0,"",NOVIEMBRE!B106)</f>
        <v>COMERCIALIZACIÓN DE MERCANCÍAS</v>
      </c>
      <c r="C106" s="669">
        <f>+ENERO!C106</f>
        <v>0</v>
      </c>
      <c r="D106" s="373">
        <f>NOVIEMBRE!D106+DICIEMBRE!P106</f>
        <v>0</v>
      </c>
      <c r="E106" s="373">
        <f>NOVIEMBRE!E106+DICIEMBRE!Q106</f>
        <v>0</v>
      </c>
      <c r="F106" s="373">
        <f t="shared" si="117"/>
        <v>0</v>
      </c>
      <c r="G106" s="373">
        <f>NOVIEMBRE!I106</f>
        <v>0</v>
      </c>
      <c r="H106" s="374">
        <v>0</v>
      </c>
      <c r="I106" s="373">
        <f t="shared" si="118"/>
        <v>0</v>
      </c>
      <c r="J106" s="373">
        <f>NOVIEMBRE!L106</f>
        <v>0</v>
      </c>
      <c r="K106" s="374">
        <v>0</v>
      </c>
      <c r="L106" s="373">
        <f t="shared" si="119"/>
        <v>0</v>
      </c>
      <c r="M106" s="373">
        <f t="shared" si="120"/>
        <v>0</v>
      </c>
      <c r="N106" s="143">
        <f t="shared" si="121"/>
        <v>0</v>
      </c>
      <c r="P106" s="372">
        <v>0</v>
      </c>
      <c r="Q106" s="375">
        <v>0</v>
      </c>
      <c r="R106" s="9"/>
      <c r="S106" s="706" t="str">
        <f>+IF(NOVIEMBRE!S106=0,"",NOVIEMBRE!S106)</f>
        <v>1020402-1</v>
      </c>
      <c r="T106" s="682" t="str">
        <f>+IF(NOVIEMBRE!T106=0,"",NOVIEMBRE!T106)</f>
        <v>S.E.N.A.</v>
      </c>
      <c r="U106" s="27">
        <f>+ENERO!U106</f>
        <v>25928061</v>
      </c>
      <c r="V106" s="15">
        <f>NOVIEMBRE!V106+DICIEMBRE!AL106</f>
        <v>0</v>
      </c>
      <c r="W106" s="15">
        <f>NOVIEMBRE!W106+DICIEMBRE!AM106</f>
        <v>0</v>
      </c>
      <c r="X106" s="18">
        <f>SUM(U106:W106)</f>
        <v>25928061</v>
      </c>
      <c r="Y106" s="19">
        <f>NOVIEMBRE!AA106</f>
        <v>17229817</v>
      </c>
      <c r="Z106" s="374">
        <v>3342435</v>
      </c>
      <c r="AA106" s="18">
        <f>SUM(Y106:Z106)</f>
        <v>20572252</v>
      </c>
      <c r="AB106" s="19">
        <f>NOVIEMBRE!AD106</f>
        <v>17229817</v>
      </c>
      <c r="AC106" s="374">
        <v>3342435</v>
      </c>
      <c r="AD106" s="18">
        <f>SUM(AB106:AC106)</f>
        <v>20572252</v>
      </c>
      <c r="AE106" s="19">
        <f>NOVIEMBRE!AG106</f>
        <v>17229817</v>
      </c>
      <c r="AF106" s="374">
        <v>3342435</v>
      </c>
      <c r="AG106" s="18">
        <f>SUM(AE106:AF106)</f>
        <v>20572252</v>
      </c>
      <c r="AH106" s="19">
        <f>X106-AA106</f>
        <v>5355809</v>
      </c>
      <c r="AI106" s="15">
        <f>X106-AD106</f>
        <v>5355809</v>
      </c>
      <c r="AJ106" s="16">
        <f>X106-AG106</f>
        <v>5355809</v>
      </c>
      <c r="AK106" s="9"/>
      <c r="AL106" s="372">
        <v>0</v>
      </c>
      <c r="AM106" s="375">
        <v>0</v>
      </c>
      <c r="AN106" s="9"/>
      <c r="AO106" s="294"/>
      <c r="AP106" s="294"/>
      <c r="AQ106" s="294"/>
      <c r="AR106" s="294"/>
      <c r="AS106" s="294"/>
      <c r="AT106" s="294"/>
      <c r="AU106" s="294"/>
      <c r="AV106" s="294"/>
      <c r="AW106" s="294"/>
      <c r="AX106" s="294"/>
      <c r="AY106" s="294"/>
      <c r="AZ106" s="294"/>
      <c r="BQ106" s="461"/>
    </row>
    <row r="107" spans="1:70" s="382" customFormat="1" ht="24.95" customHeight="1">
      <c r="A107" s="740" t="str">
        <f>+IF(NOVIEMBRE!A107=0,"",NOVIEMBRE!A107)</f>
        <v>11304-3</v>
      </c>
      <c r="B107" s="619" t="str">
        <f>+IF(NOVIEMBRE!B107=0,"",NOVIEMBRE!B107)</f>
        <v>Bienestar Social</v>
      </c>
      <c r="C107" s="669">
        <f>+ENERO!C107</f>
        <v>0</v>
      </c>
      <c r="D107" s="373">
        <f>NOVIEMBRE!D107+DICIEMBRE!P107</f>
        <v>0</v>
      </c>
      <c r="E107" s="373">
        <f>NOVIEMBRE!E107+DICIEMBRE!Q107</f>
        <v>445983</v>
      </c>
      <c r="F107" s="373">
        <f t="shared" si="117"/>
        <v>445983</v>
      </c>
      <c r="G107" s="373">
        <f>NOVIEMBRE!I107</f>
        <v>445983</v>
      </c>
      <c r="H107" s="374">
        <v>0</v>
      </c>
      <c r="I107" s="373">
        <f t="shared" si="118"/>
        <v>445983</v>
      </c>
      <c r="J107" s="373">
        <f>NOVIEMBRE!L107</f>
        <v>445983</v>
      </c>
      <c r="K107" s="374">
        <v>0</v>
      </c>
      <c r="L107" s="373">
        <f t="shared" si="119"/>
        <v>445983</v>
      </c>
      <c r="M107" s="373">
        <f t="shared" si="120"/>
        <v>0</v>
      </c>
      <c r="N107" s="2912">
        <f t="shared" si="121"/>
        <v>0</v>
      </c>
      <c r="P107" s="372">
        <v>0</v>
      </c>
      <c r="Q107" s="375">
        <v>445983</v>
      </c>
      <c r="R107" s="9"/>
      <c r="S107" s="706" t="str">
        <f>+IF(NOVIEMBRE!S107=0,"",NOVIEMBRE!S107)</f>
        <v>1020402-2</v>
      </c>
      <c r="T107" s="682" t="str">
        <f>+IF(NOVIEMBRE!T107=0,"",NOVIEMBRE!T107)</f>
        <v>I.C.B.F.</v>
      </c>
      <c r="U107" s="27">
        <f>+ENERO!U107</f>
        <v>17147415</v>
      </c>
      <c r="V107" s="15">
        <f>NOVIEMBRE!V107+DICIEMBRE!AL107</f>
        <v>15000000</v>
      </c>
      <c r="W107" s="15">
        <f>NOVIEMBRE!W107+DICIEMBRE!AM107</f>
        <v>0</v>
      </c>
      <c r="X107" s="18">
        <f>SUM(U107:W107)</f>
        <v>32147415</v>
      </c>
      <c r="Y107" s="19">
        <f>NOVIEMBRE!AA107</f>
        <v>25422761</v>
      </c>
      <c r="Z107" s="374">
        <v>5013652</v>
      </c>
      <c r="AA107" s="18">
        <f>SUM(Y107:Z107)</f>
        <v>30436413</v>
      </c>
      <c r="AB107" s="19">
        <f>NOVIEMBRE!AD107</f>
        <v>25422761</v>
      </c>
      <c r="AC107" s="374">
        <v>5013652</v>
      </c>
      <c r="AD107" s="18">
        <f>SUM(AB107:AC107)</f>
        <v>30436413</v>
      </c>
      <c r="AE107" s="19">
        <f>NOVIEMBRE!AG107</f>
        <v>25422761</v>
      </c>
      <c r="AF107" s="374">
        <v>5013652</v>
      </c>
      <c r="AG107" s="18">
        <f>SUM(AE107:AF107)</f>
        <v>30436413</v>
      </c>
      <c r="AH107" s="19">
        <f>X107-AA107</f>
        <v>1711002</v>
      </c>
      <c r="AI107" s="15">
        <f>X107-AD107</f>
        <v>1711002</v>
      </c>
      <c r="AJ107" s="16">
        <f>X107-AG107</f>
        <v>1711002</v>
      </c>
      <c r="AK107" s="9"/>
      <c r="AL107" s="372">
        <v>0</v>
      </c>
      <c r="AM107" s="375">
        <v>0</v>
      </c>
      <c r="AN107" s="9"/>
      <c r="AO107" s="294"/>
      <c r="AP107" s="294"/>
      <c r="AQ107" s="294"/>
      <c r="AR107" s="294"/>
      <c r="AS107" s="294"/>
      <c r="AT107" s="294"/>
      <c r="AU107" s="294"/>
      <c r="AV107" s="294"/>
      <c r="AW107" s="294"/>
      <c r="AX107" s="294"/>
      <c r="AY107" s="294"/>
      <c r="AZ107" s="294"/>
      <c r="BQ107" s="461"/>
    </row>
    <row r="108" spans="1:70" s="382" customFormat="1" ht="24.95" customHeight="1">
      <c r="A108" s="740" t="str">
        <f>+IF(NOVIEMBRE!A108=0,"",NOVIEMBRE!A108)</f>
        <v>11304-4</v>
      </c>
      <c r="B108" s="619" t="str">
        <f>+IF(NOVIEMBRE!B108=0,"",NOVIEMBRE!B108)</f>
        <v>Fondo de la Vivienda</v>
      </c>
      <c r="C108" s="669">
        <f>+ENERO!C108</f>
        <v>0</v>
      </c>
      <c r="D108" s="373">
        <f>NOVIEMBRE!D108+DICIEMBRE!P108</f>
        <v>0</v>
      </c>
      <c r="E108" s="373">
        <f>NOVIEMBRE!E108+DICIEMBRE!Q108</f>
        <v>30686700</v>
      </c>
      <c r="F108" s="373">
        <f t="shared" si="117"/>
        <v>30686700</v>
      </c>
      <c r="G108" s="373">
        <f>NOVIEMBRE!I108</f>
        <v>30179700</v>
      </c>
      <c r="H108" s="374">
        <v>1598230</v>
      </c>
      <c r="I108" s="373">
        <f t="shared" si="118"/>
        <v>31777930</v>
      </c>
      <c r="J108" s="373">
        <f>NOVIEMBRE!L108</f>
        <v>30179700</v>
      </c>
      <c r="K108" s="374">
        <v>1598230</v>
      </c>
      <c r="L108" s="373">
        <f t="shared" si="119"/>
        <v>31777930</v>
      </c>
      <c r="M108" s="373">
        <f t="shared" si="120"/>
        <v>-1091230</v>
      </c>
      <c r="N108" s="2912">
        <f t="shared" si="121"/>
        <v>-1091230</v>
      </c>
      <c r="P108" s="372">
        <v>0</v>
      </c>
      <c r="Q108" s="375">
        <v>30686700</v>
      </c>
      <c r="R108" s="9"/>
      <c r="S108" s="705">
        <f>+IF(NOVIEMBRE!S108=0,"",NOVIEMBRE!S108)</f>
        <v>1020499</v>
      </c>
      <c r="T108" s="681" t="str">
        <f>+IF(NOVIEMBRE!T108=0,"",NOVIEMBRE!T108)</f>
        <v>Vigencias Anteriores</v>
      </c>
      <c r="U108" s="27">
        <f>+ENERO!U108</f>
        <v>0</v>
      </c>
      <c r="V108" s="15">
        <f>NOVIEMBRE!V108+DICIEMBRE!AL108</f>
        <v>0</v>
      </c>
      <c r="W108" s="15">
        <f>NOVIEMBRE!W108+DICIEMBRE!AM108</f>
        <v>0</v>
      </c>
      <c r="X108" s="18">
        <f>SUM(U108:W108)</f>
        <v>0</v>
      </c>
      <c r="Y108" s="19">
        <f>NOVIEMBRE!AA108</f>
        <v>0</v>
      </c>
      <c r="Z108" s="374">
        <v>0</v>
      </c>
      <c r="AA108" s="18">
        <f>SUM(Y108:Z108)</f>
        <v>0</v>
      </c>
      <c r="AB108" s="19">
        <f>NOVIEMBRE!AD108</f>
        <v>0</v>
      </c>
      <c r="AC108" s="374">
        <v>0</v>
      </c>
      <c r="AD108" s="18">
        <f>SUM(AB108:AC108)</f>
        <v>0</v>
      </c>
      <c r="AE108" s="19">
        <f>NOVIEMBRE!AG108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c r="BQ108" s="461"/>
    </row>
    <row r="109" spans="1:70" s="382" customFormat="1" ht="24.95" customHeight="1">
      <c r="A109" s="740" t="str">
        <f>+IF(NOVIEMBRE!A109=0,"",NOVIEMBRE!A109)</f>
        <v>11304-5</v>
      </c>
      <c r="B109" s="619" t="str">
        <f>+IF(NOVIEMBRE!B109=0,"",NOVIEMBRE!B109)</f>
        <v xml:space="preserve">Aprovechamientos </v>
      </c>
      <c r="C109" s="669">
        <f>+ENERO!C109</f>
        <v>0</v>
      </c>
      <c r="D109" s="373">
        <f>NOVIEMBRE!D109+DICIEMBRE!P109</f>
        <v>0</v>
      </c>
      <c r="E109" s="373">
        <f>NOVIEMBRE!E109+DICIEMBRE!Q109</f>
        <v>0</v>
      </c>
      <c r="F109" s="373">
        <f t="shared" si="117"/>
        <v>0</v>
      </c>
      <c r="G109" s="373">
        <f>NOVIEMBRE!I109</f>
        <v>0</v>
      </c>
      <c r="H109" s="374">
        <v>0</v>
      </c>
      <c r="I109" s="373">
        <f t="shared" si="118"/>
        <v>0</v>
      </c>
      <c r="J109" s="373">
        <f>NOVIEMBRE!L109</f>
        <v>0</v>
      </c>
      <c r="K109" s="374">
        <v>0</v>
      </c>
      <c r="L109" s="373">
        <f t="shared" si="119"/>
        <v>0</v>
      </c>
      <c r="M109" s="373">
        <f t="shared" si="120"/>
        <v>0</v>
      </c>
      <c r="N109" s="143">
        <f t="shared" si="121"/>
        <v>0</v>
      </c>
      <c r="P109" s="372">
        <v>0</v>
      </c>
      <c r="Q109" s="375">
        <v>0</v>
      </c>
      <c r="R109" s="9"/>
      <c r="S109" s="366" t="str">
        <f>+IF(NOVIEMBRE!S109=0,"",NOVIEMBRE!S109)</f>
        <v/>
      </c>
      <c r="T109" s="695"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c r="BQ109" s="461"/>
    </row>
    <row r="110" spans="1:70" s="382" customFormat="1" ht="24.95" customHeight="1">
      <c r="A110" s="740" t="str">
        <f>+IF(NOVIEMBRE!A110=0,"",NOVIEMBRE!A110)</f>
        <v>11304-6</v>
      </c>
      <c r="B110" s="619" t="str">
        <f>+IF(NOVIEMBRE!B110=0,"",NOVIEMBRE!B110)</f>
        <v>Otros</v>
      </c>
      <c r="C110" s="669">
        <f>+ENERO!C110</f>
        <v>0</v>
      </c>
      <c r="D110" s="373">
        <f>NOVIEMBRE!D110+DICIEMBRE!P110</f>
        <v>0</v>
      </c>
      <c r="E110" s="373">
        <f>NOVIEMBRE!E110+DICIEMBRE!Q110</f>
        <v>160984580</v>
      </c>
      <c r="F110" s="373">
        <f t="shared" si="117"/>
        <v>160984580</v>
      </c>
      <c r="G110" s="373">
        <f>NOVIEMBRE!I110</f>
        <v>310718700</v>
      </c>
      <c r="H110" s="374">
        <v>20931778</v>
      </c>
      <c r="I110" s="373">
        <f t="shared" si="118"/>
        <v>331650478</v>
      </c>
      <c r="J110" s="373">
        <f>NOVIEMBRE!L110</f>
        <v>160758480</v>
      </c>
      <c r="K110" s="374">
        <f>550400-324300</f>
        <v>226100</v>
      </c>
      <c r="L110" s="373">
        <f t="shared" si="119"/>
        <v>160984580</v>
      </c>
      <c r="M110" s="373">
        <f t="shared" si="120"/>
        <v>-170665898</v>
      </c>
      <c r="N110" s="2912">
        <f t="shared" si="121"/>
        <v>0</v>
      </c>
      <c r="P110" s="372">
        <v>0</v>
      </c>
      <c r="Q110" s="375">
        <v>51079179</v>
      </c>
      <c r="R110" s="9"/>
      <c r="S110" s="703">
        <f>+IF(NOVIEMBRE!S110=0,"",NOVIEMBRE!S110)</f>
        <v>2000000</v>
      </c>
      <c r="T110" s="685" t="str">
        <f>+IF(NOVIEMBRE!T110=0,"",NOVIEMBRE!T110)</f>
        <v>GASTOS GENERALES</v>
      </c>
      <c r="U110" s="470">
        <f t="shared" ref="U110:AJ110" si="123">U112+U145</f>
        <v>7574161274</v>
      </c>
      <c r="V110" s="471">
        <f t="shared" si="123"/>
        <v>-355270834</v>
      </c>
      <c r="W110" s="471">
        <f t="shared" si="123"/>
        <v>4076193088</v>
      </c>
      <c r="X110" s="472">
        <f t="shared" si="123"/>
        <v>11295083528</v>
      </c>
      <c r="Y110" s="379">
        <f t="shared" si="123"/>
        <v>9082559390</v>
      </c>
      <c r="Z110" s="471">
        <f t="shared" si="123"/>
        <v>-122452310</v>
      </c>
      <c r="AA110" s="472">
        <f t="shared" si="123"/>
        <v>8960107080</v>
      </c>
      <c r="AB110" s="379">
        <f t="shared" si="123"/>
        <v>8238863200</v>
      </c>
      <c r="AC110" s="471">
        <f t="shared" si="123"/>
        <v>721243880</v>
      </c>
      <c r="AD110" s="472">
        <f t="shared" si="123"/>
        <v>8960107080</v>
      </c>
      <c r="AE110" s="379">
        <f t="shared" si="123"/>
        <v>5439821046</v>
      </c>
      <c r="AF110" s="471">
        <f t="shared" si="123"/>
        <v>673241851</v>
      </c>
      <c r="AG110" s="472">
        <f t="shared" si="123"/>
        <v>6113062897</v>
      </c>
      <c r="AH110" s="379">
        <f t="shared" si="123"/>
        <v>2334976448</v>
      </c>
      <c r="AI110" s="471">
        <f t="shared" si="123"/>
        <v>2334976448</v>
      </c>
      <c r="AJ110" s="380">
        <f t="shared" si="123"/>
        <v>5182020631</v>
      </c>
      <c r="AK110" s="10"/>
      <c r="AL110" s="128">
        <f>AL112+AL145</f>
        <v>-235358642</v>
      </c>
      <c r="AM110" s="130">
        <f>AM112+AM145</f>
        <v>292445983</v>
      </c>
      <c r="AN110" s="9"/>
      <c r="AO110" s="294"/>
      <c r="AP110" s="294"/>
      <c r="AQ110" s="294"/>
      <c r="AR110" s="294"/>
      <c r="AS110" s="294"/>
      <c r="AT110" s="294"/>
      <c r="AU110" s="294"/>
      <c r="AV110" s="294"/>
      <c r="AW110" s="294"/>
      <c r="AX110" s="294"/>
      <c r="AY110" s="294"/>
      <c r="AZ110" s="294"/>
      <c r="BQ110" s="461"/>
    </row>
    <row r="111" spans="1:70" s="382" customFormat="1" ht="24.95" customHeight="1" thickBot="1">
      <c r="A111" s="740" t="str">
        <f>+IF(NOVIEMBRE!A111=0,"",NOVIEMBRE!A111)</f>
        <v>11304-7</v>
      </c>
      <c r="B111" s="654" t="str">
        <f>+IF(NOVIEMBRE!B111=0,"",NOVIEMBRE!B111)</f>
        <v>Vigencia Anterior</v>
      </c>
      <c r="C111" s="770">
        <f>+ENERO!C111</f>
        <v>0</v>
      </c>
      <c r="D111" s="385">
        <f>NOVIEMBRE!D111+DICIEMBRE!P111</f>
        <v>0</v>
      </c>
      <c r="E111" s="385">
        <f>NOVIEMBRE!E111+DICIEMBRE!Q111</f>
        <v>0</v>
      </c>
      <c r="F111" s="385">
        <f t="shared" si="117"/>
        <v>0</v>
      </c>
      <c r="G111" s="385">
        <f>NOVIEMBRE!I111</f>
        <v>0</v>
      </c>
      <c r="H111" s="388">
        <v>0</v>
      </c>
      <c r="I111" s="385">
        <f t="shared" si="118"/>
        <v>0</v>
      </c>
      <c r="J111" s="385">
        <f>NOVIEMBRE!L111</f>
        <v>0</v>
      </c>
      <c r="K111" s="388">
        <v>0</v>
      </c>
      <c r="L111" s="385">
        <f t="shared" si="119"/>
        <v>0</v>
      </c>
      <c r="M111" s="385">
        <f t="shared" si="120"/>
        <v>0</v>
      </c>
      <c r="N111" s="386">
        <f t="shared" si="121"/>
        <v>0</v>
      </c>
      <c r="P111" s="372">
        <v>0</v>
      </c>
      <c r="Q111" s="375">
        <v>0</v>
      </c>
      <c r="R111" s="9"/>
      <c r="S111" s="366" t="str">
        <f>+IF(NOVIEMBRE!S111=0,"",NOVIEMBRE!S111)</f>
        <v/>
      </c>
      <c r="T111" s="695"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c r="BQ111" s="461"/>
    </row>
    <row r="112" spans="1:70" s="382" customFormat="1" ht="24.95" customHeight="1" thickBot="1">
      <c r="A112" s="741" t="str">
        <f>+IF(NOVIEMBRE!A112=0,"",NOVIEMBRE!A112)</f>
        <v/>
      </c>
      <c r="B112" s="653" t="str">
        <f>+IF(NOVIEMBRE!B112=0,"",NOVIEMBRE!B112)</f>
        <v/>
      </c>
      <c r="C112" s="480"/>
      <c r="D112" s="480"/>
      <c r="E112" s="480"/>
      <c r="F112" s="480"/>
      <c r="G112" s="480"/>
      <c r="H112" s="480"/>
      <c r="I112" s="480"/>
      <c r="J112" s="480"/>
      <c r="K112" s="480"/>
      <c r="L112" s="480"/>
      <c r="M112" s="480"/>
      <c r="N112" s="481"/>
      <c r="P112" s="482"/>
      <c r="Q112" s="481"/>
      <c r="R112" s="9"/>
      <c r="S112" s="703">
        <f>+IF(NOVIEMBRE!S112=0,"",NOVIEMBRE!S112)</f>
        <v>2010000</v>
      </c>
      <c r="T112" s="679" t="str">
        <f>+IF(NOVIEMBRE!T112=0,"",NOVIEMBRE!T112)</f>
        <v>Gastos de Administración</v>
      </c>
      <c r="U112" s="132">
        <f t="shared" ref="U112:AJ112" si="124">U114+U123+U141</f>
        <v>4915028612</v>
      </c>
      <c r="V112" s="122">
        <f t="shared" si="124"/>
        <v>782281712</v>
      </c>
      <c r="W112" s="122">
        <f t="shared" si="124"/>
        <v>2226193088</v>
      </c>
      <c r="X112" s="129">
        <f t="shared" si="124"/>
        <v>7923503412</v>
      </c>
      <c r="Y112" s="128">
        <f t="shared" si="124"/>
        <v>6639369198</v>
      </c>
      <c r="Z112" s="122">
        <f t="shared" si="124"/>
        <v>163828362</v>
      </c>
      <c r="AA112" s="129">
        <f t="shared" si="124"/>
        <v>6803197560</v>
      </c>
      <c r="AB112" s="128">
        <f t="shared" si="124"/>
        <v>6175802167</v>
      </c>
      <c r="AC112" s="122">
        <f t="shared" si="124"/>
        <v>627395393</v>
      </c>
      <c r="AD112" s="129">
        <f t="shared" si="124"/>
        <v>6803197560</v>
      </c>
      <c r="AE112" s="128">
        <f t="shared" si="124"/>
        <v>4356205161</v>
      </c>
      <c r="AF112" s="122">
        <f t="shared" si="124"/>
        <v>484062981</v>
      </c>
      <c r="AG112" s="129">
        <f t="shared" si="124"/>
        <v>4840268142</v>
      </c>
      <c r="AH112" s="128">
        <f t="shared" si="124"/>
        <v>1120305852</v>
      </c>
      <c r="AI112" s="122">
        <f t="shared" si="124"/>
        <v>1120305852</v>
      </c>
      <c r="AJ112" s="130">
        <f t="shared" si="124"/>
        <v>3083235270</v>
      </c>
      <c r="AK112" s="9"/>
      <c r="AL112" s="128">
        <f>AL114+AL123+AL141</f>
        <v>-83030882</v>
      </c>
      <c r="AM112" s="130">
        <f>AM114+AM123+AM141</f>
        <v>292445983</v>
      </c>
      <c r="AN112" s="9"/>
      <c r="AO112" s="294"/>
      <c r="AP112" s="294"/>
      <c r="AQ112" s="294"/>
      <c r="AR112" s="294"/>
      <c r="AS112" s="294"/>
      <c r="AT112" s="294"/>
      <c r="AU112" s="294"/>
      <c r="AV112" s="294"/>
      <c r="AW112" s="294"/>
      <c r="AX112" s="294"/>
      <c r="AY112" s="294"/>
      <c r="AZ112" s="294"/>
      <c r="BQ112" s="461"/>
    </row>
    <row r="113" spans="1:69" s="382" customFormat="1" ht="24.95" customHeight="1" thickBot="1">
      <c r="A113" s="730">
        <f>+IF(NOVIEMBRE!A113=0,"",NOVIEMBRE!A113)</f>
        <v>2000</v>
      </c>
      <c r="B113" s="640" t="str">
        <f>+IF(NOVIEMBRE!B113=0,"",NOVIEMBRE!B113)</f>
        <v>INGRESOS DE CAPITAL</v>
      </c>
      <c r="C113" s="623">
        <f>SUM(C115:C124)</f>
        <v>9052927194</v>
      </c>
      <c r="D113" s="624">
        <f>SUM(D115:D124)</f>
        <v>0</v>
      </c>
      <c r="E113" s="624">
        <f t="shared" ref="E113:N113" si="125">SUM(E115:E124)</f>
        <v>158049585</v>
      </c>
      <c r="F113" s="624">
        <f t="shared" si="125"/>
        <v>9210976779</v>
      </c>
      <c r="G113" s="624">
        <f t="shared" si="125"/>
        <v>339634025</v>
      </c>
      <c r="H113" s="624">
        <f t="shared" si="125"/>
        <v>1420293614</v>
      </c>
      <c r="I113" s="624">
        <f t="shared" si="125"/>
        <v>1759927639</v>
      </c>
      <c r="J113" s="624">
        <f t="shared" si="125"/>
        <v>339634025</v>
      </c>
      <c r="K113" s="624">
        <f t="shared" si="125"/>
        <v>1420293614</v>
      </c>
      <c r="L113" s="624">
        <f t="shared" si="125"/>
        <v>1759927639</v>
      </c>
      <c r="M113" s="624">
        <f t="shared" si="125"/>
        <v>7451049140</v>
      </c>
      <c r="N113" s="625">
        <f t="shared" si="125"/>
        <v>7451049140</v>
      </c>
      <c r="O113" s="461"/>
      <c r="P113" s="174">
        <f>SUM(P115:P124)</f>
        <v>0</v>
      </c>
      <c r="Q113" s="175">
        <f>SUM(Q115:Q124)</f>
        <v>153560762</v>
      </c>
      <c r="R113" s="9"/>
      <c r="S113" s="366" t="str">
        <f>+IF(NOVIEMBRE!S113=0,"",NOVIEMBRE!S113)</f>
        <v/>
      </c>
      <c r="T113" s="695"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c r="BQ113" s="461"/>
    </row>
    <row r="114" spans="1:69" s="382" customFormat="1" ht="24.95" customHeight="1" thickBot="1">
      <c r="A114" s="741" t="str">
        <f>+IF(NOVIEMBRE!A114=0,"",NOVIEMBRE!A114)</f>
        <v/>
      </c>
      <c r="B114" s="653" t="str">
        <f>+IF(NOVIEMBRE!B114=0,"",NOVIEMBRE!B114)</f>
        <v/>
      </c>
      <c r="C114" s="480"/>
      <c r="D114" s="480"/>
      <c r="E114" s="480"/>
      <c r="F114" s="480"/>
      <c r="G114" s="480"/>
      <c r="H114" s="480"/>
      <c r="I114" s="480"/>
      <c r="J114" s="480"/>
      <c r="K114" s="480"/>
      <c r="L114" s="480"/>
      <c r="M114" s="480"/>
      <c r="N114" s="481"/>
      <c r="P114" s="482"/>
      <c r="Q114" s="481"/>
      <c r="R114" s="9"/>
      <c r="S114" s="704">
        <f>+IF(NOVIEMBRE!S114=0,"",NOVIEMBRE!S114)</f>
        <v>2010100</v>
      </c>
      <c r="T114" s="680" t="str">
        <f>+IF(NOVIEMBRE!T114=0,"",NOVIEMBRE!T114)</f>
        <v>Adquisición de bienes</v>
      </c>
      <c r="U114" s="132">
        <f t="shared" ref="U114:AJ114" si="126">SUM(U115:U121)</f>
        <v>256200000</v>
      </c>
      <c r="V114" s="122">
        <f t="shared" si="126"/>
        <v>542477737</v>
      </c>
      <c r="W114" s="122">
        <f t="shared" si="126"/>
        <v>380000000</v>
      </c>
      <c r="X114" s="129">
        <f t="shared" si="126"/>
        <v>1178677737</v>
      </c>
      <c r="Y114" s="128">
        <f t="shared" si="126"/>
        <v>377212178</v>
      </c>
      <c r="Z114" s="122">
        <f t="shared" si="126"/>
        <v>-10457284</v>
      </c>
      <c r="AA114" s="129">
        <f t="shared" si="126"/>
        <v>366754894</v>
      </c>
      <c r="AB114" s="128">
        <f t="shared" si="126"/>
        <v>304041683</v>
      </c>
      <c r="AC114" s="122">
        <f t="shared" si="126"/>
        <v>62713211</v>
      </c>
      <c r="AD114" s="129">
        <f t="shared" si="126"/>
        <v>366754894</v>
      </c>
      <c r="AE114" s="128">
        <f t="shared" si="126"/>
        <v>229173576</v>
      </c>
      <c r="AF114" s="122">
        <f t="shared" si="126"/>
        <v>26673224</v>
      </c>
      <c r="AG114" s="129">
        <f t="shared" si="126"/>
        <v>255846800</v>
      </c>
      <c r="AH114" s="128">
        <f t="shared" si="126"/>
        <v>811922843</v>
      </c>
      <c r="AI114" s="122">
        <f t="shared" si="126"/>
        <v>811922843</v>
      </c>
      <c r="AJ114" s="130">
        <f t="shared" si="126"/>
        <v>922830937</v>
      </c>
      <c r="AK114" s="9"/>
      <c r="AL114" s="128">
        <f>SUM(AL115:AL121)</f>
        <v>-98481682</v>
      </c>
      <c r="AM114" s="130">
        <f>SUM(AM115:AM121)</f>
        <v>0</v>
      </c>
      <c r="AN114" s="9"/>
      <c r="AO114" s="294"/>
      <c r="AP114" s="294"/>
      <c r="AQ114" s="294"/>
      <c r="AR114" s="294"/>
      <c r="AS114" s="294"/>
      <c r="AT114" s="294"/>
      <c r="AU114" s="294"/>
      <c r="AV114" s="294"/>
      <c r="AW114" s="294"/>
      <c r="AX114" s="294"/>
      <c r="AY114" s="294"/>
      <c r="AZ114" s="294"/>
      <c r="BQ114" s="461"/>
    </row>
    <row r="115" spans="1:69" s="382" customFormat="1" ht="24.95" customHeight="1">
      <c r="A115" s="742">
        <f>+IF(NOVIEMBRE!A115=0,"",NOVIEMBRE!A115)</f>
        <v>2100</v>
      </c>
      <c r="B115" s="626" t="str">
        <f>+IF(NOVIEMBRE!B115=0,"",NOVIEMBRE!B115)</f>
        <v>CREDITO INTERNO</v>
      </c>
      <c r="C115" s="671">
        <f>+ENERO!C115</f>
        <v>0</v>
      </c>
      <c r="D115" s="464">
        <f>NOVIEMBRE!D115+DICIEMBRE!P115</f>
        <v>0</v>
      </c>
      <c r="E115" s="464">
        <f>NOVIEMBRE!E115+DICIEMBRE!Q115</f>
        <v>0</v>
      </c>
      <c r="F115" s="468">
        <f t="shared" ref="F115:F124" si="127">SUM(C115:E115)</f>
        <v>0</v>
      </c>
      <c r="G115" s="466">
        <f>NOVIEMBRE!I115</f>
        <v>0</v>
      </c>
      <c r="H115" s="374">
        <v>0</v>
      </c>
      <c r="I115" s="468">
        <f t="shared" ref="I115:I124" si="128">SUM(G115:H115)</f>
        <v>0</v>
      </c>
      <c r="J115" s="466">
        <f>NOVIEMBRE!L115</f>
        <v>0</v>
      </c>
      <c r="K115" s="374">
        <v>0</v>
      </c>
      <c r="L115" s="465">
        <f t="shared" ref="L115:L124" si="129">SUM(J115:K115)</f>
        <v>0</v>
      </c>
      <c r="M115" s="469">
        <f t="shared" ref="M115:M124" si="130">F115-I115</f>
        <v>0</v>
      </c>
      <c r="N115" s="465">
        <f t="shared" ref="N115:N124" si="131">F115-L115</f>
        <v>0</v>
      </c>
      <c r="O115" s="461"/>
      <c r="P115" s="372">
        <v>0</v>
      </c>
      <c r="Q115" s="375">
        <v>0</v>
      </c>
      <c r="R115" s="9"/>
      <c r="S115" s="705" t="str">
        <f>+IF(NOVIEMBRE!S115=0,"",NOVIEMBRE!S115)</f>
        <v>2010100-1</v>
      </c>
      <c r="T115" s="681" t="str">
        <f>+IF(NOVIEMBRE!T115=0,"",NOVIEMBRE!T115)</f>
        <v>Compra de Equipos</v>
      </c>
      <c r="U115" s="27">
        <f>+ENERO!U115</f>
        <v>175000000</v>
      </c>
      <c r="V115" s="15">
        <f>NOVIEMBRE!V115+DICIEMBRE!AL115</f>
        <v>690000000</v>
      </c>
      <c r="W115" s="15">
        <f>NOVIEMBRE!W115+DICIEMBRE!AM115</f>
        <v>0</v>
      </c>
      <c r="X115" s="18">
        <f t="shared" ref="X115:X121" si="132">SUM(U115:W115)</f>
        <v>865000000</v>
      </c>
      <c r="Y115" s="19">
        <f>NOVIEMBRE!AA115</f>
        <v>71296653</v>
      </c>
      <c r="Z115" s="374">
        <v>5747706</v>
      </c>
      <c r="AA115" s="18">
        <f t="shared" ref="AA115:AA121" si="133">SUM(Y115:Z115)</f>
        <v>77044359</v>
      </c>
      <c r="AB115" s="19">
        <f>NOVIEMBRE!AD115</f>
        <v>67807359</v>
      </c>
      <c r="AC115" s="374">
        <v>9237000</v>
      </c>
      <c r="AD115" s="18">
        <f t="shared" ref="AD115:AD121" si="134">SUM(AB115:AC115)</f>
        <v>77044359</v>
      </c>
      <c r="AE115" s="19">
        <f>NOVIEMBRE!AG115</f>
        <v>55583576</v>
      </c>
      <c r="AF115" s="374">
        <v>9237000</v>
      </c>
      <c r="AG115" s="18">
        <f t="shared" ref="AG115:AG121" si="135">SUM(AE115:AF115)</f>
        <v>64820576</v>
      </c>
      <c r="AH115" s="19">
        <f t="shared" ref="AH115:AH121" si="136">X115-AA115</f>
        <v>787955641</v>
      </c>
      <c r="AI115" s="15">
        <f t="shared" ref="AI115:AI121" si="137">X115-AD115</f>
        <v>787955641</v>
      </c>
      <c r="AJ115" s="16">
        <f t="shared" ref="AJ115:AJ121" si="138">X115-AG115</f>
        <v>800179424</v>
      </c>
      <c r="AK115" s="9"/>
      <c r="AL115" s="372">
        <v>-50000000</v>
      </c>
      <c r="AM115" s="375">
        <v>0</v>
      </c>
      <c r="AN115" s="9"/>
      <c r="AO115" s="294"/>
      <c r="AP115" s="294"/>
      <c r="AQ115" s="294"/>
      <c r="AR115" s="294"/>
      <c r="AS115" s="294"/>
      <c r="AT115" s="294"/>
      <c r="AU115" s="294"/>
      <c r="AV115" s="294"/>
      <c r="AW115" s="294"/>
      <c r="AX115" s="294"/>
      <c r="AY115" s="294"/>
      <c r="AZ115" s="294"/>
      <c r="BQ115" s="461"/>
    </row>
    <row r="116" spans="1:69" s="382" customFormat="1" ht="24.95" customHeight="1">
      <c r="A116" s="742" t="str">
        <f>+IF(NOVIEMBRE!A116=0,"",NOVIEMBRE!A116)</f>
        <v>2100-1</v>
      </c>
      <c r="B116" s="627" t="str">
        <f>+IF(NOVIEMBRE!B116=0,"",NOVIEMBRE!B116)</f>
        <v>Vigencia Anterior</v>
      </c>
      <c r="C116" s="671">
        <f>+ENERO!C116</f>
        <v>0</v>
      </c>
      <c r="D116" s="464">
        <f>NOVIEMBRE!D116+DICIEMBRE!P116</f>
        <v>0</v>
      </c>
      <c r="E116" s="464">
        <f>NOVIEMBRE!E116+DICIEMBRE!Q116</f>
        <v>0</v>
      </c>
      <c r="F116" s="468">
        <f t="shared" si="127"/>
        <v>0</v>
      </c>
      <c r="G116" s="466">
        <f>NOVIEMBRE!I116</f>
        <v>0</v>
      </c>
      <c r="H116" s="374">
        <v>0</v>
      </c>
      <c r="I116" s="468">
        <f t="shared" si="128"/>
        <v>0</v>
      </c>
      <c r="J116" s="466">
        <f>NOVIEMBRE!L116</f>
        <v>0</v>
      </c>
      <c r="K116" s="374">
        <v>0</v>
      </c>
      <c r="L116" s="465">
        <f t="shared" si="129"/>
        <v>0</v>
      </c>
      <c r="M116" s="469">
        <f t="shared" si="130"/>
        <v>0</v>
      </c>
      <c r="N116" s="465">
        <f t="shared" si="131"/>
        <v>0</v>
      </c>
      <c r="O116" s="461"/>
      <c r="P116" s="372">
        <v>0</v>
      </c>
      <c r="Q116" s="375">
        <v>0</v>
      </c>
      <c r="R116" s="9"/>
      <c r="S116" s="705" t="str">
        <f>+IF(NOVIEMBRE!S116=0,"",NOVIEMBRE!S116)</f>
        <v>2010100-2</v>
      </c>
      <c r="T116" s="681" t="str">
        <f>+IF(NOVIEMBRE!T116=0,"",NOVIEMBRE!T116)</f>
        <v>Materiales</v>
      </c>
      <c r="U116" s="27">
        <f>+ENERO!U116</f>
        <v>76200000</v>
      </c>
      <c r="V116" s="15">
        <f>NOVIEMBRE!V116+DICIEMBRE!AL116</f>
        <v>-10000000</v>
      </c>
      <c r="W116" s="15">
        <f>NOVIEMBRE!W116+DICIEMBRE!AM116</f>
        <v>130000000</v>
      </c>
      <c r="X116" s="18">
        <f t="shared" si="132"/>
        <v>196200000</v>
      </c>
      <c r="Y116" s="19">
        <f>NOVIEMBRE!AA116</f>
        <v>191182186</v>
      </c>
      <c r="Z116" s="374">
        <v>-16254104</v>
      </c>
      <c r="AA116" s="18">
        <f t="shared" si="133"/>
        <v>174928082</v>
      </c>
      <c r="AB116" s="19">
        <f>NOVIEMBRE!AD116</f>
        <v>121500985</v>
      </c>
      <c r="AC116" s="374">
        <v>53427097</v>
      </c>
      <c r="AD116" s="18">
        <f t="shared" si="134"/>
        <v>174928082</v>
      </c>
      <c r="AE116" s="19">
        <f>NOVIEMBRE!AG116</f>
        <v>59079218</v>
      </c>
      <c r="AF116" s="374">
        <v>17436224</v>
      </c>
      <c r="AG116" s="18">
        <f t="shared" si="135"/>
        <v>76515442</v>
      </c>
      <c r="AH116" s="19">
        <f t="shared" si="136"/>
        <v>21271918</v>
      </c>
      <c r="AI116" s="15">
        <f t="shared" si="137"/>
        <v>21271918</v>
      </c>
      <c r="AJ116" s="16">
        <f t="shared" si="138"/>
        <v>119684558</v>
      </c>
      <c r="AK116" s="9"/>
      <c r="AL116" s="372">
        <v>0</v>
      </c>
      <c r="AM116" s="375">
        <v>0</v>
      </c>
      <c r="AN116" s="9"/>
      <c r="AO116" s="294"/>
      <c r="AP116" s="294"/>
      <c r="AQ116" s="294"/>
      <c r="AR116" s="294"/>
      <c r="AS116" s="294"/>
      <c r="AT116" s="294"/>
      <c r="AU116" s="294"/>
      <c r="AV116" s="294"/>
      <c r="AW116" s="294"/>
      <c r="AX116" s="294"/>
      <c r="AY116" s="294"/>
      <c r="AZ116" s="294"/>
      <c r="BQ116" s="461"/>
    </row>
    <row r="117" spans="1:69" s="382" customFormat="1" ht="24.95" customHeight="1">
      <c r="A117" s="742">
        <f>+IF(NOVIEMBRE!A117=0,"",NOVIEMBRE!A117)</f>
        <v>2200</v>
      </c>
      <c r="B117" s="626" t="str">
        <f>+IF(NOVIEMBRE!B117=0,"",NOVIEMBRE!B117)</f>
        <v>CREDITO EXTERNO</v>
      </c>
      <c r="C117" s="671">
        <f>+ENERO!C117</f>
        <v>0</v>
      </c>
      <c r="D117" s="464">
        <f>NOVIEMBRE!D117+DICIEMBRE!P117</f>
        <v>0</v>
      </c>
      <c r="E117" s="464">
        <f>NOVIEMBRE!E117+DICIEMBRE!Q117</f>
        <v>0</v>
      </c>
      <c r="F117" s="468">
        <f t="shared" si="127"/>
        <v>0</v>
      </c>
      <c r="G117" s="466">
        <f>NOVIEMBRE!I117</f>
        <v>0</v>
      </c>
      <c r="H117" s="374">
        <v>0</v>
      </c>
      <c r="I117" s="468">
        <f t="shared" si="128"/>
        <v>0</v>
      </c>
      <c r="J117" s="466">
        <f>NOVIEMBRE!L117</f>
        <v>0</v>
      </c>
      <c r="K117" s="374">
        <v>0</v>
      </c>
      <c r="L117" s="465">
        <f t="shared" si="129"/>
        <v>0</v>
      </c>
      <c r="M117" s="469">
        <f t="shared" si="130"/>
        <v>0</v>
      </c>
      <c r="N117" s="465">
        <f t="shared" si="131"/>
        <v>0</v>
      </c>
      <c r="O117" s="461"/>
      <c r="P117" s="372">
        <v>0</v>
      </c>
      <c r="Q117" s="375">
        <v>0</v>
      </c>
      <c r="R117" s="9"/>
      <c r="S117" s="705" t="str">
        <f>+IF(NOVIEMBRE!S117=0,"",NOVIEMBRE!S117)</f>
        <v>2010100-3</v>
      </c>
      <c r="T117" s="681" t="str">
        <f>+IF(NOVIEMBRE!T117=0,"",NOVIEMBRE!T117)</f>
        <v>Salud Ocupacional</v>
      </c>
      <c r="U117" s="27">
        <f>+ENERO!U117</f>
        <v>5000000</v>
      </c>
      <c r="V117" s="15">
        <f>NOVIEMBRE!V117+DICIEMBRE!AL117</f>
        <v>0</v>
      </c>
      <c r="W117" s="15">
        <f>NOVIEMBRE!W117+DICIEMBRE!AM117</f>
        <v>0</v>
      </c>
      <c r="X117" s="18">
        <f t="shared" si="132"/>
        <v>5000000</v>
      </c>
      <c r="Y117" s="19">
        <f>NOVIEMBRE!AA117</f>
        <v>2255602</v>
      </c>
      <c r="Z117" s="374">
        <v>49114</v>
      </c>
      <c r="AA117" s="18">
        <f t="shared" si="133"/>
        <v>2304716</v>
      </c>
      <c r="AB117" s="19">
        <f>NOVIEMBRE!AD117</f>
        <v>2255602</v>
      </c>
      <c r="AC117" s="374">
        <v>49114</v>
      </c>
      <c r="AD117" s="18">
        <f t="shared" si="134"/>
        <v>2304716</v>
      </c>
      <c r="AE117" s="19">
        <f>NOVIEMBRE!AG117</f>
        <v>2033045</v>
      </c>
      <c r="AF117" s="374">
        <v>0</v>
      </c>
      <c r="AG117" s="18">
        <f t="shared" si="135"/>
        <v>2033045</v>
      </c>
      <c r="AH117" s="19">
        <f t="shared" si="136"/>
        <v>2695284</v>
      </c>
      <c r="AI117" s="15">
        <f t="shared" si="137"/>
        <v>2695284</v>
      </c>
      <c r="AJ117" s="16">
        <f t="shared" si="138"/>
        <v>2966955</v>
      </c>
      <c r="AK117" s="9"/>
      <c r="AL117" s="372">
        <v>0</v>
      </c>
      <c r="AM117" s="375">
        <v>0</v>
      </c>
      <c r="AN117" s="9"/>
      <c r="AO117" s="294"/>
      <c r="AP117" s="294"/>
      <c r="AQ117" s="294"/>
      <c r="AR117" s="294"/>
      <c r="AS117" s="294"/>
      <c r="AT117" s="294"/>
      <c r="AU117" s="294"/>
      <c r="AV117" s="294"/>
      <c r="AW117" s="294"/>
      <c r="AX117" s="294"/>
      <c r="AY117" s="294"/>
      <c r="AZ117" s="294"/>
      <c r="BQ117" s="461"/>
    </row>
    <row r="118" spans="1:69" s="382" customFormat="1" ht="24.95" customHeight="1">
      <c r="A118" s="743" t="str">
        <f>+IF(NOVIEMBRE!A118=0,"",NOVIEMBRE!A118)</f>
        <v>2200-1</v>
      </c>
      <c r="B118" s="627" t="str">
        <f>+IF(NOVIEMBRE!B118=0,"",NOVIEMBRE!B118)</f>
        <v>Vigencia Anterior</v>
      </c>
      <c r="C118" s="671">
        <f>+ENERO!C118</f>
        <v>0</v>
      </c>
      <c r="D118" s="464">
        <f>NOVIEMBRE!D118+DICIEMBRE!P118</f>
        <v>0</v>
      </c>
      <c r="E118" s="464">
        <f>NOVIEMBRE!E118+DICIEMBRE!Q118</f>
        <v>0</v>
      </c>
      <c r="F118" s="468">
        <f t="shared" si="127"/>
        <v>0</v>
      </c>
      <c r="G118" s="466">
        <f>NOVIEMBRE!I118</f>
        <v>0</v>
      </c>
      <c r="H118" s="374">
        <v>0</v>
      </c>
      <c r="I118" s="468">
        <f t="shared" si="128"/>
        <v>0</v>
      </c>
      <c r="J118" s="466">
        <f>NOVIEMBRE!L118</f>
        <v>0</v>
      </c>
      <c r="K118" s="374">
        <v>0</v>
      </c>
      <c r="L118" s="465">
        <f t="shared" si="129"/>
        <v>0</v>
      </c>
      <c r="M118" s="469">
        <f t="shared" si="130"/>
        <v>0</v>
      </c>
      <c r="N118" s="465">
        <f t="shared" si="131"/>
        <v>0</v>
      </c>
      <c r="O118" s="461"/>
      <c r="P118" s="372">
        <v>0</v>
      </c>
      <c r="Q118" s="375">
        <v>0</v>
      </c>
      <c r="R118" s="9"/>
      <c r="S118" s="705" t="str">
        <f>+IF(NOVIEMBRE!S118=0,"",NOVIEMBRE!S118)</f>
        <v>2010100-4</v>
      </c>
      <c r="T118" s="681" t="str">
        <f>+IF(NOVIEMBRE!T118=0,"",NOVIEMBRE!T118)</f>
        <v/>
      </c>
      <c r="U118" s="27">
        <f>+ENERO!U118</f>
        <v>0</v>
      </c>
      <c r="V118" s="15">
        <f>NOVIEMBRE!V118+DICIEMBRE!AL118</f>
        <v>0</v>
      </c>
      <c r="W118" s="15">
        <f>NOVIEMBRE!W118+DICIEMBRE!AM118</f>
        <v>0</v>
      </c>
      <c r="X118" s="18">
        <f t="shared" si="132"/>
        <v>0</v>
      </c>
      <c r="Y118" s="19">
        <f>NOVIEMBRE!AA118</f>
        <v>0</v>
      </c>
      <c r="Z118" s="374">
        <v>0</v>
      </c>
      <c r="AA118" s="18">
        <f t="shared" si="133"/>
        <v>0</v>
      </c>
      <c r="AB118" s="19">
        <f>NOVIEMBRE!AD118</f>
        <v>0</v>
      </c>
      <c r="AC118" s="374">
        <v>0</v>
      </c>
      <c r="AD118" s="18">
        <f t="shared" si="134"/>
        <v>0</v>
      </c>
      <c r="AE118" s="19">
        <f>NOVIEMBRE!AG118</f>
        <v>0</v>
      </c>
      <c r="AF118" s="374">
        <v>0</v>
      </c>
      <c r="AG118" s="18">
        <f t="shared" si="135"/>
        <v>0</v>
      </c>
      <c r="AH118" s="19">
        <f t="shared" si="136"/>
        <v>0</v>
      </c>
      <c r="AI118" s="15">
        <f t="shared" si="137"/>
        <v>0</v>
      </c>
      <c r="AJ118" s="16">
        <f t="shared" si="138"/>
        <v>0</v>
      </c>
      <c r="AK118" s="9"/>
      <c r="AL118" s="372">
        <v>0</v>
      </c>
      <c r="AM118" s="375">
        <v>0</v>
      </c>
      <c r="AN118" s="9"/>
      <c r="AO118" s="294"/>
      <c r="AP118" s="294"/>
      <c r="AQ118" s="294"/>
      <c r="AR118" s="294"/>
      <c r="AS118" s="294"/>
      <c r="AT118" s="294"/>
      <c r="AU118" s="294"/>
      <c r="AV118" s="294"/>
      <c r="AW118" s="294"/>
      <c r="AX118" s="294"/>
      <c r="AY118" s="294"/>
      <c r="AZ118" s="294"/>
      <c r="BQ118" s="461"/>
    </row>
    <row r="119" spans="1:69" s="382" customFormat="1" ht="24.95" customHeight="1">
      <c r="A119" s="742">
        <f>+IF(NOVIEMBRE!A119=0,"",NOVIEMBRE!A119)</f>
        <v>2300</v>
      </c>
      <c r="B119" s="626" t="str">
        <f>+IF(NOVIEMBRE!B119=0,"",NOVIEMBRE!B119)</f>
        <v>RENDIMIENTOS FINANCIEROS</v>
      </c>
      <c r="C119" s="671">
        <f>+ENERO!C119</f>
        <v>0</v>
      </c>
      <c r="D119" s="464">
        <f>NOVIEMBRE!D119+DICIEMBRE!P119</f>
        <v>0</v>
      </c>
      <c r="E119" s="464">
        <f>NOVIEMBRE!E119+DICIEMBRE!Q119</f>
        <v>5630214</v>
      </c>
      <c r="F119" s="468">
        <f t="shared" si="127"/>
        <v>5630214</v>
      </c>
      <c r="G119" s="219">
        <f>NOVIEMBRE!I119</f>
        <v>5470384</v>
      </c>
      <c r="H119" s="374">
        <v>159830</v>
      </c>
      <c r="I119" s="473">
        <f t="shared" si="128"/>
        <v>5630214</v>
      </c>
      <c r="J119" s="219">
        <f>NOVIEMBRE!L119</f>
        <v>5470384</v>
      </c>
      <c r="K119" s="374">
        <v>159830</v>
      </c>
      <c r="L119" s="143">
        <f t="shared" si="129"/>
        <v>5630214</v>
      </c>
      <c r="M119" s="438">
        <f t="shared" si="130"/>
        <v>0</v>
      </c>
      <c r="N119" s="2912">
        <f t="shared" si="131"/>
        <v>0</v>
      </c>
      <c r="O119" s="461"/>
      <c r="P119" s="372">
        <v>0</v>
      </c>
      <c r="Q119" s="375">
        <v>1141391</v>
      </c>
      <c r="R119" s="9"/>
      <c r="S119" s="705" t="str">
        <f>+IF(NOVIEMBRE!S119=0,"",NOVIEMBRE!S119)</f>
        <v>2010100-5</v>
      </c>
      <c r="T119" s="681" t="str">
        <f>+IF(NOVIEMBRE!T119=0,"",NOVIEMBRE!T119)</f>
        <v/>
      </c>
      <c r="U119" s="27">
        <f>+ENERO!U119</f>
        <v>0</v>
      </c>
      <c r="V119" s="15">
        <f>NOVIEMBRE!V119+DICIEMBRE!AL119</f>
        <v>0</v>
      </c>
      <c r="W119" s="15">
        <f>NOVIEMBRE!W119+DICIEMBRE!AM119</f>
        <v>0</v>
      </c>
      <c r="X119" s="18">
        <f t="shared" si="132"/>
        <v>0</v>
      </c>
      <c r="Y119" s="19">
        <f>NOVIEMBRE!AA119</f>
        <v>0</v>
      </c>
      <c r="Z119" s="374">
        <v>0</v>
      </c>
      <c r="AA119" s="18">
        <f t="shared" si="133"/>
        <v>0</v>
      </c>
      <c r="AB119" s="19">
        <f>NOVIEMBRE!AD119</f>
        <v>0</v>
      </c>
      <c r="AC119" s="374">
        <v>0</v>
      </c>
      <c r="AD119" s="18">
        <f t="shared" si="134"/>
        <v>0</v>
      </c>
      <c r="AE119" s="19">
        <f>NOVIEMBRE!AG119</f>
        <v>0</v>
      </c>
      <c r="AF119" s="374">
        <v>0</v>
      </c>
      <c r="AG119" s="18">
        <f t="shared" si="135"/>
        <v>0</v>
      </c>
      <c r="AH119" s="19">
        <f t="shared" si="136"/>
        <v>0</v>
      </c>
      <c r="AI119" s="15">
        <f t="shared" si="137"/>
        <v>0</v>
      </c>
      <c r="AJ119" s="16">
        <f t="shared" si="138"/>
        <v>0</v>
      </c>
      <c r="AK119" s="9"/>
      <c r="AL119" s="372">
        <v>0</v>
      </c>
      <c r="AM119" s="375">
        <v>0</v>
      </c>
      <c r="AN119" s="9"/>
      <c r="AO119" s="294"/>
      <c r="AP119" s="294"/>
      <c r="AQ119" s="294"/>
      <c r="AR119" s="294"/>
      <c r="AS119" s="294"/>
      <c r="AT119" s="294"/>
      <c r="AU119" s="294"/>
      <c r="AV119" s="294"/>
      <c r="AW119" s="294"/>
      <c r="AX119" s="294"/>
      <c r="AY119" s="294"/>
      <c r="AZ119" s="294"/>
      <c r="BQ119" s="461"/>
    </row>
    <row r="120" spans="1:69" s="382" customFormat="1" ht="24.95" customHeight="1">
      <c r="A120" s="744">
        <f>+IF(NOVIEMBRE!A120=0,"",NOVIEMBRE!A120)</f>
        <v>2400</v>
      </c>
      <c r="B120" s="627" t="str">
        <f>+IF(NOVIEMBRE!B120=0,"",NOVIEMBRE!B120)</f>
        <v>VENTA DE ACTIVOS</v>
      </c>
      <c r="C120" s="671">
        <f>+ENERO!C120</f>
        <v>0</v>
      </c>
      <c r="D120" s="464">
        <f>NOVIEMBRE!D120+DICIEMBRE!P120</f>
        <v>0</v>
      </c>
      <c r="E120" s="464">
        <f>NOVIEMBRE!E120+DICIEMBRE!Q120</f>
        <v>0</v>
      </c>
      <c r="F120" s="468">
        <f t="shared" si="127"/>
        <v>0</v>
      </c>
      <c r="G120" s="219">
        <f>NOVIEMBRE!I120</f>
        <v>0</v>
      </c>
      <c r="H120" s="374">
        <v>1420125933</v>
      </c>
      <c r="I120" s="473">
        <f t="shared" si="128"/>
        <v>1420125933</v>
      </c>
      <c r="J120" s="219">
        <f>NOVIEMBRE!L120</f>
        <v>0</v>
      </c>
      <c r="K120" s="374">
        <v>1420125933</v>
      </c>
      <c r="L120" s="143">
        <f t="shared" si="129"/>
        <v>1420125933</v>
      </c>
      <c r="M120" s="438">
        <f t="shared" si="130"/>
        <v>-1420125933</v>
      </c>
      <c r="N120" s="143">
        <f t="shared" si="131"/>
        <v>-1420125933</v>
      </c>
      <c r="P120" s="372">
        <v>0</v>
      </c>
      <c r="Q120" s="375">
        <v>0</v>
      </c>
      <c r="R120" s="9"/>
      <c r="S120" s="705" t="str">
        <f>+IF(NOVIEMBRE!S120=0,"",NOVIEMBRE!S120)</f>
        <v>2010100-6</v>
      </c>
      <c r="T120" s="681" t="str">
        <f>+IF(NOVIEMBRE!T120=0,"",NOVIEMBRE!T120)</f>
        <v/>
      </c>
      <c r="U120" s="27">
        <f>+ENERO!U120</f>
        <v>0</v>
      </c>
      <c r="V120" s="15">
        <f>NOVIEMBRE!V120+DICIEMBRE!AL120</f>
        <v>0</v>
      </c>
      <c r="W120" s="15">
        <f>NOVIEMBRE!W120+DICIEMBRE!AM120</f>
        <v>0</v>
      </c>
      <c r="X120" s="18">
        <f t="shared" si="132"/>
        <v>0</v>
      </c>
      <c r="Y120" s="19">
        <f>NOVIEMBRE!AA120</f>
        <v>0</v>
      </c>
      <c r="Z120" s="374">
        <v>0</v>
      </c>
      <c r="AA120" s="18">
        <f t="shared" si="133"/>
        <v>0</v>
      </c>
      <c r="AB120" s="19">
        <f>NOVIEMBRE!AD120</f>
        <v>0</v>
      </c>
      <c r="AC120" s="374">
        <v>0</v>
      </c>
      <c r="AD120" s="18">
        <f t="shared" si="134"/>
        <v>0</v>
      </c>
      <c r="AE120" s="19">
        <f>NOVIEMBRE!AG120</f>
        <v>0</v>
      </c>
      <c r="AF120" s="374">
        <v>0</v>
      </c>
      <c r="AG120" s="18">
        <f t="shared" si="135"/>
        <v>0</v>
      </c>
      <c r="AH120" s="19">
        <f t="shared" si="136"/>
        <v>0</v>
      </c>
      <c r="AI120" s="15">
        <f t="shared" si="137"/>
        <v>0</v>
      </c>
      <c r="AJ120" s="16">
        <f t="shared" si="138"/>
        <v>0</v>
      </c>
      <c r="AK120" s="9"/>
      <c r="AL120" s="372">
        <v>0</v>
      </c>
      <c r="AM120" s="375">
        <v>0</v>
      </c>
      <c r="AN120" s="9"/>
      <c r="AO120" s="294"/>
      <c r="AP120" s="294"/>
      <c r="AQ120" s="294"/>
      <c r="AR120" s="294"/>
      <c r="AS120" s="294"/>
      <c r="AT120" s="294"/>
      <c r="AU120" s="294"/>
      <c r="AV120" s="294"/>
      <c r="AW120" s="294"/>
      <c r="AX120" s="294"/>
      <c r="AY120" s="294"/>
      <c r="AZ120" s="294"/>
      <c r="BQ120" s="461"/>
    </row>
    <row r="121" spans="1:69" s="382" customFormat="1" ht="24.95" customHeight="1">
      <c r="A121" s="744">
        <f>+IF(NOVIEMBRE!A121=0,"",NOVIEMBRE!A121)</f>
        <v>2500</v>
      </c>
      <c r="B121" s="627" t="str">
        <f>+IF(NOVIEMBRE!B121=0,"",NOVIEMBRE!B121)</f>
        <v>DONACIONES</v>
      </c>
      <c r="C121" s="671">
        <f>+ENERO!C121</f>
        <v>0</v>
      </c>
      <c r="D121" s="464">
        <f>NOVIEMBRE!D121+DICIEMBRE!P121</f>
        <v>0</v>
      </c>
      <c r="E121" s="464">
        <f>NOVIEMBRE!E121+DICIEMBRE!Q121</f>
        <v>0</v>
      </c>
      <c r="F121" s="468">
        <f t="shared" si="127"/>
        <v>0</v>
      </c>
      <c r="G121" s="219">
        <f>NOVIEMBRE!I121</f>
        <v>0</v>
      </c>
      <c r="H121" s="374">
        <v>0</v>
      </c>
      <c r="I121" s="473">
        <f t="shared" si="128"/>
        <v>0</v>
      </c>
      <c r="J121" s="219">
        <f>NOVIEMBRE!L121</f>
        <v>0</v>
      </c>
      <c r="K121" s="374">
        <v>0</v>
      </c>
      <c r="L121" s="143">
        <f t="shared" si="129"/>
        <v>0</v>
      </c>
      <c r="M121" s="438">
        <f t="shared" si="130"/>
        <v>0</v>
      </c>
      <c r="N121" s="143">
        <f t="shared" si="131"/>
        <v>0</v>
      </c>
      <c r="P121" s="372">
        <v>0</v>
      </c>
      <c r="Q121" s="375">
        <v>0</v>
      </c>
      <c r="R121" s="9"/>
      <c r="S121" s="705">
        <f>+IF(NOVIEMBRE!S121=0,"",NOVIEMBRE!S121)</f>
        <v>2010199</v>
      </c>
      <c r="T121" s="681" t="str">
        <f>+IF(NOVIEMBRE!T121=0,"",NOVIEMBRE!T121)</f>
        <v>Vigencias Anteriores</v>
      </c>
      <c r="U121" s="27">
        <f>+ENERO!U121</f>
        <v>0</v>
      </c>
      <c r="V121" s="15">
        <f>NOVIEMBRE!V121+DICIEMBRE!AL121</f>
        <v>-137522263</v>
      </c>
      <c r="W121" s="15">
        <f>NOVIEMBRE!W121+DICIEMBRE!AM121</f>
        <v>250000000</v>
      </c>
      <c r="X121" s="18">
        <f t="shared" si="132"/>
        <v>112477737</v>
      </c>
      <c r="Y121" s="19">
        <f>NOVIEMBRE!AA121</f>
        <v>112477737</v>
      </c>
      <c r="Z121" s="374">
        <v>0</v>
      </c>
      <c r="AA121" s="18">
        <f t="shared" si="133"/>
        <v>112477737</v>
      </c>
      <c r="AB121" s="19">
        <f>NOVIEMBRE!AD121</f>
        <v>112477737</v>
      </c>
      <c r="AC121" s="374">
        <v>0</v>
      </c>
      <c r="AD121" s="18">
        <f t="shared" si="134"/>
        <v>112477737</v>
      </c>
      <c r="AE121" s="19">
        <f>NOVIEMBRE!AG121</f>
        <v>112477737</v>
      </c>
      <c r="AF121" s="374">
        <v>0</v>
      </c>
      <c r="AG121" s="18">
        <f t="shared" si="135"/>
        <v>112477737</v>
      </c>
      <c r="AH121" s="19">
        <f t="shared" si="136"/>
        <v>0</v>
      </c>
      <c r="AI121" s="15">
        <f t="shared" si="137"/>
        <v>0</v>
      </c>
      <c r="AJ121" s="16">
        <f t="shared" si="138"/>
        <v>0</v>
      </c>
      <c r="AK121" s="9"/>
      <c r="AL121" s="372">
        <v>-48481682</v>
      </c>
      <c r="AM121" s="375">
        <v>0</v>
      </c>
      <c r="AN121" s="9"/>
      <c r="AO121" s="294"/>
      <c r="AP121" s="294"/>
      <c r="AQ121" s="294"/>
      <c r="AR121" s="294"/>
      <c r="AS121" s="294"/>
      <c r="AT121" s="294"/>
      <c r="AU121" s="294"/>
      <c r="AV121" s="294"/>
      <c r="AW121" s="294"/>
      <c r="AX121" s="294"/>
      <c r="AY121" s="294"/>
      <c r="AZ121" s="294"/>
      <c r="BQ121" s="461"/>
    </row>
    <row r="122" spans="1:69" s="382" customFormat="1" ht="24.95" customHeight="1">
      <c r="A122" s="744">
        <f>+IF(NOVIEMBRE!A122=0,"",NOVIEMBRE!A122)</f>
        <v>2600</v>
      </c>
      <c r="B122" s="627" t="str">
        <f>+IF(NOVIEMBRE!B122=0,"",NOVIEMBRE!B122)</f>
        <v>RECUPERACIÓN DE CARTERA (AÑO 2015 Y ANTERIORES)</v>
      </c>
      <c r="C122" s="671">
        <f>+ENERO!C122</f>
        <v>9052927194</v>
      </c>
      <c r="D122" s="464">
        <f>NOVIEMBRE!D122+DICIEMBRE!P122</f>
        <v>0</v>
      </c>
      <c r="E122" s="464">
        <f>NOVIEMBRE!E122+DICIEMBRE!Q122</f>
        <v>0</v>
      </c>
      <c r="F122" s="468">
        <f t="shared" si="127"/>
        <v>9052927194</v>
      </c>
      <c r="G122" s="219">
        <f>NOVIEMBRE!I122</f>
        <v>181744270</v>
      </c>
      <c r="H122" s="374">
        <v>7851</v>
      </c>
      <c r="I122" s="473">
        <f t="shared" si="128"/>
        <v>181752121</v>
      </c>
      <c r="J122" s="219">
        <f>NOVIEMBRE!L122</f>
        <v>181744270</v>
      </c>
      <c r="K122" s="374">
        <v>7851</v>
      </c>
      <c r="L122" s="143">
        <f t="shared" si="129"/>
        <v>181752121</v>
      </c>
      <c r="M122" s="438">
        <f t="shared" si="130"/>
        <v>8871175073</v>
      </c>
      <c r="N122" s="143">
        <f t="shared" si="131"/>
        <v>8871175073</v>
      </c>
      <c r="P122" s="372">
        <v>0</v>
      </c>
      <c r="Q122" s="375">
        <v>0</v>
      </c>
      <c r="R122" s="9"/>
      <c r="S122" s="366" t="str">
        <f>+IF(NOVIEMBRE!S122=0,"",NOVIEMBRE!S122)</f>
        <v/>
      </c>
      <c r="T122" s="695"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c r="BQ122" s="461"/>
    </row>
    <row r="123" spans="1:69" s="382" customFormat="1" ht="24.95" customHeight="1">
      <c r="A123" s="745">
        <f>+IF(NOVIEMBRE!A123=0,"",NOVIEMBRE!A123)</f>
        <v>2700</v>
      </c>
      <c r="B123" s="627" t="str">
        <f>+IF(NOVIEMBRE!B123=0,"",NOVIEMBRE!B123)</f>
        <v>OTROS INGRESOS DE CAPITAL</v>
      </c>
      <c r="C123" s="671">
        <f>+ENERO!C123</f>
        <v>0</v>
      </c>
      <c r="D123" s="464">
        <f>NOVIEMBRE!D123+DICIEMBRE!P123</f>
        <v>0</v>
      </c>
      <c r="E123" s="464">
        <f>NOVIEMBRE!E123+DICIEMBRE!Q123</f>
        <v>152419371</v>
      </c>
      <c r="F123" s="468">
        <f t="shared" si="127"/>
        <v>152419371</v>
      </c>
      <c r="G123" s="219">
        <f>NOVIEMBRE!I123</f>
        <v>152419371</v>
      </c>
      <c r="H123" s="374">
        <v>0</v>
      </c>
      <c r="I123" s="473">
        <f t="shared" si="128"/>
        <v>152419371</v>
      </c>
      <c r="J123" s="219">
        <f>NOVIEMBRE!L123</f>
        <v>152419371</v>
      </c>
      <c r="K123" s="374">
        <v>0</v>
      </c>
      <c r="L123" s="143">
        <f t="shared" si="129"/>
        <v>152419371</v>
      </c>
      <c r="M123" s="438">
        <f t="shared" si="130"/>
        <v>0</v>
      </c>
      <c r="N123" s="2912">
        <f t="shared" si="131"/>
        <v>0</v>
      </c>
      <c r="P123" s="372">
        <v>0</v>
      </c>
      <c r="Q123" s="375">
        <v>152419371</v>
      </c>
      <c r="R123" s="9"/>
      <c r="S123" s="704">
        <f>+IF(NOVIEMBRE!S123=0,"",NOVIEMBRE!S123)</f>
        <v>2010200</v>
      </c>
      <c r="T123" s="680" t="str">
        <f>+IF(NOVIEMBRE!T123=0,"",NOVIEMBRE!T123)</f>
        <v>Adquisición de Servicios</v>
      </c>
      <c r="U123" s="132">
        <f t="shared" ref="U123:AJ123" si="139">SUM(U124:U139)</f>
        <v>4658828612</v>
      </c>
      <c r="V123" s="122">
        <f t="shared" si="139"/>
        <v>236911797</v>
      </c>
      <c r="W123" s="122">
        <f t="shared" si="139"/>
        <v>1846193088</v>
      </c>
      <c r="X123" s="129">
        <f t="shared" si="139"/>
        <v>6741933497</v>
      </c>
      <c r="Y123" s="128">
        <f t="shared" si="139"/>
        <v>6259264842</v>
      </c>
      <c r="Z123" s="122">
        <f t="shared" si="139"/>
        <v>174285646</v>
      </c>
      <c r="AA123" s="129">
        <f t="shared" si="139"/>
        <v>6433550488</v>
      </c>
      <c r="AB123" s="128">
        <f t="shared" si="139"/>
        <v>5868868306</v>
      </c>
      <c r="AC123" s="122">
        <f t="shared" si="139"/>
        <v>564682182</v>
      </c>
      <c r="AD123" s="129">
        <f t="shared" si="139"/>
        <v>6433550488</v>
      </c>
      <c r="AE123" s="128">
        <f t="shared" si="139"/>
        <v>4124139407</v>
      </c>
      <c r="AF123" s="122">
        <f t="shared" si="139"/>
        <v>457389757</v>
      </c>
      <c r="AG123" s="129">
        <f t="shared" si="139"/>
        <v>4581529164</v>
      </c>
      <c r="AH123" s="128">
        <f t="shared" si="139"/>
        <v>308383009</v>
      </c>
      <c r="AI123" s="122">
        <f t="shared" si="139"/>
        <v>308383009</v>
      </c>
      <c r="AJ123" s="130">
        <f t="shared" si="139"/>
        <v>2160404333</v>
      </c>
      <c r="AK123" s="9"/>
      <c r="AL123" s="128">
        <f>SUM(AL124:AL139)</f>
        <v>15450800</v>
      </c>
      <c r="AM123" s="130">
        <f>SUM(AM124:AM139)</f>
        <v>292445983</v>
      </c>
      <c r="AN123" s="9"/>
      <c r="AO123" s="294"/>
      <c r="AP123" s="294"/>
      <c r="AQ123" s="294"/>
      <c r="AR123" s="294"/>
      <c r="AS123" s="294"/>
      <c r="AT123" s="294"/>
      <c r="AU123" s="294"/>
      <c r="AV123" s="294"/>
      <c r="AW123" s="294"/>
      <c r="AX123" s="294"/>
      <c r="AY123" s="294"/>
      <c r="AZ123" s="294"/>
      <c r="BQ123" s="461"/>
    </row>
    <row r="124" spans="1:69" s="382" customFormat="1" ht="24.95" customHeight="1" thickBot="1">
      <c r="A124" s="746">
        <f>+IF(NOVIEMBRE!A124=0,"",NOVIEMBRE!A124)</f>
        <v>2800</v>
      </c>
      <c r="B124" s="655" t="str">
        <f>+IF(NOVIEMBRE!B124=0,"",NOVIEMBRE!B124)</f>
        <v/>
      </c>
      <c r="C124" s="769">
        <f>+ENERO!C124</f>
        <v>0</v>
      </c>
      <c r="D124" s="462">
        <f>NOVIEMBRE!D124+DICIEMBRE!P124</f>
        <v>0</v>
      </c>
      <c r="E124" s="462">
        <f>NOVIEMBRE!E124+DICIEMBRE!Q124</f>
        <v>0</v>
      </c>
      <c r="F124" s="474">
        <f t="shared" si="127"/>
        <v>0</v>
      </c>
      <c r="G124" s="387">
        <f>NOVIEMBRE!I124</f>
        <v>0</v>
      </c>
      <c r="H124" s="388">
        <v>0</v>
      </c>
      <c r="I124" s="475">
        <f t="shared" si="128"/>
        <v>0</v>
      </c>
      <c r="J124" s="387">
        <f>NOVIEMBRE!L124</f>
        <v>0</v>
      </c>
      <c r="K124" s="388">
        <v>0</v>
      </c>
      <c r="L124" s="386">
        <f t="shared" si="129"/>
        <v>0</v>
      </c>
      <c r="M124" s="476">
        <f t="shared" si="130"/>
        <v>0</v>
      </c>
      <c r="N124" s="386">
        <f t="shared" si="131"/>
        <v>0</v>
      </c>
      <c r="P124" s="384">
        <v>0</v>
      </c>
      <c r="Q124" s="389">
        <v>0</v>
      </c>
      <c r="R124" s="9"/>
      <c r="S124" s="705" t="str">
        <f>+IF(NOVIEMBRE!S124=0,"",NOVIEMBRE!S124)</f>
        <v>2010200-1</v>
      </c>
      <c r="T124" s="681" t="str">
        <f>+IF(NOVIEMBRE!T124=0,"",NOVIEMBRE!T124)</f>
        <v>Seguros</v>
      </c>
      <c r="U124" s="27">
        <f>+ENERO!U124</f>
        <v>350000000</v>
      </c>
      <c r="V124" s="15">
        <f>NOVIEMBRE!V124+DICIEMBRE!AL124</f>
        <v>109168059</v>
      </c>
      <c r="W124" s="15">
        <f>NOVIEMBRE!W124+DICIEMBRE!AM124</f>
        <v>0</v>
      </c>
      <c r="X124" s="18">
        <f t="shared" ref="X124:X139" si="140">SUM(U124:W124)</f>
        <v>459168059</v>
      </c>
      <c r="Y124" s="19">
        <f>NOVIEMBRE!AA124</f>
        <v>458870524</v>
      </c>
      <c r="Z124" s="374">
        <v>-1245</v>
      </c>
      <c r="AA124" s="18">
        <f t="shared" ref="AA124:AA139" si="141">SUM(Y124:Z124)</f>
        <v>458869279</v>
      </c>
      <c r="AB124" s="19">
        <f>NOVIEMBRE!AD124</f>
        <v>458835667</v>
      </c>
      <c r="AC124" s="374">
        <v>33612</v>
      </c>
      <c r="AD124" s="18">
        <f t="shared" ref="AD124:AD139" si="142">SUM(AB124:AC124)</f>
        <v>458869279</v>
      </c>
      <c r="AE124" s="19">
        <f>NOVIEMBRE!AG124</f>
        <v>368928583</v>
      </c>
      <c r="AF124" s="374">
        <v>91163</v>
      </c>
      <c r="AG124" s="18">
        <f t="shared" ref="AG124:AG139" si="143">SUM(AE124:AF124)</f>
        <v>369019746</v>
      </c>
      <c r="AH124" s="19">
        <f t="shared" ref="AH124:AH139" si="144">X124-AA124</f>
        <v>298780</v>
      </c>
      <c r="AI124" s="15">
        <f t="shared" ref="AI124:AI139" si="145">X124-AD124</f>
        <v>298780</v>
      </c>
      <c r="AJ124" s="16">
        <f t="shared" ref="AJ124:AJ139" si="146">X124-AG124</f>
        <v>90148313</v>
      </c>
      <c r="AK124" s="9"/>
      <c r="AL124" s="372">
        <v>0</v>
      </c>
      <c r="AM124" s="375">
        <v>0</v>
      </c>
      <c r="AN124" s="9"/>
      <c r="AO124" s="294"/>
      <c r="AP124" s="294"/>
      <c r="AQ124" s="294"/>
      <c r="AR124" s="294"/>
      <c r="AS124" s="294"/>
      <c r="AT124" s="294"/>
      <c r="AU124" s="294"/>
      <c r="AV124" s="294"/>
      <c r="AW124" s="294"/>
      <c r="AX124" s="294"/>
      <c r="AY124" s="294"/>
      <c r="AZ124" s="294"/>
      <c r="BQ124" s="461"/>
    </row>
    <row r="125" spans="1:69"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tr">
        <f>+IF(NOVIEMBRE!S125=0,"",NOVIEMBRE!S125)</f>
        <v>2010200-2</v>
      </c>
      <c r="T125" s="681" t="str">
        <f>+IF(NOVIEMBRE!T125=0,"",NOVIEMBRE!T125)</f>
        <v>Impresos y Publicaciones</v>
      </c>
      <c r="U125" s="27">
        <f>+ENERO!U125</f>
        <v>60000000</v>
      </c>
      <c r="V125" s="15">
        <f>NOVIEMBRE!V125+DICIEMBRE!AL125</f>
        <v>27994312</v>
      </c>
      <c r="W125" s="15">
        <f>NOVIEMBRE!W125+DICIEMBRE!AM125</f>
        <v>0</v>
      </c>
      <c r="X125" s="18">
        <f t="shared" si="140"/>
        <v>87994312</v>
      </c>
      <c r="Y125" s="19">
        <f>NOVIEMBRE!AA125</f>
        <v>81581777</v>
      </c>
      <c r="Z125" s="374">
        <v>0</v>
      </c>
      <c r="AA125" s="18">
        <f t="shared" si="141"/>
        <v>81581777</v>
      </c>
      <c r="AB125" s="19">
        <f>NOVIEMBRE!AD125</f>
        <v>73331777</v>
      </c>
      <c r="AC125" s="374">
        <v>8250000</v>
      </c>
      <c r="AD125" s="18">
        <f t="shared" si="142"/>
        <v>81581777</v>
      </c>
      <c r="AE125" s="19">
        <f>NOVIEMBRE!AG125</f>
        <v>34981771</v>
      </c>
      <c r="AF125" s="374">
        <v>0</v>
      </c>
      <c r="AG125" s="18">
        <f t="shared" si="143"/>
        <v>34981771</v>
      </c>
      <c r="AH125" s="19">
        <f t="shared" si="144"/>
        <v>6412535</v>
      </c>
      <c r="AI125" s="15">
        <f t="shared" si="145"/>
        <v>6412535</v>
      </c>
      <c r="AJ125" s="16">
        <f t="shared" si="146"/>
        <v>53012541</v>
      </c>
      <c r="AK125" s="9"/>
      <c r="AL125" s="372">
        <v>0</v>
      </c>
      <c r="AM125" s="375">
        <v>0</v>
      </c>
      <c r="AN125" s="9"/>
      <c r="AO125" s="294"/>
      <c r="AP125" s="294"/>
      <c r="AQ125" s="294"/>
      <c r="AR125" s="294"/>
      <c r="AS125" s="294"/>
      <c r="AT125" s="294"/>
      <c r="AU125" s="294"/>
      <c r="AV125" s="294"/>
      <c r="AW125" s="294"/>
      <c r="AX125" s="294"/>
      <c r="AY125" s="294"/>
      <c r="AZ125" s="294"/>
      <c r="BQ125" s="461"/>
    </row>
    <row r="126" spans="1:69" s="382" customFormat="1" ht="24.95" customHeight="1" thickBot="1">
      <c r="A126" s="765" t="s">
        <v>246</v>
      </c>
      <c r="B126" s="656"/>
      <c r="C126" s="477">
        <f t="shared" ref="C126:N126" si="147">C8-C128</f>
        <v>41169250887</v>
      </c>
      <c r="D126" s="477">
        <f t="shared" si="147"/>
        <v>0</v>
      </c>
      <c r="E126" s="477">
        <f t="shared" si="147"/>
        <v>1661992450</v>
      </c>
      <c r="F126" s="477">
        <f t="shared" si="147"/>
        <v>42831243337</v>
      </c>
      <c r="G126" s="477">
        <f t="shared" si="147"/>
        <v>45089308875</v>
      </c>
      <c r="H126" s="477">
        <f t="shared" si="147"/>
        <v>5749340696</v>
      </c>
      <c r="I126" s="477">
        <f t="shared" si="147"/>
        <v>50838649571</v>
      </c>
      <c r="J126" s="477">
        <f t="shared" si="147"/>
        <v>19455779075</v>
      </c>
      <c r="K126" s="477">
        <f t="shared" si="147"/>
        <v>7138507606</v>
      </c>
      <c r="L126" s="477">
        <f t="shared" si="147"/>
        <v>26412542411</v>
      </c>
      <c r="M126" s="477">
        <f t="shared" si="147"/>
        <v>863768839</v>
      </c>
      <c r="N126" s="613">
        <f t="shared" si="147"/>
        <v>16418700926</v>
      </c>
      <c r="P126" s="478">
        <f>P8-P128</f>
        <v>0</v>
      </c>
      <c r="Q126" s="479">
        <f>Q8-Q128</f>
        <v>451720546</v>
      </c>
      <c r="R126" s="9"/>
      <c r="S126" s="705" t="str">
        <f>+IF(NOVIEMBRE!S126=0,"",NOVIEMBRE!S126)</f>
        <v>2010200-3</v>
      </c>
      <c r="T126" s="681" t="str">
        <f>+IF(NOVIEMBRE!T126=0,"",NOVIEMBRE!T126)</f>
        <v xml:space="preserve">Servicios Públicos </v>
      </c>
      <c r="U126" s="27">
        <f>+ENERO!U126</f>
        <v>904500000</v>
      </c>
      <c r="V126" s="15">
        <f>NOVIEMBRE!V126+DICIEMBRE!AL126</f>
        <v>181000000</v>
      </c>
      <c r="W126" s="15">
        <f>NOVIEMBRE!W126+DICIEMBRE!AM126</f>
        <v>60000000</v>
      </c>
      <c r="X126" s="18">
        <f t="shared" si="140"/>
        <v>1145500000</v>
      </c>
      <c r="Y126" s="19">
        <f>NOVIEMBRE!AA126</f>
        <v>974244303</v>
      </c>
      <c r="Z126" s="374">
        <v>89806039</v>
      </c>
      <c r="AA126" s="18">
        <f t="shared" si="141"/>
        <v>1064050342</v>
      </c>
      <c r="AB126" s="19">
        <f>NOVIEMBRE!AD126</f>
        <v>974176018</v>
      </c>
      <c r="AC126" s="374">
        <v>89874324</v>
      </c>
      <c r="AD126" s="18">
        <f t="shared" si="142"/>
        <v>1064050342</v>
      </c>
      <c r="AE126" s="19">
        <f>NOVIEMBRE!AG126</f>
        <v>973788558</v>
      </c>
      <c r="AF126" s="374">
        <v>84823641</v>
      </c>
      <c r="AG126" s="18">
        <f t="shared" si="143"/>
        <v>1058612199</v>
      </c>
      <c r="AH126" s="19">
        <f t="shared" si="144"/>
        <v>81449658</v>
      </c>
      <c r="AI126" s="15">
        <f t="shared" si="145"/>
        <v>81449658</v>
      </c>
      <c r="AJ126" s="16">
        <f t="shared" si="146"/>
        <v>86887801</v>
      </c>
      <c r="AK126" s="9"/>
      <c r="AL126" s="372">
        <v>91000000</v>
      </c>
      <c r="AM126" s="375">
        <v>60000000</v>
      </c>
      <c r="AN126" s="9"/>
      <c r="AO126" s="294"/>
      <c r="AP126" s="294"/>
      <c r="AQ126" s="294"/>
      <c r="AR126" s="294"/>
      <c r="AS126" s="294"/>
      <c r="AT126" s="294"/>
      <c r="AU126" s="294"/>
      <c r="AV126" s="294"/>
      <c r="AW126" s="294"/>
      <c r="AX126" s="294"/>
      <c r="AY126" s="294"/>
      <c r="AZ126" s="294"/>
      <c r="BQ126" s="461"/>
    </row>
    <row r="127" spans="1:69" s="382" customFormat="1" ht="24.95" customHeight="1" thickBot="1">
      <c r="A127" s="768"/>
      <c r="B127" s="653"/>
      <c r="C127" s="480"/>
      <c r="D127" s="480"/>
      <c r="E127" s="480"/>
      <c r="F127" s="480"/>
      <c r="G127" s="480"/>
      <c r="H127" s="480"/>
      <c r="I127" s="480"/>
      <c r="J127" s="480"/>
      <c r="K127" s="480"/>
      <c r="L127" s="480"/>
      <c r="M127" s="480"/>
      <c r="N127" s="481"/>
      <c r="P127" s="482"/>
      <c r="Q127" s="481"/>
      <c r="R127" s="9"/>
      <c r="S127" s="705" t="str">
        <f>+IF(NOVIEMBRE!S127=0,"",NOVIEMBRE!S127)</f>
        <v>2010200-4</v>
      </c>
      <c r="T127" s="681" t="str">
        <f>+IF(NOVIEMBRE!T127=0,"",NOVIEMBRE!T127)</f>
        <v>Comunicaciones y Transportes</v>
      </c>
      <c r="U127" s="27">
        <f>+ENERO!U127</f>
        <v>35257108</v>
      </c>
      <c r="V127" s="15">
        <f>NOVIEMBRE!V127+DICIEMBRE!AL127</f>
        <v>3000000</v>
      </c>
      <c r="W127" s="15">
        <f>NOVIEMBRE!W127+DICIEMBRE!AM127</f>
        <v>2000000</v>
      </c>
      <c r="X127" s="18">
        <f t="shared" si="140"/>
        <v>40257108</v>
      </c>
      <c r="Y127" s="19">
        <f>NOVIEMBRE!AA127</f>
        <v>38249960</v>
      </c>
      <c r="Z127" s="374">
        <v>186380</v>
      </c>
      <c r="AA127" s="18">
        <f t="shared" si="141"/>
        <v>38436340</v>
      </c>
      <c r="AB127" s="19">
        <f>NOVIEMBRE!AD127</f>
        <v>38249960</v>
      </c>
      <c r="AC127" s="374">
        <v>186380</v>
      </c>
      <c r="AD127" s="18">
        <f t="shared" si="142"/>
        <v>38436340</v>
      </c>
      <c r="AE127" s="19">
        <f>NOVIEMBRE!AG127</f>
        <v>28455286</v>
      </c>
      <c r="AF127" s="374">
        <v>9981054</v>
      </c>
      <c r="AG127" s="18">
        <f t="shared" si="143"/>
        <v>38436340</v>
      </c>
      <c r="AH127" s="19">
        <f t="shared" si="144"/>
        <v>1820768</v>
      </c>
      <c r="AI127" s="15">
        <f t="shared" si="145"/>
        <v>1820768</v>
      </c>
      <c r="AJ127" s="16">
        <f t="shared" si="146"/>
        <v>1820768</v>
      </c>
      <c r="AK127" s="9"/>
      <c r="AL127" s="372">
        <v>0</v>
      </c>
      <c r="AM127" s="375">
        <v>2000000</v>
      </c>
      <c r="AN127" s="9"/>
      <c r="AO127" s="294"/>
      <c r="AP127" s="294"/>
      <c r="AQ127" s="294"/>
      <c r="AR127" s="294"/>
      <c r="AS127" s="294"/>
      <c r="AT127" s="294"/>
      <c r="AU127" s="294"/>
      <c r="AV127" s="294"/>
      <c r="AW127" s="294"/>
      <c r="AX127" s="294"/>
      <c r="AY127" s="294"/>
      <c r="AZ127" s="294"/>
      <c r="BQ127" s="461"/>
    </row>
    <row r="128" spans="1:69" s="382" customFormat="1" ht="24.95" customHeight="1" thickBot="1">
      <c r="A128" s="766" t="s">
        <v>249</v>
      </c>
      <c r="B128" s="657"/>
      <c r="C128" s="483">
        <f>SUMIF($B8:$B$122,$B$24,C8:C122)+C122</f>
        <v>9052927194</v>
      </c>
      <c r="D128" s="483">
        <f>SUMIF($B8:$B$122,$B$24,D8:D122)+D122</f>
        <v>0</v>
      </c>
      <c r="E128" s="483">
        <f>SUMIF($B8:$B$122,$B$24,E8:E122)+E122</f>
        <v>18123447671</v>
      </c>
      <c r="F128" s="483">
        <f>SUMIF($B8:$B$122,$B$24,F8:F122)+F122</f>
        <v>27176374865</v>
      </c>
      <c r="G128" s="483">
        <f>SUMIF($B8:$B$122,$B$24,G8:G122)+G122</f>
        <v>18304238836</v>
      </c>
      <c r="H128" s="483">
        <f>SUMIF($B8:$B$122,$B$24,H8:H122)+H122</f>
        <v>960956</v>
      </c>
      <c r="I128" s="483">
        <f>SUMIF($B8:$B$122,$B$24,I8:I122)+I122</f>
        <v>18305199792</v>
      </c>
      <c r="J128" s="483">
        <f>SUMIF($B8:$B$122,$B$24,J8:J122)+J1212</f>
        <v>18122494566</v>
      </c>
      <c r="K128" s="483">
        <f>SUMIF($B8:$B$122,$B$24,K8:K122)+K122</f>
        <v>960956</v>
      </c>
      <c r="L128" s="483">
        <f>SUMIF($B8:$B$122,$B$24,L8:L122)+L122</f>
        <v>18305199792</v>
      </c>
      <c r="M128" s="483">
        <f>SUMIF($B8:$B$122,$B$24,M8:M122)+M12</f>
        <v>0</v>
      </c>
      <c r="N128" s="614">
        <f>SUMIF($B8:$B$122,$B$24,N8:N122)+N122</f>
        <v>8871175073</v>
      </c>
      <c r="O128" s="461"/>
      <c r="P128" s="483">
        <f>SUMIF($B8:$B$122,$B$24,P8:P122)+P122</f>
        <v>0</v>
      </c>
      <c r="Q128" s="484">
        <f>SUMIF($B8:$B$122,$B$24,Q8:Q122)+Q122</f>
        <v>500619368</v>
      </c>
      <c r="R128" s="9"/>
      <c r="S128" s="705" t="str">
        <f>+IF(NOVIEMBRE!S128=0,"",NOVIEMBRE!S128)</f>
        <v>2010200-5</v>
      </c>
      <c r="T128" s="681" t="str">
        <f>+IF(NOVIEMBRE!T128=0,"",NOVIEMBRE!T128)</f>
        <v>Viáticos y Gastos de Viaje</v>
      </c>
      <c r="U128" s="27">
        <f>+ENERO!U128</f>
        <v>12609000</v>
      </c>
      <c r="V128" s="15">
        <f>NOVIEMBRE!V128+DICIEMBRE!AL128</f>
        <v>-3000000</v>
      </c>
      <c r="W128" s="15">
        <f>NOVIEMBRE!W128+DICIEMBRE!AM128</f>
        <v>0</v>
      </c>
      <c r="X128" s="18">
        <f t="shared" si="140"/>
        <v>9609000</v>
      </c>
      <c r="Y128" s="19">
        <f>NOVIEMBRE!AA128</f>
        <v>4535921</v>
      </c>
      <c r="Z128" s="374">
        <v>0</v>
      </c>
      <c r="AA128" s="18">
        <f t="shared" si="141"/>
        <v>4535921</v>
      </c>
      <c r="AB128" s="19">
        <f>NOVIEMBRE!AD128</f>
        <v>4535921</v>
      </c>
      <c r="AC128" s="374">
        <v>0</v>
      </c>
      <c r="AD128" s="18">
        <f t="shared" si="142"/>
        <v>4535921</v>
      </c>
      <c r="AE128" s="19">
        <f>NOVIEMBRE!AG128</f>
        <v>3557595</v>
      </c>
      <c r="AF128" s="374">
        <v>0</v>
      </c>
      <c r="AG128" s="18">
        <f t="shared" si="143"/>
        <v>3557595</v>
      </c>
      <c r="AH128" s="19">
        <f t="shared" si="144"/>
        <v>5073079</v>
      </c>
      <c r="AI128" s="15">
        <f t="shared" si="145"/>
        <v>5073079</v>
      </c>
      <c r="AJ128" s="16">
        <f t="shared" si="146"/>
        <v>6051405</v>
      </c>
      <c r="AK128" s="9"/>
      <c r="AL128" s="372">
        <v>-3000000</v>
      </c>
      <c r="AM128" s="375">
        <v>0</v>
      </c>
      <c r="AN128" s="9"/>
      <c r="AO128" s="294"/>
      <c r="AP128" s="294"/>
      <c r="AQ128" s="294"/>
      <c r="AR128" s="294"/>
      <c r="AS128" s="294"/>
      <c r="AT128" s="294"/>
      <c r="AU128" s="294"/>
      <c r="AV128" s="294"/>
      <c r="AW128" s="294"/>
      <c r="AX128" s="294"/>
      <c r="AY128" s="294"/>
      <c r="AZ128" s="294"/>
      <c r="BQ128" s="461"/>
    </row>
    <row r="129" spans="1:69" s="382" customFormat="1" ht="24.95" customHeight="1" thickBot="1">
      <c r="A129" s="768"/>
      <c r="B129" s="653"/>
      <c r="C129" s="480"/>
      <c r="D129" s="480"/>
      <c r="E129" s="480"/>
      <c r="F129" s="480"/>
      <c r="G129" s="480"/>
      <c r="H129" s="480"/>
      <c r="I129" s="480"/>
      <c r="J129" s="480"/>
      <c r="K129" s="480"/>
      <c r="L129" s="480"/>
      <c r="M129" s="480"/>
      <c r="N129" s="481"/>
      <c r="P129" s="482"/>
      <c r="Q129" s="481"/>
      <c r="R129" s="9"/>
      <c r="S129" s="705" t="str">
        <f>+IF(NOVIEMBRE!S129=0,"",NOVIEMBRE!S129)</f>
        <v>2010200-6</v>
      </c>
      <c r="T129" s="681" t="str">
        <f>+IF(NOVIEMBRE!T129=0,"",NOVIEMBRE!T129)</f>
        <v>Arrendamientos</v>
      </c>
      <c r="U129" s="27">
        <f>+ENERO!U129</f>
        <v>1100000000</v>
      </c>
      <c r="V129" s="15">
        <f>NOVIEMBRE!V129+DICIEMBRE!AL129</f>
        <v>1201017483</v>
      </c>
      <c r="W129" s="15">
        <f>NOVIEMBRE!W129+DICIEMBRE!AM129</f>
        <v>160000000</v>
      </c>
      <c r="X129" s="18">
        <f t="shared" si="140"/>
        <v>2461017483</v>
      </c>
      <c r="Y129" s="19">
        <f>NOVIEMBRE!AA129</f>
        <v>2410872976</v>
      </c>
      <c r="Z129" s="374">
        <v>-11279876</v>
      </c>
      <c r="AA129" s="18">
        <f t="shared" si="141"/>
        <v>2399593100</v>
      </c>
      <c r="AB129" s="19">
        <f>NOVIEMBRE!AD129</f>
        <v>2226760984</v>
      </c>
      <c r="AC129" s="374">
        <v>172832116</v>
      </c>
      <c r="AD129" s="18">
        <f t="shared" si="142"/>
        <v>2399593100</v>
      </c>
      <c r="AE129" s="19">
        <f>NOVIEMBRE!AG129</f>
        <v>1579223420</v>
      </c>
      <c r="AF129" s="374">
        <v>119774418</v>
      </c>
      <c r="AG129" s="18">
        <f t="shared" si="143"/>
        <v>1698997838</v>
      </c>
      <c r="AH129" s="19">
        <f t="shared" si="144"/>
        <v>61424383</v>
      </c>
      <c r="AI129" s="15">
        <f t="shared" si="145"/>
        <v>61424383</v>
      </c>
      <c r="AJ129" s="16">
        <f t="shared" si="146"/>
        <v>762019645</v>
      </c>
      <c r="AK129" s="9"/>
      <c r="AL129" s="372">
        <v>0</v>
      </c>
      <c r="AM129" s="375">
        <v>50000000</v>
      </c>
      <c r="AN129" s="9"/>
      <c r="AO129" s="294"/>
      <c r="AP129" s="294"/>
      <c r="AQ129" s="294"/>
      <c r="AR129" s="294"/>
      <c r="AS129" s="294"/>
      <c r="AT129" s="294"/>
      <c r="AU129" s="294"/>
      <c r="AV129" s="294"/>
      <c r="AW129" s="294"/>
      <c r="AX129" s="294"/>
      <c r="AY129" s="294"/>
      <c r="AZ129" s="294"/>
      <c r="BQ129" s="461"/>
    </row>
    <row r="130" spans="1:69" s="382" customFormat="1" ht="24.95" customHeight="1" thickBot="1">
      <c r="A130" s="767" t="s">
        <v>252</v>
      </c>
      <c r="B130" s="658"/>
      <c r="C130" s="485">
        <f t="shared" ref="C130:N130" si="148">C128+C126</f>
        <v>50222178081</v>
      </c>
      <c r="D130" s="486">
        <f t="shared" si="148"/>
        <v>0</v>
      </c>
      <c r="E130" s="486">
        <f t="shared" si="148"/>
        <v>19785440121</v>
      </c>
      <c r="F130" s="487">
        <f t="shared" si="148"/>
        <v>70007618202</v>
      </c>
      <c r="G130" s="485">
        <f t="shared" si="148"/>
        <v>63393547711</v>
      </c>
      <c r="H130" s="486">
        <f t="shared" si="148"/>
        <v>5750301652</v>
      </c>
      <c r="I130" s="487">
        <f t="shared" si="148"/>
        <v>69143849363</v>
      </c>
      <c r="J130" s="485">
        <f t="shared" si="148"/>
        <v>37578273641</v>
      </c>
      <c r="K130" s="486">
        <f t="shared" si="148"/>
        <v>7139468562</v>
      </c>
      <c r="L130" s="487">
        <f t="shared" si="148"/>
        <v>44717742203</v>
      </c>
      <c r="M130" s="485">
        <f t="shared" si="148"/>
        <v>863768839</v>
      </c>
      <c r="N130" s="487">
        <f t="shared" si="148"/>
        <v>25289875999</v>
      </c>
      <c r="P130" s="478">
        <f>P128+P126</f>
        <v>0</v>
      </c>
      <c r="Q130" s="479">
        <f>Q128+Q126</f>
        <v>952339914</v>
      </c>
      <c r="R130" s="9"/>
      <c r="S130" s="705" t="str">
        <f>+IF(NOVIEMBRE!S130=0,"",NOVIEMBRE!S130)</f>
        <v>2010200-7</v>
      </c>
      <c r="T130" s="681" t="str">
        <f>+IF(NOVIEMBRE!T130=0,"",NOVIEMBRE!T130)</f>
        <v>Vigilancia y Aseo</v>
      </c>
      <c r="U130" s="27">
        <f>+ENERO!U130</f>
        <v>2121073970</v>
      </c>
      <c r="V130" s="15">
        <f>NOVIEMBRE!V130+DICIEMBRE!AL130</f>
        <v>-564719027</v>
      </c>
      <c r="W130" s="15">
        <f>NOVIEMBRE!W130+DICIEMBRE!AM130</f>
        <v>280000000</v>
      </c>
      <c r="X130" s="18">
        <f t="shared" si="140"/>
        <v>1836354943</v>
      </c>
      <c r="Y130" s="19">
        <f>NOVIEMBRE!AA130</f>
        <v>1755580998</v>
      </c>
      <c r="Z130" s="374">
        <v>-20297470</v>
      </c>
      <c r="AA130" s="18">
        <f t="shared" si="141"/>
        <v>1735283528</v>
      </c>
      <c r="AB130" s="19">
        <f>NOVIEMBRE!AD130</f>
        <v>1560034869</v>
      </c>
      <c r="AC130" s="374">
        <v>175248659</v>
      </c>
      <c r="AD130" s="18">
        <f t="shared" si="142"/>
        <v>1735283528</v>
      </c>
      <c r="AE130" s="19">
        <f>NOVIEMBRE!AG130</f>
        <v>612169131</v>
      </c>
      <c r="AF130" s="374">
        <v>121067138</v>
      </c>
      <c r="AG130" s="18">
        <f t="shared" si="143"/>
        <v>733236269</v>
      </c>
      <c r="AH130" s="19">
        <f t="shared" si="144"/>
        <v>101071415</v>
      </c>
      <c r="AI130" s="15">
        <f t="shared" si="145"/>
        <v>101071415</v>
      </c>
      <c r="AJ130" s="16">
        <f t="shared" si="146"/>
        <v>1103118674</v>
      </c>
      <c r="AK130" s="9"/>
      <c r="AL130" s="372">
        <v>0</v>
      </c>
      <c r="AM130" s="375">
        <v>60000000</v>
      </c>
      <c r="AN130" s="9"/>
      <c r="AO130" s="294"/>
      <c r="AP130" s="294"/>
      <c r="AQ130" s="294"/>
      <c r="AR130" s="294"/>
      <c r="AS130" s="294"/>
      <c r="AT130" s="294"/>
      <c r="AU130" s="294"/>
      <c r="AV130" s="294"/>
      <c r="AW130" s="294"/>
      <c r="AX130" s="294"/>
      <c r="AY130" s="294"/>
      <c r="AZ130" s="294"/>
      <c r="BQ130" s="461"/>
    </row>
    <row r="131" spans="1:69" s="382" customFormat="1" ht="24.95" customHeight="1">
      <c r="A131" s="752"/>
      <c r="B131" s="660"/>
      <c r="N131" s="9"/>
      <c r="R131" s="9"/>
      <c r="S131" s="705" t="str">
        <f>+IF(NOVIEMBRE!S131=0,"",NOVIEMBRE!S131)</f>
        <v>2010200-8</v>
      </c>
      <c r="T131" s="681" t="str">
        <f>+IF(NOVIEMBRE!T131=0,"",NOVIEMBRE!T131)</f>
        <v>Bienestar Social</v>
      </c>
      <c r="U131" s="27">
        <f>+ENERO!U131</f>
        <v>45388534</v>
      </c>
      <c r="V131" s="15">
        <f>NOVIEMBRE!V131+DICIEMBRE!AL131</f>
        <v>0</v>
      </c>
      <c r="W131" s="15">
        <f>NOVIEMBRE!W131+DICIEMBRE!AM131</f>
        <v>26602690</v>
      </c>
      <c r="X131" s="18">
        <f t="shared" si="140"/>
        <v>71991224</v>
      </c>
      <c r="Y131" s="19">
        <f>NOVIEMBRE!AA131</f>
        <v>39187083</v>
      </c>
      <c r="Z131" s="374">
        <v>3598567</v>
      </c>
      <c r="AA131" s="18">
        <f t="shared" si="141"/>
        <v>42785650</v>
      </c>
      <c r="AB131" s="19">
        <f>NOVIEMBRE!AD131</f>
        <v>36801810</v>
      </c>
      <c r="AC131" s="374">
        <v>5983840</v>
      </c>
      <c r="AD131" s="18">
        <f t="shared" si="142"/>
        <v>42785650</v>
      </c>
      <c r="AE131" s="19">
        <f>NOVIEMBRE!AG131</f>
        <v>28393163</v>
      </c>
      <c r="AF131" s="374">
        <v>9884092</v>
      </c>
      <c r="AG131" s="18">
        <f t="shared" si="143"/>
        <v>38277255</v>
      </c>
      <c r="AH131" s="19">
        <f t="shared" si="144"/>
        <v>29205574</v>
      </c>
      <c r="AI131" s="15">
        <f t="shared" si="145"/>
        <v>29205574</v>
      </c>
      <c r="AJ131" s="16">
        <f t="shared" si="146"/>
        <v>33713969</v>
      </c>
      <c r="AK131" s="9"/>
      <c r="AL131" s="372">
        <v>0</v>
      </c>
      <c r="AM131" s="375">
        <v>445983</v>
      </c>
      <c r="AN131" s="9"/>
      <c r="AO131" s="294"/>
      <c r="AP131" s="294"/>
      <c r="AQ131" s="294"/>
      <c r="AR131" s="294"/>
      <c r="AS131" s="294"/>
      <c r="AT131" s="294"/>
      <c r="AU131" s="294"/>
      <c r="AV131" s="294"/>
      <c r="AW131" s="294"/>
      <c r="AX131" s="294"/>
      <c r="AY131" s="294"/>
      <c r="AZ131" s="294"/>
      <c r="BQ131" s="461"/>
    </row>
    <row r="132" spans="1:69" s="382" customFormat="1" ht="24.95" customHeight="1">
      <c r="A132" s="752"/>
      <c r="B132" s="660"/>
      <c r="N132" s="9"/>
      <c r="R132" s="9"/>
      <c r="S132" s="705" t="str">
        <f>+IF(NOVIEMBRE!S132=0,"",NOVIEMBRE!S132)</f>
        <v>2010200-9</v>
      </c>
      <c r="T132" s="681" t="str">
        <f>+IF(NOVIEMBRE!T132=0,"",NOVIEMBRE!T132)</f>
        <v>Capacitación, estimulos, incentivos, programa de calidad</v>
      </c>
      <c r="U132" s="27">
        <f>+ENERO!U132</f>
        <v>15000000</v>
      </c>
      <c r="V132" s="15">
        <f>NOVIEMBRE!V132+DICIEMBRE!AL132</f>
        <v>-11000000</v>
      </c>
      <c r="W132" s="15">
        <f>NOVIEMBRE!W132+DICIEMBRE!AM132</f>
        <v>0</v>
      </c>
      <c r="X132" s="18">
        <f t="shared" si="140"/>
        <v>4000000</v>
      </c>
      <c r="Y132" s="19">
        <f>NOVIEMBRE!AA132</f>
        <v>2139400</v>
      </c>
      <c r="Z132" s="374">
        <v>505000</v>
      </c>
      <c r="AA132" s="18">
        <f t="shared" si="141"/>
        <v>2644400</v>
      </c>
      <c r="AB132" s="19">
        <f>NOVIEMBRE!AD132</f>
        <v>2139400</v>
      </c>
      <c r="AC132" s="374">
        <v>505000</v>
      </c>
      <c r="AD132" s="18">
        <f t="shared" si="142"/>
        <v>2644400</v>
      </c>
      <c r="AE132" s="19">
        <f>NOVIEMBRE!AG132</f>
        <v>640000</v>
      </c>
      <c r="AF132" s="374">
        <v>0</v>
      </c>
      <c r="AG132" s="18">
        <f t="shared" si="143"/>
        <v>640000</v>
      </c>
      <c r="AH132" s="19">
        <f t="shared" si="144"/>
        <v>1355600</v>
      </c>
      <c r="AI132" s="15">
        <f t="shared" si="145"/>
        <v>1355600</v>
      </c>
      <c r="AJ132" s="16">
        <f t="shared" si="146"/>
        <v>3360000</v>
      </c>
      <c r="AK132" s="9"/>
      <c r="AL132" s="372">
        <v>-5000000</v>
      </c>
      <c r="AM132" s="375">
        <v>0</v>
      </c>
      <c r="AN132" s="9"/>
      <c r="AO132" s="294"/>
      <c r="AP132" s="294"/>
      <c r="AQ132" s="294"/>
      <c r="AR132" s="294"/>
      <c r="AS132" s="294"/>
      <c r="AT132" s="294"/>
      <c r="AU132" s="294"/>
      <c r="AV132" s="294"/>
      <c r="AW132" s="294"/>
      <c r="AX132" s="294"/>
      <c r="AY132" s="294"/>
      <c r="AZ132" s="294"/>
      <c r="BQ132" s="461"/>
    </row>
    <row r="133" spans="1:69" s="382" customFormat="1" ht="24.95" customHeight="1">
      <c r="A133" s="752"/>
      <c r="B133" s="660"/>
      <c r="N133" s="9"/>
      <c r="R133" s="9"/>
      <c r="S133" s="705" t="str">
        <f>+IF(NOVIEMBRE!S133=0,"",NOVIEMBRE!S133)</f>
        <v>2010200-10</v>
      </c>
      <c r="T133" s="681" t="str">
        <f>+IF(NOVIEMBRE!T133=0,"",NOVIEMBRE!T133)</f>
        <v>Pagos otras IPS</v>
      </c>
      <c r="U133" s="27">
        <f>+ENERO!U133</f>
        <v>5000000</v>
      </c>
      <c r="V133" s="15">
        <f>NOVIEMBRE!V133+DICIEMBRE!AL133</f>
        <v>-3000000</v>
      </c>
      <c r="W133" s="15">
        <f>NOVIEMBRE!W133+DICIEMBRE!AM133</f>
        <v>0</v>
      </c>
      <c r="X133" s="18">
        <f t="shared" si="140"/>
        <v>2000000</v>
      </c>
      <c r="Y133" s="19">
        <f>NOVIEMBRE!AA133</f>
        <v>0</v>
      </c>
      <c r="Z133" s="374">
        <v>0</v>
      </c>
      <c r="AA133" s="18">
        <f t="shared" si="141"/>
        <v>0</v>
      </c>
      <c r="AB133" s="19">
        <f>NOVIEMBRE!AD133</f>
        <v>0</v>
      </c>
      <c r="AC133" s="374">
        <v>0</v>
      </c>
      <c r="AD133" s="18">
        <f t="shared" si="142"/>
        <v>0</v>
      </c>
      <c r="AE133" s="19">
        <f>NOVIEMBRE!AG133</f>
        <v>0</v>
      </c>
      <c r="AF133" s="374">
        <v>0</v>
      </c>
      <c r="AG133" s="18">
        <f t="shared" si="143"/>
        <v>0</v>
      </c>
      <c r="AH133" s="19">
        <f t="shared" si="144"/>
        <v>2000000</v>
      </c>
      <c r="AI133" s="15">
        <f t="shared" si="145"/>
        <v>2000000</v>
      </c>
      <c r="AJ133" s="16">
        <f t="shared" si="146"/>
        <v>2000000</v>
      </c>
      <c r="AK133" s="9"/>
      <c r="AL133" s="372">
        <v>-3000000</v>
      </c>
      <c r="AM133" s="375">
        <v>0</v>
      </c>
      <c r="AN133" s="9"/>
      <c r="AO133" s="294"/>
      <c r="AP133" s="294"/>
      <c r="AQ133" s="294"/>
      <c r="AR133" s="294"/>
      <c r="AS133" s="294"/>
      <c r="AT133" s="294"/>
      <c r="AU133" s="294"/>
      <c r="AV133" s="294"/>
      <c r="AW133" s="294"/>
      <c r="AX133" s="294"/>
      <c r="AY133" s="294"/>
      <c r="AZ133" s="294"/>
      <c r="BQ133" s="461"/>
    </row>
    <row r="134" spans="1:69" s="382" customFormat="1" ht="24.95" customHeight="1">
      <c r="A134" s="752"/>
      <c r="B134" s="660"/>
      <c r="N134" s="9"/>
      <c r="R134" s="9"/>
      <c r="S134" s="705" t="str">
        <f>+IF(NOVIEMBRE!S134=0,"",NOVIEMBRE!S134)</f>
        <v>2010200-11</v>
      </c>
      <c r="T134" s="681" t="str">
        <f>+IF(NOVIEMBRE!T134=0,"",NOVIEMBRE!T134)</f>
        <v>Gastos financieros</v>
      </c>
      <c r="U134" s="27">
        <f>+ENERO!U134</f>
        <v>10000000</v>
      </c>
      <c r="V134" s="15">
        <f>NOVIEMBRE!V134+DICIEMBRE!AL134</f>
        <v>14000000</v>
      </c>
      <c r="W134" s="15">
        <f>NOVIEMBRE!W134+DICIEMBRE!AM134</f>
        <v>22000000</v>
      </c>
      <c r="X134" s="18">
        <f t="shared" si="140"/>
        <v>46000000</v>
      </c>
      <c r="Y134" s="19">
        <f>NOVIEMBRE!AA134</f>
        <v>27728398</v>
      </c>
      <c r="Z134" s="374">
        <v>385</v>
      </c>
      <c r="AA134" s="18">
        <f t="shared" si="141"/>
        <v>27728783</v>
      </c>
      <c r="AB134" s="19">
        <f>NOVIEMBRE!AD134</f>
        <v>27728398</v>
      </c>
      <c r="AC134" s="374">
        <v>385</v>
      </c>
      <c r="AD134" s="18">
        <f t="shared" si="142"/>
        <v>27728783</v>
      </c>
      <c r="AE134" s="19">
        <f>NOVIEMBRE!AG134</f>
        <v>27728398</v>
      </c>
      <c r="AF134" s="374">
        <v>385</v>
      </c>
      <c r="AG134" s="18">
        <f t="shared" si="143"/>
        <v>27728783</v>
      </c>
      <c r="AH134" s="19">
        <f t="shared" si="144"/>
        <v>18271217</v>
      </c>
      <c r="AI134" s="15">
        <f t="shared" si="145"/>
        <v>18271217</v>
      </c>
      <c r="AJ134" s="16">
        <f t="shared" si="146"/>
        <v>18271217</v>
      </c>
      <c r="AK134" s="9"/>
      <c r="AL134" s="372">
        <v>0</v>
      </c>
      <c r="AM134" s="375">
        <v>0</v>
      </c>
      <c r="AN134" s="9"/>
      <c r="AO134" s="294"/>
      <c r="AP134" s="294"/>
      <c r="AQ134" s="294"/>
      <c r="AR134" s="294"/>
      <c r="AS134" s="294"/>
      <c r="AT134" s="294"/>
      <c r="AU134" s="294"/>
      <c r="AV134" s="294"/>
      <c r="AW134" s="294"/>
      <c r="AX134" s="294"/>
      <c r="AY134" s="294"/>
      <c r="AZ134" s="294"/>
      <c r="BQ134" s="461"/>
    </row>
    <row r="135" spans="1:69" s="382" customFormat="1" ht="24.95" customHeight="1">
      <c r="A135" s="752"/>
      <c r="B135" s="660"/>
      <c r="N135" s="9"/>
      <c r="R135" s="9"/>
      <c r="S135" s="705" t="str">
        <f>+IF(NOVIEMBRE!S135=0,"",NOVIEMBRE!S135)</f>
        <v>2010200-12</v>
      </c>
      <c r="T135" s="681" t="str">
        <f>+IF(NOVIEMBRE!T135=0,"",NOVIEMBRE!T135)</f>
        <v/>
      </c>
      <c r="U135" s="27">
        <f>+ENERO!U135</f>
        <v>0</v>
      </c>
      <c r="V135" s="15">
        <f>NOVIEMBRE!V135+DICIEMBRE!AL135</f>
        <v>0</v>
      </c>
      <c r="W135" s="15">
        <f>NOVIEMBRE!W135+DICIEMBRE!AM135</f>
        <v>0</v>
      </c>
      <c r="X135" s="18">
        <f t="shared" si="140"/>
        <v>0</v>
      </c>
      <c r="Y135" s="19">
        <f>NOVIEMBRE!AA135</f>
        <v>0</v>
      </c>
      <c r="Z135" s="374">
        <v>0</v>
      </c>
      <c r="AA135" s="18">
        <f t="shared" si="141"/>
        <v>0</v>
      </c>
      <c r="AB135" s="19">
        <f>NOVIEMBRE!AD135</f>
        <v>0</v>
      </c>
      <c r="AC135" s="374">
        <v>0</v>
      </c>
      <c r="AD135" s="18">
        <f t="shared" si="142"/>
        <v>0</v>
      </c>
      <c r="AE135" s="19">
        <f>NOVIEMBRE!AG135</f>
        <v>0</v>
      </c>
      <c r="AF135" s="374">
        <v>0</v>
      </c>
      <c r="AG135" s="18">
        <f t="shared" si="143"/>
        <v>0</v>
      </c>
      <c r="AH135" s="19">
        <f t="shared" si="144"/>
        <v>0</v>
      </c>
      <c r="AI135" s="15">
        <f t="shared" si="145"/>
        <v>0</v>
      </c>
      <c r="AJ135" s="16">
        <f t="shared" si="146"/>
        <v>0</v>
      </c>
      <c r="AK135" s="9"/>
      <c r="AL135" s="372">
        <v>0</v>
      </c>
      <c r="AM135" s="375">
        <v>0</v>
      </c>
      <c r="AN135" s="9"/>
      <c r="AO135" s="294"/>
      <c r="AP135" s="294"/>
      <c r="AQ135" s="294"/>
      <c r="AR135" s="294"/>
      <c r="AS135" s="294"/>
      <c r="AT135" s="294"/>
      <c r="AU135" s="294"/>
      <c r="AV135" s="294"/>
      <c r="AW135" s="294"/>
      <c r="AX135" s="294"/>
      <c r="AY135" s="294"/>
      <c r="AZ135" s="294"/>
      <c r="BQ135" s="461"/>
    </row>
    <row r="136" spans="1:69" s="382" customFormat="1" ht="24.95" customHeight="1">
      <c r="A136" s="752"/>
      <c r="B136" s="660"/>
      <c r="N136" s="9"/>
      <c r="R136" s="9"/>
      <c r="S136" s="705" t="str">
        <f>+IF(NOVIEMBRE!S136=0,"",NOVIEMBRE!S136)</f>
        <v>2010200-13</v>
      </c>
      <c r="T136" s="681" t="str">
        <f>+IF(NOVIEMBRE!T136=0,"",NOVIEMBRE!T136)</f>
        <v/>
      </c>
      <c r="U136" s="27">
        <f>+ENERO!U136</f>
        <v>0</v>
      </c>
      <c r="V136" s="15">
        <f>NOVIEMBRE!V136+DICIEMBRE!AL136</f>
        <v>0</v>
      </c>
      <c r="W136" s="15">
        <f>NOVIEMBRE!W136+DICIEMBRE!AM136</f>
        <v>0</v>
      </c>
      <c r="X136" s="18">
        <f t="shared" si="140"/>
        <v>0</v>
      </c>
      <c r="Y136" s="19">
        <f>NOVIEMBRE!AA136</f>
        <v>0</v>
      </c>
      <c r="Z136" s="374">
        <v>0</v>
      </c>
      <c r="AA136" s="18">
        <f t="shared" si="141"/>
        <v>0</v>
      </c>
      <c r="AB136" s="19">
        <f>NOVIEMBRE!AD136</f>
        <v>0</v>
      </c>
      <c r="AC136" s="374">
        <v>0</v>
      </c>
      <c r="AD136" s="18">
        <f t="shared" si="142"/>
        <v>0</v>
      </c>
      <c r="AE136" s="19">
        <f>NOVIEMBRE!AG136</f>
        <v>0</v>
      </c>
      <c r="AF136" s="374">
        <v>0</v>
      </c>
      <c r="AG136" s="18">
        <f t="shared" si="143"/>
        <v>0</v>
      </c>
      <c r="AH136" s="19">
        <f t="shared" si="144"/>
        <v>0</v>
      </c>
      <c r="AI136" s="15">
        <f t="shared" si="145"/>
        <v>0</v>
      </c>
      <c r="AJ136" s="16">
        <f t="shared" si="146"/>
        <v>0</v>
      </c>
      <c r="AK136" s="9"/>
      <c r="AL136" s="372">
        <v>0</v>
      </c>
      <c r="AM136" s="375">
        <v>0</v>
      </c>
      <c r="AN136" s="9"/>
      <c r="AO136" s="294"/>
      <c r="AP136" s="294"/>
      <c r="AQ136" s="294"/>
      <c r="AR136" s="294"/>
      <c r="AS136" s="294"/>
      <c r="AT136" s="294"/>
      <c r="AU136" s="294"/>
      <c r="AV136" s="294"/>
      <c r="AW136" s="294"/>
      <c r="AX136" s="294"/>
      <c r="AY136" s="294"/>
      <c r="AZ136" s="294"/>
      <c r="BQ136" s="461"/>
    </row>
    <row r="137" spans="1:69" s="382" customFormat="1" ht="24.95" customHeight="1">
      <c r="A137" s="752"/>
      <c r="B137" s="660"/>
      <c r="N137" s="9"/>
      <c r="R137" s="9"/>
      <c r="S137" s="705" t="str">
        <f>+IF(NOVIEMBRE!S137=0,"",NOVIEMBRE!S137)</f>
        <v>2010020-14</v>
      </c>
      <c r="T137" s="681" t="str">
        <f>+IF(NOVIEMBRE!T137=0,"",NOVIEMBRE!T137)</f>
        <v/>
      </c>
      <c r="U137" s="27">
        <f>+ENERO!U137</f>
        <v>0</v>
      </c>
      <c r="V137" s="15">
        <f>NOVIEMBRE!V137+DICIEMBRE!AL137</f>
        <v>0</v>
      </c>
      <c r="W137" s="15">
        <f>NOVIEMBRE!W137+DICIEMBRE!AM137</f>
        <v>0</v>
      </c>
      <c r="X137" s="18">
        <f t="shared" si="140"/>
        <v>0</v>
      </c>
      <c r="Y137" s="19">
        <f>NOVIEMBRE!AA137</f>
        <v>0</v>
      </c>
      <c r="Z137" s="374">
        <v>0</v>
      </c>
      <c r="AA137" s="18">
        <f t="shared" si="141"/>
        <v>0</v>
      </c>
      <c r="AB137" s="19">
        <f>NOVIEMBRE!AD137</f>
        <v>0</v>
      </c>
      <c r="AC137" s="374">
        <v>0</v>
      </c>
      <c r="AD137" s="18">
        <f t="shared" si="142"/>
        <v>0</v>
      </c>
      <c r="AE137" s="19">
        <f>NOVIEMBRE!AG137</f>
        <v>0</v>
      </c>
      <c r="AF137" s="374">
        <v>0</v>
      </c>
      <c r="AG137" s="18">
        <f t="shared" si="143"/>
        <v>0</v>
      </c>
      <c r="AH137" s="19">
        <f t="shared" si="144"/>
        <v>0</v>
      </c>
      <c r="AI137" s="15">
        <f t="shared" si="145"/>
        <v>0</v>
      </c>
      <c r="AJ137" s="16">
        <f t="shared" si="146"/>
        <v>0</v>
      </c>
      <c r="AK137" s="9"/>
      <c r="AL137" s="372">
        <v>0</v>
      </c>
      <c r="AM137" s="375">
        <v>0</v>
      </c>
      <c r="AN137" s="9"/>
      <c r="AO137" s="294"/>
      <c r="AP137" s="294"/>
      <c r="AQ137" s="294"/>
      <c r="AR137" s="294"/>
      <c r="AS137" s="294"/>
      <c r="AT137" s="294"/>
      <c r="AU137" s="294"/>
      <c r="AV137" s="294"/>
      <c r="AW137" s="294"/>
      <c r="AX137" s="294"/>
      <c r="AY137" s="294"/>
      <c r="AZ137" s="294"/>
      <c r="BQ137" s="461"/>
    </row>
    <row r="138" spans="1:69" s="382" customFormat="1" ht="24.95" customHeight="1">
      <c r="A138" s="752"/>
      <c r="B138" s="660"/>
      <c r="N138" s="9"/>
      <c r="R138" s="9"/>
      <c r="S138" s="705" t="str">
        <f>+IF(NOVIEMBRE!S138=0,"",NOVIEMBRE!S138)</f>
        <v>2010200-15</v>
      </c>
      <c r="T138" s="681" t="str">
        <f>+IF(NOVIEMBRE!T138=0,"",NOVIEMBRE!T138)</f>
        <v/>
      </c>
      <c r="U138" s="27">
        <f>+ENERO!U138</f>
        <v>0</v>
      </c>
      <c r="V138" s="15">
        <f>NOVIEMBRE!V138+DICIEMBRE!AL138</f>
        <v>0</v>
      </c>
      <c r="W138" s="15">
        <f>NOVIEMBRE!W138+DICIEMBRE!AM138</f>
        <v>0</v>
      </c>
      <c r="X138" s="18">
        <f t="shared" si="140"/>
        <v>0</v>
      </c>
      <c r="Y138" s="19">
        <f>NOVIEMBRE!AA138</f>
        <v>0</v>
      </c>
      <c r="Z138" s="374">
        <v>0</v>
      </c>
      <c r="AA138" s="18">
        <f t="shared" si="141"/>
        <v>0</v>
      </c>
      <c r="AB138" s="19">
        <f>NOVIEMBRE!AD138</f>
        <v>0</v>
      </c>
      <c r="AC138" s="374">
        <v>0</v>
      </c>
      <c r="AD138" s="18">
        <f t="shared" si="142"/>
        <v>0</v>
      </c>
      <c r="AE138" s="19">
        <f>NOVIEMBRE!AG138</f>
        <v>0</v>
      </c>
      <c r="AF138" s="374">
        <v>0</v>
      </c>
      <c r="AG138" s="18">
        <f t="shared" si="143"/>
        <v>0</v>
      </c>
      <c r="AH138" s="19">
        <f t="shared" si="144"/>
        <v>0</v>
      </c>
      <c r="AI138" s="15">
        <f t="shared" si="145"/>
        <v>0</v>
      </c>
      <c r="AJ138" s="16">
        <f t="shared" si="146"/>
        <v>0</v>
      </c>
      <c r="AK138" s="9"/>
      <c r="AL138" s="372">
        <v>0</v>
      </c>
      <c r="AM138" s="375">
        <v>0</v>
      </c>
      <c r="AN138" s="9"/>
      <c r="AO138" s="294"/>
      <c r="AP138" s="294"/>
      <c r="AQ138" s="294"/>
      <c r="AR138" s="294"/>
      <c r="AS138" s="294"/>
      <c r="AT138" s="294"/>
      <c r="AU138" s="294"/>
      <c r="AV138" s="294"/>
      <c r="AW138" s="294"/>
      <c r="AX138" s="294"/>
      <c r="AY138" s="294"/>
      <c r="AZ138" s="294"/>
      <c r="BQ138" s="461"/>
    </row>
    <row r="139" spans="1:69" s="382" customFormat="1" ht="24.95" customHeight="1">
      <c r="A139" s="752"/>
      <c r="B139" s="660"/>
      <c r="N139" s="9"/>
      <c r="R139" s="9"/>
      <c r="S139" s="705">
        <f>+IF(NOVIEMBRE!S139=0,"",NOVIEMBRE!S139)</f>
        <v>2010299</v>
      </c>
      <c r="T139" s="681" t="str">
        <f>+IF(NOVIEMBRE!T139=0,"",NOVIEMBRE!T139)</f>
        <v>Vigencias Anteriores</v>
      </c>
      <c r="U139" s="27">
        <f>+ENERO!U139</f>
        <v>0</v>
      </c>
      <c r="V139" s="15">
        <f>NOVIEMBRE!V139+DICIEMBRE!AL139</f>
        <v>-717549030</v>
      </c>
      <c r="W139" s="15">
        <f>NOVIEMBRE!W139+DICIEMBRE!AM139</f>
        <v>1295590398</v>
      </c>
      <c r="X139" s="18">
        <f t="shared" si="140"/>
        <v>578041368</v>
      </c>
      <c r="Y139" s="19">
        <f>NOVIEMBRE!AA139</f>
        <v>466273502</v>
      </c>
      <c r="Z139" s="374">
        <v>111767866</v>
      </c>
      <c r="AA139" s="18">
        <f t="shared" si="141"/>
        <v>578041368</v>
      </c>
      <c r="AB139" s="19">
        <f>NOVIEMBRE!AD139</f>
        <v>466273502</v>
      </c>
      <c r="AC139" s="374">
        <v>111767866</v>
      </c>
      <c r="AD139" s="18">
        <f t="shared" si="142"/>
        <v>578041368</v>
      </c>
      <c r="AE139" s="19">
        <f>NOVIEMBRE!AG139</f>
        <v>466273502</v>
      </c>
      <c r="AF139" s="374">
        <v>111767866</v>
      </c>
      <c r="AG139" s="18">
        <f t="shared" si="143"/>
        <v>578041368</v>
      </c>
      <c r="AH139" s="19">
        <f t="shared" si="144"/>
        <v>0</v>
      </c>
      <c r="AI139" s="15">
        <f t="shared" si="145"/>
        <v>0</v>
      </c>
      <c r="AJ139" s="16">
        <f t="shared" si="146"/>
        <v>0</v>
      </c>
      <c r="AK139" s="9"/>
      <c r="AL139" s="372">
        <v>-64549200</v>
      </c>
      <c r="AM139" s="375">
        <v>120000000</v>
      </c>
      <c r="AN139" s="9"/>
      <c r="AO139" s="294"/>
      <c r="AP139" s="294"/>
      <c r="AQ139" s="294"/>
      <c r="BQ139" s="461"/>
    </row>
    <row r="140" spans="1:69" s="382" customFormat="1" ht="24.95" customHeight="1">
      <c r="A140" s="752"/>
      <c r="B140" s="660"/>
      <c r="N140" s="9"/>
      <c r="R140" s="9"/>
      <c r="S140" s="366" t="str">
        <f>+IF(NOVIEMBRE!S140=0,"",NOVIEMBRE!S140)</f>
        <v/>
      </c>
      <c r="T140" s="695"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61"/>
    </row>
    <row r="141" spans="1:69" s="382" customFormat="1" ht="24.95" customHeight="1">
      <c r="A141" s="752"/>
      <c r="B141" s="660"/>
      <c r="N141" s="9"/>
      <c r="R141" s="9"/>
      <c r="S141" s="704">
        <f>+IF(NOVIEMBRE!S141=0,"",NOVIEMBRE!S141)</f>
        <v>2010300</v>
      </c>
      <c r="T141" s="680" t="str">
        <f>+IF(NOVIEMBRE!T141=0,"",NOVIEMBRE!T141)</f>
        <v>Impuestos y Multas</v>
      </c>
      <c r="U141" s="132">
        <f t="shared" ref="U141:AJ141" si="149">U142+U143</f>
        <v>0</v>
      </c>
      <c r="V141" s="122">
        <f t="shared" si="149"/>
        <v>2892178</v>
      </c>
      <c r="W141" s="122">
        <f t="shared" si="149"/>
        <v>0</v>
      </c>
      <c r="X141" s="129">
        <f t="shared" si="149"/>
        <v>2892178</v>
      </c>
      <c r="Y141" s="128">
        <f t="shared" si="149"/>
        <v>2892178</v>
      </c>
      <c r="Z141" s="122">
        <f t="shared" si="149"/>
        <v>0</v>
      </c>
      <c r="AA141" s="129">
        <f t="shared" si="149"/>
        <v>2892178</v>
      </c>
      <c r="AB141" s="128">
        <f t="shared" si="149"/>
        <v>2892178</v>
      </c>
      <c r="AC141" s="122">
        <f t="shared" si="149"/>
        <v>0</v>
      </c>
      <c r="AD141" s="129">
        <f t="shared" si="149"/>
        <v>2892178</v>
      </c>
      <c r="AE141" s="128">
        <f t="shared" si="149"/>
        <v>2892178</v>
      </c>
      <c r="AF141" s="122">
        <f t="shared" si="149"/>
        <v>0</v>
      </c>
      <c r="AG141" s="129">
        <f t="shared" si="149"/>
        <v>2892178</v>
      </c>
      <c r="AH141" s="128">
        <f t="shared" si="149"/>
        <v>0</v>
      </c>
      <c r="AI141" s="122">
        <f t="shared" si="149"/>
        <v>0</v>
      </c>
      <c r="AJ141" s="130">
        <f t="shared" si="149"/>
        <v>0</v>
      </c>
      <c r="AK141" s="10"/>
      <c r="AL141" s="128">
        <f>AL142+AL143</f>
        <v>0</v>
      </c>
      <c r="AM141" s="130">
        <f>AM142+AM143</f>
        <v>0</v>
      </c>
      <c r="AN141" s="9"/>
      <c r="BQ141" s="461"/>
    </row>
    <row r="142" spans="1:69" s="382" customFormat="1" ht="24.95" customHeight="1">
      <c r="A142" s="752"/>
      <c r="B142" s="660"/>
      <c r="N142" s="9"/>
      <c r="R142" s="9"/>
      <c r="S142" s="705" t="str">
        <f>+IF(NOVIEMBRE!S142=0,"",NOVIEMBRE!S142)</f>
        <v>2010300-1</v>
      </c>
      <c r="T142" s="681" t="str">
        <f>+IF(NOVIEMBRE!T142=0,"",NOVIEMBRE!T142)</f>
        <v>Impuestos (Predial, Vehiculos, Otros)</v>
      </c>
      <c r="U142" s="27">
        <f>+ENERO!U142</f>
        <v>0</v>
      </c>
      <c r="V142" s="15">
        <f>NOVIEMBRE!V142+DICIEMBRE!AL142</f>
        <v>2892178</v>
      </c>
      <c r="W142" s="15">
        <f>NOVIEMBRE!W142+DICIEMBRE!AM142</f>
        <v>0</v>
      </c>
      <c r="X142" s="18">
        <f>SUM(U142:W142)</f>
        <v>2892178</v>
      </c>
      <c r="Y142" s="19">
        <f>NOVIEMBRE!AA142</f>
        <v>2892178</v>
      </c>
      <c r="Z142" s="374">
        <v>0</v>
      </c>
      <c r="AA142" s="18">
        <f>SUM(Y142:Z142)</f>
        <v>2892178</v>
      </c>
      <c r="AB142" s="19">
        <f>NOVIEMBRE!AD142</f>
        <v>2892178</v>
      </c>
      <c r="AC142" s="374">
        <v>0</v>
      </c>
      <c r="AD142" s="18">
        <f>SUM(AB142:AC142)</f>
        <v>2892178</v>
      </c>
      <c r="AE142" s="19">
        <f>NOVIEMBRE!AG142</f>
        <v>2892178</v>
      </c>
      <c r="AF142" s="374">
        <v>0</v>
      </c>
      <c r="AG142" s="18">
        <f>SUM(AE142:AF142)</f>
        <v>2892178</v>
      </c>
      <c r="AH142" s="19">
        <f>X142-AA142</f>
        <v>0</v>
      </c>
      <c r="AI142" s="15">
        <f>X142-AD142</f>
        <v>0</v>
      </c>
      <c r="AJ142" s="16">
        <f>X142-AG142</f>
        <v>0</v>
      </c>
      <c r="AK142" s="9"/>
      <c r="AL142" s="372">
        <v>0</v>
      </c>
      <c r="AM142" s="375">
        <v>0</v>
      </c>
      <c r="AN142" s="9"/>
      <c r="BQ142" s="461"/>
    </row>
    <row r="143" spans="1:69" s="382" customFormat="1" ht="24.95" customHeight="1">
      <c r="A143" s="752"/>
      <c r="B143" s="660"/>
      <c r="N143" s="9"/>
      <c r="R143" s="9"/>
      <c r="S143" s="705">
        <f>+IF(NOVIEMBRE!S143=0,"",NOVIEMBRE!S143)</f>
        <v>2010399</v>
      </c>
      <c r="T143" s="681" t="str">
        <f>+IF(NOVIEMBRE!T143=0,"",NOVIEMBRE!T143)</f>
        <v>Vigencias Anteriores</v>
      </c>
      <c r="U143" s="27">
        <f>+ENERO!U143</f>
        <v>0</v>
      </c>
      <c r="V143" s="15">
        <f>NOVIEMBRE!V143+DICIEMBRE!AL143</f>
        <v>0</v>
      </c>
      <c r="W143" s="15">
        <f>NOVIEMBRE!W143+DICIEMBRE!AM143</f>
        <v>0</v>
      </c>
      <c r="X143" s="18">
        <f>SUM(U143:W143)</f>
        <v>0</v>
      </c>
      <c r="Y143" s="19">
        <f>NOVIEMBRE!AA143</f>
        <v>0</v>
      </c>
      <c r="Z143" s="374">
        <v>0</v>
      </c>
      <c r="AA143" s="18">
        <f>SUM(Y143:Z143)</f>
        <v>0</v>
      </c>
      <c r="AB143" s="19">
        <f>NOVIEMBRE!AD143</f>
        <v>0</v>
      </c>
      <c r="AC143" s="374">
        <v>0</v>
      </c>
      <c r="AD143" s="18">
        <f>SUM(AB143:AC143)</f>
        <v>0</v>
      </c>
      <c r="AE143" s="19">
        <f>NOVIEMBRE!AG143</f>
        <v>0</v>
      </c>
      <c r="AF143" s="374">
        <v>0</v>
      </c>
      <c r="AG143" s="18">
        <f>SUM(AE143:AF143)</f>
        <v>0</v>
      </c>
      <c r="AH143" s="19">
        <f>X143-AA143</f>
        <v>0</v>
      </c>
      <c r="AI143" s="15">
        <f>X143-AD143</f>
        <v>0</v>
      </c>
      <c r="AJ143" s="16">
        <f>X143-AG143</f>
        <v>0</v>
      </c>
      <c r="AK143" s="9"/>
      <c r="AL143" s="372">
        <v>0</v>
      </c>
      <c r="AM143" s="375">
        <v>0</v>
      </c>
      <c r="AN143" s="9"/>
      <c r="BQ143" s="461"/>
    </row>
    <row r="144" spans="1:69" s="382" customFormat="1" ht="24.95" customHeight="1">
      <c r="A144" s="752"/>
      <c r="B144" s="660"/>
      <c r="N144" s="9"/>
      <c r="R144" s="9"/>
      <c r="S144" s="366" t="str">
        <f>+IF(NOVIEMBRE!S144=0,"",NOVIEMBRE!S144)</f>
        <v/>
      </c>
      <c r="T144" s="695"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61"/>
    </row>
    <row r="145" spans="1:69" s="382" customFormat="1" ht="24.95" customHeight="1">
      <c r="A145" s="752"/>
      <c r="B145" s="660"/>
      <c r="N145" s="9"/>
      <c r="R145" s="9"/>
      <c r="S145" s="703">
        <f>+IF(NOVIEMBRE!S145=0,"",NOVIEMBRE!S145)</f>
        <v>2020010</v>
      </c>
      <c r="T145" s="679" t="str">
        <f>+IF(NOVIEMBRE!T145=0,"",NOVIEMBRE!T145)</f>
        <v>Gastos de Operación</v>
      </c>
      <c r="U145" s="132">
        <f t="shared" ref="U145:AJ145" si="150">U147+U155</f>
        <v>2659132662</v>
      </c>
      <c r="V145" s="122">
        <f t="shared" si="150"/>
        <v>-1137552546</v>
      </c>
      <c r="W145" s="122">
        <f t="shared" si="150"/>
        <v>1850000000</v>
      </c>
      <c r="X145" s="129">
        <f t="shared" si="150"/>
        <v>3371580116</v>
      </c>
      <c r="Y145" s="128">
        <f t="shared" si="150"/>
        <v>2443190192</v>
      </c>
      <c r="Z145" s="122">
        <f t="shared" si="150"/>
        <v>-286280672</v>
      </c>
      <c r="AA145" s="129">
        <f t="shared" si="150"/>
        <v>2156909520</v>
      </c>
      <c r="AB145" s="128">
        <f t="shared" si="150"/>
        <v>2063061033</v>
      </c>
      <c r="AC145" s="122">
        <f t="shared" si="150"/>
        <v>93848487</v>
      </c>
      <c r="AD145" s="129">
        <f t="shared" si="150"/>
        <v>2156909520</v>
      </c>
      <c r="AE145" s="128">
        <f t="shared" si="150"/>
        <v>1083615885</v>
      </c>
      <c r="AF145" s="122">
        <f t="shared" si="150"/>
        <v>189178870</v>
      </c>
      <c r="AG145" s="129">
        <f t="shared" si="150"/>
        <v>1272794755</v>
      </c>
      <c r="AH145" s="128">
        <f t="shared" si="150"/>
        <v>1214670596</v>
      </c>
      <c r="AI145" s="122">
        <f t="shared" si="150"/>
        <v>1214670596</v>
      </c>
      <c r="AJ145" s="130">
        <f t="shared" si="150"/>
        <v>2098785361</v>
      </c>
      <c r="AK145" s="10"/>
      <c r="AL145" s="128">
        <f>AL147+AL155</f>
        <v>-152327760</v>
      </c>
      <c r="AM145" s="130">
        <f>AM147+AM155</f>
        <v>0</v>
      </c>
      <c r="AN145" s="9"/>
      <c r="BQ145" s="461"/>
    </row>
    <row r="146" spans="1:69" s="382" customFormat="1" ht="24.95" customHeight="1">
      <c r="A146" s="752"/>
      <c r="B146" s="660"/>
      <c r="N146" s="9"/>
      <c r="R146" s="9"/>
      <c r="S146" s="706" t="str">
        <f>+IF(NOVIEMBRE!S146=0,"",NOVIEMBRE!S146)</f>
        <v/>
      </c>
      <c r="T146" s="682"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61"/>
    </row>
    <row r="147" spans="1:69" s="382" customFormat="1" ht="24.95" customHeight="1">
      <c r="A147" s="752"/>
      <c r="B147" s="660"/>
      <c r="N147" s="9"/>
      <c r="R147" s="9"/>
      <c r="S147" s="704">
        <f>+IF(NOVIEMBRE!S147=0,"",NOVIEMBRE!S147)</f>
        <v>2020100</v>
      </c>
      <c r="T147" s="680" t="str">
        <f>+IF(NOVIEMBRE!T147=0,"",NOVIEMBRE!T147)</f>
        <v>Adquisición de bienes</v>
      </c>
      <c r="U147" s="132">
        <f t="shared" ref="U147:AJ147" si="151">SUM(U148:U149)+U153</f>
        <v>1878602056</v>
      </c>
      <c r="V147" s="122">
        <f t="shared" si="151"/>
        <v>-438298380</v>
      </c>
      <c r="W147" s="122">
        <f t="shared" si="151"/>
        <v>650000000</v>
      </c>
      <c r="X147" s="129">
        <f t="shared" si="151"/>
        <v>2090303676</v>
      </c>
      <c r="Y147" s="128">
        <f t="shared" si="151"/>
        <v>1303608630</v>
      </c>
      <c r="Z147" s="122">
        <f t="shared" si="151"/>
        <v>-89254419</v>
      </c>
      <c r="AA147" s="129">
        <f t="shared" si="151"/>
        <v>1214354211</v>
      </c>
      <c r="AB147" s="128">
        <f t="shared" si="151"/>
        <v>1162029428</v>
      </c>
      <c r="AC147" s="122">
        <f t="shared" si="151"/>
        <v>52324783</v>
      </c>
      <c r="AD147" s="129">
        <f t="shared" si="151"/>
        <v>1214354211</v>
      </c>
      <c r="AE147" s="128">
        <f t="shared" si="151"/>
        <v>730699272</v>
      </c>
      <c r="AF147" s="122">
        <f t="shared" si="151"/>
        <v>73190685</v>
      </c>
      <c r="AG147" s="129">
        <f t="shared" si="151"/>
        <v>803889957</v>
      </c>
      <c r="AH147" s="128">
        <f t="shared" si="151"/>
        <v>875949465</v>
      </c>
      <c r="AI147" s="122">
        <f t="shared" si="151"/>
        <v>875949465</v>
      </c>
      <c r="AJ147" s="130">
        <f t="shared" si="151"/>
        <v>1286413719</v>
      </c>
      <c r="AK147" s="9"/>
      <c r="AL147" s="128">
        <f>SUM(AL148:AL149)+AL153</f>
        <v>-67918911</v>
      </c>
      <c r="AM147" s="130">
        <f>SUM(AM148:AM149)+AM153</f>
        <v>0</v>
      </c>
      <c r="AN147" s="9"/>
      <c r="BQ147" s="461"/>
    </row>
    <row r="148" spans="1:69" s="382" customFormat="1" ht="24.95" customHeight="1">
      <c r="A148" s="752"/>
      <c r="B148" s="660"/>
      <c r="N148" s="9"/>
      <c r="R148" s="9"/>
      <c r="S148" s="705">
        <f>+IF(NOVIEMBRE!S148=0,"",NOVIEMBRE!S148)</f>
        <v>2020101</v>
      </c>
      <c r="T148" s="681" t="str">
        <f>+IF(NOVIEMBRE!T148=0,"",NOVIEMBRE!T148)</f>
        <v>Mantenimiento Hospitalario</v>
      </c>
      <c r="U148" s="27">
        <f>+ENERO!U148</f>
        <v>780530606</v>
      </c>
      <c r="V148" s="15">
        <f>NOVIEMBRE!V148+DICIEMBRE!AL148</f>
        <v>148700666</v>
      </c>
      <c r="W148" s="15">
        <f>NOVIEMBRE!W148+DICIEMBRE!AM148</f>
        <v>0</v>
      </c>
      <c r="X148" s="18">
        <f>SUM(U148:W148)</f>
        <v>929231272</v>
      </c>
      <c r="Y148" s="19">
        <f>NOVIEMBRE!AA148</f>
        <v>260049692</v>
      </c>
      <c r="Z148" s="374">
        <v>-71918056</v>
      </c>
      <c r="AA148" s="18">
        <f>SUM(Y148:Z148)</f>
        <v>188131636</v>
      </c>
      <c r="AB148" s="19">
        <f>NOVIEMBRE!AD148</f>
        <v>170501852</v>
      </c>
      <c r="AC148" s="374">
        <v>17629784</v>
      </c>
      <c r="AD148" s="18">
        <f>SUM(AB148:AC148)</f>
        <v>188131636</v>
      </c>
      <c r="AE148" s="19">
        <f>NOVIEMBRE!AG148</f>
        <v>114964454</v>
      </c>
      <c r="AF148" s="374">
        <v>12025894</v>
      </c>
      <c r="AG148" s="18">
        <f>SUM(AE148:AF148)</f>
        <v>126990348</v>
      </c>
      <c r="AH148" s="19">
        <f>X148-AA148</f>
        <v>741099636</v>
      </c>
      <c r="AI148" s="15">
        <f>X148-AD148</f>
        <v>741099636</v>
      </c>
      <c r="AJ148" s="16">
        <f>X148-AG148</f>
        <v>802240924</v>
      </c>
      <c r="AK148" s="9"/>
      <c r="AL148" s="372">
        <v>0</v>
      </c>
      <c r="AM148" s="375">
        <v>0</v>
      </c>
      <c r="AN148" s="9"/>
      <c r="BQ148" s="461"/>
    </row>
    <row r="149" spans="1:69" s="382" customFormat="1" ht="24.95" customHeight="1">
      <c r="A149" s="752"/>
      <c r="B149" s="660"/>
      <c r="N149" s="9"/>
      <c r="R149" s="9"/>
      <c r="S149" s="705">
        <f>+IF(NOVIEMBRE!S149=0,"",NOVIEMBRE!S149)</f>
        <v>2020102</v>
      </c>
      <c r="T149" s="681" t="str">
        <f>+IF(NOVIEMBRE!T149=0,"",NOVIEMBRE!T149)</f>
        <v>Otros</v>
      </c>
      <c r="U149" s="27">
        <f t="shared" ref="U149:AJ149" si="152">SUM(U150:U152)</f>
        <v>1098071450</v>
      </c>
      <c r="V149" s="15">
        <f t="shared" si="152"/>
        <v>-292912662</v>
      </c>
      <c r="W149" s="15">
        <f t="shared" si="152"/>
        <v>0</v>
      </c>
      <c r="X149" s="18">
        <f t="shared" si="152"/>
        <v>805158788</v>
      </c>
      <c r="Y149" s="19">
        <f t="shared" si="152"/>
        <v>687645322</v>
      </c>
      <c r="Z149" s="142">
        <f t="shared" si="152"/>
        <v>-17336363</v>
      </c>
      <c r="AA149" s="18">
        <f t="shared" si="152"/>
        <v>670308959</v>
      </c>
      <c r="AB149" s="19">
        <f t="shared" si="152"/>
        <v>635613960</v>
      </c>
      <c r="AC149" s="142">
        <f t="shared" si="152"/>
        <v>34694999</v>
      </c>
      <c r="AD149" s="18">
        <f t="shared" si="152"/>
        <v>670308959</v>
      </c>
      <c r="AE149" s="19">
        <f t="shared" si="152"/>
        <v>259821202</v>
      </c>
      <c r="AF149" s="142">
        <f t="shared" si="152"/>
        <v>61164791</v>
      </c>
      <c r="AG149" s="18">
        <f t="shared" si="152"/>
        <v>320985993</v>
      </c>
      <c r="AH149" s="19">
        <f t="shared" si="152"/>
        <v>134849829</v>
      </c>
      <c r="AI149" s="15">
        <f t="shared" si="152"/>
        <v>134849829</v>
      </c>
      <c r="AJ149" s="16">
        <f t="shared" si="152"/>
        <v>484172795</v>
      </c>
      <c r="AK149" s="9"/>
      <c r="AL149" s="29">
        <f>SUM(AL150:AL152)</f>
        <v>0</v>
      </c>
      <c r="AM149" s="26">
        <f>SUM(AM150:AM152)</f>
        <v>0</v>
      </c>
      <c r="AN149" s="9"/>
      <c r="BQ149" s="461"/>
    </row>
    <row r="150" spans="1:69" s="382" customFormat="1" ht="24.95" customHeight="1">
      <c r="A150" s="752"/>
      <c r="B150" s="660"/>
      <c r="N150" s="9"/>
      <c r="R150" s="9"/>
      <c r="S150" s="706" t="str">
        <f>+IF(NOVIEMBRE!S150=0,"",NOVIEMBRE!S150)</f>
        <v>2020102-1</v>
      </c>
      <c r="T150" s="681" t="str">
        <f>+IF(NOVIEMBRE!T150=0,"",NOVIEMBRE!T150)</f>
        <v>Compra de Equipo e Instr. Mco. y Laborat.</v>
      </c>
      <c r="U150" s="27">
        <f>+ENERO!U150</f>
        <v>514625084</v>
      </c>
      <c r="V150" s="15">
        <f>NOVIEMBRE!V150+DICIEMBRE!AL150</f>
        <v>-347050000</v>
      </c>
      <c r="W150" s="15">
        <f>NOVIEMBRE!W150+DICIEMBRE!AM150</f>
        <v>0</v>
      </c>
      <c r="X150" s="18">
        <f>SUM(U150:W150)</f>
        <v>167575084</v>
      </c>
      <c r="Y150" s="19">
        <f>NOVIEMBRE!AA150</f>
        <v>96110947</v>
      </c>
      <c r="Z150" s="374">
        <v>-33465170</v>
      </c>
      <c r="AA150" s="18">
        <f>SUM(Y150:Z150)</f>
        <v>62645777</v>
      </c>
      <c r="AB150" s="19">
        <f>NOVIEMBRE!AD150</f>
        <v>62645777</v>
      </c>
      <c r="AC150" s="374">
        <v>0</v>
      </c>
      <c r="AD150" s="18">
        <f>SUM(AB150:AC150)</f>
        <v>62645777</v>
      </c>
      <c r="AE150" s="19">
        <f>NOVIEMBRE!AG150</f>
        <v>35621888</v>
      </c>
      <c r="AF150" s="374">
        <v>0</v>
      </c>
      <c r="AG150" s="18">
        <f>SUM(AE150:AF150)</f>
        <v>35621888</v>
      </c>
      <c r="AH150" s="19">
        <f>X150-AA150</f>
        <v>104929307</v>
      </c>
      <c r="AI150" s="15">
        <f>X150-AD150</f>
        <v>104929307</v>
      </c>
      <c r="AJ150" s="16">
        <f>X150-AG150</f>
        <v>131953196</v>
      </c>
      <c r="AK150" s="9"/>
      <c r="AL150" s="372">
        <v>0</v>
      </c>
      <c r="AM150" s="375">
        <v>0</v>
      </c>
      <c r="AN150" s="9"/>
      <c r="BQ150" s="461"/>
    </row>
    <row r="151" spans="1:69" s="382" customFormat="1" ht="24.95" customHeight="1">
      <c r="A151" s="752"/>
      <c r="B151" s="660"/>
      <c r="N151" s="9"/>
      <c r="R151" s="9"/>
      <c r="S151" s="706" t="str">
        <f>+IF(NOVIEMBRE!S151=0,"",NOVIEMBRE!S151)</f>
        <v>2020102-2</v>
      </c>
      <c r="T151" s="681" t="str">
        <f>+IF(NOVIEMBRE!T151=0,"",NOVIEMBRE!T151)</f>
        <v>Materiales</v>
      </c>
      <c r="U151" s="27">
        <f>+ENERO!U151</f>
        <v>583446366</v>
      </c>
      <c r="V151" s="15">
        <f>NOVIEMBRE!V151+DICIEMBRE!AL151</f>
        <v>54137338</v>
      </c>
      <c r="W151" s="15">
        <f>NOVIEMBRE!W151+DICIEMBRE!AM151</f>
        <v>0</v>
      </c>
      <c r="X151" s="18">
        <f>SUM(U151:W151)</f>
        <v>637583704</v>
      </c>
      <c r="Y151" s="19">
        <f>NOVIEMBRE!AA151</f>
        <v>591534375</v>
      </c>
      <c r="Z151" s="374">
        <v>16128807</v>
      </c>
      <c r="AA151" s="18">
        <f>SUM(Y151:Z151)</f>
        <v>607663182</v>
      </c>
      <c r="AB151" s="19">
        <f>NOVIEMBRE!AD151</f>
        <v>572968183</v>
      </c>
      <c r="AC151" s="374">
        <v>34694999</v>
      </c>
      <c r="AD151" s="18">
        <f>SUM(AB151:AC151)</f>
        <v>607663182</v>
      </c>
      <c r="AE151" s="19">
        <f>NOVIEMBRE!AG151</f>
        <v>224199314</v>
      </c>
      <c r="AF151" s="374">
        <v>61164791</v>
      </c>
      <c r="AG151" s="18">
        <f>SUM(AE151:AF151)</f>
        <v>285364105</v>
      </c>
      <c r="AH151" s="19">
        <f>X151-AA151</f>
        <v>29920522</v>
      </c>
      <c r="AI151" s="15">
        <f>X151-AD151</f>
        <v>29920522</v>
      </c>
      <c r="AJ151" s="16">
        <f>X151-AG151</f>
        <v>352219599</v>
      </c>
      <c r="AK151" s="9"/>
      <c r="AL151" s="372">
        <v>0</v>
      </c>
      <c r="AM151" s="375">
        <v>0</v>
      </c>
      <c r="AN151" s="9"/>
      <c r="BQ151" s="461"/>
    </row>
    <row r="152" spans="1:69" s="382" customFormat="1" ht="24.95" customHeight="1">
      <c r="A152" s="752"/>
      <c r="B152" s="660"/>
      <c r="N152" s="9"/>
      <c r="R152" s="9"/>
      <c r="S152" s="706" t="str">
        <f>+IF(NOVIEMBRE!S152=0,"",NOVIEMBRE!S152)</f>
        <v>2020102-3</v>
      </c>
      <c r="T152" s="681" t="str">
        <f>+IF(NOVIEMBRE!T152=0,"",NOVIEMBRE!T152)</f>
        <v/>
      </c>
      <c r="U152" s="27">
        <f>+ENERO!U152</f>
        <v>0</v>
      </c>
      <c r="V152" s="15">
        <f>NOVIEMBRE!V152+DICIEMBRE!AL152</f>
        <v>0</v>
      </c>
      <c r="W152" s="15">
        <f>NOVIEMBRE!W152+DICIEMBRE!AM152</f>
        <v>0</v>
      </c>
      <c r="X152" s="18">
        <f>SUM(U152:W152)</f>
        <v>0</v>
      </c>
      <c r="Y152" s="19">
        <f>NOVIEMBRE!AA152</f>
        <v>0</v>
      </c>
      <c r="Z152" s="374">
        <v>0</v>
      </c>
      <c r="AA152" s="18">
        <f>SUM(Y152:Z152)</f>
        <v>0</v>
      </c>
      <c r="AB152" s="19">
        <f>NOVIEMBRE!AD152</f>
        <v>0</v>
      </c>
      <c r="AC152" s="374">
        <v>0</v>
      </c>
      <c r="AD152" s="18">
        <f>SUM(AB152:AC152)</f>
        <v>0</v>
      </c>
      <c r="AE152" s="19">
        <f>NOVIEMBRE!AG152</f>
        <v>0</v>
      </c>
      <c r="AF152" s="374">
        <v>0</v>
      </c>
      <c r="AG152" s="18">
        <f>SUM(AE152:AF152)</f>
        <v>0</v>
      </c>
      <c r="AH152" s="19">
        <f>X152-AA152</f>
        <v>0</v>
      </c>
      <c r="AI152" s="15">
        <f>X152-AD152</f>
        <v>0</v>
      </c>
      <c r="AJ152" s="16">
        <f>X152-AG152</f>
        <v>0</v>
      </c>
      <c r="AK152" s="9"/>
      <c r="AL152" s="372">
        <v>0</v>
      </c>
      <c r="AM152" s="375">
        <v>0</v>
      </c>
      <c r="AN152" s="9"/>
      <c r="BQ152" s="461"/>
    </row>
    <row r="153" spans="1:69" s="382" customFormat="1" ht="24.95" customHeight="1">
      <c r="A153" s="752"/>
      <c r="B153" s="660"/>
      <c r="N153" s="9"/>
      <c r="R153" s="9"/>
      <c r="S153" s="705">
        <f>+IF(NOVIEMBRE!S153=0,"",NOVIEMBRE!S153)</f>
        <v>2020199</v>
      </c>
      <c r="T153" s="681" t="str">
        <f>+IF(NOVIEMBRE!T153=0,"",NOVIEMBRE!T153)</f>
        <v>Vigencias Anteriores</v>
      </c>
      <c r="U153" s="27">
        <f>+ENERO!U153</f>
        <v>0</v>
      </c>
      <c r="V153" s="15">
        <f>NOVIEMBRE!V153+DICIEMBRE!AL153</f>
        <v>-294086384</v>
      </c>
      <c r="W153" s="15">
        <f>NOVIEMBRE!W153+DICIEMBRE!AM153</f>
        <v>650000000</v>
      </c>
      <c r="X153" s="18">
        <f>SUM(U153:W153)</f>
        <v>355913616</v>
      </c>
      <c r="Y153" s="19">
        <f>NOVIEMBRE!AA153</f>
        <v>355913616</v>
      </c>
      <c r="Z153" s="374">
        <v>0</v>
      </c>
      <c r="AA153" s="18">
        <f>SUM(Y153:Z153)</f>
        <v>355913616</v>
      </c>
      <c r="AB153" s="19">
        <f>NOVIEMBRE!AD153</f>
        <v>355913616</v>
      </c>
      <c r="AC153" s="374">
        <v>0</v>
      </c>
      <c r="AD153" s="18">
        <f>SUM(AB153:AC153)</f>
        <v>355913616</v>
      </c>
      <c r="AE153" s="19">
        <f>NOVIEMBRE!AG153</f>
        <v>355913616</v>
      </c>
      <c r="AF153" s="374">
        <v>0</v>
      </c>
      <c r="AG153" s="18">
        <f>SUM(AE153:AF153)</f>
        <v>355913616</v>
      </c>
      <c r="AH153" s="19">
        <f>X153-AA153</f>
        <v>0</v>
      </c>
      <c r="AI153" s="15">
        <f>X153-AD153</f>
        <v>0</v>
      </c>
      <c r="AJ153" s="16">
        <f>X153-AG153</f>
        <v>0</v>
      </c>
      <c r="AK153" s="9"/>
      <c r="AL153" s="372">
        <v>-67918911</v>
      </c>
      <c r="AM153" s="375">
        <v>0</v>
      </c>
      <c r="AN153" s="9"/>
      <c r="BQ153" s="461"/>
    </row>
    <row r="154" spans="1:69" s="382" customFormat="1" ht="24.95" customHeight="1">
      <c r="A154" s="752"/>
      <c r="B154" s="660"/>
      <c r="N154" s="9"/>
      <c r="R154" s="9"/>
      <c r="S154" s="366" t="str">
        <f>+IF(NOVIEMBRE!S154=0,"",NOVIEMBRE!S154)</f>
        <v/>
      </c>
      <c r="T154" s="695"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61"/>
    </row>
    <row r="155" spans="1:69" s="382" customFormat="1" ht="24.95" customHeight="1">
      <c r="A155" s="752"/>
      <c r="B155" s="660"/>
      <c r="N155" s="9"/>
      <c r="R155" s="9"/>
      <c r="S155" s="704">
        <f>+IF(NOVIEMBRE!S155=0,"",NOVIEMBRE!S155)</f>
        <v>2020200</v>
      </c>
      <c r="T155" s="680" t="str">
        <f>+IF(NOVIEMBRE!T155=0,"",NOVIEMBRE!T155)</f>
        <v>Adquisición de Servicios</v>
      </c>
      <c r="U155" s="132">
        <f t="shared" ref="U155:AJ155" si="153">SUM(U156:U157)+U168</f>
        <v>780530606</v>
      </c>
      <c r="V155" s="122">
        <f t="shared" si="153"/>
        <v>-699254166</v>
      </c>
      <c r="W155" s="122">
        <f t="shared" si="153"/>
        <v>1200000000</v>
      </c>
      <c r="X155" s="129">
        <f t="shared" si="153"/>
        <v>1281276440</v>
      </c>
      <c r="Y155" s="128">
        <f t="shared" si="153"/>
        <v>1139581562</v>
      </c>
      <c r="Z155" s="122">
        <f t="shared" si="153"/>
        <v>-197026253</v>
      </c>
      <c r="AA155" s="129">
        <f t="shared" si="153"/>
        <v>942555309</v>
      </c>
      <c r="AB155" s="128">
        <f t="shared" si="153"/>
        <v>901031605</v>
      </c>
      <c r="AC155" s="122">
        <f t="shared" si="153"/>
        <v>41523704</v>
      </c>
      <c r="AD155" s="129">
        <f t="shared" si="153"/>
        <v>942555309</v>
      </c>
      <c r="AE155" s="128">
        <f t="shared" si="153"/>
        <v>352916613</v>
      </c>
      <c r="AF155" s="122">
        <f t="shared" si="153"/>
        <v>115988185</v>
      </c>
      <c r="AG155" s="129">
        <f t="shared" si="153"/>
        <v>468904798</v>
      </c>
      <c r="AH155" s="128">
        <f t="shared" si="153"/>
        <v>338721131</v>
      </c>
      <c r="AI155" s="122">
        <f t="shared" si="153"/>
        <v>338721131</v>
      </c>
      <c r="AJ155" s="130">
        <f t="shared" si="153"/>
        <v>812371642</v>
      </c>
      <c r="AK155" s="9"/>
      <c r="AL155" s="128">
        <f>SUM(AL156:AL157)+AL168</f>
        <v>-84408849</v>
      </c>
      <c r="AM155" s="130">
        <f>SUM(AM156:AM157)+AM168</f>
        <v>0</v>
      </c>
      <c r="AN155" s="9"/>
      <c r="BQ155" s="461"/>
    </row>
    <row r="156" spans="1:69" s="382" customFormat="1" ht="24.95" customHeight="1">
      <c r="A156" s="752"/>
      <c r="B156" s="660"/>
      <c r="N156" s="9"/>
      <c r="P156" s="9"/>
      <c r="Q156" s="9"/>
      <c r="R156" s="9"/>
      <c r="S156" s="705">
        <f>+IF(NOVIEMBRE!S156=0,"",NOVIEMBRE!S156)</f>
        <v>2020201</v>
      </c>
      <c r="T156" s="681" t="str">
        <f>+IF(NOVIEMBRE!T156=0,"",NOVIEMBRE!T156)</f>
        <v>Mantenimiento Hospitalario</v>
      </c>
      <c r="U156" s="27">
        <f>+ENERO!U156</f>
        <v>780530606</v>
      </c>
      <c r="V156" s="15">
        <f>NOVIEMBRE!V156+DICIEMBRE!AL156</f>
        <v>348700666</v>
      </c>
      <c r="W156" s="15">
        <f>NOVIEMBRE!W156+DICIEMBRE!AM156</f>
        <v>0</v>
      </c>
      <c r="X156" s="18">
        <f>SUM(U156:W156)</f>
        <v>1129231272</v>
      </c>
      <c r="Y156" s="19">
        <f>NOVIEMBRE!AA156</f>
        <v>987536394</v>
      </c>
      <c r="Z156" s="374">
        <v>-197026253</v>
      </c>
      <c r="AA156" s="18">
        <f>SUM(Y156:Z156)</f>
        <v>790510141</v>
      </c>
      <c r="AB156" s="19">
        <f>NOVIEMBRE!AD156</f>
        <v>748986437</v>
      </c>
      <c r="AC156" s="374">
        <v>41523704</v>
      </c>
      <c r="AD156" s="18">
        <f>SUM(AB156:AC156)</f>
        <v>790510141</v>
      </c>
      <c r="AE156" s="19">
        <f>NOVIEMBRE!AG156</f>
        <v>200871445</v>
      </c>
      <c r="AF156" s="374">
        <v>115988185</v>
      </c>
      <c r="AG156" s="18">
        <f>SUM(AE156:AF156)</f>
        <v>316859630</v>
      </c>
      <c r="AH156" s="19">
        <f>X156-AA156</f>
        <v>338721131</v>
      </c>
      <c r="AI156" s="15">
        <f>X156-AD156</f>
        <v>338721131</v>
      </c>
      <c r="AJ156" s="16">
        <f>X156-AG156</f>
        <v>812371642</v>
      </c>
      <c r="AK156" s="9"/>
      <c r="AL156" s="372">
        <v>0</v>
      </c>
      <c r="AM156" s="375">
        <v>0</v>
      </c>
      <c r="AN156" s="9"/>
      <c r="BQ156" s="461"/>
    </row>
    <row r="157" spans="1:69" s="382" customFormat="1" ht="24.95" customHeight="1">
      <c r="A157" s="752"/>
      <c r="B157" s="660"/>
      <c r="N157" s="9"/>
      <c r="P157" s="9"/>
      <c r="Q157" s="9"/>
      <c r="R157" s="9"/>
      <c r="S157" s="705">
        <f>+IF(NOVIEMBRE!S157=0,"",NOVIEMBRE!S157)</f>
        <v>2020202</v>
      </c>
      <c r="T157" s="681" t="str">
        <f>+IF(NOVIEMBRE!T157=0,"",NOVIEMBRE!T157)</f>
        <v>Otros</v>
      </c>
      <c r="U157" s="27">
        <f t="shared" ref="U157:AJ157" si="154">SUM(U158:U167)</f>
        <v>0</v>
      </c>
      <c r="V157" s="15">
        <f t="shared" si="154"/>
        <v>0</v>
      </c>
      <c r="W157" s="15">
        <f t="shared" si="154"/>
        <v>0</v>
      </c>
      <c r="X157" s="18">
        <f t="shared" si="154"/>
        <v>0</v>
      </c>
      <c r="Y157" s="19">
        <f t="shared" si="154"/>
        <v>0</v>
      </c>
      <c r="Z157" s="142">
        <f t="shared" si="154"/>
        <v>0</v>
      </c>
      <c r="AA157" s="18">
        <f t="shared" si="154"/>
        <v>0</v>
      </c>
      <c r="AB157" s="19">
        <f t="shared" si="154"/>
        <v>0</v>
      </c>
      <c r="AC157" s="142">
        <f t="shared" si="154"/>
        <v>0</v>
      </c>
      <c r="AD157" s="18">
        <f t="shared" si="154"/>
        <v>0</v>
      </c>
      <c r="AE157" s="19">
        <f t="shared" si="154"/>
        <v>0</v>
      </c>
      <c r="AF157" s="142">
        <f t="shared" si="154"/>
        <v>0</v>
      </c>
      <c r="AG157" s="18">
        <f t="shared" si="154"/>
        <v>0</v>
      </c>
      <c r="AH157" s="19">
        <f t="shared" si="154"/>
        <v>0</v>
      </c>
      <c r="AI157" s="15">
        <f t="shared" si="154"/>
        <v>0</v>
      </c>
      <c r="AJ157" s="16">
        <f t="shared" si="154"/>
        <v>0</v>
      </c>
      <c r="AK157" s="10"/>
      <c r="AL157" s="29">
        <f>SUM(AL158:AL167)</f>
        <v>0</v>
      </c>
      <c r="AM157" s="26">
        <f>SUM(AM158:AM167)</f>
        <v>0</v>
      </c>
      <c r="AN157" s="9"/>
      <c r="BQ157" s="461"/>
    </row>
    <row r="158" spans="1:69" s="382" customFormat="1" ht="24.95" customHeight="1">
      <c r="A158" s="752"/>
      <c r="B158" s="660"/>
      <c r="N158" s="9"/>
      <c r="P158" s="9"/>
      <c r="Q158" s="9"/>
      <c r="R158" s="9"/>
      <c r="S158" s="706" t="str">
        <f>+IF(NOVIEMBRE!S158=0,"",NOVIEMBRE!S158)</f>
        <v>2020202-1</v>
      </c>
      <c r="T158" s="682" t="str">
        <f>+IF(NOVIEMBRE!T158=0,"",NOVIEMBRE!T158)</f>
        <v>Seguros</v>
      </c>
      <c r="U158" s="27">
        <f>+ENERO!U158</f>
        <v>0</v>
      </c>
      <c r="V158" s="15">
        <f>NOVIEMBRE!V158+DICIEMBRE!AL158</f>
        <v>0</v>
      </c>
      <c r="W158" s="15">
        <f>NOVIEMBRE!W158+DICIEMBRE!AM158</f>
        <v>0</v>
      </c>
      <c r="X158" s="18">
        <f t="shared" ref="X158:X168" si="155">SUM(U158:W158)</f>
        <v>0</v>
      </c>
      <c r="Y158" s="19">
        <f>NOVIEMBRE!AA158</f>
        <v>0</v>
      </c>
      <c r="Z158" s="374">
        <v>0</v>
      </c>
      <c r="AA158" s="18">
        <f t="shared" ref="AA158:AA168" si="156">SUM(Y158:Z158)</f>
        <v>0</v>
      </c>
      <c r="AB158" s="19">
        <f>NOVIEMBRE!AD158</f>
        <v>0</v>
      </c>
      <c r="AC158" s="374">
        <v>0</v>
      </c>
      <c r="AD158" s="18">
        <f t="shared" ref="AD158:AD168" si="157">SUM(AB158:AC158)</f>
        <v>0</v>
      </c>
      <c r="AE158" s="19">
        <f>NOVIEMBRE!AG158</f>
        <v>0</v>
      </c>
      <c r="AF158" s="374">
        <v>0</v>
      </c>
      <c r="AG158" s="18">
        <f t="shared" ref="AG158:AG168" si="158">SUM(AE158:AF158)</f>
        <v>0</v>
      </c>
      <c r="AH158" s="19">
        <f t="shared" ref="AH158:AH168" si="159">X158-AA158</f>
        <v>0</v>
      </c>
      <c r="AI158" s="15">
        <f t="shared" ref="AI158:AI168" si="160">X158-AD158</f>
        <v>0</v>
      </c>
      <c r="AJ158" s="16">
        <f t="shared" ref="AJ158:AJ168" si="161">X158-AG158</f>
        <v>0</v>
      </c>
      <c r="AK158" s="9"/>
      <c r="AL158" s="372">
        <v>0</v>
      </c>
      <c r="AM158" s="375">
        <v>0</v>
      </c>
      <c r="AN158" s="9"/>
      <c r="BQ158" s="461"/>
    </row>
    <row r="159" spans="1:69" s="382" customFormat="1" ht="24.95" customHeight="1">
      <c r="A159" s="752"/>
      <c r="B159" s="660"/>
      <c r="N159" s="9"/>
      <c r="P159" s="9"/>
      <c r="Q159" s="9"/>
      <c r="R159" s="9"/>
      <c r="S159" s="706" t="str">
        <f>+IF(NOVIEMBRE!S159=0,"",NOVIEMBRE!S159)</f>
        <v>2020202-2</v>
      </c>
      <c r="T159" s="682" t="str">
        <f>+IF(NOVIEMBRE!T159=0,"",NOVIEMBRE!T159)</f>
        <v>Impresos y Publicaciones</v>
      </c>
      <c r="U159" s="27">
        <f>+ENERO!U159</f>
        <v>0</v>
      </c>
      <c r="V159" s="15">
        <f>NOVIEMBRE!V159+DICIEMBRE!AL159</f>
        <v>0</v>
      </c>
      <c r="W159" s="15">
        <f>NOVIEMBRE!W159+DICIEMBRE!AM159</f>
        <v>0</v>
      </c>
      <c r="X159" s="18">
        <f t="shared" si="155"/>
        <v>0</v>
      </c>
      <c r="Y159" s="19">
        <f>NOVIEMBRE!AA159</f>
        <v>0</v>
      </c>
      <c r="Z159" s="374">
        <v>0</v>
      </c>
      <c r="AA159" s="18">
        <f t="shared" si="156"/>
        <v>0</v>
      </c>
      <c r="AB159" s="19">
        <f>NOVIEMBRE!AD159</f>
        <v>0</v>
      </c>
      <c r="AC159" s="374">
        <v>0</v>
      </c>
      <c r="AD159" s="18">
        <f t="shared" si="157"/>
        <v>0</v>
      </c>
      <c r="AE159" s="19">
        <f>NOVIEMBRE!AG159</f>
        <v>0</v>
      </c>
      <c r="AF159" s="374">
        <v>0</v>
      </c>
      <c r="AG159" s="18">
        <f t="shared" si="158"/>
        <v>0</v>
      </c>
      <c r="AH159" s="19">
        <f t="shared" si="159"/>
        <v>0</v>
      </c>
      <c r="AI159" s="15">
        <f t="shared" si="160"/>
        <v>0</v>
      </c>
      <c r="AJ159" s="16">
        <f t="shared" si="161"/>
        <v>0</v>
      </c>
      <c r="AK159" s="9"/>
      <c r="AL159" s="372">
        <v>0</v>
      </c>
      <c r="AM159" s="375">
        <v>0</v>
      </c>
      <c r="AN159" s="9"/>
      <c r="BQ159" s="461"/>
    </row>
    <row r="160" spans="1:69" s="382" customFormat="1" ht="24.95" customHeight="1">
      <c r="A160" s="752"/>
      <c r="B160" s="660"/>
      <c r="N160" s="9"/>
      <c r="P160" s="9"/>
      <c r="Q160" s="9"/>
      <c r="R160" s="9"/>
      <c r="S160" s="706" t="str">
        <f>+IF(NOVIEMBRE!S160=0,"",NOVIEMBRE!S160)</f>
        <v>2020202-3</v>
      </c>
      <c r="T160" s="682" t="str">
        <f>+IF(NOVIEMBRE!T160=0,"",NOVIEMBRE!T160)</f>
        <v>Pago a otras IPS</v>
      </c>
      <c r="U160" s="27">
        <f>+ENERO!U160</f>
        <v>0</v>
      </c>
      <c r="V160" s="15">
        <f>NOVIEMBRE!V160+DICIEMBRE!AL160</f>
        <v>0</v>
      </c>
      <c r="W160" s="15">
        <f>NOVIEMBRE!W160+DICIEMBRE!AM160</f>
        <v>0</v>
      </c>
      <c r="X160" s="18">
        <f t="shared" si="155"/>
        <v>0</v>
      </c>
      <c r="Y160" s="19">
        <f>NOVIEMBRE!AA160</f>
        <v>0</v>
      </c>
      <c r="Z160" s="374">
        <v>0</v>
      </c>
      <c r="AA160" s="18">
        <f t="shared" si="156"/>
        <v>0</v>
      </c>
      <c r="AB160" s="19">
        <f>NOVIEMBRE!AD160</f>
        <v>0</v>
      </c>
      <c r="AC160" s="374">
        <v>0</v>
      </c>
      <c r="AD160" s="18">
        <f t="shared" si="157"/>
        <v>0</v>
      </c>
      <c r="AE160" s="19">
        <f>NOVIEMBRE!AG160</f>
        <v>0</v>
      </c>
      <c r="AF160" s="374">
        <v>0</v>
      </c>
      <c r="AG160" s="18">
        <f t="shared" si="158"/>
        <v>0</v>
      </c>
      <c r="AH160" s="19">
        <f t="shared" si="159"/>
        <v>0</v>
      </c>
      <c r="AI160" s="15">
        <f t="shared" si="160"/>
        <v>0</v>
      </c>
      <c r="AJ160" s="16">
        <f t="shared" si="161"/>
        <v>0</v>
      </c>
      <c r="AK160" s="9"/>
      <c r="AL160" s="372">
        <v>0</v>
      </c>
      <c r="AM160" s="375">
        <v>0</v>
      </c>
      <c r="AN160" s="9"/>
      <c r="BQ160" s="461"/>
    </row>
    <row r="161" spans="1:69" s="382" customFormat="1" ht="24.95" customHeight="1">
      <c r="A161" s="752"/>
      <c r="B161" s="660"/>
      <c r="N161" s="9"/>
      <c r="P161" s="9"/>
      <c r="Q161" s="9"/>
      <c r="R161" s="9"/>
      <c r="S161" s="706" t="str">
        <f>+IF(NOVIEMBRE!S161=0,"",NOVIEMBRE!S161)</f>
        <v>2020202-4</v>
      </c>
      <c r="T161" s="682" t="str">
        <f>+IF(NOVIEMBRE!T161=0,"",NOVIEMBRE!T161)</f>
        <v>Comunicaciones y Transportes</v>
      </c>
      <c r="U161" s="27">
        <f>+ENERO!U161</f>
        <v>0</v>
      </c>
      <c r="V161" s="15">
        <f>NOVIEMBRE!V161+DICIEMBRE!AL161</f>
        <v>0</v>
      </c>
      <c r="W161" s="15">
        <f>NOVIEMBRE!W161+DICIEMBRE!AM161</f>
        <v>0</v>
      </c>
      <c r="X161" s="18">
        <f t="shared" si="155"/>
        <v>0</v>
      </c>
      <c r="Y161" s="19">
        <f>NOVIEMBRE!AA161</f>
        <v>0</v>
      </c>
      <c r="Z161" s="374">
        <v>0</v>
      </c>
      <c r="AA161" s="18">
        <f t="shared" si="156"/>
        <v>0</v>
      </c>
      <c r="AB161" s="19">
        <f>NOVIEMBRE!AD161</f>
        <v>0</v>
      </c>
      <c r="AC161" s="374">
        <v>0</v>
      </c>
      <c r="AD161" s="18">
        <f t="shared" si="157"/>
        <v>0</v>
      </c>
      <c r="AE161" s="19">
        <f>NOVIEMBRE!AG161</f>
        <v>0</v>
      </c>
      <c r="AF161" s="374">
        <v>0</v>
      </c>
      <c r="AG161" s="18">
        <f t="shared" si="158"/>
        <v>0</v>
      </c>
      <c r="AH161" s="19">
        <f t="shared" si="159"/>
        <v>0</v>
      </c>
      <c r="AI161" s="15">
        <f t="shared" si="160"/>
        <v>0</v>
      </c>
      <c r="AJ161" s="16">
        <f t="shared" si="161"/>
        <v>0</v>
      </c>
      <c r="AK161" s="9"/>
      <c r="AL161" s="372">
        <v>0</v>
      </c>
      <c r="AM161" s="375">
        <v>0</v>
      </c>
      <c r="AN161" s="9"/>
      <c r="BQ161" s="461"/>
    </row>
    <row r="162" spans="1:69" s="382" customFormat="1" ht="24.95" customHeight="1">
      <c r="A162" s="752"/>
      <c r="B162" s="660"/>
      <c r="N162" s="9"/>
      <c r="P162" s="9"/>
      <c r="Q162" s="9"/>
      <c r="R162" s="9"/>
      <c r="S162" s="706" t="str">
        <f>+IF(NOVIEMBRE!S162=0,"",NOVIEMBRE!S162)</f>
        <v>2020202-5</v>
      </c>
      <c r="T162" s="682" t="str">
        <f>+IF(NOVIEMBRE!T162=0,"",NOVIEMBRE!T162)</f>
        <v>Viáticos y Gastos de Viaje</v>
      </c>
      <c r="U162" s="27">
        <f>+ENERO!U162</f>
        <v>0</v>
      </c>
      <c r="V162" s="15">
        <f>NOVIEMBRE!V162+DICIEMBRE!AL162</f>
        <v>0</v>
      </c>
      <c r="W162" s="15">
        <f>NOVIEMBRE!W162+DICIEMBRE!AM162</f>
        <v>0</v>
      </c>
      <c r="X162" s="18">
        <f t="shared" si="155"/>
        <v>0</v>
      </c>
      <c r="Y162" s="19">
        <f>NOVIEMBRE!AA162</f>
        <v>0</v>
      </c>
      <c r="Z162" s="374">
        <v>0</v>
      </c>
      <c r="AA162" s="18">
        <f t="shared" si="156"/>
        <v>0</v>
      </c>
      <c r="AB162" s="19">
        <f>NOVIEMBRE!AD162</f>
        <v>0</v>
      </c>
      <c r="AC162" s="374">
        <v>0</v>
      </c>
      <c r="AD162" s="18">
        <f t="shared" si="157"/>
        <v>0</v>
      </c>
      <c r="AE162" s="19">
        <f>NOVIEMBRE!AG162</f>
        <v>0</v>
      </c>
      <c r="AF162" s="374">
        <v>0</v>
      </c>
      <c r="AG162" s="18">
        <f t="shared" si="158"/>
        <v>0</v>
      </c>
      <c r="AH162" s="19">
        <f t="shared" si="159"/>
        <v>0</v>
      </c>
      <c r="AI162" s="15">
        <f t="shared" si="160"/>
        <v>0</v>
      </c>
      <c r="AJ162" s="16">
        <f t="shared" si="161"/>
        <v>0</v>
      </c>
      <c r="AK162" s="9"/>
      <c r="AL162" s="372">
        <v>0</v>
      </c>
      <c r="AM162" s="375">
        <v>0</v>
      </c>
      <c r="AN162" s="9"/>
      <c r="BQ162" s="461"/>
    </row>
    <row r="163" spans="1:69" s="382" customFormat="1" ht="24.95" customHeight="1">
      <c r="A163" s="752"/>
      <c r="B163" s="660"/>
      <c r="N163" s="9"/>
      <c r="P163" s="9"/>
      <c r="Q163" s="9"/>
      <c r="R163" s="9"/>
      <c r="S163" s="706" t="str">
        <f>+IF(NOVIEMBRE!S163=0,"",NOVIEMBRE!S163)</f>
        <v>2020202-6</v>
      </c>
      <c r="T163" s="682" t="str">
        <f>+IF(NOVIEMBRE!T163=0,"",NOVIEMBRE!T163)</f>
        <v>Plan Integral de Manejo de Residuos Sólidos Hospitalarios</v>
      </c>
      <c r="U163" s="27">
        <f>+ENERO!U163</f>
        <v>0</v>
      </c>
      <c r="V163" s="15">
        <f>NOVIEMBRE!V163+DICIEMBRE!AL163</f>
        <v>0</v>
      </c>
      <c r="W163" s="15">
        <f>NOVIEMBRE!W163+DICIEMBRE!AM163</f>
        <v>0</v>
      </c>
      <c r="X163" s="18">
        <f t="shared" si="155"/>
        <v>0</v>
      </c>
      <c r="Y163" s="19">
        <f>NOVIEMBRE!AA163</f>
        <v>0</v>
      </c>
      <c r="Z163" s="374">
        <v>0</v>
      </c>
      <c r="AA163" s="18">
        <f t="shared" si="156"/>
        <v>0</v>
      </c>
      <c r="AB163" s="19">
        <f>NOVIEMBRE!AD163</f>
        <v>0</v>
      </c>
      <c r="AC163" s="374">
        <v>0</v>
      </c>
      <c r="AD163" s="18">
        <f t="shared" si="157"/>
        <v>0</v>
      </c>
      <c r="AE163" s="19">
        <f>NOVIEMBRE!AG163</f>
        <v>0</v>
      </c>
      <c r="AF163" s="374">
        <v>0</v>
      </c>
      <c r="AG163" s="18">
        <f t="shared" si="158"/>
        <v>0</v>
      </c>
      <c r="AH163" s="19">
        <f t="shared" si="159"/>
        <v>0</v>
      </c>
      <c r="AI163" s="15">
        <f t="shared" si="160"/>
        <v>0</v>
      </c>
      <c r="AJ163" s="16">
        <f t="shared" si="161"/>
        <v>0</v>
      </c>
      <c r="AK163" s="9"/>
      <c r="AL163" s="372">
        <v>0</v>
      </c>
      <c r="AM163" s="375">
        <v>0</v>
      </c>
      <c r="AN163" s="9"/>
      <c r="BQ163" s="461"/>
    </row>
    <row r="164" spans="1:69" s="382" customFormat="1" ht="24.95" customHeight="1">
      <c r="A164" s="752"/>
      <c r="B164" s="660"/>
      <c r="N164" s="9"/>
      <c r="P164" s="9"/>
      <c r="Q164" s="9"/>
      <c r="R164" s="9"/>
      <c r="S164" s="706" t="str">
        <f>+IF(NOVIEMBRE!S164=0,"",NOVIEMBRE!S164)</f>
        <v>2020202-7</v>
      </c>
      <c r="T164" s="682" t="str">
        <f>+IF(NOVIEMBRE!T164=0,"",NOVIEMBRE!T164)</f>
        <v>Servicios de Laboratorio contratados con terceros</v>
      </c>
      <c r="U164" s="27">
        <f>+ENERO!U164</f>
        <v>0</v>
      </c>
      <c r="V164" s="15">
        <f>NOVIEMBRE!V164+DICIEMBRE!AL164</f>
        <v>0</v>
      </c>
      <c r="W164" s="15">
        <f>NOVIEMBRE!W164+DICIEMBRE!AM164</f>
        <v>0</v>
      </c>
      <c r="X164" s="18">
        <f t="shared" si="155"/>
        <v>0</v>
      </c>
      <c r="Y164" s="19">
        <f>NOVIEMBRE!AA164</f>
        <v>0</v>
      </c>
      <c r="Z164" s="374">
        <v>0</v>
      </c>
      <c r="AA164" s="18">
        <f t="shared" si="156"/>
        <v>0</v>
      </c>
      <c r="AB164" s="19">
        <f>NOVIEMBRE!AD164</f>
        <v>0</v>
      </c>
      <c r="AC164" s="374">
        <v>0</v>
      </c>
      <c r="AD164" s="18">
        <f t="shared" si="157"/>
        <v>0</v>
      </c>
      <c r="AE164" s="19">
        <f>NOVIEMBRE!AG164</f>
        <v>0</v>
      </c>
      <c r="AF164" s="374">
        <v>0</v>
      </c>
      <c r="AG164" s="18">
        <f t="shared" si="158"/>
        <v>0</v>
      </c>
      <c r="AH164" s="19">
        <f t="shared" si="159"/>
        <v>0</v>
      </c>
      <c r="AI164" s="15">
        <f t="shared" si="160"/>
        <v>0</v>
      </c>
      <c r="AJ164" s="16">
        <f t="shared" si="161"/>
        <v>0</v>
      </c>
      <c r="AK164" s="9"/>
      <c r="AL164" s="372">
        <v>0</v>
      </c>
      <c r="AM164" s="375">
        <v>0</v>
      </c>
      <c r="AN164" s="9"/>
      <c r="BQ164" s="461"/>
    </row>
    <row r="165" spans="1:69" s="382" customFormat="1" ht="24.95" customHeight="1">
      <c r="A165" s="752"/>
      <c r="B165" s="660"/>
      <c r="N165" s="9"/>
      <c r="P165" s="9"/>
      <c r="Q165" s="9"/>
      <c r="R165" s="9"/>
      <c r="S165" s="706" t="str">
        <f>+IF(NOVIEMBRE!S165=0,"",NOVIEMBRE!S165)</f>
        <v>2020202-8</v>
      </c>
      <c r="T165" s="682" t="str">
        <f>+IF(NOVIEMBRE!T165=0,"",NOVIEMBRE!T165)</f>
        <v>Servicios de Rayos X e Imaginología contratado con terceros</v>
      </c>
      <c r="U165" s="27">
        <f>+ENERO!U165</f>
        <v>0</v>
      </c>
      <c r="V165" s="15">
        <f>NOVIEMBRE!V165+DICIEMBRE!AL165</f>
        <v>0</v>
      </c>
      <c r="W165" s="15">
        <f>NOVIEMBRE!W165+DICIEMBRE!AM165</f>
        <v>0</v>
      </c>
      <c r="X165" s="18">
        <f t="shared" si="155"/>
        <v>0</v>
      </c>
      <c r="Y165" s="19">
        <f>NOVIEMBRE!AA165</f>
        <v>0</v>
      </c>
      <c r="Z165" s="374">
        <v>0</v>
      </c>
      <c r="AA165" s="18">
        <f t="shared" si="156"/>
        <v>0</v>
      </c>
      <c r="AB165" s="19">
        <f>NOVIEMBRE!AD165</f>
        <v>0</v>
      </c>
      <c r="AC165" s="374">
        <v>0</v>
      </c>
      <c r="AD165" s="18">
        <f t="shared" si="157"/>
        <v>0</v>
      </c>
      <c r="AE165" s="19">
        <f>NOVIEMBRE!AG165</f>
        <v>0</v>
      </c>
      <c r="AF165" s="374">
        <v>0</v>
      </c>
      <c r="AG165" s="18">
        <f t="shared" si="158"/>
        <v>0</v>
      </c>
      <c r="AH165" s="19">
        <f t="shared" si="159"/>
        <v>0</v>
      </c>
      <c r="AI165" s="15">
        <f t="shared" si="160"/>
        <v>0</v>
      </c>
      <c r="AJ165" s="16">
        <f t="shared" si="161"/>
        <v>0</v>
      </c>
      <c r="AK165" s="9"/>
      <c r="AL165" s="372">
        <v>0</v>
      </c>
      <c r="AM165" s="375">
        <v>0</v>
      </c>
      <c r="AN165" s="9"/>
      <c r="BQ165" s="461"/>
    </row>
    <row r="166" spans="1:69" s="382" customFormat="1" ht="24.95" customHeight="1">
      <c r="A166" s="752"/>
      <c r="B166" s="660"/>
      <c r="N166" s="9"/>
      <c r="P166" s="9"/>
      <c r="Q166" s="9"/>
      <c r="R166" s="9"/>
      <c r="S166" s="706" t="str">
        <f>+IF(NOVIEMBRE!S166=0,"",NOVIEMBRE!S166)</f>
        <v>2020202-9</v>
      </c>
      <c r="T166" s="682" t="str">
        <f>+IF(NOVIEMBRE!T166=0,"",NOVIEMBRE!T166)</f>
        <v>Arrendamientos</v>
      </c>
      <c r="U166" s="27">
        <f>+ENERO!U166</f>
        <v>0</v>
      </c>
      <c r="V166" s="15">
        <f>NOVIEMBRE!V166+DICIEMBRE!AL166</f>
        <v>0</v>
      </c>
      <c r="W166" s="15">
        <f>NOVIEMBRE!W166+DICIEMBRE!AM166</f>
        <v>0</v>
      </c>
      <c r="X166" s="18">
        <f t="shared" si="155"/>
        <v>0</v>
      </c>
      <c r="Y166" s="19">
        <f>NOVIEMBRE!AA166</f>
        <v>0</v>
      </c>
      <c r="Z166" s="374">
        <v>0</v>
      </c>
      <c r="AA166" s="18">
        <f t="shared" si="156"/>
        <v>0</v>
      </c>
      <c r="AB166" s="19">
        <f>NOVIEMBRE!AD166</f>
        <v>0</v>
      </c>
      <c r="AC166" s="374">
        <v>0</v>
      </c>
      <c r="AD166" s="18">
        <f t="shared" si="157"/>
        <v>0</v>
      </c>
      <c r="AE166" s="19">
        <f>NOVIEMBRE!AG166</f>
        <v>0</v>
      </c>
      <c r="AF166" s="374">
        <v>0</v>
      </c>
      <c r="AG166" s="18">
        <f t="shared" si="158"/>
        <v>0</v>
      </c>
      <c r="AH166" s="19">
        <f t="shared" si="159"/>
        <v>0</v>
      </c>
      <c r="AI166" s="15">
        <f t="shared" si="160"/>
        <v>0</v>
      </c>
      <c r="AJ166" s="16">
        <f t="shared" si="161"/>
        <v>0</v>
      </c>
      <c r="AK166" s="9"/>
      <c r="AL166" s="372">
        <v>0</v>
      </c>
      <c r="AM166" s="375">
        <v>0</v>
      </c>
      <c r="AN166" s="9"/>
      <c r="BQ166" s="461"/>
    </row>
    <row r="167" spans="1:69" s="382" customFormat="1" ht="24.95" customHeight="1">
      <c r="A167" s="752"/>
      <c r="B167" s="660"/>
      <c r="N167" s="9"/>
      <c r="P167" s="9"/>
      <c r="Q167" s="9"/>
      <c r="R167" s="9"/>
      <c r="S167" s="706" t="str">
        <f>+IF(NOVIEMBRE!S167=0,"",NOVIEMBRE!S167)</f>
        <v>2020202-10</v>
      </c>
      <c r="T167" s="682" t="str">
        <f>+IF(NOVIEMBRE!T167=0,"",NOVIEMBRE!T167)</f>
        <v>Servicios Públicos</v>
      </c>
      <c r="U167" s="27">
        <f>+ENERO!U167</f>
        <v>0</v>
      </c>
      <c r="V167" s="15">
        <f>NOVIEMBRE!V167+DICIEMBRE!AL167</f>
        <v>0</v>
      </c>
      <c r="W167" s="15">
        <f>NOVIEMBRE!W167+DICIEMBRE!AM167</f>
        <v>0</v>
      </c>
      <c r="X167" s="18">
        <f>SUM(U167:W167)</f>
        <v>0</v>
      </c>
      <c r="Y167" s="19">
        <f>NOVIEMBRE!AA167</f>
        <v>0</v>
      </c>
      <c r="Z167" s="374">
        <v>0</v>
      </c>
      <c r="AA167" s="18">
        <f>SUM(Y167:Z167)</f>
        <v>0</v>
      </c>
      <c r="AB167" s="19">
        <f>NOVIEMBRE!AD167</f>
        <v>0</v>
      </c>
      <c r="AC167" s="374">
        <v>0</v>
      </c>
      <c r="AD167" s="18">
        <f>SUM(AB167:AC167)</f>
        <v>0</v>
      </c>
      <c r="AE167" s="19">
        <f>NOVIEMBRE!AG167</f>
        <v>0</v>
      </c>
      <c r="AF167" s="374">
        <v>0</v>
      </c>
      <c r="AG167" s="18">
        <f>SUM(AE167:AF167)</f>
        <v>0</v>
      </c>
      <c r="AH167" s="19">
        <f>X167-AA167</f>
        <v>0</v>
      </c>
      <c r="AI167" s="15">
        <f>X167-AD167</f>
        <v>0</v>
      </c>
      <c r="AJ167" s="16">
        <f>X167-AG167</f>
        <v>0</v>
      </c>
      <c r="AK167" s="9"/>
      <c r="AL167" s="372"/>
      <c r="AM167" s="375"/>
      <c r="AN167" s="9"/>
      <c r="BQ167" s="461"/>
    </row>
    <row r="168" spans="1:69" s="382" customFormat="1" ht="24.95" customHeight="1">
      <c r="A168" s="752"/>
      <c r="B168" s="660"/>
      <c r="N168" s="9"/>
      <c r="P168" s="9"/>
      <c r="Q168" s="9"/>
      <c r="R168" s="9"/>
      <c r="S168" s="705">
        <f>+IF(NOVIEMBRE!S168=0,"",NOVIEMBRE!S168)</f>
        <v>2020299</v>
      </c>
      <c r="T168" s="681" t="str">
        <f>+IF(NOVIEMBRE!T168=0,"",NOVIEMBRE!T168)</f>
        <v>Vigencias Anteriores</v>
      </c>
      <c r="U168" s="27">
        <f>+ENERO!U168</f>
        <v>0</v>
      </c>
      <c r="V168" s="15">
        <f>NOVIEMBRE!V168+DICIEMBRE!AL168</f>
        <v>-1047954832</v>
      </c>
      <c r="W168" s="15">
        <f>NOVIEMBRE!W168+DICIEMBRE!AM168</f>
        <v>1200000000</v>
      </c>
      <c r="X168" s="18">
        <f t="shared" si="155"/>
        <v>152045168</v>
      </c>
      <c r="Y168" s="19">
        <f>NOVIEMBRE!AA168</f>
        <v>152045168</v>
      </c>
      <c r="Z168" s="374">
        <v>0</v>
      </c>
      <c r="AA168" s="18">
        <f t="shared" si="156"/>
        <v>152045168</v>
      </c>
      <c r="AB168" s="19">
        <f>NOVIEMBRE!AD168</f>
        <v>152045168</v>
      </c>
      <c r="AC168" s="374">
        <v>0</v>
      </c>
      <c r="AD168" s="18">
        <f t="shared" si="157"/>
        <v>152045168</v>
      </c>
      <c r="AE168" s="19">
        <f>NOVIEMBRE!AG168</f>
        <v>152045168</v>
      </c>
      <c r="AF168" s="374">
        <v>0</v>
      </c>
      <c r="AG168" s="18">
        <f t="shared" si="158"/>
        <v>152045168</v>
      </c>
      <c r="AH168" s="19">
        <f t="shared" si="159"/>
        <v>0</v>
      </c>
      <c r="AI168" s="15">
        <f t="shared" si="160"/>
        <v>0</v>
      </c>
      <c r="AJ168" s="16">
        <f t="shared" si="161"/>
        <v>0</v>
      </c>
      <c r="AK168" s="9"/>
      <c r="AL168" s="372">
        <v>-84408849</v>
      </c>
      <c r="AM168" s="375">
        <v>0</v>
      </c>
      <c r="AN168" s="9"/>
      <c r="BQ168" s="461"/>
    </row>
    <row r="169" spans="1:69" s="382" customFormat="1" ht="24.95" customHeight="1">
      <c r="A169" s="752"/>
      <c r="B169" s="660"/>
      <c r="N169" s="9"/>
      <c r="P169" s="9"/>
      <c r="Q169" s="9"/>
      <c r="R169" s="9"/>
      <c r="S169" s="366" t="str">
        <f>+IF(NOVIEMBRE!S169=0,"",NOVIEMBRE!S169)</f>
        <v/>
      </c>
      <c r="T169" s="695"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61"/>
    </row>
    <row r="170" spans="1:69" s="382" customFormat="1" ht="24.95" customHeight="1">
      <c r="A170" s="752"/>
      <c r="B170" s="660"/>
      <c r="N170" s="9"/>
      <c r="P170" s="9"/>
      <c r="Q170" s="9"/>
      <c r="R170" s="9"/>
      <c r="S170" s="703">
        <f>+IF(NOVIEMBRE!S170=0,"",NOVIEMBRE!S170)</f>
        <v>3000000</v>
      </c>
      <c r="T170" s="685" t="str">
        <f>+IF(NOVIEMBRE!T170=0,"",NOVIEMBRE!T170)</f>
        <v>TRANSFERENCIAS CORRIENTES</v>
      </c>
      <c r="U170" s="470">
        <f t="shared" ref="U170:AJ170" si="162">U172+U176+U185</f>
        <v>139736565</v>
      </c>
      <c r="V170" s="471">
        <f t="shared" si="162"/>
        <v>-14457430</v>
      </c>
      <c r="W170" s="471">
        <f t="shared" si="162"/>
        <v>24450868</v>
      </c>
      <c r="X170" s="472">
        <f t="shared" si="162"/>
        <v>149730003</v>
      </c>
      <c r="Y170" s="379">
        <f t="shared" si="162"/>
        <v>105465164</v>
      </c>
      <c r="Z170" s="471">
        <f t="shared" si="162"/>
        <v>364522</v>
      </c>
      <c r="AA170" s="472">
        <f t="shared" si="162"/>
        <v>105829686</v>
      </c>
      <c r="AB170" s="379">
        <f t="shared" si="162"/>
        <v>94590035</v>
      </c>
      <c r="AC170" s="471">
        <f t="shared" si="162"/>
        <v>11239651</v>
      </c>
      <c r="AD170" s="472">
        <f t="shared" si="162"/>
        <v>105829686</v>
      </c>
      <c r="AE170" s="379">
        <f t="shared" si="162"/>
        <v>89668710</v>
      </c>
      <c r="AF170" s="471">
        <f t="shared" si="162"/>
        <v>673964</v>
      </c>
      <c r="AG170" s="472">
        <f t="shared" si="162"/>
        <v>90342674</v>
      </c>
      <c r="AH170" s="379">
        <f t="shared" si="162"/>
        <v>43900317</v>
      </c>
      <c r="AI170" s="471">
        <f t="shared" si="162"/>
        <v>43900317</v>
      </c>
      <c r="AJ170" s="380">
        <f t="shared" si="162"/>
        <v>59387329</v>
      </c>
      <c r="AK170" s="9"/>
      <c r="AL170" s="128">
        <f>AL172+AL176+AL185</f>
        <v>0</v>
      </c>
      <c r="AM170" s="130">
        <f>AM172+AM176+AM185</f>
        <v>0</v>
      </c>
      <c r="AN170" s="9"/>
      <c r="BQ170" s="461"/>
    </row>
    <row r="171" spans="1:69" s="382" customFormat="1" ht="24.95" customHeight="1">
      <c r="A171" s="752"/>
      <c r="B171" s="660"/>
      <c r="N171" s="9"/>
      <c r="P171" s="9"/>
      <c r="Q171" s="9"/>
      <c r="R171" s="9"/>
      <c r="S171" s="366" t="str">
        <f>+IF(NOVIEMBRE!S171=0,"",NOVIEMBRE!S171)</f>
        <v/>
      </c>
      <c r="T171" s="695"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61"/>
    </row>
    <row r="172" spans="1:69" s="382" customFormat="1" ht="24.95" customHeight="1">
      <c r="A172" s="752"/>
      <c r="B172" s="660"/>
      <c r="N172" s="9"/>
      <c r="P172" s="9"/>
      <c r="Q172" s="9"/>
      <c r="R172" s="9"/>
      <c r="S172" s="704">
        <f>+IF(NOVIEMBRE!S172=0,"",NOVIEMBRE!S172)</f>
        <v>3100000</v>
      </c>
      <c r="T172" s="680" t="str">
        <f>+IF(NOVIEMBRE!T172=0,"",NOVIEMBRE!T172)</f>
        <v>Transferencias al Sector Público</v>
      </c>
      <c r="U172" s="132">
        <f t="shared" ref="U172:AJ172" si="163">SUM(U173:U174)</f>
        <v>39651901</v>
      </c>
      <c r="V172" s="122">
        <f t="shared" si="163"/>
        <v>6157570</v>
      </c>
      <c r="W172" s="122">
        <f t="shared" si="163"/>
        <v>21500000</v>
      </c>
      <c r="X172" s="129">
        <f t="shared" si="163"/>
        <v>67309471</v>
      </c>
      <c r="Y172" s="128">
        <f t="shared" si="163"/>
        <v>66992947</v>
      </c>
      <c r="Z172" s="122">
        <f t="shared" si="163"/>
        <v>-10363716</v>
      </c>
      <c r="AA172" s="129">
        <f t="shared" si="163"/>
        <v>56629231</v>
      </c>
      <c r="AB172" s="128">
        <f t="shared" si="163"/>
        <v>56412905</v>
      </c>
      <c r="AC172" s="122">
        <f t="shared" si="163"/>
        <v>216326</v>
      </c>
      <c r="AD172" s="129">
        <f t="shared" si="163"/>
        <v>56629231</v>
      </c>
      <c r="AE172" s="128">
        <f t="shared" si="163"/>
        <v>55476373</v>
      </c>
      <c r="AF172" s="122">
        <f t="shared" si="163"/>
        <v>0</v>
      </c>
      <c r="AG172" s="129">
        <f t="shared" si="163"/>
        <v>55476373</v>
      </c>
      <c r="AH172" s="128">
        <f t="shared" si="163"/>
        <v>10680240</v>
      </c>
      <c r="AI172" s="122">
        <f t="shared" si="163"/>
        <v>10680240</v>
      </c>
      <c r="AJ172" s="130">
        <f t="shared" si="163"/>
        <v>11833098</v>
      </c>
      <c r="AK172" s="9"/>
      <c r="AL172" s="128">
        <f>SUM(AL173:AL174)</f>
        <v>315000</v>
      </c>
      <c r="AM172" s="130">
        <f>SUM(AM173:AM174)</f>
        <v>0</v>
      </c>
      <c r="AN172" s="9"/>
      <c r="BQ172" s="461"/>
    </row>
    <row r="173" spans="1:69" s="382" customFormat="1" ht="24.95" customHeight="1">
      <c r="A173" s="752"/>
      <c r="B173" s="660"/>
      <c r="N173" s="9"/>
      <c r="P173" s="9"/>
      <c r="Q173" s="9"/>
      <c r="R173" s="9"/>
      <c r="S173" s="705">
        <f>+IF(NOVIEMBRE!S173=0,"",NOVIEMBRE!S173)</f>
        <v>3100003</v>
      </c>
      <c r="T173" s="681" t="str">
        <f>+IF(NOVIEMBRE!T173=0,"",NOVIEMBRE!T173)</f>
        <v>Entidades Públicas (Contraloria, Supersalud,…)</v>
      </c>
      <c r="U173" s="27">
        <f>+ENERO!U173</f>
        <v>39651901</v>
      </c>
      <c r="V173" s="15">
        <f>NOVIEMBRE!V173+DICIEMBRE!AL173</f>
        <v>6157570</v>
      </c>
      <c r="W173" s="15">
        <f>NOVIEMBRE!W173+DICIEMBRE!AM173</f>
        <v>21500000</v>
      </c>
      <c r="X173" s="18">
        <f>SUM(U173:W173)</f>
        <v>67309471</v>
      </c>
      <c r="Y173" s="19">
        <f>NOVIEMBRE!AA173</f>
        <v>66992947</v>
      </c>
      <c r="Z173" s="374">
        <v>-10363716</v>
      </c>
      <c r="AA173" s="18">
        <f>SUM(Y173:Z173)</f>
        <v>56629231</v>
      </c>
      <c r="AB173" s="19">
        <f>NOVIEMBRE!AD173</f>
        <v>56412905</v>
      </c>
      <c r="AC173" s="374">
        <v>216326</v>
      </c>
      <c r="AD173" s="18">
        <f>SUM(AB173:AC173)</f>
        <v>56629231</v>
      </c>
      <c r="AE173" s="19">
        <f>NOVIEMBRE!AG173</f>
        <v>55476373</v>
      </c>
      <c r="AF173" s="374">
        <v>0</v>
      </c>
      <c r="AG173" s="18">
        <f>SUM(AE173:AF173)</f>
        <v>55476373</v>
      </c>
      <c r="AH173" s="19">
        <f>X173-AA173</f>
        <v>10680240</v>
      </c>
      <c r="AI173" s="15">
        <f>X173-AD173</f>
        <v>10680240</v>
      </c>
      <c r="AJ173" s="16">
        <f>X173-AG173</f>
        <v>11833098</v>
      </c>
      <c r="AK173" s="9"/>
      <c r="AL173" s="372">
        <v>315000</v>
      </c>
      <c r="AM173" s="375">
        <v>0</v>
      </c>
      <c r="AN173" s="9"/>
      <c r="BQ173" s="461"/>
    </row>
    <row r="174" spans="1:69" s="382" customFormat="1" ht="24.95" customHeight="1">
      <c r="A174" s="752"/>
      <c r="B174" s="660"/>
      <c r="N174" s="9"/>
      <c r="P174" s="9"/>
      <c r="Q174" s="9"/>
      <c r="R174" s="9"/>
      <c r="S174" s="705">
        <f>+IF(NOVIEMBRE!S174=0,"",NOVIEMBRE!S174)</f>
        <v>3199999</v>
      </c>
      <c r="T174" s="681" t="str">
        <f>+IF(NOVIEMBRE!T174=0,"",NOVIEMBRE!T174)</f>
        <v>Vigencias Anteriores</v>
      </c>
      <c r="U174" s="27">
        <f>+ENERO!U174</f>
        <v>0</v>
      </c>
      <c r="V174" s="15">
        <f>NOVIEMBRE!V174+DICIEMBRE!AL174</f>
        <v>0</v>
      </c>
      <c r="W174" s="15">
        <f>NOVIEMBRE!W174+DICIEMBRE!AM174</f>
        <v>0</v>
      </c>
      <c r="X174" s="18">
        <f>SUM(U174:W174)</f>
        <v>0</v>
      </c>
      <c r="Y174" s="19">
        <f>NOVIEMBRE!AA174</f>
        <v>0</v>
      </c>
      <c r="Z174" s="374">
        <v>0</v>
      </c>
      <c r="AA174" s="18">
        <f>SUM(Y174:Z174)</f>
        <v>0</v>
      </c>
      <c r="AB174" s="19">
        <f>NOVIEMBRE!AD174</f>
        <v>0</v>
      </c>
      <c r="AC174" s="374">
        <v>0</v>
      </c>
      <c r="AD174" s="18">
        <f>SUM(AB174:AC174)</f>
        <v>0</v>
      </c>
      <c r="AE174" s="19">
        <f>NOVIEMBRE!AG174</f>
        <v>0</v>
      </c>
      <c r="AF174" s="374">
        <v>0</v>
      </c>
      <c r="AG174" s="18">
        <f>SUM(AE174:AF174)</f>
        <v>0</v>
      </c>
      <c r="AH174" s="19">
        <f>X174-AA174</f>
        <v>0</v>
      </c>
      <c r="AI174" s="15">
        <f>X174-AD174</f>
        <v>0</v>
      </c>
      <c r="AJ174" s="16">
        <f>X174-AG174</f>
        <v>0</v>
      </c>
      <c r="AK174" s="9"/>
      <c r="AL174" s="372">
        <v>0</v>
      </c>
      <c r="AM174" s="375">
        <v>0</v>
      </c>
      <c r="AN174" s="9"/>
      <c r="BQ174" s="461"/>
    </row>
    <row r="175" spans="1:69" s="382" customFormat="1" ht="24.95" customHeight="1">
      <c r="A175" s="752"/>
      <c r="B175" s="660"/>
      <c r="N175" s="9"/>
      <c r="P175" s="9"/>
      <c r="Q175" s="9"/>
      <c r="R175" s="9"/>
      <c r="S175" s="366" t="str">
        <f>+IF(NOVIEMBRE!S175=0,"",NOVIEMBRE!S175)</f>
        <v/>
      </c>
      <c r="T175" s="695"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61"/>
    </row>
    <row r="176" spans="1:69" s="382" customFormat="1" ht="24.95" customHeight="1">
      <c r="A176" s="752"/>
      <c r="B176" s="660"/>
      <c r="N176" s="9"/>
      <c r="P176" s="9"/>
      <c r="Q176" s="9"/>
      <c r="R176" s="9"/>
      <c r="S176" s="704">
        <f>+IF(NOVIEMBRE!S176=0,"",NOVIEMBRE!S176)</f>
        <v>320000</v>
      </c>
      <c r="T176" s="680" t="str">
        <f>+IF(NOVIEMBRE!T176=0,"",NOVIEMBRE!T176)</f>
        <v>Transf. Previsión y Seguridad Social</v>
      </c>
      <c r="U176" s="132">
        <f t="shared" ref="U176:AJ176" si="164">SUM(U177:U183)</f>
        <v>50084664</v>
      </c>
      <c r="V176" s="122">
        <f t="shared" si="164"/>
        <v>0</v>
      </c>
      <c r="W176" s="122">
        <f t="shared" si="164"/>
        <v>0</v>
      </c>
      <c r="X176" s="129">
        <f t="shared" si="164"/>
        <v>50084664</v>
      </c>
      <c r="Y176" s="128">
        <f t="shared" si="164"/>
        <v>26222595</v>
      </c>
      <c r="Z176" s="122">
        <f t="shared" si="164"/>
        <v>1023325</v>
      </c>
      <c r="AA176" s="129">
        <f t="shared" si="164"/>
        <v>27245920</v>
      </c>
      <c r="AB176" s="128">
        <f t="shared" si="164"/>
        <v>26222595</v>
      </c>
      <c r="AC176" s="122">
        <f t="shared" si="164"/>
        <v>1023325</v>
      </c>
      <c r="AD176" s="129">
        <f t="shared" si="164"/>
        <v>27245920</v>
      </c>
      <c r="AE176" s="128">
        <f t="shared" si="164"/>
        <v>25331470</v>
      </c>
      <c r="AF176" s="122">
        <f t="shared" si="164"/>
        <v>673964</v>
      </c>
      <c r="AG176" s="129">
        <f t="shared" si="164"/>
        <v>26005434</v>
      </c>
      <c r="AH176" s="128">
        <f t="shared" si="164"/>
        <v>22838744</v>
      </c>
      <c r="AI176" s="122">
        <f t="shared" si="164"/>
        <v>22838744</v>
      </c>
      <c r="AJ176" s="130">
        <f t="shared" si="164"/>
        <v>24079230</v>
      </c>
      <c r="AK176" s="9"/>
      <c r="AL176" s="128">
        <f>SUM(AL177:AL183)</f>
        <v>0</v>
      </c>
      <c r="AM176" s="130">
        <f>SUM(AM177:AM183)</f>
        <v>0</v>
      </c>
      <c r="AN176" s="9"/>
      <c r="BQ176" s="461"/>
    </row>
    <row r="177" spans="1:69" s="382" customFormat="1" ht="24.95" customHeight="1">
      <c r="A177" s="752"/>
      <c r="B177" s="660"/>
      <c r="N177" s="9"/>
      <c r="P177" s="9"/>
      <c r="Q177" s="9"/>
      <c r="R177" s="9"/>
      <c r="S177" s="705">
        <f>+IF(NOVIEMBRE!S177=0,"",NOVIEMBRE!S177)</f>
        <v>3200100</v>
      </c>
      <c r="T177" s="681" t="str">
        <f>+IF(NOVIEMBRE!T177=0,"",NOVIEMBRE!T177)</f>
        <v>Pensiones y Jubilaciones (Pago Directo)</v>
      </c>
      <c r="U177" s="27">
        <f>+ENERO!U177</f>
        <v>18619412</v>
      </c>
      <c r="V177" s="15">
        <f>NOVIEMBRE!V177+DICIEMBRE!AL177</f>
        <v>0</v>
      </c>
      <c r="W177" s="15">
        <f>NOVIEMBRE!W177+DICIEMBRE!AM177</f>
        <v>0</v>
      </c>
      <c r="X177" s="18">
        <f t="shared" ref="X177:X183" si="165">SUM(U177:W177)</f>
        <v>18619412</v>
      </c>
      <c r="Y177" s="19">
        <f>NOVIEMBRE!AA177</f>
        <v>11601320</v>
      </c>
      <c r="Z177" s="374">
        <v>493376</v>
      </c>
      <c r="AA177" s="18">
        <f t="shared" ref="AA177:AA183" si="166">SUM(Y177:Z177)</f>
        <v>12094696</v>
      </c>
      <c r="AB177" s="19">
        <f>NOVIEMBRE!AD177</f>
        <v>11601320</v>
      </c>
      <c r="AC177" s="374">
        <v>493376</v>
      </c>
      <c r="AD177" s="18">
        <f t="shared" ref="AD177:AD183" si="167">SUM(AB177:AC177)</f>
        <v>12094696</v>
      </c>
      <c r="AE177" s="19">
        <f>NOVIEMBRE!AG177</f>
        <v>11601320</v>
      </c>
      <c r="AF177" s="374">
        <v>493376</v>
      </c>
      <c r="AG177" s="18">
        <f t="shared" ref="AG177:AG183" si="168">SUM(AE177:AF177)</f>
        <v>12094696</v>
      </c>
      <c r="AH177" s="19">
        <f t="shared" ref="AH177:AH183" si="169">X177-AA177</f>
        <v>6524716</v>
      </c>
      <c r="AI177" s="15">
        <f t="shared" ref="AI177:AI183" si="170">X177-AD177</f>
        <v>6524716</v>
      </c>
      <c r="AJ177" s="16">
        <f t="shared" ref="AJ177:AJ183" si="171">X177-AG177</f>
        <v>6524716</v>
      </c>
      <c r="AK177" s="9"/>
      <c r="AL177" s="372">
        <v>0</v>
      </c>
      <c r="AM177" s="375">
        <v>0</v>
      </c>
      <c r="AN177" s="9"/>
      <c r="BQ177" s="461"/>
    </row>
    <row r="178" spans="1:69" s="382" customFormat="1" ht="24.95" customHeight="1">
      <c r="A178" s="752"/>
      <c r="B178" s="660"/>
      <c r="N178" s="9"/>
      <c r="P178" s="9"/>
      <c r="Q178" s="9"/>
      <c r="R178" s="9"/>
      <c r="S178" s="705">
        <f>+IF(NOVIEMBRE!S178=0,"",NOVIEMBRE!S178)</f>
        <v>3200200</v>
      </c>
      <c r="T178" s="681" t="str">
        <f>+IF(NOVIEMBRE!T178=0,"",NOVIEMBRE!T178)</f>
        <v>Cesantías Pago Directo (Pago Directo)</v>
      </c>
      <c r="U178" s="27">
        <f>+ENERO!U178</f>
        <v>14936566</v>
      </c>
      <c r="V178" s="15">
        <f>NOVIEMBRE!V178+DICIEMBRE!AL178</f>
        <v>0</v>
      </c>
      <c r="W178" s="15">
        <f>NOVIEMBRE!W178+DICIEMBRE!AM178</f>
        <v>0</v>
      </c>
      <c r="X178" s="18">
        <f t="shared" si="165"/>
        <v>14936566</v>
      </c>
      <c r="Y178" s="19">
        <f>NOVIEMBRE!AA178</f>
        <v>331170</v>
      </c>
      <c r="Z178" s="374">
        <v>0</v>
      </c>
      <c r="AA178" s="18">
        <f t="shared" si="166"/>
        <v>331170</v>
      </c>
      <c r="AB178" s="19">
        <f>NOVIEMBRE!AD178</f>
        <v>331170</v>
      </c>
      <c r="AC178" s="374">
        <v>0</v>
      </c>
      <c r="AD178" s="18">
        <f t="shared" si="167"/>
        <v>331170</v>
      </c>
      <c r="AE178" s="19">
        <f>NOVIEMBRE!AG178</f>
        <v>331170</v>
      </c>
      <c r="AF178" s="374">
        <v>0</v>
      </c>
      <c r="AG178" s="18">
        <f t="shared" si="168"/>
        <v>331170</v>
      </c>
      <c r="AH178" s="19">
        <f t="shared" si="169"/>
        <v>14605396</v>
      </c>
      <c r="AI178" s="15">
        <f t="shared" si="170"/>
        <v>14605396</v>
      </c>
      <c r="AJ178" s="16">
        <f t="shared" si="171"/>
        <v>14605396</v>
      </c>
      <c r="AK178" s="9"/>
      <c r="AL178" s="372">
        <v>0</v>
      </c>
      <c r="AM178" s="375">
        <v>0</v>
      </c>
      <c r="AN178" s="9"/>
      <c r="BQ178" s="461"/>
    </row>
    <row r="179" spans="1:69" s="382" customFormat="1" ht="24.95" customHeight="1">
      <c r="A179" s="752"/>
      <c r="B179" s="660"/>
      <c r="N179" s="9"/>
      <c r="P179" s="9"/>
      <c r="Q179" s="9"/>
      <c r="R179" s="9"/>
      <c r="S179" s="705">
        <f>+IF(NOVIEMBRE!S179=0,"",NOVIEMBRE!S179)</f>
        <v>3200300</v>
      </c>
      <c r="T179" s="681" t="str">
        <f>+IF(NOVIEMBRE!T179=0,"",NOVIEMBRE!T179)</f>
        <v>Bonos, Cuotas de Bonos y cuotas partes jubilatorias</v>
      </c>
      <c r="U179" s="27">
        <f>+ENERO!U179</f>
        <v>0</v>
      </c>
      <c r="V179" s="15">
        <f>NOVIEMBRE!V179+DICIEMBRE!AL179</f>
        <v>4000000</v>
      </c>
      <c r="W179" s="15">
        <f>NOVIEMBRE!W179+DICIEMBRE!AM179</f>
        <v>0</v>
      </c>
      <c r="X179" s="18">
        <f t="shared" si="165"/>
        <v>4000000</v>
      </c>
      <c r="Y179" s="19">
        <f>NOVIEMBRE!AA179</f>
        <v>2321435</v>
      </c>
      <c r="Z179" s="374">
        <v>529949</v>
      </c>
      <c r="AA179" s="18">
        <f t="shared" si="166"/>
        <v>2851384</v>
      </c>
      <c r="AB179" s="19">
        <f>NOVIEMBRE!AD179</f>
        <v>2321435</v>
      </c>
      <c r="AC179" s="374">
        <v>529949</v>
      </c>
      <c r="AD179" s="18">
        <f t="shared" si="167"/>
        <v>2851384</v>
      </c>
      <c r="AE179" s="19">
        <f>NOVIEMBRE!AG179</f>
        <v>1430310</v>
      </c>
      <c r="AF179" s="374">
        <v>180588</v>
      </c>
      <c r="AG179" s="18">
        <f t="shared" si="168"/>
        <v>1610898</v>
      </c>
      <c r="AH179" s="19">
        <f t="shared" si="169"/>
        <v>1148616</v>
      </c>
      <c r="AI179" s="15">
        <f t="shared" si="170"/>
        <v>1148616</v>
      </c>
      <c r="AJ179" s="16">
        <f t="shared" si="171"/>
        <v>2389102</v>
      </c>
      <c r="AK179" s="9"/>
      <c r="AL179" s="372">
        <v>0</v>
      </c>
      <c r="AM179" s="375">
        <v>0</v>
      </c>
      <c r="AN179" s="9"/>
      <c r="BQ179" s="461"/>
    </row>
    <row r="180" spans="1:69" s="382" customFormat="1" ht="24.95" customHeight="1">
      <c r="A180" s="752"/>
      <c r="B180" s="660"/>
      <c r="N180" s="9"/>
      <c r="P180" s="9"/>
      <c r="Q180" s="9"/>
      <c r="R180" s="9"/>
      <c r="S180" s="705">
        <f>+IF(NOVIEMBRE!S180=0,"",NOVIEMBRE!S180)</f>
        <v>3200400</v>
      </c>
      <c r="T180" s="681" t="str">
        <f>+IF(NOVIEMBRE!T180=0,"",NOVIEMBRE!T180)</f>
        <v>Intereses a las cesantias</v>
      </c>
      <c r="U180" s="27">
        <f>+ENERO!U180</f>
        <v>16528686</v>
      </c>
      <c r="V180" s="15">
        <f>NOVIEMBRE!V180+DICIEMBRE!AL180</f>
        <v>-4000000</v>
      </c>
      <c r="W180" s="15">
        <f>NOVIEMBRE!W180+DICIEMBRE!AM180</f>
        <v>0</v>
      </c>
      <c r="X180" s="18">
        <f t="shared" si="165"/>
        <v>12528686</v>
      </c>
      <c r="Y180" s="19">
        <f>NOVIEMBRE!AA180</f>
        <v>11968670</v>
      </c>
      <c r="Z180" s="374">
        <v>0</v>
      </c>
      <c r="AA180" s="18">
        <f t="shared" si="166"/>
        <v>11968670</v>
      </c>
      <c r="AB180" s="19">
        <f>NOVIEMBRE!AD180</f>
        <v>11968670</v>
      </c>
      <c r="AC180" s="374">
        <v>0</v>
      </c>
      <c r="AD180" s="18">
        <f t="shared" si="167"/>
        <v>11968670</v>
      </c>
      <c r="AE180" s="19">
        <f>NOVIEMBRE!AG180</f>
        <v>11968670</v>
      </c>
      <c r="AF180" s="374">
        <v>0</v>
      </c>
      <c r="AG180" s="18">
        <f t="shared" si="168"/>
        <v>11968670</v>
      </c>
      <c r="AH180" s="19">
        <f t="shared" si="169"/>
        <v>560016</v>
      </c>
      <c r="AI180" s="15">
        <f t="shared" si="170"/>
        <v>560016</v>
      </c>
      <c r="AJ180" s="16">
        <f t="shared" si="171"/>
        <v>560016</v>
      </c>
      <c r="AK180" s="9"/>
      <c r="AL180" s="372">
        <v>0</v>
      </c>
      <c r="AM180" s="375">
        <v>0</v>
      </c>
      <c r="AN180" s="9"/>
      <c r="BQ180" s="461"/>
    </row>
    <row r="181" spans="1:69" s="382" customFormat="1" ht="24.95" customHeight="1">
      <c r="A181" s="752"/>
      <c r="B181" s="660"/>
      <c r="N181" s="9"/>
      <c r="P181" s="9"/>
      <c r="Q181" s="9"/>
      <c r="R181" s="9"/>
      <c r="S181" s="705" t="str">
        <f>+IF(NOVIEMBRE!S181=0,"",NOVIEMBRE!S181)</f>
        <v/>
      </c>
      <c r="T181" s="681" t="str">
        <f>+IF(NOVIEMBRE!T181=0,"",NOVIEMBRE!T181)</f>
        <v/>
      </c>
      <c r="U181" s="27">
        <f>+ENERO!U181</f>
        <v>0</v>
      </c>
      <c r="V181" s="15">
        <f>NOVIEMBRE!V181+DICIEMBRE!AL181</f>
        <v>0</v>
      </c>
      <c r="W181" s="15">
        <f>NOVIEMBRE!W181+DICIEMBRE!AM181</f>
        <v>0</v>
      </c>
      <c r="X181" s="18">
        <f t="shared" si="165"/>
        <v>0</v>
      </c>
      <c r="Y181" s="19">
        <f>NOVIEMBRE!AA181</f>
        <v>0</v>
      </c>
      <c r="Z181" s="374">
        <v>0</v>
      </c>
      <c r="AA181" s="18">
        <f t="shared" si="166"/>
        <v>0</v>
      </c>
      <c r="AB181" s="19">
        <f>NOVIEMBRE!AD181</f>
        <v>0</v>
      </c>
      <c r="AC181" s="374">
        <v>0</v>
      </c>
      <c r="AD181" s="18">
        <f t="shared" si="167"/>
        <v>0</v>
      </c>
      <c r="AE181" s="19">
        <f>NOVIEMBRE!AG181</f>
        <v>0</v>
      </c>
      <c r="AF181" s="374">
        <v>0</v>
      </c>
      <c r="AG181" s="18">
        <f t="shared" si="168"/>
        <v>0</v>
      </c>
      <c r="AH181" s="19">
        <f t="shared" si="169"/>
        <v>0</v>
      </c>
      <c r="AI181" s="15">
        <f t="shared" si="170"/>
        <v>0</v>
      </c>
      <c r="AJ181" s="16">
        <f t="shared" si="171"/>
        <v>0</v>
      </c>
      <c r="AK181" s="9"/>
      <c r="AL181" s="372">
        <v>0</v>
      </c>
      <c r="AM181" s="375">
        <v>0</v>
      </c>
      <c r="AN181" s="9"/>
      <c r="BQ181" s="461"/>
    </row>
    <row r="182" spans="1:69" s="382" customFormat="1" ht="24.95" customHeight="1">
      <c r="A182" s="752"/>
      <c r="B182" s="660"/>
      <c r="N182" s="9"/>
      <c r="P182" s="9"/>
      <c r="Q182" s="9"/>
      <c r="R182" s="9"/>
      <c r="S182" s="705" t="str">
        <f>+IF(NOVIEMBRE!S182=0,"",NOVIEMBRE!S182)</f>
        <v/>
      </c>
      <c r="T182" s="681" t="str">
        <f>+IF(NOVIEMBRE!T182=0,"",NOVIEMBRE!T182)</f>
        <v/>
      </c>
      <c r="U182" s="27">
        <f>+ENERO!U182</f>
        <v>0</v>
      </c>
      <c r="V182" s="15">
        <f>NOVIEMBRE!V182+DICIEMBRE!AL182</f>
        <v>0</v>
      </c>
      <c r="W182" s="15">
        <f>NOVIEMBRE!W182+DICIEMBRE!AM182</f>
        <v>0</v>
      </c>
      <c r="X182" s="18">
        <f t="shared" si="165"/>
        <v>0</v>
      </c>
      <c r="Y182" s="19">
        <f>NOVIEMBRE!AA182</f>
        <v>0</v>
      </c>
      <c r="Z182" s="374">
        <v>0</v>
      </c>
      <c r="AA182" s="18">
        <f t="shared" si="166"/>
        <v>0</v>
      </c>
      <c r="AB182" s="19">
        <f>NOVIEMBRE!AD182</f>
        <v>0</v>
      </c>
      <c r="AC182" s="374">
        <v>0</v>
      </c>
      <c r="AD182" s="18">
        <f t="shared" si="167"/>
        <v>0</v>
      </c>
      <c r="AE182" s="19">
        <f>NOVIEMBRE!AG182</f>
        <v>0</v>
      </c>
      <c r="AF182" s="374">
        <v>0</v>
      </c>
      <c r="AG182" s="18">
        <f t="shared" si="168"/>
        <v>0</v>
      </c>
      <c r="AH182" s="19">
        <f t="shared" si="169"/>
        <v>0</v>
      </c>
      <c r="AI182" s="15">
        <f t="shared" si="170"/>
        <v>0</v>
      </c>
      <c r="AJ182" s="16">
        <f t="shared" si="171"/>
        <v>0</v>
      </c>
      <c r="AK182" s="9"/>
      <c r="AL182" s="372">
        <v>0</v>
      </c>
      <c r="AM182" s="375">
        <v>0</v>
      </c>
      <c r="AN182" s="9"/>
      <c r="BQ182" s="461"/>
    </row>
    <row r="183" spans="1:69" s="382" customFormat="1" ht="24.95" customHeight="1">
      <c r="A183" s="752"/>
      <c r="B183" s="660"/>
      <c r="N183" s="9"/>
      <c r="P183" s="9"/>
      <c r="Q183" s="9"/>
      <c r="R183" s="9"/>
      <c r="S183" s="705">
        <f>+IF(NOVIEMBRE!S183=0,"",NOVIEMBRE!S183)</f>
        <v>3299999</v>
      </c>
      <c r="T183" s="681" t="str">
        <f>+IF(NOVIEMBRE!T183=0,"",NOVIEMBRE!T183)</f>
        <v>Vigencias Anteriores</v>
      </c>
      <c r="U183" s="27">
        <f>+ENERO!U183</f>
        <v>0</v>
      </c>
      <c r="V183" s="15">
        <f>NOVIEMBRE!V183+DICIEMBRE!AL183</f>
        <v>0</v>
      </c>
      <c r="W183" s="15">
        <f>NOVIEMBRE!W183+DICIEMBRE!AM183</f>
        <v>0</v>
      </c>
      <c r="X183" s="18">
        <f t="shared" si="165"/>
        <v>0</v>
      </c>
      <c r="Y183" s="19">
        <f>NOVIEMBRE!AA183</f>
        <v>0</v>
      </c>
      <c r="Z183" s="374">
        <v>0</v>
      </c>
      <c r="AA183" s="18">
        <f t="shared" si="166"/>
        <v>0</v>
      </c>
      <c r="AB183" s="19">
        <f>NOVIEMBRE!AD183</f>
        <v>0</v>
      </c>
      <c r="AC183" s="374">
        <v>0</v>
      </c>
      <c r="AD183" s="18">
        <f t="shared" si="167"/>
        <v>0</v>
      </c>
      <c r="AE183" s="19">
        <f>NOVIEMBRE!AG183</f>
        <v>0</v>
      </c>
      <c r="AF183" s="374">
        <v>0</v>
      </c>
      <c r="AG183" s="18">
        <f t="shared" si="168"/>
        <v>0</v>
      </c>
      <c r="AH183" s="19">
        <f t="shared" si="169"/>
        <v>0</v>
      </c>
      <c r="AI183" s="15">
        <f t="shared" si="170"/>
        <v>0</v>
      </c>
      <c r="AJ183" s="16">
        <f t="shared" si="171"/>
        <v>0</v>
      </c>
      <c r="AK183" s="9"/>
      <c r="AL183" s="372">
        <v>0</v>
      </c>
      <c r="AM183" s="375">
        <v>0</v>
      </c>
      <c r="AN183" s="9"/>
      <c r="BQ183" s="461"/>
    </row>
    <row r="184" spans="1:69" s="382" customFormat="1" ht="24.95" customHeight="1">
      <c r="A184" s="752"/>
      <c r="B184" s="660"/>
      <c r="N184" s="9"/>
      <c r="P184" s="9"/>
      <c r="Q184" s="9"/>
      <c r="R184" s="9"/>
      <c r="S184" s="366" t="str">
        <f>+IF(NOVIEMBRE!S184=0,"",NOVIEMBRE!S184)</f>
        <v/>
      </c>
      <c r="T184" s="695"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61"/>
    </row>
    <row r="185" spans="1:69" s="382" customFormat="1" ht="24.95" customHeight="1">
      <c r="A185" s="752"/>
      <c r="B185" s="660"/>
      <c r="N185" s="9"/>
      <c r="P185" s="9"/>
      <c r="Q185" s="9"/>
      <c r="R185" s="9"/>
      <c r="S185" s="704">
        <f>+IF(NOVIEMBRE!S185=0,"",NOVIEMBRE!S185)</f>
        <v>3300000</v>
      </c>
      <c r="T185" s="680" t="str">
        <f>+IF(NOVIEMBRE!T185=0,"",NOVIEMBRE!T185)</f>
        <v>Otras Transferencias</v>
      </c>
      <c r="U185" s="132">
        <f t="shared" ref="U185:AJ185" si="172">U186+U187+U191</f>
        <v>50000000</v>
      </c>
      <c r="V185" s="122">
        <f t="shared" si="172"/>
        <v>-20615000</v>
      </c>
      <c r="W185" s="122">
        <f t="shared" si="172"/>
        <v>2950868</v>
      </c>
      <c r="X185" s="129">
        <f t="shared" si="172"/>
        <v>32335868</v>
      </c>
      <c r="Y185" s="128">
        <f t="shared" si="172"/>
        <v>12249622</v>
      </c>
      <c r="Z185" s="122">
        <f t="shared" si="172"/>
        <v>9704913</v>
      </c>
      <c r="AA185" s="129">
        <f t="shared" si="172"/>
        <v>21954535</v>
      </c>
      <c r="AB185" s="128">
        <f t="shared" si="172"/>
        <v>11954535</v>
      </c>
      <c r="AC185" s="122">
        <f t="shared" si="172"/>
        <v>10000000</v>
      </c>
      <c r="AD185" s="129">
        <f t="shared" si="172"/>
        <v>21954535</v>
      </c>
      <c r="AE185" s="128">
        <f t="shared" si="172"/>
        <v>8860867</v>
      </c>
      <c r="AF185" s="122">
        <f t="shared" si="172"/>
        <v>0</v>
      </c>
      <c r="AG185" s="129">
        <f t="shared" si="172"/>
        <v>8860867</v>
      </c>
      <c r="AH185" s="128">
        <f t="shared" si="172"/>
        <v>10381333</v>
      </c>
      <c r="AI185" s="122">
        <f t="shared" si="172"/>
        <v>10381333</v>
      </c>
      <c r="AJ185" s="130">
        <f t="shared" si="172"/>
        <v>23475001</v>
      </c>
      <c r="AK185" s="9"/>
      <c r="AL185" s="128">
        <f>AL186+AL187+AL191</f>
        <v>-315000</v>
      </c>
      <c r="AM185" s="130">
        <f>AM186+AM187+AM191</f>
        <v>0</v>
      </c>
      <c r="AN185" s="9"/>
      <c r="BQ185" s="461"/>
    </row>
    <row r="186" spans="1:69" s="382" customFormat="1" ht="24.95" customHeight="1">
      <c r="A186" s="752"/>
      <c r="B186" s="660"/>
      <c r="N186" s="9"/>
      <c r="P186" s="9"/>
      <c r="Q186" s="9"/>
      <c r="R186" s="9"/>
      <c r="S186" s="705">
        <f>+IF(NOVIEMBRE!S186=0,"",NOVIEMBRE!S186)</f>
        <v>3300100</v>
      </c>
      <c r="T186" s="681" t="str">
        <f>+IF(NOVIEMBRE!T186=0,"",NOVIEMBRE!T186)</f>
        <v>Sentencias y Conciliaciones</v>
      </c>
      <c r="U186" s="27">
        <f>+ENERO!U186</f>
        <v>50000000</v>
      </c>
      <c r="V186" s="15">
        <f>NOVIEMBRE!V186+DICIEMBRE!AL186</f>
        <v>-23708668</v>
      </c>
      <c r="W186" s="15">
        <f>NOVIEMBRE!W186+DICIEMBRE!AM186</f>
        <v>0</v>
      </c>
      <c r="X186" s="18">
        <f>SUM(U186:W186)</f>
        <v>26291332</v>
      </c>
      <c r="Y186" s="19">
        <f>NOVIEMBRE!AA186</f>
        <v>6205086</v>
      </c>
      <c r="Z186" s="374">
        <v>10000000</v>
      </c>
      <c r="AA186" s="18">
        <f>SUM(Y186:Z186)</f>
        <v>16205086</v>
      </c>
      <c r="AB186" s="19">
        <f>NOVIEMBRE!AD186</f>
        <v>6205086</v>
      </c>
      <c r="AC186" s="374">
        <v>10000000</v>
      </c>
      <c r="AD186" s="18">
        <f>SUM(AB186:AC186)</f>
        <v>16205086</v>
      </c>
      <c r="AE186" s="19">
        <f>NOVIEMBRE!AG186</f>
        <v>6205086</v>
      </c>
      <c r="AF186" s="374">
        <v>0</v>
      </c>
      <c r="AG186" s="18">
        <f>SUM(AE186:AF186)</f>
        <v>6205086</v>
      </c>
      <c r="AH186" s="19">
        <f>X186-AA186</f>
        <v>10086246</v>
      </c>
      <c r="AI186" s="15">
        <f>X186-AD186</f>
        <v>10086246</v>
      </c>
      <c r="AJ186" s="16">
        <f>X186-AG186</f>
        <v>20086246</v>
      </c>
      <c r="AK186" s="9"/>
      <c r="AL186" s="372">
        <v>-315000</v>
      </c>
      <c r="AM186" s="375">
        <v>0</v>
      </c>
      <c r="AN186" s="9"/>
      <c r="BQ186" s="461"/>
    </row>
    <row r="187" spans="1:69" s="382" customFormat="1" ht="24.95" customHeight="1">
      <c r="A187" s="752"/>
      <c r="B187" s="660"/>
      <c r="N187" s="9"/>
      <c r="P187" s="9"/>
      <c r="Q187" s="9"/>
      <c r="R187" s="9"/>
      <c r="S187" s="705">
        <f>+IF(NOVIEMBRE!S187=0,"",NOVIEMBRE!S187)</f>
        <v>3300200</v>
      </c>
      <c r="T187" s="681" t="str">
        <f>+IF(NOVIEMBRE!T187=0,"",NOVIEMBRE!T187)</f>
        <v>Destinatarios de otras transferencias</v>
      </c>
      <c r="U187" s="27">
        <f t="shared" ref="U187:AM187" si="173">SUM(U188:U190)</f>
        <v>0</v>
      </c>
      <c r="V187" s="15">
        <f t="shared" si="173"/>
        <v>3093668</v>
      </c>
      <c r="W187" s="15">
        <f t="shared" si="173"/>
        <v>2950868</v>
      </c>
      <c r="X187" s="18">
        <f t="shared" si="173"/>
        <v>6044536</v>
      </c>
      <c r="Y187" s="19">
        <f t="shared" si="173"/>
        <v>6044536</v>
      </c>
      <c r="Z187" s="142">
        <f t="shared" si="173"/>
        <v>-295087</v>
      </c>
      <c r="AA187" s="18">
        <f t="shared" si="173"/>
        <v>5749449</v>
      </c>
      <c r="AB187" s="19">
        <f t="shared" si="173"/>
        <v>5749449</v>
      </c>
      <c r="AC187" s="142">
        <f t="shared" si="173"/>
        <v>0</v>
      </c>
      <c r="AD187" s="18">
        <f t="shared" si="173"/>
        <v>5749449</v>
      </c>
      <c r="AE187" s="19">
        <f t="shared" si="173"/>
        <v>2655781</v>
      </c>
      <c r="AF187" s="142">
        <f t="shared" si="173"/>
        <v>0</v>
      </c>
      <c r="AG187" s="18">
        <f t="shared" si="173"/>
        <v>2655781</v>
      </c>
      <c r="AH187" s="19">
        <f t="shared" si="173"/>
        <v>295087</v>
      </c>
      <c r="AI187" s="15">
        <f t="shared" si="173"/>
        <v>295087</v>
      </c>
      <c r="AJ187" s="16">
        <f t="shared" si="173"/>
        <v>3388755</v>
      </c>
      <c r="AK187" s="9"/>
      <c r="AL187" s="29">
        <f t="shared" si="173"/>
        <v>0</v>
      </c>
      <c r="AM187" s="26">
        <f t="shared" si="173"/>
        <v>0</v>
      </c>
      <c r="AN187" s="9"/>
      <c r="BQ187" s="461"/>
    </row>
    <row r="188" spans="1:69" s="382" customFormat="1" ht="24.95" customHeight="1">
      <c r="A188" s="752"/>
      <c r="B188" s="661"/>
      <c r="N188" s="9"/>
      <c r="P188" s="9"/>
      <c r="Q188" s="9"/>
      <c r="R188" s="9"/>
      <c r="S188" s="706" t="str">
        <f>+IF(NOVIEMBRE!S188=0,"",NOVIEMBRE!S188)</f>
        <v>3300200-1</v>
      </c>
      <c r="T188" s="681" t="str">
        <f>+IF(NOVIEMBRE!T188=0,"",NOVIEMBRE!T188)</f>
        <v>COHAN</v>
      </c>
      <c r="U188" s="27">
        <f>+ENERO!U188</f>
        <v>0</v>
      </c>
      <c r="V188" s="15">
        <f>NOVIEMBRE!V188+DICIEMBRE!AL188</f>
        <v>3093668</v>
      </c>
      <c r="W188" s="15">
        <f>NOVIEMBRE!W188+DICIEMBRE!AM188</f>
        <v>0</v>
      </c>
      <c r="X188" s="18">
        <f>SUM(U188:W188)</f>
        <v>3093668</v>
      </c>
      <c r="Y188" s="19">
        <f>NOVIEMBRE!AA188</f>
        <v>3093668</v>
      </c>
      <c r="Z188" s="374">
        <v>0</v>
      </c>
      <c r="AA188" s="18">
        <f>SUM(Y188:Z188)</f>
        <v>3093668</v>
      </c>
      <c r="AB188" s="19">
        <f>NOVIEMBRE!AD188</f>
        <v>3093668</v>
      </c>
      <c r="AC188" s="374">
        <v>0</v>
      </c>
      <c r="AD188" s="18">
        <f>SUM(AB188:AC188)</f>
        <v>3093668</v>
      </c>
      <c r="AE188" s="19">
        <f>NOVIEMBRE!AG188</f>
        <v>0</v>
      </c>
      <c r="AF188" s="374">
        <v>0</v>
      </c>
      <c r="AG188" s="18">
        <f>SUM(AE188:AF188)</f>
        <v>0</v>
      </c>
      <c r="AH188" s="19">
        <f>X188-AA188</f>
        <v>0</v>
      </c>
      <c r="AI188" s="15">
        <f>X188-AD188</f>
        <v>0</v>
      </c>
      <c r="AJ188" s="16">
        <f>X188-AG188</f>
        <v>3093668</v>
      </c>
      <c r="AK188" s="9"/>
      <c r="AL188" s="372">
        <v>0</v>
      </c>
      <c r="AM188" s="375">
        <v>0</v>
      </c>
      <c r="AN188" s="9"/>
      <c r="BQ188" s="461"/>
    </row>
    <row r="189" spans="1:69" s="382" customFormat="1" ht="24.95" customHeight="1">
      <c r="A189" s="752"/>
      <c r="B189" s="661"/>
      <c r="N189" s="9"/>
      <c r="P189" s="9"/>
      <c r="Q189" s="9"/>
      <c r="R189" s="9"/>
      <c r="S189" s="706" t="str">
        <f>+IF(NOVIEMBRE!S189=0,"",NOVIEMBRE!S189)</f>
        <v>3300200-2</v>
      </c>
      <c r="T189" s="681" t="str">
        <f>+IF(NOVIEMBRE!T189=0,"",NOVIEMBRE!T189)</f>
        <v>AESA</v>
      </c>
      <c r="U189" s="27">
        <f>+ENERO!U189</f>
        <v>0</v>
      </c>
      <c r="V189" s="15">
        <f>NOVIEMBRE!V189+DICIEMBRE!AL189</f>
        <v>0</v>
      </c>
      <c r="W189" s="15">
        <f>NOVIEMBRE!W189+DICIEMBRE!AM189</f>
        <v>2950868</v>
      </c>
      <c r="X189" s="18">
        <f>SUM(U189:W189)</f>
        <v>2950868</v>
      </c>
      <c r="Y189" s="19">
        <f>NOVIEMBRE!AA189</f>
        <v>2950868</v>
      </c>
      <c r="Z189" s="374">
        <v>-295087</v>
      </c>
      <c r="AA189" s="18">
        <f>SUM(Y189:Z189)</f>
        <v>2655781</v>
      </c>
      <c r="AB189" s="19">
        <f>NOVIEMBRE!AD189</f>
        <v>2655781</v>
      </c>
      <c r="AC189" s="374">
        <v>0</v>
      </c>
      <c r="AD189" s="18">
        <f>SUM(AB189:AC189)</f>
        <v>2655781</v>
      </c>
      <c r="AE189" s="19">
        <f>NOVIEMBRE!AG189</f>
        <v>2655781</v>
      </c>
      <c r="AF189" s="374">
        <v>0</v>
      </c>
      <c r="AG189" s="18">
        <f>SUM(AE189:AF189)</f>
        <v>2655781</v>
      </c>
      <c r="AH189" s="19">
        <f>X189-AA189</f>
        <v>295087</v>
      </c>
      <c r="AI189" s="15">
        <f>X189-AD189</f>
        <v>295087</v>
      </c>
      <c r="AJ189" s="16">
        <f>X189-AG189</f>
        <v>295087</v>
      </c>
      <c r="AK189" s="9"/>
      <c r="AL189" s="372">
        <v>0</v>
      </c>
      <c r="AM189" s="375">
        <v>0</v>
      </c>
      <c r="AN189" s="9"/>
      <c r="BQ189" s="461"/>
    </row>
    <row r="190" spans="1:69" s="382" customFormat="1" ht="24.95" customHeight="1">
      <c r="A190" s="752"/>
      <c r="B190" s="661"/>
      <c r="N190" s="9"/>
      <c r="P190" s="9"/>
      <c r="Q190" s="9"/>
      <c r="R190" s="9"/>
      <c r="S190" s="706" t="str">
        <f>+IF(NOVIEMBRE!S190=0,"",NOVIEMBRE!S190)</f>
        <v>3300200-3</v>
      </c>
      <c r="T190" s="681" t="str">
        <f>+IF(NOVIEMBRE!T190=0,"",NOVIEMBRE!T190)</f>
        <v xml:space="preserve">OTRAS </v>
      </c>
      <c r="U190" s="27">
        <f>+ENERO!U190</f>
        <v>0</v>
      </c>
      <c r="V190" s="15">
        <f>NOVIEMBRE!V190+DICIEMBRE!AL190</f>
        <v>0</v>
      </c>
      <c r="W190" s="15">
        <f>NOVIEMBRE!W190+DICIEMBRE!AM190</f>
        <v>0</v>
      </c>
      <c r="X190" s="18">
        <f>SUM(U190:W190)</f>
        <v>0</v>
      </c>
      <c r="Y190" s="19">
        <f>NOVIEMBRE!AA190</f>
        <v>0</v>
      </c>
      <c r="Z190" s="374">
        <v>0</v>
      </c>
      <c r="AA190" s="18">
        <f>SUM(Y190:Z190)</f>
        <v>0</v>
      </c>
      <c r="AB190" s="19">
        <f>NOVIEMBRE!AD190</f>
        <v>0</v>
      </c>
      <c r="AC190" s="374">
        <v>0</v>
      </c>
      <c r="AD190" s="18">
        <f>SUM(AB190:AC190)</f>
        <v>0</v>
      </c>
      <c r="AE190" s="19">
        <f>NOVIEMBRE!AG190</f>
        <v>0</v>
      </c>
      <c r="AF190" s="374">
        <v>0</v>
      </c>
      <c r="AG190" s="18">
        <f>SUM(AE190:AF190)</f>
        <v>0</v>
      </c>
      <c r="AH190" s="19">
        <f>X190-AA190</f>
        <v>0</v>
      </c>
      <c r="AI190" s="15">
        <f>X190-AD190</f>
        <v>0</v>
      </c>
      <c r="AJ190" s="16">
        <f>X190-AG190</f>
        <v>0</v>
      </c>
      <c r="AK190" s="9"/>
      <c r="AL190" s="372">
        <v>0</v>
      </c>
      <c r="AM190" s="375">
        <v>0</v>
      </c>
      <c r="AN190" s="9"/>
      <c r="BQ190" s="461"/>
    </row>
    <row r="191" spans="1:69" s="382" customFormat="1" ht="24.95" customHeight="1">
      <c r="A191" s="752"/>
      <c r="B191" s="661"/>
      <c r="N191" s="9"/>
      <c r="P191" s="9"/>
      <c r="Q191" s="9"/>
      <c r="R191" s="9"/>
      <c r="S191" s="705">
        <f>+IF(NOVIEMBRE!S191=0,"",NOVIEMBRE!S191)</f>
        <v>3399999</v>
      </c>
      <c r="T191" s="681" t="str">
        <f>+IF(NOVIEMBRE!T191=0,"",NOVIEMBRE!T191)</f>
        <v>Vigencias Anteriores</v>
      </c>
      <c r="U191" s="27">
        <f>+ENERO!U191</f>
        <v>0</v>
      </c>
      <c r="V191" s="15">
        <f>NOVIEMBRE!V191+DICIEMBRE!AL191</f>
        <v>0</v>
      </c>
      <c r="W191" s="15">
        <f>NOVIEMBRE!W191+DICIEMBRE!AM191</f>
        <v>0</v>
      </c>
      <c r="X191" s="18">
        <f>SUM(U191:W191)</f>
        <v>0</v>
      </c>
      <c r="Y191" s="19">
        <f>NOVIEMBRE!AA191</f>
        <v>0</v>
      </c>
      <c r="Z191" s="374">
        <v>0</v>
      </c>
      <c r="AA191" s="18">
        <f>SUM(Y191:Z191)</f>
        <v>0</v>
      </c>
      <c r="AB191" s="19">
        <f>NOVIEMBRE!AD191</f>
        <v>0</v>
      </c>
      <c r="AC191" s="374">
        <v>0</v>
      </c>
      <c r="AD191" s="18">
        <f>SUM(AB191:AC191)</f>
        <v>0</v>
      </c>
      <c r="AE191" s="19">
        <f>NOVIEMBRE!AG191</f>
        <v>0</v>
      </c>
      <c r="AF191" s="374">
        <v>0</v>
      </c>
      <c r="AG191" s="18">
        <f>SUM(AE191:AF191)</f>
        <v>0</v>
      </c>
      <c r="AH191" s="19">
        <f>X191-AA191</f>
        <v>0</v>
      </c>
      <c r="AI191" s="15">
        <f>X191-AD191</f>
        <v>0</v>
      </c>
      <c r="AJ191" s="16">
        <f>X191-AG191</f>
        <v>0</v>
      </c>
      <c r="AK191" s="9"/>
      <c r="AL191" s="372">
        <v>0</v>
      </c>
      <c r="AM191" s="375">
        <v>0</v>
      </c>
      <c r="AN191" s="9"/>
      <c r="BQ191" s="461"/>
    </row>
    <row r="192" spans="1:69" s="382" customFormat="1" ht="24.95" customHeight="1">
      <c r="A192" s="752"/>
      <c r="B192" s="661"/>
      <c r="N192" s="9"/>
      <c r="P192" s="9"/>
      <c r="Q192" s="9"/>
      <c r="R192" s="9"/>
      <c r="S192" s="805"/>
      <c r="T192" s="806"/>
      <c r="U192" s="188"/>
      <c r="V192" s="807"/>
      <c r="W192" s="807"/>
      <c r="X192" s="807"/>
      <c r="Y192" s="807"/>
      <c r="Z192" s="808"/>
      <c r="AA192" s="807"/>
      <c r="AB192" s="807"/>
      <c r="AC192" s="808"/>
      <c r="AD192" s="807"/>
      <c r="AE192" s="807"/>
      <c r="AF192" s="808"/>
      <c r="AG192" s="807"/>
      <c r="AH192" s="807"/>
      <c r="AI192" s="807"/>
      <c r="AJ192" s="173"/>
      <c r="AK192" s="9"/>
      <c r="AL192" s="809"/>
      <c r="AM192" s="810"/>
      <c r="AN192" s="9"/>
      <c r="BQ192" s="461"/>
    </row>
    <row r="193" spans="1:69" s="382" customFormat="1" ht="39.75" customHeight="1">
      <c r="A193" s="752"/>
      <c r="B193" s="661"/>
      <c r="N193" s="9"/>
      <c r="P193" s="9"/>
      <c r="Q193" s="9"/>
      <c r="R193" s="9"/>
      <c r="S193" s="493" t="s">
        <v>325</v>
      </c>
      <c r="T193" s="689" t="s">
        <v>581</v>
      </c>
      <c r="U193" s="470">
        <f>U195+U209</f>
        <v>14750406346</v>
      </c>
      <c r="V193" s="471">
        <f t="shared" ref="V193:AJ193" si="174">V195+V209</f>
        <v>-2076246865</v>
      </c>
      <c r="W193" s="471">
        <f t="shared" si="174"/>
        <v>4402847393</v>
      </c>
      <c r="X193" s="380">
        <f t="shared" si="174"/>
        <v>17077006874</v>
      </c>
      <c r="Y193" s="379">
        <f t="shared" si="174"/>
        <v>15859632083</v>
      </c>
      <c r="Z193" s="494">
        <f t="shared" si="174"/>
        <v>-24130364</v>
      </c>
      <c r="AA193" s="380">
        <f t="shared" si="174"/>
        <v>15835501719</v>
      </c>
      <c r="AB193" s="470">
        <f t="shared" si="174"/>
        <v>14469604211</v>
      </c>
      <c r="AC193" s="494">
        <f t="shared" si="174"/>
        <v>1365897507</v>
      </c>
      <c r="AD193" s="472">
        <f t="shared" si="174"/>
        <v>15835501718</v>
      </c>
      <c r="AE193" s="379">
        <f t="shared" si="174"/>
        <v>8338297997</v>
      </c>
      <c r="AF193" s="494">
        <f t="shared" si="174"/>
        <v>1006630547</v>
      </c>
      <c r="AG193" s="380">
        <f t="shared" si="174"/>
        <v>9344928544</v>
      </c>
      <c r="AH193" s="379">
        <f t="shared" si="174"/>
        <v>1241505155</v>
      </c>
      <c r="AI193" s="471">
        <f t="shared" si="174"/>
        <v>1241505156</v>
      </c>
      <c r="AJ193" s="380">
        <f t="shared" si="174"/>
        <v>7732078330</v>
      </c>
      <c r="AK193" s="9"/>
      <c r="AL193" s="379">
        <f t="shared" ref="AL193:AM193" si="175">AL195+AL209</f>
        <v>-451768483</v>
      </c>
      <c r="AM193" s="380">
        <f t="shared" si="175"/>
        <v>468867317</v>
      </c>
      <c r="AN193" s="9"/>
      <c r="BQ193" s="461"/>
    </row>
    <row r="194" spans="1:69" s="382" customFormat="1" ht="24.95" customHeight="1">
      <c r="A194" s="752"/>
      <c r="B194" s="661"/>
      <c r="N194" s="9"/>
      <c r="P194" s="9"/>
      <c r="Q194" s="9"/>
      <c r="R194" s="9"/>
      <c r="S194" s="366" t="str">
        <f>+IF(NOVIEMBRE!S192=0,"",NOVIEMBRE!S192)</f>
        <v/>
      </c>
      <c r="T194" s="695"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61"/>
    </row>
    <row r="195" spans="1:69" s="382" customFormat="1" ht="24.95" customHeight="1">
      <c r="A195" s="752"/>
      <c r="B195" s="661"/>
      <c r="N195" s="9"/>
      <c r="P195" s="9"/>
      <c r="Q195" s="9"/>
      <c r="R195" s="9"/>
      <c r="S195" s="703">
        <f>+IF(NOVIEMBRE!S195=0,"",NOVIEMBRE!S195)</f>
        <v>4000000</v>
      </c>
      <c r="T195" s="685" t="str">
        <f>+IF(NOVIEMBRE!T195=0,"",NOVIEMBRE!T195)</f>
        <v>GASTOS  DE PRESTACION DE SERVICIOS</v>
      </c>
      <c r="U195" s="470">
        <f t="shared" ref="U195:AJ195" si="176">U196</f>
        <v>14750406346</v>
      </c>
      <c r="V195" s="471">
        <f t="shared" si="176"/>
        <v>-2076246865</v>
      </c>
      <c r="W195" s="471">
        <f t="shared" si="176"/>
        <v>4402847393</v>
      </c>
      <c r="X195" s="472">
        <f t="shared" si="176"/>
        <v>17077006874</v>
      </c>
      <c r="Y195" s="379">
        <f t="shared" si="176"/>
        <v>15859632083</v>
      </c>
      <c r="Z195" s="471">
        <f t="shared" si="176"/>
        <v>-24130364</v>
      </c>
      <c r="AA195" s="472">
        <f t="shared" si="176"/>
        <v>15835501719</v>
      </c>
      <c r="AB195" s="379">
        <f t="shared" si="176"/>
        <v>14469604211</v>
      </c>
      <c r="AC195" s="471">
        <f t="shared" si="176"/>
        <v>1365897507</v>
      </c>
      <c r="AD195" s="472">
        <f t="shared" si="176"/>
        <v>15835501718</v>
      </c>
      <c r="AE195" s="379">
        <f t="shared" si="176"/>
        <v>8338297997</v>
      </c>
      <c r="AF195" s="471">
        <f t="shared" si="176"/>
        <v>1006630547</v>
      </c>
      <c r="AG195" s="472">
        <f t="shared" si="176"/>
        <v>9344928544</v>
      </c>
      <c r="AH195" s="379">
        <f t="shared" si="176"/>
        <v>1241505155</v>
      </c>
      <c r="AI195" s="471">
        <f t="shared" si="176"/>
        <v>1241505156</v>
      </c>
      <c r="AJ195" s="380">
        <f t="shared" si="176"/>
        <v>7732078330</v>
      </c>
      <c r="AK195" s="9"/>
      <c r="AL195" s="128">
        <f>AL196</f>
        <v>-451768483</v>
      </c>
      <c r="AM195" s="130">
        <f>AM196</f>
        <v>468867317</v>
      </c>
      <c r="AN195" s="9"/>
      <c r="BQ195" s="461"/>
    </row>
    <row r="196" spans="1:69" s="382" customFormat="1" ht="24.95" customHeight="1">
      <c r="A196" s="752"/>
      <c r="B196" s="661"/>
      <c r="N196" s="9"/>
      <c r="P196" s="9"/>
      <c r="Q196" s="9"/>
      <c r="R196" s="9"/>
      <c r="S196" s="704">
        <f>+IF(NOVIEMBRE!S196=0,"",NOVIEMBRE!S196)</f>
        <v>4100000</v>
      </c>
      <c r="T196" s="680" t="str">
        <f>+IF(NOVIEMBRE!T196=0,"",NOVIEMBRE!T196)</f>
        <v>Insumos y Suministros Hospitalarios</v>
      </c>
      <c r="U196" s="132">
        <f t="shared" ref="U196:AJ196" si="177">U197+U205+U207</f>
        <v>14750406346</v>
      </c>
      <c r="V196" s="122">
        <f t="shared" si="177"/>
        <v>-2076246865</v>
      </c>
      <c r="W196" s="122">
        <f t="shared" si="177"/>
        <v>4402847393</v>
      </c>
      <c r="X196" s="129">
        <f t="shared" si="177"/>
        <v>17077006874</v>
      </c>
      <c r="Y196" s="128">
        <f t="shared" si="177"/>
        <v>15859632083</v>
      </c>
      <c r="Z196" s="122">
        <f t="shared" si="177"/>
        <v>-24130364</v>
      </c>
      <c r="AA196" s="129">
        <f t="shared" si="177"/>
        <v>15835501719</v>
      </c>
      <c r="AB196" s="128">
        <f t="shared" si="177"/>
        <v>14469604211</v>
      </c>
      <c r="AC196" s="122">
        <f t="shared" si="177"/>
        <v>1365897507</v>
      </c>
      <c r="AD196" s="129">
        <f t="shared" si="177"/>
        <v>15835501718</v>
      </c>
      <c r="AE196" s="128">
        <f t="shared" si="177"/>
        <v>8338297997</v>
      </c>
      <c r="AF196" s="122">
        <f t="shared" si="177"/>
        <v>1006630547</v>
      </c>
      <c r="AG196" s="129">
        <f t="shared" si="177"/>
        <v>9344928544</v>
      </c>
      <c r="AH196" s="128">
        <f t="shared" si="177"/>
        <v>1241505155</v>
      </c>
      <c r="AI196" s="122">
        <f t="shared" si="177"/>
        <v>1241505156</v>
      </c>
      <c r="AJ196" s="130">
        <f t="shared" si="177"/>
        <v>7732078330</v>
      </c>
      <c r="AK196" s="10"/>
      <c r="AL196" s="128">
        <f>AL197+AL205+AL207</f>
        <v>-451768483</v>
      </c>
      <c r="AM196" s="130">
        <f>AM197+AM205+AM207</f>
        <v>468867317</v>
      </c>
      <c r="AN196" s="9"/>
      <c r="BQ196" s="461"/>
    </row>
    <row r="197" spans="1:69" s="382" customFormat="1" ht="24.95" customHeight="1">
      <c r="A197" s="752"/>
      <c r="B197" s="661"/>
      <c r="N197" s="9"/>
      <c r="P197" s="9"/>
      <c r="Q197" s="9"/>
      <c r="R197" s="9"/>
      <c r="S197" s="705">
        <f>+IF(NOVIEMBRE!S197=0,"",NOVIEMBRE!S197)</f>
        <v>4100100</v>
      </c>
      <c r="T197" s="681" t="str">
        <f>+IF(NOVIEMBRE!T197=0,"",NOVIEMBRE!T197)</f>
        <v>Compra de Bienes para la Prestacion de servicios</v>
      </c>
      <c r="U197" s="27">
        <f t="shared" ref="U197:AJ197" si="178">SUM(U198:U204)</f>
        <v>13250406346</v>
      </c>
      <c r="V197" s="15">
        <f t="shared" si="178"/>
        <v>-1713458000</v>
      </c>
      <c r="W197" s="15">
        <f t="shared" si="178"/>
        <v>125236928</v>
      </c>
      <c r="X197" s="18">
        <f t="shared" si="178"/>
        <v>11662185274</v>
      </c>
      <c r="Y197" s="19">
        <f t="shared" si="178"/>
        <v>10749216317</v>
      </c>
      <c r="Z197" s="142">
        <f t="shared" si="178"/>
        <v>-122830897</v>
      </c>
      <c r="AA197" s="18">
        <f t="shared" si="178"/>
        <v>10626385420</v>
      </c>
      <c r="AB197" s="19">
        <f t="shared" si="178"/>
        <v>9604801418</v>
      </c>
      <c r="AC197" s="142">
        <f t="shared" si="178"/>
        <v>1021584001</v>
      </c>
      <c r="AD197" s="18">
        <f t="shared" si="178"/>
        <v>10626385419</v>
      </c>
      <c r="AE197" s="19">
        <f t="shared" si="178"/>
        <v>4617935739</v>
      </c>
      <c r="AF197" s="142">
        <f t="shared" si="178"/>
        <v>784274767</v>
      </c>
      <c r="AG197" s="18">
        <f t="shared" si="178"/>
        <v>5402210506</v>
      </c>
      <c r="AH197" s="19">
        <f t="shared" si="178"/>
        <v>1035799854</v>
      </c>
      <c r="AI197" s="15">
        <f t="shared" si="178"/>
        <v>1035799855</v>
      </c>
      <c r="AJ197" s="16">
        <f t="shared" si="178"/>
        <v>6259974768</v>
      </c>
      <c r="AK197" s="9"/>
      <c r="AL197" s="29">
        <f>SUM(AL198:AL204)</f>
        <v>100000000</v>
      </c>
      <c r="AM197" s="26">
        <f>SUM(AM198:AM204)</f>
        <v>0</v>
      </c>
      <c r="AN197" s="9"/>
      <c r="BQ197" s="461"/>
    </row>
    <row r="198" spans="1:69" s="382" customFormat="1" ht="24.95" customHeight="1">
      <c r="A198" s="752"/>
      <c r="B198" s="661"/>
      <c r="N198" s="9"/>
      <c r="P198" s="9"/>
      <c r="Q198" s="9"/>
      <c r="R198" s="9"/>
      <c r="S198" s="706" t="str">
        <f>+IF(NOVIEMBRE!S198=0,"",NOVIEMBRE!S198)</f>
        <v>4100100-1</v>
      </c>
      <c r="T198" s="682" t="str">
        <f>+IF(NOVIEMBRE!T198=0,"",NOVIEMBRE!T198)</f>
        <v>Productos Farmaceuticos</v>
      </c>
      <c r="U198" s="27">
        <f>+ENERO!U198</f>
        <v>6473158346</v>
      </c>
      <c r="V198" s="15">
        <f>NOVIEMBRE!V198+DICIEMBRE!AL198</f>
        <v>-2053458000</v>
      </c>
      <c r="W198" s="15">
        <f>NOVIEMBRE!W198+DICIEMBRE!AM198</f>
        <v>0</v>
      </c>
      <c r="X198" s="18">
        <f t="shared" ref="X198:X204" si="179">SUM(U198:W198)</f>
        <v>4419700346</v>
      </c>
      <c r="Y198" s="19">
        <f>NOVIEMBRE!AA198</f>
        <v>4063162639</v>
      </c>
      <c r="Z198" s="374">
        <v>-128230101</v>
      </c>
      <c r="AA198" s="18">
        <f t="shared" ref="AA198:AA204" si="180">SUM(Y198:Z198)</f>
        <v>3934932538</v>
      </c>
      <c r="AB198" s="19">
        <f>NOVIEMBRE!AD198</f>
        <v>3489156007</v>
      </c>
      <c r="AC198" s="374">
        <v>445776531</v>
      </c>
      <c r="AD198" s="18">
        <f t="shared" ref="AD198:AD204" si="181">SUM(AB198:AC198)</f>
        <v>3934932538</v>
      </c>
      <c r="AE198" s="19">
        <f>NOVIEMBRE!AG198</f>
        <v>1856757802</v>
      </c>
      <c r="AF198" s="374">
        <v>338005132</v>
      </c>
      <c r="AG198" s="18">
        <f t="shared" ref="AG198:AG204" si="182">SUM(AE198:AF198)</f>
        <v>2194762934</v>
      </c>
      <c r="AH198" s="19">
        <f t="shared" ref="AH198:AH204" si="183">X198-AA198</f>
        <v>484767808</v>
      </c>
      <c r="AI198" s="15">
        <f t="shared" ref="AI198:AI204" si="184">X198-AD198</f>
        <v>484767808</v>
      </c>
      <c r="AJ198" s="16">
        <f t="shared" ref="AJ198:AJ204" si="185">X198-AG198</f>
        <v>2224937412</v>
      </c>
      <c r="AK198" s="9"/>
      <c r="AL198" s="372">
        <v>-90000000</v>
      </c>
      <c r="AM198" s="375">
        <v>0</v>
      </c>
      <c r="AN198" s="9"/>
      <c r="BQ198" s="461"/>
    </row>
    <row r="199" spans="1:69" s="382" customFormat="1" ht="24.95" customHeight="1">
      <c r="A199" s="752"/>
      <c r="B199" s="661"/>
      <c r="N199" s="9"/>
      <c r="P199" s="9"/>
      <c r="Q199" s="9"/>
      <c r="R199" s="9"/>
      <c r="S199" s="706" t="str">
        <f>+IF(NOVIEMBRE!S199=0,"",NOVIEMBRE!S199)</f>
        <v>4100100-2</v>
      </c>
      <c r="T199" s="682" t="str">
        <f>+IF(NOVIEMBRE!T199=0,"",NOVIEMBRE!T199)</f>
        <v>Material Médico Quirúrgico</v>
      </c>
      <c r="U199" s="27">
        <f>+ENERO!U199</f>
        <v>4177248000</v>
      </c>
      <c r="V199" s="15">
        <f>NOVIEMBRE!V199+DICIEMBRE!AL199</f>
        <v>360000000</v>
      </c>
      <c r="W199" s="15">
        <f>NOVIEMBRE!W199+DICIEMBRE!AM199</f>
        <v>125236928</v>
      </c>
      <c r="X199" s="18">
        <f t="shared" si="179"/>
        <v>4662484928</v>
      </c>
      <c r="Y199" s="19">
        <f>NOVIEMBRE!AA199</f>
        <v>4319288868</v>
      </c>
      <c r="Z199" s="374">
        <v>215975483</v>
      </c>
      <c r="AA199" s="18">
        <f t="shared" si="180"/>
        <v>4535264351</v>
      </c>
      <c r="AB199" s="19">
        <f>NOVIEMBRE!AD199</f>
        <v>4140822494</v>
      </c>
      <c r="AC199" s="374">
        <v>394441856</v>
      </c>
      <c r="AD199" s="18">
        <f t="shared" si="181"/>
        <v>4535264350</v>
      </c>
      <c r="AE199" s="19">
        <f>NOVIEMBRE!AG199</f>
        <v>1902138539</v>
      </c>
      <c r="AF199" s="374">
        <v>340570286</v>
      </c>
      <c r="AG199" s="18">
        <f t="shared" si="182"/>
        <v>2242708825</v>
      </c>
      <c r="AH199" s="19">
        <f t="shared" si="183"/>
        <v>127220577</v>
      </c>
      <c r="AI199" s="15">
        <f t="shared" si="184"/>
        <v>127220578</v>
      </c>
      <c r="AJ199" s="16">
        <f t="shared" si="185"/>
        <v>2419776103</v>
      </c>
      <c r="AK199" s="9"/>
      <c r="AL199" s="372">
        <v>210000000</v>
      </c>
      <c r="AM199" s="375">
        <v>0</v>
      </c>
      <c r="AN199" s="9"/>
      <c r="BQ199" s="461"/>
    </row>
    <row r="200" spans="1:69" s="382" customFormat="1" ht="24.95" customHeight="1">
      <c r="A200" s="752"/>
      <c r="B200" s="661"/>
      <c r="N200" s="9"/>
      <c r="P200" s="9"/>
      <c r="Q200" s="9"/>
      <c r="R200" s="9"/>
      <c r="S200" s="706" t="str">
        <f>+IF(NOVIEMBRE!S200=0,"",NOVIEMBRE!S200)</f>
        <v>4100100-3</v>
      </c>
      <c r="T200" s="682" t="str">
        <f>+IF(NOVIEMBRE!T200=0,"",NOVIEMBRE!T200)</f>
        <v>Material de Laboratorio</v>
      </c>
      <c r="U200" s="27">
        <f>+ENERO!U200</f>
        <v>1300000000</v>
      </c>
      <c r="V200" s="15">
        <f>NOVIEMBRE!V200+DICIEMBRE!AL200</f>
        <v>640000000</v>
      </c>
      <c r="W200" s="15">
        <f>NOVIEMBRE!W200+DICIEMBRE!AM200</f>
        <v>0</v>
      </c>
      <c r="X200" s="18">
        <f t="shared" si="179"/>
        <v>1940000000</v>
      </c>
      <c r="Y200" s="19">
        <f>NOVIEMBRE!AA200</f>
        <v>1797747086</v>
      </c>
      <c r="Z200" s="374">
        <v>-137525728</v>
      </c>
      <c r="AA200" s="18">
        <f t="shared" si="180"/>
        <v>1660221358</v>
      </c>
      <c r="AB200" s="19">
        <f>NOVIEMBRE!AD200</f>
        <v>1517262932</v>
      </c>
      <c r="AC200" s="374">
        <v>142958426</v>
      </c>
      <c r="AD200" s="18">
        <f t="shared" si="181"/>
        <v>1660221358</v>
      </c>
      <c r="AE200" s="19">
        <f>NOVIEMBRE!AG200</f>
        <v>584004749</v>
      </c>
      <c r="AF200" s="374">
        <v>60451790</v>
      </c>
      <c r="AG200" s="18">
        <f t="shared" si="182"/>
        <v>644456539</v>
      </c>
      <c r="AH200" s="19">
        <f t="shared" si="183"/>
        <v>279778642</v>
      </c>
      <c r="AI200" s="15">
        <f t="shared" si="184"/>
        <v>279778642</v>
      </c>
      <c r="AJ200" s="16">
        <f t="shared" si="185"/>
        <v>1295543461</v>
      </c>
      <c r="AK200" s="9"/>
      <c r="AL200" s="372">
        <v>40000000</v>
      </c>
      <c r="AM200" s="375">
        <v>0</v>
      </c>
      <c r="AN200" s="9"/>
      <c r="BQ200" s="461"/>
    </row>
    <row r="201" spans="1:69" s="382" customFormat="1" ht="24.95" customHeight="1">
      <c r="A201" s="752"/>
      <c r="B201" s="661"/>
      <c r="N201" s="9"/>
      <c r="P201" s="9"/>
      <c r="Q201" s="9"/>
      <c r="R201" s="9"/>
      <c r="S201" s="706" t="str">
        <f>+IF(NOVIEMBRE!S201=0,"",NOVIEMBRE!S201)</f>
        <v>4100100-4</v>
      </c>
      <c r="T201" s="682" t="str">
        <f>+IF(NOVIEMBRE!T201=0,"",NOVIEMBRE!T201)</f>
        <v>Material para Odontologia</v>
      </c>
      <c r="U201" s="27">
        <f>+ENERO!U201</f>
        <v>0</v>
      </c>
      <c r="V201" s="15">
        <f>NOVIEMBRE!V201+DICIEMBRE!AL201</f>
        <v>0</v>
      </c>
      <c r="W201" s="15">
        <f>NOVIEMBRE!W201+DICIEMBRE!AM201</f>
        <v>0</v>
      </c>
      <c r="X201" s="18">
        <f t="shared" si="179"/>
        <v>0</v>
      </c>
      <c r="Y201" s="19">
        <f>NOVIEMBRE!AA201</f>
        <v>0</v>
      </c>
      <c r="Z201" s="374">
        <v>0</v>
      </c>
      <c r="AA201" s="18">
        <f t="shared" si="180"/>
        <v>0</v>
      </c>
      <c r="AB201" s="19">
        <f>NOVIEMBRE!AD201</f>
        <v>0</v>
      </c>
      <c r="AC201" s="374">
        <v>0</v>
      </c>
      <c r="AD201" s="18">
        <f t="shared" si="181"/>
        <v>0</v>
      </c>
      <c r="AE201" s="19">
        <f>NOVIEMBRE!AG201</f>
        <v>0</v>
      </c>
      <c r="AF201" s="374">
        <v>0</v>
      </c>
      <c r="AG201" s="18">
        <f t="shared" si="182"/>
        <v>0</v>
      </c>
      <c r="AH201" s="19">
        <f t="shared" si="183"/>
        <v>0</v>
      </c>
      <c r="AI201" s="15">
        <f t="shared" si="184"/>
        <v>0</v>
      </c>
      <c r="AJ201" s="16">
        <f t="shared" si="185"/>
        <v>0</v>
      </c>
      <c r="AK201" s="9"/>
      <c r="AL201" s="372">
        <v>0</v>
      </c>
      <c r="AM201" s="375">
        <v>0</v>
      </c>
      <c r="AN201" s="9"/>
      <c r="BQ201" s="461"/>
    </row>
    <row r="202" spans="1:69" s="382" customFormat="1" ht="24.95" customHeight="1">
      <c r="A202" s="752"/>
      <c r="B202" s="661"/>
      <c r="N202" s="9"/>
      <c r="P202" s="9"/>
      <c r="Q202" s="9"/>
      <c r="R202" s="9"/>
      <c r="S202" s="706" t="str">
        <f>+IF(NOVIEMBRE!S202=0,"",NOVIEMBRE!S202)</f>
        <v>4100100-5</v>
      </c>
      <c r="T202" s="682" t="str">
        <f>+IF(NOVIEMBRE!T202=0,"",NOVIEMBRE!T202)</f>
        <v>Material para Rayos X</v>
      </c>
      <c r="U202" s="27">
        <f>+ENERO!U202</f>
        <v>1300000000</v>
      </c>
      <c r="V202" s="15">
        <f>NOVIEMBRE!V202+DICIEMBRE!AL202</f>
        <v>-660000000</v>
      </c>
      <c r="W202" s="15">
        <f>NOVIEMBRE!W202+DICIEMBRE!AM202</f>
        <v>0</v>
      </c>
      <c r="X202" s="18">
        <f t="shared" si="179"/>
        <v>640000000</v>
      </c>
      <c r="Y202" s="19">
        <f>NOVIEMBRE!AA202</f>
        <v>569017724</v>
      </c>
      <c r="Z202" s="374">
        <v>-73050551</v>
      </c>
      <c r="AA202" s="18">
        <f t="shared" si="180"/>
        <v>495967173</v>
      </c>
      <c r="AB202" s="19">
        <f>NOVIEMBRE!AD202</f>
        <v>457559985</v>
      </c>
      <c r="AC202" s="374">
        <v>38407188</v>
      </c>
      <c r="AD202" s="18">
        <f t="shared" si="181"/>
        <v>495967173</v>
      </c>
      <c r="AE202" s="19">
        <f>NOVIEMBRE!AG202</f>
        <v>275034649</v>
      </c>
      <c r="AF202" s="374">
        <v>45247559</v>
      </c>
      <c r="AG202" s="18">
        <f t="shared" si="182"/>
        <v>320282208</v>
      </c>
      <c r="AH202" s="19">
        <f t="shared" si="183"/>
        <v>144032827</v>
      </c>
      <c r="AI202" s="15">
        <f t="shared" si="184"/>
        <v>144032827</v>
      </c>
      <c r="AJ202" s="16">
        <f t="shared" si="185"/>
        <v>319717792</v>
      </c>
      <c r="AK202" s="9"/>
      <c r="AL202" s="372">
        <v>-60000000</v>
      </c>
      <c r="AM202" s="375">
        <v>0</v>
      </c>
      <c r="AN202" s="9"/>
      <c r="BQ202" s="461"/>
    </row>
    <row r="203" spans="1:69" s="382" customFormat="1" ht="24.95" customHeight="1">
      <c r="A203" s="752"/>
      <c r="B203" s="661"/>
      <c r="N203" s="9"/>
      <c r="P203" s="9"/>
      <c r="Q203" s="9"/>
      <c r="R203" s="9"/>
      <c r="S203" s="706" t="str">
        <f>+IF(NOVIEMBRE!S203=0,"",NOVIEMBRE!S203)</f>
        <v/>
      </c>
      <c r="T203" s="682" t="str">
        <f>+IF(NOVIEMBRE!T203=0,"",NOVIEMBRE!T203)</f>
        <v/>
      </c>
      <c r="U203" s="27">
        <f>+ENERO!U203</f>
        <v>0</v>
      </c>
      <c r="V203" s="15">
        <f>NOVIEMBRE!V203+DICIEMBRE!AL203</f>
        <v>0</v>
      </c>
      <c r="W203" s="15">
        <f>NOVIEMBRE!W203+DICIEMBRE!AM203</f>
        <v>0</v>
      </c>
      <c r="X203" s="18">
        <f t="shared" si="179"/>
        <v>0</v>
      </c>
      <c r="Y203" s="19">
        <f>NOVIEMBRE!AA203</f>
        <v>0</v>
      </c>
      <c r="Z203" s="374">
        <v>0</v>
      </c>
      <c r="AA203" s="18">
        <f t="shared" si="180"/>
        <v>0</v>
      </c>
      <c r="AB203" s="19">
        <f>NOVIEMBRE!AD203</f>
        <v>0</v>
      </c>
      <c r="AC203" s="374">
        <v>0</v>
      </c>
      <c r="AD203" s="18">
        <f t="shared" si="181"/>
        <v>0</v>
      </c>
      <c r="AE203" s="19">
        <f>NOVIEMBRE!AG203</f>
        <v>0</v>
      </c>
      <c r="AF203" s="374">
        <v>0</v>
      </c>
      <c r="AG203" s="18">
        <f t="shared" si="182"/>
        <v>0</v>
      </c>
      <c r="AH203" s="19">
        <f t="shared" si="183"/>
        <v>0</v>
      </c>
      <c r="AI203" s="15">
        <f t="shared" si="184"/>
        <v>0</v>
      </c>
      <c r="AJ203" s="16">
        <f t="shared" si="185"/>
        <v>0</v>
      </c>
      <c r="AK203" s="9"/>
      <c r="AL203" s="372">
        <v>0</v>
      </c>
      <c r="AM203" s="375">
        <v>0</v>
      </c>
      <c r="AN203" s="9"/>
      <c r="BQ203" s="461"/>
    </row>
    <row r="204" spans="1:69" s="382" customFormat="1" ht="24.95" customHeight="1">
      <c r="A204" s="752"/>
      <c r="B204" s="661"/>
      <c r="N204" s="9"/>
      <c r="P204" s="9"/>
      <c r="Q204" s="9"/>
      <c r="R204" s="9"/>
      <c r="S204" s="706" t="str">
        <f>+IF(NOVIEMBRE!S204=0,"",NOVIEMBRE!S204)</f>
        <v/>
      </c>
      <c r="T204" s="682" t="str">
        <f>+IF(NOVIEMBRE!T204=0,"",NOVIEMBRE!T204)</f>
        <v/>
      </c>
      <c r="U204" s="27">
        <f>+ENERO!U204</f>
        <v>0</v>
      </c>
      <c r="V204" s="15">
        <f>NOVIEMBRE!V204+DICIEMBRE!AL204</f>
        <v>0</v>
      </c>
      <c r="W204" s="15">
        <f>NOVIEMBRE!W204+DICIEMBRE!AM204</f>
        <v>0</v>
      </c>
      <c r="X204" s="18">
        <f t="shared" si="179"/>
        <v>0</v>
      </c>
      <c r="Y204" s="19">
        <f>NOVIEMBRE!AA204</f>
        <v>0</v>
      </c>
      <c r="Z204" s="374">
        <v>0</v>
      </c>
      <c r="AA204" s="18">
        <f t="shared" si="180"/>
        <v>0</v>
      </c>
      <c r="AB204" s="19">
        <f>NOVIEMBRE!AD204</f>
        <v>0</v>
      </c>
      <c r="AC204" s="374">
        <v>0</v>
      </c>
      <c r="AD204" s="18">
        <f t="shared" si="181"/>
        <v>0</v>
      </c>
      <c r="AE204" s="19">
        <f>NOVIEMBRE!AG204</f>
        <v>0</v>
      </c>
      <c r="AF204" s="374">
        <v>0</v>
      </c>
      <c r="AG204" s="18">
        <f t="shared" si="182"/>
        <v>0</v>
      </c>
      <c r="AH204" s="19">
        <f t="shared" si="183"/>
        <v>0</v>
      </c>
      <c r="AI204" s="15">
        <f t="shared" si="184"/>
        <v>0</v>
      </c>
      <c r="AJ204" s="16">
        <f t="shared" si="185"/>
        <v>0</v>
      </c>
      <c r="AK204" s="9"/>
      <c r="AL204" s="372">
        <v>0</v>
      </c>
      <c r="AM204" s="375">
        <v>0</v>
      </c>
      <c r="AN204" s="9"/>
      <c r="BQ204" s="461"/>
    </row>
    <row r="205" spans="1:69" s="382" customFormat="1" ht="24.95" customHeight="1">
      <c r="A205" s="752"/>
      <c r="B205" s="661"/>
      <c r="N205" s="9"/>
      <c r="P205" s="9"/>
      <c r="Q205" s="9"/>
      <c r="R205" s="9"/>
      <c r="S205" s="705">
        <f>+IF(NOVIEMBRE!S205=0,"",NOVIEMBRE!S205)</f>
        <v>4100200</v>
      </c>
      <c r="T205" s="681" t="str">
        <f>+IF(NOVIEMBRE!T205=0,"",NOVIEMBRE!T205)</f>
        <v>Gastos Complementarios e Intermedios</v>
      </c>
      <c r="U205" s="27">
        <f t="shared" ref="U205:AJ205" si="186">U206</f>
        <v>1500000000</v>
      </c>
      <c r="V205" s="15">
        <f t="shared" si="186"/>
        <v>-100000000</v>
      </c>
      <c r="W205" s="15">
        <f t="shared" si="186"/>
        <v>343424341</v>
      </c>
      <c r="X205" s="18">
        <f t="shared" si="186"/>
        <v>1743424341</v>
      </c>
      <c r="Y205" s="19">
        <f t="shared" si="186"/>
        <v>1619765820</v>
      </c>
      <c r="Z205" s="142">
        <f t="shared" si="186"/>
        <v>-82046780</v>
      </c>
      <c r="AA205" s="18">
        <f t="shared" si="186"/>
        <v>1537719040</v>
      </c>
      <c r="AB205" s="19">
        <f t="shared" si="186"/>
        <v>1374152847</v>
      </c>
      <c r="AC205" s="142">
        <f t="shared" si="186"/>
        <v>163566193</v>
      </c>
      <c r="AD205" s="18">
        <f t="shared" si="186"/>
        <v>1537719040</v>
      </c>
      <c r="AE205" s="19">
        <f t="shared" si="186"/>
        <v>229712312</v>
      </c>
      <c r="AF205" s="142">
        <f t="shared" si="186"/>
        <v>41608467</v>
      </c>
      <c r="AG205" s="18">
        <f t="shared" si="186"/>
        <v>271320779</v>
      </c>
      <c r="AH205" s="19">
        <f t="shared" si="186"/>
        <v>205705301</v>
      </c>
      <c r="AI205" s="15">
        <f t="shared" si="186"/>
        <v>205705301</v>
      </c>
      <c r="AJ205" s="16">
        <f t="shared" si="186"/>
        <v>1472103562</v>
      </c>
      <c r="AK205" s="9"/>
      <c r="AL205" s="29">
        <f>AL206</f>
        <v>-100000000</v>
      </c>
      <c r="AM205" s="26">
        <f>AM206</f>
        <v>0</v>
      </c>
      <c r="AN205" s="9"/>
      <c r="BQ205" s="461"/>
    </row>
    <row r="206" spans="1:69" s="382" customFormat="1" ht="24.95" customHeight="1">
      <c r="A206" s="752"/>
      <c r="B206" s="661"/>
      <c r="N206" s="9"/>
      <c r="P206" s="9"/>
      <c r="Q206" s="9"/>
      <c r="R206" s="9"/>
      <c r="S206" s="706" t="str">
        <f>+IF(NOVIEMBRE!S206=0,"",NOVIEMBRE!S206)</f>
        <v>4100200-1</v>
      </c>
      <c r="T206" s="682" t="str">
        <f>+IF(NOVIEMBRE!T206=0,"",NOVIEMBRE!T206)</f>
        <v>Alimentación</v>
      </c>
      <c r="U206" s="27">
        <f>+ENERO!U206</f>
        <v>1500000000</v>
      </c>
      <c r="V206" s="15">
        <f>NOVIEMBRE!V206+DICIEMBRE!AL206</f>
        <v>-100000000</v>
      </c>
      <c r="W206" s="15">
        <f>NOVIEMBRE!W206+DICIEMBRE!AM206</f>
        <v>343424341</v>
      </c>
      <c r="X206" s="18">
        <f>SUM(U206:W206)</f>
        <v>1743424341</v>
      </c>
      <c r="Y206" s="19">
        <f>NOVIEMBRE!AA206</f>
        <v>1619765820</v>
      </c>
      <c r="Z206" s="374">
        <v>-82046780</v>
      </c>
      <c r="AA206" s="18">
        <f>SUM(Y206:Z206)</f>
        <v>1537719040</v>
      </c>
      <c r="AB206" s="19">
        <f>NOVIEMBRE!AD206</f>
        <v>1374152847</v>
      </c>
      <c r="AC206" s="374">
        <v>163566193</v>
      </c>
      <c r="AD206" s="18">
        <f>SUM(AB206:AC206)</f>
        <v>1537719040</v>
      </c>
      <c r="AE206" s="19">
        <f>NOVIEMBRE!AG206</f>
        <v>229712312</v>
      </c>
      <c r="AF206" s="374">
        <v>41608467</v>
      </c>
      <c r="AG206" s="18">
        <f>SUM(AE206:AF206)</f>
        <v>271320779</v>
      </c>
      <c r="AH206" s="19">
        <f>X206-AA206</f>
        <v>205705301</v>
      </c>
      <c r="AI206" s="15">
        <f>X206-AD206</f>
        <v>205705301</v>
      </c>
      <c r="AJ206" s="16">
        <f>X206-AG206</f>
        <v>1472103562</v>
      </c>
      <c r="AK206" s="9"/>
      <c r="AL206" s="372">
        <v>-100000000</v>
      </c>
      <c r="AM206" s="375">
        <v>0</v>
      </c>
      <c r="AN206" s="9"/>
      <c r="BQ206" s="461"/>
    </row>
    <row r="207" spans="1:69" s="382" customFormat="1" ht="24.95" customHeight="1" thickBot="1">
      <c r="A207" s="752"/>
      <c r="B207" s="661"/>
      <c r="N207" s="9"/>
      <c r="P207" s="9"/>
      <c r="Q207" s="9"/>
      <c r="R207" s="9"/>
      <c r="S207" s="710">
        <f>+IF(NOVIEMBRE!S207=0,"",NOVIEMBRE!S207)</f>
        <v>4199999</v>
      </c>
      <c r="T207" s="687" t="str">
        <f>+IF(NOVIEMBRE!T207=0,"",NOVIEMBRE!T207)</f>
        <v>Vigencias Anteriores</v>
      </c>
      <c r="U207" s="133">
        <f>+ENERO!U207</f>
        <v>0</v>
      </c>
      <c r="V207" s="121">
        <f>NOVIEMBRE!V207+DICIEMBRE!AL207</f>
        <v>-262788865</v>
      </c>
      <c r="W207" s="121">
        <f>NOVIEMBRE!W207+DICIEMBRE!AM207</f>
        <v>3934186124</v>
      </c>
      <c r="X207" s="126">
        <f>SUM(U207:W207)</f>
        <v>3671397259</v>
      </c>
      <c r="Y207" s="124">
        <f>NOVIEMBRE!AA207</f>
        <v>3490649946</v>
      </c>
      <c r="Z207" s="388">
        <v>180747313</v>
      </c>
      <c r="AA207" s="126">
        <f>SUM(Y207:Z207)</f>
        <v>3671397259</v>
      </c>
      <c r="AB207" s="124">
        <f>NOVIEMBRE!AD207</f>
        <v>3490649946</v>
      </c>
      <c r="AC207" s="388">
        <v>180747313</v>
      </c>
      <c r="AD207" s="126">
        <f>SUM(AB207:AC207)</f>
        <v>3671397259</v>
      </c>
      <c r="AE207" s="124">
        <f>NOVIEMBRE!AG207</f>
        <v>3490649946</v>
      </c>
      <c r="AF207" s="2911">
        <v>180747313</v>
      </c>
      <c r="AG207" s="126">
        <f>SUM(AE207:AF207)</f>
        <v>3671397259</v>
      </c>
      <c r="AH207" s="124">
        <f>X207-AA207</f>
        <v>0</v>
      </c>
      <c r="AI207" s="121">
        <f>X207-AD207</f>
        <v>0</v>
      </c>
      <c r="AJ207" s="125">
        <f>X207-AG207</f>
        <v>0</v>
      </c>
      <c r="AK207" s="9"/>
      <c r="AL207" s="384">
        <v>-451768483</v>
      </c>
      <c r="AM207" s="389">
        <v>468867317</v>
      </c>
      <c r="AN207" s="9"/>
      <c r="BQ207" s="461"/>
    </row>
    <row r="208" spans="1:69" s="382" customFormat="1" ht="24.95" customHeight="1">
      <c r="A208" s="752"/>
      <c r="B208" s="661"/>
      <c r="N208" s="9"/>
      <c r="P208" s="9"/>
      <c r="Q208" s="9"/>
      <c r="R208" s="9"/>
      <c r="S208" s="489" t="str">
        <f>+IF(NOVIEMBRE!S208=0,"",NOVIEMBRE!S208)</f>
        <v/>
      </c>
      <c r="T208" s="688"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c r="BQ208" s="461"/>
    </row>
    <row r="209" spans="1:69" s="382" customFormat="1" ht="24.95" customHeight="1">
      <c r="A209" s="752"/>
      <c r="B209" s="661"/>
      <c r="N209" s="9"/>
      <c r="P209" s="9"/>
      <c r="Q209" s="9"/>
      <c r="R209" s="9"/>
      <c r="S209" s="703">
        <f>+IF(NOVIEMBRE!S209=0,"",NOVIEMBRE!S209)</f>
        <v>5000000</v>
      </c>
      <c r="T209" s="685" t="s">
        <v>450</v>
      </c>
      <c r="U209" s="470">
        <f t="shared" ref="U209:AJ209" si="187">U210</f>
        <v>0</v>
      </c>
      <c r="V209" s="471">
        <f t="shared" si="187"/>
        <v>0</v>
      </c>
      <c r="W209" s="471">
        <f t="shared" si="187"/>
        <v>0</v>
      </c>
      <c r="X209" s="472">
        <f t="shared" si="187"/>
        <v>0</v>
      </c>
      <c r="Y209" s="379">
        <f t="shared" si="187"/>
        <v>0</v>
      </c>
      <c r="Z209" s="471">
        <f t="shared" si="187"/>
        <v>0</v>
      </c>
      <c r="AA209" s="472">
        <f t="shared" si="187"/>
        <v>0</v>
      </c>
      <c r="AB209" s="379">
        <f t="shared" si="187"/>
        <v>0</v>
      </c>
      <c r="AC209" s="471">
        <f t="shared" si="187"/>
        <v>0</v>
      </c>
      <c r="AD209" s="472">
        <f t="shared" si="187"/>
        <v>0</v>
      </c>
      <c r="AE209" s="379">
        <f t="shared" si="187"/>
        <v>0</v>
      </c>
      <c r="AF209" s="471">
        <f t="shared" si="187"/>
        <v>0</v>
      </c>
      <c r="AG209" s="472">
        <f t="shared" si="187"/>
        <v>0</v>
      </c>
      <c r="AH209" s="379">
        <f t="shared" si="187"/>
        <v>0</v>
      </c>
      <c r="AI209" s="471">
        <f t="shared" si="187"/>
        <v>0</v>
      </c>
      <c r="AJ209" s="380">
        <f t="shared" si="187"/>
        <v>0</v>
      </c>
      <c r="AK209" s="9"/>
      <c r="AL209" s="128">
        <f>AL210</f>
        <v>0</v>
      </c>
      <c r="AM209" s="130">
        <f>AM210</f>
        <v>0</v>
      </c>
      <c r="AN209" s="9"/>
      <c r="BQ209" s="461"/>
    </row>
    <row r="210" spans="1:69" s="382" customFormat="1" ht="24.95" customHeight="1">
      <c r="A210" s="752"/>
      <c r="B210" s="661"/>
      <c r="N210" s="9"/>
      <c r="P210" s="9"/>
      <c r="Q210" s="9"/>
      <c r="R210" s="9"/>
      <c r="S210" s="704">
        <f>+IF(NOVIEMBRE!S210=0,"",NOVIEMBRE!S210)</f>
        <v>5100000</v>
      </c>
      <c r="T210" s="680" t="str">
        <f>+IF(NOVIEMBRE!T210=0,"",NOVIEMBRE!T210)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c r="BQ210" s="461"/>
    </row>
    <row r="211" spans="1:69" s="382" customFormat="1" ht="24.95" customHeight="1">
      <c r="A211" s="752"/>
      <c r="B211" s="661"/>
      <c r="N211" s="9"/>
      <c r="P211" s="9"/>
      <c r="Q211" s="9"/>
      <c r="R211" s="9"/>
      <c r="S211" s="705">
        <f>+IF(NOVIEMBRE!S211=0,"",NOVIEMBRE!S211)</f>
        <v>5100100</v>
      </c>
      <c r="T211" s="681" t="str">
        <f>+IF(NOVIEMBRE!T211=0,"",NOVIEMBRE!T211)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c r="BQ211" s="461"/>
    </row>
    <row r="212" spans="1:69" s="382" customFormat="1" ht="24.95" customHeight="1">
      <c r="A212" s="752"/>
      <c r="B212" s="661"/>
      <c r="N212" s="9"/>
      <c r="P212" s="9"/>
      <c r="Q212" s="9"/>
      <c r="R212" s="9"/>
      <c r="S212" s="706" t="str">
        <f>+IF(NOVIEMBRE!S212=0,"",NOVIEMBRE!S212)</f>
        <v>5100100-1</v>
      </c>
      <c r="T212" s="682" t="str">
        <f>+IF(NOVIEMBRE!T212=0,"",NOVIEMBRE!T212)</f>
        <v>Productos Farmaceuticos</v>
      </c>
      <c r="U212" s="27">
        <f>+ENERO!U212</f>
        <v>0</v>
      </c>
      <c r="V212" s="15">
        <f>NOVIEMBRE!V212+DICIEMBRE!AL212</f>
        <v>0</v>
      </c>
      <c r="W212" s="15">
        <f>NOVIEMBRE!W212+DICIEMBRE!AM212</f>
        <v>0</v>
      </c>
      <c r="X212" s="18">
        <f t="shared" ref="X212:X218" si="190">SUM(U212:W212)</f>
        <v>0</v>
      </c>
      <c r="Y212" s="19">
        <f>NOVIEMBRE!AA212</f>
        <v>0</v>
      </c>
      <c r="Z212" s="374">
        <v>0</v>
      </c>
      <c r="AA212" s="18">
        <f t="shared" ref="AA212:AA218" si="191">SUM(Y212:Z212)</f>
        <v>0</v>
      </c>
      <c r="AB212" s="19">
        <f>NOVIEMBRE!AD212</f>
        <v>0</v>
      </c>
      <c r="AC212" s="374">
        <v>0</v>
      </c>
      <c r="AD212" s="18">
        <f t="shared" ref="AD212:AD218" si="192">SUM(AB212:AC212)</f>
        <v>0</v>
      </c>
      <c r="AE212" s="19">
        <f>NOVIEMBRE!AG212</f>
        <v>0</v>
      </c>
      <c r="AF212" s="374">
        <v>0</v>
      </c>
      <c r="AG212" s="18">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c r="BQ212" s="461"/>
    </row>
    <row r="213" spans="1:69" s="382" customFormat="1" ht="24.95" customHeight="1">
      <c r="A213" s="752"/>
      <c r="B213" s="661"/>
      <c r="N213" s="9"/>
      <c r="P213" s="9"/>
      <c r="Q213" s="9"/>
      <c r="R213" s="9"/>
      <c r="S213" s="706" t="str">
        <f>+IF(NOVIEMBRE!S213=0,"",NOVIEMBRE!S213)</f>
        <v>5100100-2</v>
      </c>
      <c r="T213" s="682" t="str">
        <f>+IF(NOVIEMBRE!T213=0,"",NOVIEMBRE!T213)</f>
        <v>Material Médico Quirúrgico</v>
      </c>
      <c r="U213" s="27">
        <f>+ENERO!U213</f>
        <v>0</v>
      </c>
      <c r="V213" s="15">
        <f>NOVIEMBRE!V213+DICIEMBRE!AL213</f>
        <v>0</v>
      </c>
      <c r="W213" s="15">
        <f>NOVIEMBRE!W213+DICIEMBRE!AM213</f>
        <v>0</v>
      </c>
      <c r="X213" s="18">
        <f t="shared" si="190"/>
        <v>0</v>
      </c>
      <c r="Y213" s="19">
        <f>NOVIEMBRE!AA213</f>
        <v>0</v>
      </c>
      <c r="Z213" s="374">
        <v>0</v>
      </c>
      <c r="AA213" s="18">
        <f t="shared" si="191"/>
        <v>0</v>
      </c>
      <c r="AB213" s="19">
        <f>NOVIEMBRE!AD213</f>
        <v>0</v>
      </c>
      <c r="AC213" s="374">
        <v>0</v>
      </c>
      <c r="AD213" s="18">
        <f t="shared" si="192"/>
        <v>0</v>
      </c>
      <c r="AE213" s="19">
        <f>NOVIEMBRE!AG213</f>
        <v>0</v>
      </c>
      <c r="AF213" s="374">
        <v>0</v>
      </c>
      <c r="AG213" s="18">
        <f t="shared" si="193"/>
        <v>0</v>
      </c>
      <c r="AH213" s="19">
        <f t="shared" si="194"/>
        <v>0</v>
      </c>
      <c r="AI213" s="15">
        <f t="shared" si="195"/>
        <v>0</v>
      </c>
      <c r="AJ213" s="16">
        <f t="shared" si="196"/>
        <v>0</v>
      </c>
      <c r="AK213" s="9"/>
      <c r="AL213" s="372">
        <v>0</v>
      </c>
      <c r="AM213" s="375">
        <v>0</v>
      </c>
      <c r="AN213" s="9"/>
      <c r="BQ213" s="461"/>
    </row>
    <row r="214" spans="1:69" s="382" customFormat="1" ht="24.95" customHeight="1">
      <c r="A214" s="752"/>
      <c r="B214" s="661"/>
      <c r="N214" s="9"/>
      <c r="P214" s="9"/>
      <c r="Q214" s="9"/>
      <c r="R214" s="9"/>
      <c r="S214" s="706" t="str">
        <f>+IF(NOVIEMBRE!S214=0,"",NOVIEMBRE!S214)</f>
        <v>5100100-3</v>
      </c>
      <c r="T214" s="682" t="str">
        <f>+IF(NOVIEMBRE!T214=0,"",NOVIEMBRE!T214)</f>
        <v>Material de Laboratorio</v>
      </c>
      <c r="U214" s="27">
        <f>+ENERO!U214</f>
        <v>0</v>
      </c>
      <c r="V214" s="15">
        <f>NOVIEMBRE!V214+DICIEMBRE!AL214</f>
        <v>0</v>
      </c>
      <c r="W214" s="15">
        <f>NOVIEMBRE!W214+DICIEMBRE!AM214</f>
        <v>0</v>
      </c>
      <c r="X214" s="18">
        <f t="shared" si="190"/>
        <v>0</v>
      </c>
      <c r="Y214" s="19">
        <f>NOVIEMBRE!AA214</f>
        <v>0</v>
      </c>
      <c r="Z214" s="374">
        <v>0</v>
      </c>
      <c r="AA214" s="18">
        <f t="shared" si="191"/>
        <v>0</v>
      </c>
      <c r="AB214" s="19">
        <f>NOVIEMBRE!AD214</f>
        <v>0</v>
      </c>
      <c r="AC214" s="374">
        <v>0</v>
      </c>
      <c r="AD214" s="18">
        <f t="shared" si="192"/>
        <v>0</v>
      </c>
      <c r="AE214" s="19">
        <f>NOVIEMBRE!AG214</f>
        <v>0</v>
      </c>
      <c r="AF214" s="374">
        <v>0</v>
      </c>
      <c r="AG214" s="18">
        <f t="shared" si="193"/>
        <v>0</v>
      </c>
      <c r="AH214" s="19">
        <f t="shared" si="194"/>
        <v>0</v>
      </c>
      <c r="AI214" s="15">
        <f t="shared" si="195"/>
        <v>0</v>
      </c>
      <c r="AJ214" s="16">
        <f t="shared" si="196"/>
        <v>0</v>
      </c>
      <c r="AK214" s="9"/>
      <c r="AL214" s="372">
        <v>0</v>
      </c>
      <c r="AM214" s="375">
        <v>0</v>
      </c>
      <c r="AN214" s="9"/>
      <c r="BQ214" s="461"/>
    </row>
    <row r="215" spans="1:69" s="382" customFormat="1" ht="24.95" customHeight="1">
      <c r="A215" s="752"/>
      <c r="B215" s="661"/>
      <c r="N215" s="9"/>
      <c r="P215" s="9"/>
      <c r="Q215" s="9"/>
      <c r="R215" s="9"/>
      <c r="S215" s="706" t="str">
        <f>+IF(NOVIEMBRE!S215=0,"",NOVIEMBRE!S215)</f>
        <v>5100100-4</v>
      </c>
      <c r="T215" s="682" t="str">
        <f>+IF(NOVIEMBRE!T215=0,"",NOVIEMBRE!T215)</f>
        <v>Material para Odontologia</v>
      </c>
      <c r="U215" s="27">
        <f>+ENERO!U215</f>
        <v>0</v>
      </c>
      <c r="V215" s="15">
        <f>NOVIEMBRE!V215+DICIEMBRE!AL215</f>
        <v>0</v>
      </c>
      <c r="W215" s="15">
        <f>NOVIEMBRE!W215+DICIEMBRE!AM215</f>
        <v>0</v>
      </c>
      <c r="X215" s="18">
        <f t="shared" si="190"/>
        <v>0</v>
      </c>
      <c r="Y215" s="19">
        <f>NOVIEMBRE!AA215</f>
        <v>0</v>
      </c>
      <c r="Z215" s="374">
        <v>0</v>
      </c>
      <c r="AA215" s="18">
        <f t="shared" si="191"/>
        <v>0</v>
      </c>
      <c r="AB215" s="19">
        <f>NOVIEMBRE!AD215</f>
        <v>0</v>
      </c>
      <c r="AC215" s="374">
        <v>0</v>
      </c>
      <c r="AD215" s="18">
        <f t="shared" si="192"/>
        <v>0</v>
      </c>
      <c r="AE215" s="19">
        <f>NOVIEMBRE!AG215</f>
        <v>0</v>
      </c>
      <c r="AF215" s="374">
        <v>0</v>
      </c>
      <c r="AG215" s="18">
        <f t="shared" si="193"/>
        <v>0</v>
      </c>
      <c r="AH215" s="19">
        <f t="shared" si="194"/>
        <v>0</v>
      </c>
      <c r="AI215" s="15">
        <f t="shared" si="195"/>
        <v>0</v>
      </c>
      <c r="AJ215" s="16">
        <f t="shared" si="196"/>
        <v>0</v>
      </c>
      <c r="AK215" s="9"/>
      <c r="AL215" s="372">
        <v>0</v>
      </c>
      <c r="AM215" s="375">
        <v>0</v>
      </c>
      <c r="AN215" s="9"/>
      <c r="BQ215" s="461"/>
    </row>
    <row r="216" spans="1:69" s="382" customFormat="1" ht="24.95" customHeight="1">
      <c r="A216" s="752"/>
      <c r="B216" s="661"/>
      <c r="N216" s="9"/>
      <c r="P216" s="9"/>
      <c r="Q216" s="9"/>
      <c r="R216" s="9"/>
      <c r="S216" s="706" t="str">
        <f>+IF(NOVIEMBRE!S216=0,"",NOVIEMBRE!S216)</f>
        <v>5100100-5</v>
      </c>
      <c r="T216" s="682" t="str">
        <f>+IF(NOVIEMBRE!T216=0,"",NOVIEMBRE!T216)</f>
        <v>Material para Rayos X</v>
      </c>
      <c r="U216" s="27">
        <f>+ENERO!U216</f>
        <v>0</v>
      </c>
      <c r="V216" s="15">
        <f>NOVIEMBRE!V216+DICIEMBRE!AL216</f>
        <v>0</v>
      </c>
      <c r="W216" s="15">
        <f>NOVIEMBRE!W216+DICIEMBRE!AM216</f>
        <v>0</v>
      </c>
      <c r="X216" s="18">
        <f t="shared" si="190"/>
        <v>0</v>
      </c>
      <c r="Y216" s="19">
        <f>NOVIEMBRE!AA216</f>
        <v>0</v>
      </c>
      <c r="Z216" s="374">
        <v>0</v>
      </c>
      <c r="AA216" s="18">
        <f t="shared" si="191"/>
        <v>0</v>
      </c>
      <c r="AB216" s="19">
        <f>NOVIEMBRE!AD216</f>
        <v>0</v>
      </c>
      <c r="AC216" s="374">
        <v>0</v>
      </c>
      <c r="AD216" s="18">
        <f t="shared" si="192"/>
        <v>0</v>
      </c>
      <c r="AE216" s="19">
        <f>NOVIEMBRE!AG216</f>
        <v>0</v>
      </c>
      <c r="AF216" s="374">
        <v>0</v>
      </c>
      <c r="AG216" s="18">
        <f t="shared" si="193"/>
        <v>0</v>
      </c>
      <c r="AH216" s="19">
        <f t="shared" si="194"/>
        <v>0</v>
      </c>
      <c r="AI216" s="15">
        <f t="shared" si="195"/>
        <v>0</v>
      </c>
      <c r="AJ216" s="16">
        <f t="shared" si="196"/>
        <v>0</v>
      </c>
      <c r="AK216" s="9"/>
      <c r="AL216" s="372">
        <v>0</v>
      </c>
      <c r="AM216" s="375">
        <v>0</v>
      </c>
      <c r="AN216" s="9"/>
      <c r="BQ216" s="461"/>
    </row>
    <row r="217" spans="1:69" s="382" customFormat="1" ht="24.95" customHeight="1">
      <c r="A217" s="752"/>
      <c r="B217" s="661"/>
      <c r="N217" s="9"/>
      <c r="P217" s="9"/>
      <c r="Q217" s="9"/>
      <c r="R217" s="9"/>
      <c r="S217" s="706" t="str">
        <f>+IF(NOVIEMBRE!S217=0,"",NOVIEMBRE!S217)</f>
        <v>5100100-6</v>
      </c>
      <c r="T217" s="682" t="str">
        <f>+IF(NOVIEMBRE!T217=0,"",NOVIEMBRE!T217)</f>
        <v>Material aseo personal, etc.</v>
      </c>
      <c r="U217" s="27">
        <f>+ENERO!U217</f>
        <v>0</v>
      </c>
      <c r="V217" s="15">
        <f>NOVIEMBRE!V217+DICIEMBRE!AL217</f>
        <v>0</v>
      </c>
      <c r="W217" s="15">
        <f>NOVIEMBRE!W217+DICIEMBRE!AM217</f>
        <v>0</v>
      </c>
      <c r="X217" s="18">
        <f t="shared" si="190"/>
        <v>0</v>
      </c>
      <c r="Y217" s="19">
        <f>NOVIEMBRE!AA217</f>
        <v>0</v>
      </c>
      <c r="Z217" s="374">
        <v>0</v>
      </c>
      <c r="AA217" s="18">
        <f t="shared" si="191"/>
        <v>0</v>
      </c>
      <c r="AB217" s="19">
        <f>NOVIEMBRE!AD217</f>
        <v>0</v>
      </c>
      <c r="AC217" s="374">
        <v>0</v>
      </c>
      <c r="AD217" s="18">
        <f t="shared" si="192"/>
        <v>0</v>
      </c>
      <c r="AE217" s="19">
        <f>NOVIEMBRE!AG217</f>
        <v>0</v>
      </c>
      <c r="AF217" s="374">
        <v>0</v>
      </c>
      <c r="AG217" s="18">
        <f t="shared" si="193"/>
        <v>0</v>
      </c>
      <c r="AH217" s="19">
        <f t="shared" si="194"/>
        <v>0</v>
      </c>
      <c r="AI217" s="15">
        <f t="shared" si="195"/>
        <v>0</v>
      </c>
      <c r="AJ217" s="16">
        <f t="shared" si="196"/>
        <v>0</v>
      </c>
      <c r="AK217" s="9"/>
      <c r="AL217" s="372">
        <v>0</v>
      </c>
      <c r="AM217" s="375">
        <v>0</v>
      </c>
      <c r="AN217" s="9"/>
      <c r="BQ217" s="461"/>
    </row>
    <row r="218" spans="1:69" s="382" customFormat="1" ht="24.95" customHeight="1" thickBot="1">
      <c r="A218" s="752"/>
      <c r="B218" s="661"/>
      <c r="N218" s="9"/>
      <c r="P218" s="9"/>
      <c r="Q218" s="9"/>
      <c r="R218" s="9"/>
      <c r="S218" s="717">
        <f>+IF(NOVIEMBRE!S218=0,"",NOVIEMBRE!S218)</f>
        <v>5199999</v>
      </c>
      <c r="T218" s="697" t="str">
        <f>+IF(NOVIEMBRE!T218=0,"",NOVIEMBRE!T218)</f>
        <v>Vigencias Anteriores</v>
      </c>
      <c r="U218" s="133">
        <f>+ENERO!U218</f>
        <v>0</v>
      </c>
      <c r="V218" s="121">
        <f>NOVIEMBRE!V218+DICIEMBRE!AL218</f>
        <v>0</v>
      </c>
      <c r="W218" s="121">
        <f>NOVIEMBRE!W218+DICIEMBRE!AM218</f>
        <v>0</v>
      </c>
      <c r="X218" s="126">
        <f t="shared" si="190"/>
        <v>0</v>
      </c>
      <c r="Y218" s="124">
        <f>NOVIEMBRE!AA218</f>
        <v>0</v>
      </c>
      <c r="Z218" s="388">
        <v>0</v>
      </c>
      <c r="AA218" s="126">
        <f t="shared" si="191"/>
        <v>0</v>
      </c>
      <c r="AB218" s="124">
        <f>NOVIEMBRE!AD218</f>
        <v>0</v>
      </c>
      <c r="AC218" s="388">
        <v>0</v>
      </c>
      <c r="AD218" s="126">
        <f t="shared" si="192"/>
        <v>0</v>
      </c>
      <c r="AE218" s="124">
        <f>NOVIEMBRE!AG218</f>
        <v>0</v>
      </c>
      <c r="AF218" s="388">
        <v>0</v>
      </c>
      <c r="AG218" s="126">
        <f t="shared" si="193"/>
        <v>0</v>
      </c>
      <c r="AH218" s="124">
        <f t="shared" si="194"/>
        <v>0</v>
      </c>
      <c r="AI218" s="121">
        <f t="shared" si="195"/>
        <v>0</v>
      </c>
      <c r="AJ218" s="125">
        <f t="shared" si="196"/>
        <v>0</v>
      </c>
      <c r="AK218" s="9"/>
      <c r="AL218" s="501">
        <v>0</v>
      </c>
      <c r="AM218" s="502">
        <v>0</v>
      </c>
      <c r="AN218" s="9"/>
      <c r="BQ218" s="461"/>
    </row>
    <row r="219" spans="1:69" s="382" customFormat="1" ht="24.95" customHeight="1" thickBot="1">
      <c r="A219" s="752"/>
      <c r="B219" s="661"/>
      <c r="N219" s="9"/>
      <c r="P219" s="9"/>
      <c r="Q219" s="9"/>
      <c r="R219" s="9"/>
      <c r="S219" s="495" t="str">
        <f>+IF(NOVIEMBRE!S219=0,"",NOVIEMBRE!S219)</f>
        <v/>
      </c>
      <c r="T219" s="694"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c r="BQ219" s="461"/>
    </row>
    <row r="220" spans="1:69" s="382" customFormat="1" ht="24.95" customHeight="1">
      <c r="A220" s="752"/>
      <c r="B220" s="661"/>
      <c r="N220" s="9"/>
      <c r="P220" s="9"/>
      <c r="Q220" s="9"/>
      <c r="R220" s="9"/>
      <c r="S220" s="357" t="str">
        <f>+IF(NOVIEMBRE!S220=0,"",NOVIEMBRE!S220)</f>
        <v>C</v>
      </c>
      <c r="T220" s="676" t="str">
        <f>+IF(NOVIEMBRE!T220=0,"",NOVIEMBRE!T220)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c r="BQ220" s="461"/>
    </row>
    <row r="221" spans="1:69" s="382" customFormat="1" ht="24.95" customHeight="1">
      <c r="A221" s="752"/>
      <c r="B221" s="661"/>
      <c r="N221" s="9"/>
      <c r="P221" s="9"/>
      <c r="Q221" s="9"/>
      <c r="R221" s="9"/>
      <c r="S221" s="366" t="str">
        <f>+IF(NOVIEMBRE!S221=0,"",NOVIEMBRE!S221)</f>
        <v/>
      </c>
      <c r="T221" s="695"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61"/>
    </row>
    <row r="222" spans="1:69" s="382" customFormat="1" ht="24.95" customHeight="1">
      <c r="A222" s="752"/>
      <c r="B222" s="661"/>
      <c r="N222" s="9"/>
      <c r="P222" s="9"/>
      <c r="Q222" s="9"/>
      <c r="R222" s="9"/>
      <c r="S222" s="704">
        <f>+IF(NOVIEMBRE!S222=0,"",NOVIEMBRE!S222)</f>
        <v>7001000</v>
      </c>
      <c r="T222" s="680" t="str">
        <f>+IF(NOVIEMBRE!T222=0,"",NOVIEMBRE!T222)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c r="BQ222" s="461"/>
    </row>
    <row r="223" spans="1:69" s="382" customFormat="1" ht="24.95" customHeight="1">
      <c r="A223" s="752"/>
      <c r="B223" s="661"/>
      <c r="N223" s="9"/>
      <c r="P223" s="9"/>
      <c r="Q223" s="9"/>
      <c r="R223" s="9"/>
      <c r="S223" s="705">
        <f>+IF(NOVIEMBRE!S223=0,"",NOVIEMBRE!S223)</f>
        <v>7001100</v>
      </c>
      <c r="T223" s="681"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74">
        <v>0</v>
      </c>
      <c r="AA223" s="18">
        <f>SUM(Y223:Z223)</f>
        <v>0</v>
      </c>
      <c r="AB223" s="19">
        <f>NOVIEMBRE!AD223</f>
        <v>0</v>
      </c>
      <c r="AC223" s="374">
        <v>0</v>
      </c>
      <c r="AD223" s="18">
        <f>SUM(AB223:AC223)</f>
        <v>0</v>
      </c>
      <c r="AE223" s="19">
        <f>NOVIEMBRE!AG223</f>
        <v>0</v>
      </c>
      <c r="AF223" s="374">
        <v>0</v>
      </c>
      <c r="AG223" s="18">
        <f>SUM(AE223:AF223)</f>
        <v>0</v>
      </c>
      <c r="AH223" s="19">
        <f>X223-AA223</f>
        <v>0</v>
      </c>
      <c r="AI223" s="15">
        <f>X223-AD223</f>
        <v>0</v>
      </c>
      <c r="AJ223" s="16">
        <f>X223-AG223</f>
        <v>0</v>
      </c>
      <c r="AK223" s="9"/>
      <c r="AL223" s="372">
        <v>0</v>
      </c>
      <c r="AM223" s="375">
        <v>0</v>
      </c>
      <c r="AN223" s="9"/>
      <c r="BQ223" s="461"/>
    </row>
    <row r="224" spans="1:69" s="382" customFormat="1" ht="24.95" customHeight="1">
      <c r="A224" s="752"/>
      <c r="B224" s="661"/>
      <c r="N224" s="9"/>
      <c r="P224" s="9"/>
      <c r="Q224" s="9"/>
      <c r="R224" s="9"/>
      <c r="S224" s="705">
        <f>+IF(NOVIEMBRE!S224=0,"",NOVIEMBRE!S224)</f>
        <v>7001200</v>
      </c>
      <c r="T224" s="681"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74">
        <v>0</v>
      </c>
      <c r="AA224" s="18">
        <f>SUM(Y224:Z224)</f>
        <v>0</v>
      </c>
      <c r="AB224" s="19">
        <f>NOVIEMBRE!AD224</f>
        <v>0</v>
      </c>
      <c r="AC224" s="374">
        <v>0</v>
      </c>
      <c r="AD224" s="18">
        <f>SUM(AB224:AC224)</f>
        <v>0</v>
      </c>
      <c r="AE224" s="19">
        <f>NOVIEMBRE!AG224</f>
        <v>0</v>
      </c>
      <c r="AF224" s="374">
        <v>0</v>
      </c>
      <c r="AG224" s="18">
        <f>SUM(AE224:AF224)</f>
        <v>0</v>
      </c>
      <c r="AH224" s="19">
        <f>X224-AA224</f>
        <v>0</v>
      </c>
      <c r="AI224" s="15">
        <f>X224-AD224</f>
        <v>0</v>
      </c>
      <c r="AJ224" s="16">
        <f>X224-AG224</f>
        <v>0</v>
      </c>
      <c r="AK224" s="9"/>
      <c r="AL224" s="372">
        <v>0</v>
      </c>
      <c r="AM224" s="375">
        <v>0</v>
      </c>
      <c r="AN224" s="9"/>
      <c r="BQ224" s="461"/>
    </row>
    <row r="225" spans="1:69" s="382" customFormat="1" ht="24.95" customHeight="1">
      <c r="A225" s="752"/>
      <c r="B225" s="661"/>
      <c r="N225" s="9"/>
      <c r="P225" s="9"/>
      <c r="Q225" s="9"/>
      <c r="R225" s="9"/>
      <c r="S225" s="705">
        <f>+IF(NOVIEMBRE!S225=0,"",NOVIEMBRE!S225)</f>
        <v>7001999</v>
      </c>
      <c r="T225" s="681" t="str">
        <f>+IF(NOVIEMBRE!T225=0,"",NOVIEMBRE!T225)</f>
        <v>Vigencias Anteriores</v>
      </c>
      <c r="U225" s="27">
        <f>+ENERO!U225</f>
        <v>0</v>
      </c>
      <c r="V225" s="15">
        <f>NOVIEMBRE!V225+DICIEMBRE!AL225</f>
        <v>0</v>
      </c>
      <c r="W225" s="15">
        <f>NOVIEMBRE!W225+DICIEMBRE!AM225</f>
        <v>0</v>
      </c>
      <c r="X225" s="18">
        <f>SUM(U225:W225)</f>
        <v>0</v>
      </c>
      <c r="Y225" s="19">
        <f>NOVIEMBRE!AA225</f>
        <v>0</v>
      </c>
      <c r="Z225" s="374">
        <v>0</v>
      </c>
      <c r="AA225" s="18">
        <f>SUM(Y225:Z225)</f>
        <v>0</v>
      </c>
      <c r="AB225" s="19">
        <f>NOVIEMBRE!AD225</f>
        <v>0</v>
      </c>
      <c r="AC225" s="374">
        <v>0</v>
      </c>
      <c r="AD225" s="18">
        <f>SUM(AB225:AC225)</f>
        <v>0</v>
      </c>
      <c r="AE225" s="19">
        <f>NOVIEMBRE!AG225</f>
        <v>0</v>
      </c>
      <c r="AF225" s="374">
        <v>0</v>
      </c>
      <c r="AG225" s="18">
        <f>SUM(AE225:AF225)</f>
        <v>0</v>
      </c>
      <c r="AH225" s="19">
        <f>X225-AA225</f>
        <v>0</v>
      </c>
      <c r="AI225" s="15">
        <f>X225-AD225</f>
        <v>0</v>
      </c>
      <c r="AJ225" s="16">
        <f>X225-AG225</f>
        <v>0</v>
      </c>
      <c r="AK225" s="9"/>
      <c r="AL225" s="372">
        <v>0</v>
      </c>
      <c r="AM225" s="375">
        <v>0</v>
      </c>
      <c r="AN225" s="9"/>
      <c r="BQ225" s="461"/>
    </row>
    <row r="226" spans="1:69" s="382" customFormat="1" ht="24.95" customHeight="1">
      <c r="A226" s="752"/>
      <c r="B226" s="661"/>
      <c r="N226" s="9"/>
      <c r="P226" s="9"/>
      <c r="Q226" s="9"/>
      <c r="R226" s="9"/>
      <c r="S226" s="366" t="str">
        <f>+IF(NOVIEMBRE!S226=0,"",NOVIEMBRE!S226)</f>
        <v/>
      </c>
      <c r="T226" s="695"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61"/>
    </row>
    <row r="227" spans="1:69" s="382" customFormat="1" ht="24.95" customHeight="1">
      <c r="A227" s="752"/>
      <c r="B227" s="661"/>
      <c r="N227" s="9"/>
      <c r="P227" s="9"/>
      <c r="Q227" s="9"/>
      <c r="R227" s="9"/>
      <c r="S227" s="704">
        <f>+IF(NOVIEMBRE!S227=0,"",NOVIEMBRE!S227)</f>
        <v>7002001</v>
      </c>
      <c r="T227" s="680" t="str">
        <f>+IF(NOVIEMBRE!T227=0,"",NOVIEMBRE!T227)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c r="BQ227" s="461"/>
    </row>
    <row r="228" spans="1:69" s="382" customFormat="1" ht="24.95" customHeight="1">
      <c r="A228" s="752"/>
      <c r="B228" s="661"/>
      <c r="N228" s="9"/>
      <c r="P228" s="9"/>
      <c r="Q228" s="9"/>
      <c r="R228" s="9"/>
      <c r="S228" s="705">
        <f>+IF(NOVIEMBRE!S228=0,"",NOVIEMBRE!S228)</f>
        <v>7002100</v>
      </c>
      <c r="T228" s="681"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74">
        <v>0</v>
      </c>
      <c r="AA228" s="18">
        <f>SUM(Y228:Z228)</f>
        <v>0</v>
      </c>
      <c r="AB228" s="19">
        <f>NOVIEMBRE!AD228</f>
        <v>0</v>
      </c>
      <c r="AC228" s="374">
        <v>0</v>
      </c>
      <c r="AD228" s="18">
        <f>SUM(AB228:AC228)</f>
        <v>0</v>
      </c>
      <c r="AE228" s="19">
        <f>NOVIEMBRE!AG228</f>
        <v>0</v>
      </c>
      <c r="AF228" s="374">
        <v>0</v>
      </c>
      <c r="AG228" s="18">
        <f>SUM(AE228:AF228)</f>
        <v>0</v>
      </c>
      <c r="AH228" s="19">
        <f>X228-AA228</f>
        <v>0</v>
      </c>
      <c r="AI228" s="15">
        <f>X228-AD228</f>
        <v>0</v>
      </c>
      <c r="AJ228" s="16">
        <f>X228-AG228</f>
        <v>0</v>
      </c>
      <c r="AK228" s="9"/>
      <c r="AL228" s="372">
        <v>0</v>
      </c>
      <c r="AM228" s="375">
        <v>0</v>
      </c>
      <c r="AN228" s="9"/>
      <c r="BQ228" s="461"/>
    </row>
    <row r="229" spans="1:69" s="382" customFormat="1" ht="24.95" customHeight="1">
      <c r="A229" s="752"/>
      <c r="B229" s="661"/>
      <c r="N229" s="9"/>
      <c r="P229" s="9"/>
      <c r="Q229" s="9"/>
      <c r="R229" s="9"/>
      <c r="S229" s="705">
        <f>+IF(NOVIEMBRE!S229=0,"",NOVIEMBRE!S229)</f>
        <v>7002200</v>
      </c>
      <c r="T229" s="681"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74">
        <v>0</v>
      </c>
      <c r="AA229" s="18">
        <f>SUM(Y229:Z229)</f>
        <v>0</v>
      </c>
      <c r="AB229" s="19">
        <f>NOVIEMBRE!AD229</f>
        <v>0</v>
      </c>
      <c r="AC229" s="374">
        <v>0</v>
      </c>
      <c r="AD229" s="18">
        <f>SUM(AB229:AC229)</f>
        <v>0</v>
      </c>
      <c r="AE229" s="19">
        <f>NOVIEMBRE!AG229</f>
        <v>0</v>
      </c>
      <c r="AF229" s="374">
        <v>0</v>
      </c>
      <c r="AG229" s="18">
        <f>SUM(AE229:AF229)</f>
        <v>0</v>
      </c>
      <c r="AH229" s="19">
        <f>X229-AA229</f>
        <v>0</v>
      </c>
      <c r="AI229" s="15">
        <f>X229-AD229</f>
        <v>0</v>
      </c>
      <c r="AJ229" s="16">
        <f>X229-AG229</f>
        <v>0</v>
      </c>
      <c r="AK229" s="9"/>
      <c r="AL229" s="372">
        <v>0</v>
      </c>
      <c r="AM229" s="375">
        <v>0</v>
      </c>
      <c r="AN229" s="9"/>
      <c r="BQ229" s="461"/>
    </row>
    <row r="230" spans="1:69" s="382" customFormat="1" ht="24.95" customHeight="1" thickBot="1">
      <c r="A230" s="752"/>
      <c r="B230" s="661"/>
      <c r="N230" s="9"/>
      <c r="P230" s="9"/>
      <c r="Q230" s="9"/>
      <c r="R230" s="9"/>
      <c r="S230" s="710">
        <f>+IF(NOVIEMBRE!S230=0,"",NOVIEMBRE!S230)</f>
        <v>7002999</v>
      </c>
      <c r="T230" s="687" t="str">
        <f>+IF(NOVIEMBRE!T230=0,"",NOVIEMBRE!T230)</f>
        <v>Vigencias Anteriores</v>
      </c>
      <c r="U230" s="133">
        <f>+ENERO!U230</f>
        <v>0</v>
      </c>
      <c r="V230" s="121">
        <f>NOVIEMBRE!V230+DICIEMBRE!AL230</f>
        <v>0</v>
      </c>
      <c r="W230" s="121">
        <f>NOVIEMBRE!W230+DICIEMBRE!AM230</f>
        <v>0</v>
      </c>
      <c r="X230" s="126">
        <f>SUM(U230:W230)</f>
        <v>0</v>
      </c>
      <c r="Y230" s="124">
        <f>NOVIEMBRE!AA230</f>
        <v>0</v>
      </c>
      <c r="Z230" s="388">
        <v>0</v>
      </c>
      <c r="AA230" s="126">
        <f>SUM(Y230:Z230)</f>
        <v>0</v>
      </c>
      <c r="AB230" s="124">
        <f>NOVIEMBRE!AD230</f>
        <v>0</v>
      </c>
      <c r="AC230" s="388">
        <v>0</v>
      </c>
      <c r="AD230" s="126">
        <f>SUM(AB230:AC230)</f>
        <v>0</v>
      </c>
      <c r="AE230" s="124">
        <f>NOVIEMBRE!AG230</f>
        <v>0</v>
      </c>
      <c r="AF230" s="388">
        <v>0</v>
      </c>
      <c r="AG230" s="126">
        <f>SUM(AE230:AF230)</f>
        <v>0</v>
      </c>
      <c r="AH230" s="124">
        <f>X230-AA230</f>
        <v>0</v>
      </c>
      <c r="AI230" s="121">
        <f>X230-AD230</f>
        <v>0</v>
      </c>
      <c r="AJ230" s="125">
        <f>X230-AG230</f>
        <v>0</v>
      </c>
      <c r="AK230" s="9"/>
      <c r="AL230" s="501">
        <v>0</v>
      </c>
      <c r="AM230" s="502">
        <v>0</v>
      </c>
      <c r="AN230" s="9"/>
      <c r="BQ230" s="461"/>
    </row>
    <row r="231" spans="1:69" s="382" customFormat="1" ht="24.95" customHeight="1">
      <c r="A231" s="752"/>
      <c r="B231" s="661"/>
      <c r="N231" s="9"/>
      <c r="P231" s="9"/>
      <c r="Q231" s="9"/>
      <c r="R231" s="9"/>
      <c r="S231" s="489" t="str">
        <f>+IF(NOVIEMBRE!S231=0,"",NOVIEMBRE!S231)</f>
        <v/>
      </c>
      <c r="T231" s="688"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c r="BQ231" s="461"/>
    </row>
    <row r="232" spans="1:69" s="382" customFormat="1" ht="24.95" customHeight="1">
      <c r="A232" s="752"/>
      <c r="B232" s="661"/>
      <c r="N232" s="9"/>
      <c r="P232" s="9"/>
      <c r="Q232" s="9"/>
      <c r="R232" s="9"/>
      <c r="S232" s="505" t="str">
        <f>+IF(NOVIEMBRE!S232=0,"",NOVIEMBRE!S232)</f>
        <v>D</v>
      </c>
      <c r="T232" s="696" t="str">
        <f>+IF(NOVIEMBRE!T232=0,"",NOVIEMBRE!T232)</f>
        <v>INVERSION</v>
      </c>
      <c r="U232" s="470">
        <f>U234+U243</f>
        <v>0</v>
      </c>
      <c r="V232" s="471">
        <f t="shared" ref="V232:AJ232" si="200">V234+V243</f>
        <v>0</v>
      </c>
      <c r="W232" s="471">
        <f t="shared" si="200"/>
        <v>464564792</v>
      </c>
      <c r="X232" s="472">
        <f t="shared" si="200"/>
        <v>464564792</v>
      </c>
      <c r="Y232" s="379">
        <f t="shared" si="200"/>
        <v>352813792</v>
      </c>
      <c r="Z232" s="471">
        <f t="shared" si="200"/>
        <v>-16540790</v>
      </c>
      <c r="AA232" s="472">
        <f t="shared" si="200"/>
        <v>336273002</v>
      </c>
      <c r="AB232" s="379">
        <f t="shared" si="200"/>
        <v>336273002</v>
      </c>
      <c r="AC232" s="471">
        <f t="shared" si="200"/>
        <v>0</v>
      </c>
      <c r="AD232" s="472">
        <f t="shared" si="200"/>
        <v>336273002</v>
      </c>
      <c r="AE232" s="379">
        <f t="shared" si="200"/>
        <v>172740563</v>
      </c>
      <c r="AF232" s="471">
        <f t="shared" si="200"/>
        <v>0</v>
      </c>
      <c r="AG232" s="472">
        <f t="shared" si="200"/>
        <v>172740563</v>
      </c>
      <c r="AH232" s="379">
        <f t="shared" si="200"/>
        <v>128291790</v>
      </c>
      <c r="AI232" s="471">
        <f t="shared" si="200"/>
        <v>128291790</v>
      </c>
      <c r="AJ232" s="380">
        <f t="shared" si="200"/>
        <v>291824229</v>
      </c>
      <c r="AK232" s="500"/>
      <c r="AL232" s="379">
        <f t="shared" ref="AL232:AM232" si="201">AL234+AL243</f>
        <v>0</v>
      </c>
      <c r="AM232" s="380">
        <f t="shared" si="201"/>
        <v>30686700</v>
      </c>
      <c r="AN232" s="9"/>
      <c r="BQ232" s="461"/>
    </row>
    <row r="233" spans="1:69" s="382" customFormat="1" ht="24.95" customHeight="1">
      <c r="A233" s="752"/>
      <c r="B233" s="661"/>
      <c r="N233" s="9"/>
      <c r="P233" s="9"/>
      <c r="Q233" s="9"/>
      <c r="R233" s="9"/>
      <c r="S233" s="366" t="str">
        <f>+IF(NOVIEMBRE!S233=0,"",NOVIEMBRE!S233)</f>
        <v/>
      </c>
      <c r="T233" s="695"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61"/>
    </row>
    <row r="234" spans="1:69" s="382" customFormat="1" ht="24.95" customHeight="1">
      <c r="A234" s="752"/>
      <c r="B234" s="661"/>
      <c r="N234" s="9"/>
      <c r="P234" s="9"/>
      <c r="Q234" s="9"/>
      <c r="R234" s="9"/>
      <c r="S234" s="704">
        <f>+IF(NOVIEMBRE!S234=0,"",NOVIEMBRE!S234)</f>
        <v>8000000</v>
      </c>
      <c r="T234" s="680" t="str">
        <f>+IF(NOVIEMBRE!T234=0,"",NOVIEMBRE!T234)</f>
        <v>Programas de Inversión</v>
      </c>
      <c r="U234" s="132">
        <f>U235</f>
        <v>0</v>
      </c>
      <c r="V234" s="122">
        <f t="shared" ref="V234:AJ234" si="202">V235</f>
        <v>0</v>
      </c>
      <c r="W234" s="122">
        <f t="shared" si="202"/>
        <v>380000000</v>
      </c>
      <c r="X234" s="129">
        <f t="shared" si="202"/>
        <v>380000000</v>
      </c>
      <c r="Y234" s="128">
        <f t="shared" si="202"/>
        <v>352813792</v>
      </c>
      <c r="Z234" s="122">
        <f t="shared" si="202"/>
        <v>-16540790</v>
      </c>
      <c r="AA234" s="129">
        <f t="shared" si="202"/>
        <v>336273002</v>
      </c>
      <c r="AB234" s="128">
        <f t="shared" si="202"/>
        <v>336273002</v>
      </c>
      <c r="AC234" s="122">
        <f t="shared" si="202"/>
        <v>0</v>
      </c>
      <c r="AD234" s="129">
        <f t="shared" si="202"/>
        <v>336273002</v>
      </c>
      <c r="AE234" s="128">
        <f t="shared" si="202"/>
        <v>172740563</v>
      </c>
      <c r="AF234" s="122">
        <f t="shared" si="202"/>
        <v>0</v>
      </c>
      <c r="AG234" s="129">
        <f t="shared" si="202"/>
        <v>172740563</v>
      </c>
      <c r="AH234" s="128">
        <f t="shared" si="202"/>
        <v>43726998</v>
      </c>
      <c r="AI234" s="122">
        <f t="shared" si="202"/>
        <v>43726998</v>
      </c>
      <c r="AJ234" s="130">
        <f t="shared" si="202"/>
        <v>207259437</v>
      </c>
      <c r="AK234" s="9"/>
      <c r="AL234" s="128">
        <f t="shared" ref="AL234:AM234" si="203">AL235</f>
        <v>0</v>
      </c>
      <c r="AM234" s="130">
        <f t="shared" si="203"/>
        <v>0</v>
      </c>
      <c r="AN234" s="9"/>
      <c r="BQ234" s="461"/>
    </row>
    <row r="235" spans="1:69" s="382" customFormat="1" ht="24.95" customHeight="1">
      <c r="A235" s="752"/>
      <c r="B235" s="661"/>
      <c r="N235" s="9"/>
      <c r="P235" s="9"/>
      <c r="Q235" s="9"/>
      <c r="R235" s="9"/>
      <c r="S235" s="705">
        <f>+IF(NOVIEMBRE!S235=0,"",NOVIEMBRE!S235)</f>
        <v>8001000</v>
      </c>
      <c r="T235" s="681" t="str">
        <f>+IF(NOVIEMBRE!T235=0,"",NOVIEMBRE!T235)</f>
        <v>Formación Bruta del Capital</v>
      </c>
      <c r="U235" s="27">
        <f t="shared" ref="U235:AJ235" si="204">SUM(U236:U241)</f>
        <v>0</v>
      </c>
      <c r="V235" s="15">
        <f t="shared" si="204"/>
        <v>0</v>
      </c>
      <c r="W235" s="15">
        <f t="shared" si="204"/>
        <v>380000000</v>
      </c>
      <c r="X235" s="18">
        <f t="shared" si="204"/>
        <v>380000000</v>
      </c>
      <c r="Y235" s="19">
        <f t="shared" si="204"/>
        <v>352813792</v>
      </c>
      <c r="Z235" s="142">
        <f t="shared" si="204"/>
        <v>-16540790</v>
      </c>
      <c r="AA235" s="18">
        <f t="shared" si="204"/>
        <v>336273002</v>
      </c>
      <c r="AB235" s="19">
        <f t="shared" si="204"/>
        <v>336273002</v>
      </c>
      <c r="AC235" s="142">
        <f t="shared" si="204"/>
        <v>0</v>
      </c>
      <c r="AD235" s="18">
        <f t="shared" si="204"/>
        <v>336273002</v>
      </c>
      <c r="AE235" s="19">
        <f t="shared" si="204"/>
        <v>172740563</v>
      </c>
      <c r="AF235" s="142">
        <f t="shared" si="204"/>
        <v>0</v>
      </c>
      <c r="AG235" s="18">
        <f t="shared" si="204"/>
        <v>172740563</v>
      </c>
      <c r="AH235" s="19">
        <f t="shared" si="204"/>
        <v>43726998</v>
      </c>
      <c r="AI235" s="15">
        <f t="shared" si="204"/>
        <v>43726998</v>
      </c>
      <c r="AJ235" s="16">
        <f t="shared" si="204"/>
        <v>207259437</v>
      </c>
      <c r="AK235" s="9"/>
      <c r="AL235" s="29">
        <f>SUM(AL236:AL241)</f>
        <v>0</v>
      </c>
      <c r="AM235" s="26">
        <f>SUM(AM236:AM241)</f>
        <v>0</v>
      </c>
      <c r="AN235" s="9"/>
      <c r="BQ235" s="461"/>
    </row>
    <row r="236" spans="1:69" s="382" customFormat="1" ht="24.95" customHeight="1">
      <c r="A236" s="752"/>
      <c r="B236" s="661"/>
      <c r="N236" s="9"/>
      <c r="P236" s="9"/>
      <c r="Q236" s="9"/>
      <c r="R236" s="9"/>
      <c r="S236" s="706" t="str">
        <f>+IF(NOVIEMBRE!S236=0,"",NOVIEMBRE!S236)</f>
        <v>8001000-1</v>
      </c>
      <c r="T236" s="682" t="str">
        <f>+IF(NOVIEMBRE!T236=0,"",NOVIEMBRE!T236)</f>
        <v>Subprogr.Construc. Remodelac. Adecuación y Apliac.1</v>
      </c>
      <c r="U236" s="27">
        <f>+ENERO!U236</f>
        <v>0</v>
      </c>
      <c r="V236" s="15">
        <f>NOVIEMBRE!V236+DICIEMBRE!AL236</f>
        <v>0</v>
      </c>
      <c r="W236" s="15">
        <f>NOVIEMBRE!W236+DICIEMBRE!AM236</f>
        <v>380000000</v>
      </c>
      <c r="X236" s="18">
        <f t="shared" ref="X236:X241" si="205">SUM(U236:W236)</f>
        <v>380000000</v>
      </c>
      <c r="Y236" s="19">
        <f>NOVIEMBRE!AA236</f>
        <v>352813792</v>
      </c>
      <c r="Z236" s="374">
        <v>-16540790</v>
      </c>
      <c r="AA236" s="18">
        <f t="shared" ref="AA236:AA241" si="206">SUM(Y236:Z236)</f>
        <v>336273002</v>
      </c>
      <c r="AB236" s="19">
        <f>NOVIEMBRE!AD236</f>
        <v>336273002</v>
      </c>
      <c r="AC236" s="374">
        <v>0</v>
      </c>
      <c r="AD236" s="18">
        <f t="shared" ref="AD236:AD241" si="207">SUM(AB236:AC236)</f>
        <v>336273002</v>
      </c>
      <c r="AE236" s="19">
        <f>NOVIEMBRE!AG236</f>
        <v>172740563</v>
      </c>
      <c r="AF236" s="374">
        <v>0</v>
      </c>
      <c r="AG236" s="18">
        <f t="shared" ref="AG236:AG241" si="208">SUM(AE236:AF236)</f>
        <v>172740563</v>
      </c>
      <c r="AH236" s="19">
        <f t="shared" ref="AH236:AH241" si="209">X236-AA236</f>
        <v>43726998</v>
      </c>
      <c r="AI236" s="15">
        <f t="shared" ref="AI236:AI241" si="210">X236-AD236</f>
        <v>43726998</v>
      </c>
      <c r="AJ236" s="16">
        <f t="shared" ref="AJ236:AJ241" si="211">X236-AG236</f>
        <v>207259437</v>
      </c>
      <c r="AK236" s="9"/>
      <c r="AL236" s="372">
        <v>0</v>
      </c>
      <c r="AM236" s="375">
        <v>0</v>
      </c>
      <c r="AN236" s="9"/>
      <c r="BQ236" s="461"/>
    </row>
    <row r="237" spans="1:69" s="382" customFormat="1" ht="24.95" customHeight="1">
      <c r="A237" s="752"/>
      <c r="B237" s="661"/>
      <c r="N237" s="9"/>
      <c r="P237" s="9"/>
      <c r="Q237" s="9"/>
      <c r="R237" s="9"/>
      <c r="S237" s="706" t="str">
        <f>+IF(NOVIEMBRE!S237=0,"",NOVIEMBRE!S237)</f>
        <v>8001000-2</v>
      </c>
      <c r="T237" s="682" t="str">
        <f>+IF(NOVIEMBRE!T237=0,"",NOVIEMBRE!T237)</f>
        <v>Subprogr.Construc. Remodelac. Adecuación y Apliac.2</v>
      </c>
      <c r="U237" s="27">
        <f>+ENERO!U237</f>
        <v>0</v>
      </c>
      <c r="V237" s="15">
        <f>NOVIEMBRE!V237+DICIEMBRE!AL237</f>
        <v>0</v>
      </c>
      <c r="W237" s="15">
        <f>NOVIEMBRE!W237+DICIEMBRE!AM237</f>
        <v>0</v>
      </c>
      <c r="X237" s="18">
        <f t="shared" si="205"/>
        <v>0</v>
      </c>
      <c r="Y237" s="19">
        <f>NOVIEMBRE!AA237</f>
        <v>0</v>
      </c>
      <c r="Z237" s="374">
        <v>0</v>
      </c>
      <c r="AA237" s="18">
        <f t="shared" si="206"/>
        <v>0</v>
      </c>
      <c r="AB237" s="19">
        <f>NOVIEMBRE!AD237</f>
        <v>0</v>
      </c>
      <c r="AC237" s="374">
        <v>0</v>
      </c>
      <c r="AD237" s="18">
        <f t="shared" si="207"/>
        <v>0</v>
      </c>
      <c r="AE237" s="19">
        <f>NOVIEMBRE!AG237</f>
        <v>0</v>
      </c>
      <c r="AF237" s="374">
        <v>0</v>
      </c>
      <c r="AG237" s="18">
        <f t="shared" si="208"/>
        <v>0</v>
      </c>
      <c r="AH237" s="19">
        <f t="shared" si="209"/>
        <v>0</v>
      </c>
      <c r="AI237" s="15">
        <f t="shared" si="210"/>
        <v>0</v>
      </c>
      <c r="AJ237" s="16">
        <f t="shared" si="211"/>
        <v>0</v>
      </c>
      <c r="AK237" s="9"/>
      <c r="AL237" s="372">
        <v>0</v>
      </c>
      <c r="AM237" s="375">
        <v>0</v>
      </c>
      <c r="AN237" s="9"/>
      <c r="BQ237" s="461"/>
    </row>
    <row r="238" spans="1:69" s="382" customFormat="1" ht="24.95" customHeight="1">
      <c r="A238" s="752"/>
      <c r="B238" s="661"/>
      <c r="N238" s="9"/>
      <c r="P238" s="9"/>
      <c r="Q238" s="9"/>
      <c r="R238" s="9"/>
      <c r="S238" s="706" t="str">
        <f>+IF(NOVIEMBRE!S238=0,"",NOVIEMBRE!S238)</f>
        <v>8001000-3</v>
      </c>
      <c r="T238" s="682" t="str">
        <f>+IF(NOVIEMBRE!T238=0,"",NOVIEMBRE!T238)</f>
        <v>Subprogr.Construc. Remodelac. Adecuación y Apliac.3</v>
      </c>
      <c r="U238" s="27">
        <f>+ENERO!U238</f>
        <v>0</v>
      </c>
      <c r="V238" s="15">
        <f>NOVIEMBRE!V238+DICIEMBRE!AL238</f>
        <v>0</v>
      </c>
      <c r="W238" s="15">
        <f>NOVIEMBRE!W238+DICIEMBRE!AM238</f>
        <v>0</v>
      </c>
      <c r="X238" s="18">
        <f t="shared" si="205"/>
        <v>0</v>
      </c>
      <c r="Y238" s="19">
        <f>NOVIEMBRE!AA238</f>
        <v>0</v>
      </c>
      <c r="Z238" s="374">
        <v>0</v>
      </c>
      <c r="AA238" s="18">
        <f t="shared" si="206"/>
        <v>0</v>
      </c>
      <c r="AB238" s="19">
        <f>NOVIEMBRE!AD238</f>
        <v>0</v>
      </c>
      <c r="AC238" s="374">
        <v>0</v>
      </c>
      <c r="AD238" s="18">
        <f t="shared" si="207"/>
        <v>0</v>
      </c>
      <c r="AE238" s="19">
        <f>NOVIEMBRE!AG238</f>
        <v>0</v>
      </c>
      <c r="AF238" s="374">
        <v>0</v>
      </c>
      <c r="AG238" s="18">
        <f t="shared" si="208"/>
        <v>0</v>
      </c>
      <c r="AH238" s="19">
        <f t="shared" si="209"/>
        <v>0</v>
      </c>
      <c r="AI238" s="15">
        <f t="shared" si="210"/>
        <v>0</v>
      </c>
      <c r="AJ238" s="16">
        <f t="shared" si="211"/>
        <v>0</v>
      </c>
      <c r="AK238" s="9"/>
      <c r="AL238" s="372">
        <v>0</v>
      </c>
      <c r="AM238" s="375">
        <v>0</v>
      </c>
      <c r="AN238" s="9"/>
      <c r="BQ238" s="461"/>
    </row>
    <row r="239" spans="1:69" s="382" customFormat="1" ht="24.95" customHeight="1">
      <c r="A239" s="752"/>
      <c r="B239" s="661"/>
      <c r="N239" s="9"/>
      <c r="P239" s="9"/>
      <c r="Q239" s="9"/>
      <c r="S239" s="706" t="str">
        <f>+IF(NOVIEMBRE!S239=0,"",NOVIEMBRE!S239)</f>
        <v>8001000-4</v>
      </c>
      <c r="T239" s="682" t="str">
        <f>+IF(NOVIEMBRE!T239=0,"",NOVIEMBRE!T239)</f>
        <v>Subprogr.Construc. Remodelac. Adecuación y Apliac.4</v>
      </c>
      <c r="U239" s="27">
        <f>+ENERO!U239</f>
        <v>0</v>
      </c>
      <c r="V239" s="15">
        <f>NOVIEMBRE!V239+DICIEMBRE!AL239</f>
        <v>0</v>
      </c>
      <c r="W239" s="15">
        <f>NOVIEMBRE!W239+DICIEMBRE!AM239</f>
        <v>0</v>
      </c>
      <c r="X239" s="18">
        <f t="shared" si="205"/>
        <v>0</v>
      </c>
      <c r="Y239" s="19">
        <f>NOVIEMBRE!AA239</f>
        <v>0</v>
      </c>
      <c r="Z239" s="374">
        <v>0</v>
      </c>
      <c r="AA239" s="18">
        <f t="shared" si="206"/>
        <v>0</v>
      </c>
      <c r="AB239" s="19">
        <f>NOVIEMBRE!AD239</f>
        <v>0</v>
      </c>
      <c r="AC239" s="374">
        <v>0</v>
      </c>
      <c r="AD239" s="18">
        <f t="shared" si="207"/>
        <v>0</v>
      </c>
      <c r="AE239" s="19">
        <f>NOVIEMBRE!AG239</f>
        <v>0</v>
      </c>
      <c r="AF239" s="374">
        <v>0</v>
      </c>
      <c r="AG239" s="18">
        <f t="shared" si="208"/>
        <v>0</v>
      </c>
      <c r="AH239" s="19">
        <f t="shared" si="209"/>
        <v>0</v>
      </c>
      <c r="AI239" s="15">
        <f t="shared" si="210"/>
        <v>0</v>
      </c>
      <c r="AJ239" s="16">
        <f t="shared" si="211"/>
        <v>0</v>
      </c>
      <c r="AK239" s="9"/>
      <c r="AL239" s="372">
        <v>0</v>
      </c>
      <c r="AM239" s="375">
        <v>0</v>
      </c>
      <c r="AN239" s="9"/>
      <c r="BQ239" s="461"/>
    </row>
    <row r="240" spans="1:69" s="382" customFormat="1" ht="24.95" customHeight="1">
      <c r="A240" s="752"/>
      <c r="B240" s="661"/>
      <c r="N240" s="9"/>
      <c r="P240" s="9"/>
      <c r="Q240" s="9"/>
      <c r="S240" s="706" t="str">
        <f>+IF(NOVIEMBRE!S240=0,"",NOVIEMBRE!S240)</f>
        <v>8001000-7</v>
      </c>
      <c r="T240" s="682" t="str">
        <f>+IF(NOVIEMBRE!T240=0,"",NOVIEMBRE!T240)</f>
        <v>Subprogr.Construc. Remodelac. Adecuación y Apliac.5</v>
      </c>
      <c r="U240" s="27">
        <f>+ENERO!U240</f>
        <v>0</v>
      </c>
      <c r="V240" s="15">
        <f>NOVIEMBRE!V240+DICIEMBRE!AL240</f>
        <v>0</v>
      </c>
      <c r="W240" s="15">
        <f>NOVIEMBRE!W240+DICIEMBRE!AM240</f>
        <v>0</v>
      </c>
      <c r="X240" s="18">
        <f t="shared" si="205"/>
        <v>0</v>
      </c>
      <c r="Y240" s="19">
        <f>NOVIEMBRE!AA240</f>
        <v>0</v>
      </c>
      <c r="Z240" s="374">
        <v>0</v>
      </c>
      <c r="AA240" s="18">
        <f t="shared" si="206"/>
        <v>0</v>
      </c>
      <c r="AB240" s="19">
        <f>NOVIEMBRE!AD240</f>
        <v>0</v>
      </c>
      <c r="AC240" s="374">
        <v>0</v>
      </c>
      <c r="AD240" s="18">
        <f t="shared" si="207"/>
        <v>0</v>
      </c>
      <c r="AE240" s="19">
        <f>NOVIEMBRE!AG240</f>
        <v>0</v>
      </c>
      <c r="AF240" s="374">
        <v>0</v>
      </c>
      <c r="AG240" s="18">
        <f t="shared" si="208"/>
        <v>0</v>
      </c>
      <c r="AH240" s="19">
        <f t="shared" si="209"/>
        <v>0</v>
      </c>
      <c r="AI240" s="15">
        <f t="shared" si="210"/>
        <v>0</v>
      </c>
      <c r="AJ240" s="16">
        <f t="shared" si="211"/>
        <v>0</v>
      </c>
      <c r="AK240" s="9"/>
      <c r="AL240" s="372">
        <v>0</v>
      </c>
      <c r="AM240" s="375">
        <v>0</v>
      </c>
      <c r="AN240" s="9"/>
      <c r="BQ240" s="461"/>
    </row>
    <row r="241" spans="1:70" s="382" customFormat="1" ht="24.95" customHeight="1">
      <c r="A241" s="752"/>
      <c r="B241" s="661"/>
      <c r="N241" s="9"/>
      <c r="P241" s="9"/>
      <c r="Q241" s="9"/>
      <c r="S241" s="716">
        <f>+IF(NOVIEMBRE!S241=0,"",NOVIEMBRE!S241)</f>
        <v>8001999</v>
      </c>
      <c r="T241" s="682" t="str">
        <f>+IF(NOVIEMBRE!T241=0,"",NOVIEMBRE!T241)</f>
        <v>Vigencias Anteriores</v>
      </c>
      <c r="U241" s="27">
        <f>+ENERO!U241</f>
        <v>0</v>
      </c>
      <c r="V241" s="15">
        <f>NOVIEMBRE!V241+DICIEMBRE!AL241</f>
        <v>0</v>
      </c>
      <c r="W241" s="15">
        <f>NOVIEMBRE!W241+DICIEMBRE!AM241</f>
        <v>0</v>
      </c>
      <c r="X241" s="18">
        <f t="shared" si="205"/>
        <v>0</v>
      </c>
      <c r="Y241" s="19">
        <f>NOVIEMBRE!AA241</f>
        <v>0</v>
      </c>
      <c r="Z241" s="374">
        <v>0</v>
      </c>
      <c r="AA241" s="18">
        <f t="shared" si="206"/>
        <v>0</v>
      </c>
      <c r="AB241" s="19">
        <f>NOVIEMBRE!AD241</f>
        <v>0</v>
      </c>
      <c r="AC241" s="374">
        <v>0</v>
      </c>
      <c r="AD241" s="18">
        <f t="shared" si="207"/>
        <v>0</v>
      </c>
      <c r="AE241" s="19">
        <f>NOVIEMBRE!AG241</f>
        <v>0</v>
      </c>
      <c r="AF241" s="374">
        <v>0</v>
      </c>
      <c r="AG241" s="18">
        <f t="shared" si="208"/>
        <v>0</v>
      </c>
      <c r="AH241" s="19">
        <f t="shared" si="209"/>
        <v>0</v>
      </c>
      <c r="AI241" s="15">
        <f t="shared" si="210"/>
        <v>0</v>
      </c>
      <c r="AJ241" s="16">
        <f t="shared" si="211"/>
        <v>0</v>
      </c>
      <c r="AK241" s="9"/>
      <c r="AL241" s="372">
        <v>0</v>
      </c>
      <c r="AM241" s="375">
        <v>0</v>
      </c>
      <c r="AN241" s="9"/>
      <c r="BQ241" s="461"/>
    </row>
    <row r="242" spans="1:70" ht="24.95" customHeight="1">
      <c r="A242" s="752"/>
      <c r="B242" s="661"/>
      <c r="C242" s="382"/>
      <c r="D242" s="382"/>
      <c r="E242" s="382"/>
      <c r="F242" s="382"/>
      <c r="G242" s="382"/>
      <c r="H242" s="382"/>
      <c r="I242" s="382"/>
      <c r="J242" s="382"/>
      <c r="K242" s="382"/>
      <c r="L242" s="382"/>
      <c r="M242" s="382"/>
      <c r="N242" s="9"/>
      <c r="O242" s="382"/>
      <c r="P242" s="9"/>
      <c r="Q242" s="9"/>
      <c r="S242" s="366" t="str">
        <f>+IF(NOVIEMBRE!S242=0,"",NOVIEMBRE!S242)</f>
        <v/>
      </c>
      <c r="T242" s="695"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461"/>
      <c r="BR242" s="382"/>
    </row>
    <row r="243" spans="1:70" ht="24.95" customHeight="1">
      <c r="A243" s="752"/>
      <c r="B243" s="661"/>
      <c r="C243" s="382"/>
      <c r="D243" s="382"/>
      <c r="E243" s="382"/>
      <c r="F243" s="382"/>
      <c r="G243" s="382"/>
      <c r="H243" s="382"/>
      <c r="I243" s="382"/>
      <c r="J243" s="382"/>
      <c r="K243" s="382"/>
      <c r="L243" s="382"/>
      <c r="M243" s="382"/>
      <c r="N243" s="9"/>
      <c r="O243" s="382"/>
      <c r="P243" s="9"/>
      <c r="Q243" s="9"/>
      <c r="S243" s="704">
        <f>+IF(NOVIEMBRE!S243=0,"",NOVIEMBRE!S243)</f>
        <v>8002001</v>
      </c>
      <c r="T243" s="680" t="str">
        <f>+IF(NOVIEMBRE!T243=0,"",NOVIEMBRE!T243)</f>
        <v>Gastos Operativos de Inversion   (Programas Especiales)</v>
      </c>
      <c r="U243" s="132">
        <f t="shared" ref="U243:AJ243" si="212">SUM(U244:U256)</f>
        <v>0</v>
      </c>
      <c r="V243" s="122">
        <f t="shared" si="212"/>
        <v>0</v>
      </c>
      <c r="W243" s="122">
        <f t="shared" si="212"/>
        <v>84564792</v>
      </c>
      <c r="X243" s="129">
        <f t="shared" si="212"/>
        <v>84564792</v>
      </c>
      <c r="Y243" s="128">
        <f t="shared" si="212"/>
        <v>0</v>
      </c>
      <c r="Z243" s="122">
        <f t="shared" si="212"/>
        <v>0</v>
      </c>
      <c r="AA243" s="129">
        <f t="shared" si="212"/>
        <v>0</v>
      </c>
      <c r="AB243" s="128">
        <f t="shared" si="212"/>
        <v>0</v>
      </c>
      <c r="AC243" s="122">
        <f t="shared" si="212"/>
        <v>0</v>
      </c>
      <c r="AD243" s="129">
        <f t="shared" si="212"/>
        <v>0</v>
      </c>
      <c r="AE243" s="128">
        <f t="shared" si="212"/>
        <v>0</v>
      </c>
      <c r="AF243" s="122">
        <f t="shared" si="212"/>
        <v>0</v>
      </c>
      <c r="AG243" s="129">
        <f t="shared" si="212"/>
        <v>0</v>
      </c>
      <c r="AH243" s="128">
        <f t="shared" si="212"/>
        <v>84564792</v>
      </c>
      <c r="AI243" s="122">
        <f t="shared" si="212"/>
        <v>84564792</v>
      </c>
      <c r="AJ243" s="130">
        <f t="shared" si="212"/>
        <v>84564792</v>
      </c>
      <c r="AK243" s="9"/>
      <c r="AL243" s="128">
        <f>SUM(AL244:AL256)</f>
        <v>0</v>
      </c>
      <c r="AM243" s="130">
        <f>SUM(AM244:AM256)</f>
        <v>30686700</v>
      </c>
      <c r="BM243" s="382"/>
      <c r="BN243" s="382"/>
      <c r="BO243" s="382"/>
      <c r="BP243" s="382"/>
      <c r="BQ243" s="461"/>
      <c r="BR243" s="382"/>
    </row>
    <row r="244" spans="1:70" ht="24.95" customHeight="1">
      <c r="A244" s="752"/>
      <c r="B244" s="661"/>
      <c r="C244" s="382"/>
      <c r="D244" s="382"/>
      <c r="E244" s="382"/>
      <c r="F244" s="382"/>
      <c r="G244" s="382"/>
      <c r="H244" s="382"/>
      <c r="I244" s="382"/>
      <c r="J244" s="382"/>
      <c r="K244" s="382"/>
      <c r="L244" s="382"/>
      <c r="M244" s="382"/>
      <c r="N244" s="9"/>
      <c r="O244" s="382"/>
      <c r="P244" s="9"/>
      <c r="Q244" s="9"/>
      <c r="S244" s="706" t="str">
        <f>+IF(NOVIEMBRE!S244=0,"",NOVIEMBRE!S244)</f>
        <v>8002100-1</v>
      </c>
      <c r="T244" s="682" t="str">
        <f>+IF(NOVIEMBRE!T244=0,"",NOVIEMBRE!T244)</f>
        <v>Fondo de la Vivienda</v>
      </c>
      <c r="U244" s="27">
        <f>+ENERO!U244</f>
        <v>0</v>
      </c>
      <c r="V244" s="15">
        <f>NOVIEMBRE!V244+DICIEMBRE!AL244</f>
        <v>0</v>
      </c>
      <c r="W244" s="15">
        <f>NOVIEMBRE!W244+DICIEMBRE!AM244</f>
        <v>84564792</v>
      </c>
      <c r="X244" s="18">
        <f t="shared" ref="X244:X256" si="213">SUM(U244:W244)</f>
        <v>84564792</v>
      </c>
      <c r="Y244" s="19">
        <f>NOVIEMBRE!AA244</f>
        <v>0</v>
      </c>
      <c r="Z244" s="374">
        <v>0</v>
      </c>
      <c r="AA244" s="18">
        <f t="shared" ref="AA244:AA256" si="214">SUM(Y244:Z244)</f>
        <v>0</v>
      </c>
      <c r="AB244" s="19">
        <f>NOVIEMBRE!AD244</f>
        <v>0</v>
      </c>
      <c r="AC244" s="374">
        <v>0</v>
      </c>
      <c r="AD244" s="18">
        <f t="shared" ref="AD244:AD256" si="215">SUM(AB244:AC244)</f>
        <v>0</v>
      </c>
      <c r="AE244" s="19">
        <f>NOVIEMBRE!AG244</f>
        <v>0</v>
      </c>
      <c r="AF244" s="374">
        <v>0</v>
      </c>
      <c r="AG244" s="18">
        <f t="shared" ref="AG244:AG256" si="216">SUM(AE244:AF244)</f>
        <v>0</v>
      </c>
      <c r="AH244" s="19">
        <f t="shared" ref="AH244:AH256" si="217">X244-AA244</f>
        <v>84564792</v>
      </c>
      <c r="AI244" s="15">
        <f t="shared" ref="AI244:AI256" si="218">X244-AD244</f>
        <v>84564792</v>
      </c>
      <c r="AJ244" s="16">
        <f t="shared" ref="AJ244:AJ256" si="219">X244-AG244</f>
        <v>84564792</v>
      </c>
      <c r="AK244" s="9"/>
      <c r="AL244" s="372">
        <v>0</v>
      </c>
      <c r="AM244" s="375">
        <v>30686700</v>
      </c>
    </row>
    <row r="245" spans="1:70" ht="24.95" customHeight="1">
      <c r="A245" s="752"/>
      <c r="B245" s="661"/>
      <c r="C245" s="382"/>
      <c r="D245" s="382"/>
      <c r="E245" s="382"/>
      <c r="F245" s="382"/>
      <c r="G245" s="382"/>
      <c r="H245" s="382"/>
      <c r="I245" s="382"/>
      <c r="J245" s="382"/>
      <c r="K245" s="382"/>
      <c r="L245" s="382"/>
      <c r="M245" s="382"/>
      <c r="N245" s="9"/>
      <c r="O245" s="382"/>
      <c r="P245" s="9"/>
      <c r="Q245" s="9"/>
      <c r="S245" s="706" t="str">
        <f>+IF(NOVIEMBRE!S245=0,"",NOVIEMBRE!S245)</f>
        <v>8002100-2</v>
      </c>
      <c r="T245" s="682" t="str">
        <f>+IF(NOVIEMBRE!T245=0,"",NOVIEMBRE!T245)</f>
        <v>Programas Especial 01</v>
      </c>
      <c r="U245" s="27">
        <f>+ENERO!U245</f>
        <v>0</v>
      </c>
      <c r="V245" s="15">
        <f>NOVIEMBRE!V245+DICIEMBRE!AL245</f>
        <v>0</v>
      </c>
      <c r="W245" s="15">
        <f>NOVIEMBRE!W245+DICIEMBRE!AM245</f>
        <v>0</v>
      </c>
      <c r="X245" s="18">
        <f t="shared" si="213"/>
        <v>0</v>
      </c>
      <c r="Y245" s="19">
        <f>NOVIEMBRE!AA245</f>
        <v>0</v>
      </c>
      <c r="Z245" s="374">
        <v>0</v>
      </c>
      <c r="AA245" s="18">
        <f t="shared" si="214"/>
        <v>0</v>
      </c>
      <c r="AB245" s="19">
        <f>NOVIEMBRE!AD245</f>
        <v>0</v>
      </c>
      <c r="AC245" s="374">
        <v>0</v>
      </c>
      <c r="AD245" s="18">
        <f t="shared" si="215"/>
        <v>0</v>
      </c>
      <c r="AE245" s="19">
        <f>NOVIEMBRE!AG245</f>
        <v>0</v>
      </c>
      <c r="AF245" s="374">
        <v>0</v>
      </c>
      <c r="AG245" s="18">
        <f t="shared" si="216"/>
        <v>0</v>
      </c>
      <c r="AH245" s="19">
        <f t="shared" si="217"/>
        <v>0</v>
      </c>
      <c r="AI245" s="15">
        <f t="shared" si="218"/>
        <v>0</v>
      </c>
      <c r="AJ245" s="16">
        <f t="shared" si="219"/>
        <v>0</v>
      </c>
      <c r="AK245" s="9"/>
      <c r="AL245" s="372">
        <v>0</v>
      </c>
      <c r="AM245" s="375">
        <v>0</v>
      </c>
    </row>
    <row r="246" spans="1:70" ht="24.95" customHeight="1">
      <c r="A246" s="752"/>
      <c r="B246" s="661"/>
      <c r="C246" s="382"/>
      <c r="D246" s="382"/>
      <c r="E246" s="382"/>
      <c r="F246" s="382"/>
      <c r="G246" s="382"/>
      <c r="H246" s="382"/>
      <c r="I246" s="382"/>
      <c r="J246" s="382"/>
      <c r="K246" s="382"/>
      <c r="L246" s="382"/>
      <c r="M246" s="382"/>
      <c r="N246" s="9"/>
      <c r="O246" s="382"/>
      <c r="P246" s="9"/>
      <c r="Q246" s="9"/>
      <c r="S246" s="706" t="str">
        <f>+IF(NOVIEMBRE!S246=0,"",NOVIEMBRE!S246)</f>
        <v>8002100-3</v>
      </c>
      <c r="T246" s="682" t="str">
        <f>+IF(NOVIEMBRE!T246=0,"",NOVIEMBRE!T246)</f>
        <v>Programas Especial 02</v>
      </c>
      <c r="U246" s="27">
        <f>+ENERO!U246</f>
        <v>0</v>
      </c>
      <c r="V246" s="15">
        <f>NOVIEMBRE!V246+DICIEMBRE!AL246</f>
        <v>0</v>
      </c>
      <c r="W246" s="15">
        <f>NOVIEMBRE!W246+DICIEMBRE!AM246</f>
        <v>0</v>
      </c>
      <c r="X246" s="18">
        <f t="shared" si="213"/>
        <v>0</v>
      </c>
      <c r="Y246" s="19">
        <f>NOVIEMBRE!AA246</f>
        <v>0</v>
      </c>
      <c r="Z246" s="374">
        <v>0</v>
      </c>
      <c r="AA246" s="18">
        <f t="shared" si="214"/>
        <v>0</v>
      </c>
      <c r="AB246" s="19">
        <f>NOVIEMBRE!AD246</f>
        <v>0</v>
      </c>
      <c r="AC246" s="374">
        <v>0</v>
      </c>
      <c r="AD246" s="18">
        <f t="shared" si="215"/>
        <v>0</v>
      </c>
      <c r="AE246" s="19">
        <f>NOVIEMBRE!AG246</f>
        <v>0</v>
      </c>
      <c r="AF246" s="374">
        <v>0</v>
      </c>
      <c r="AG246" s="18">
        <f t="shared" si="216"/>
        <v>0</v>
      </c>
      <c r="AH246" s="19">
        <f t="shared" si="217"/>
        <v>0</v>
      </c>
      <c r="AI246" s="15">
        <f t="shared" si="218"/>
        <v>0</v>
      </c>
      <c r="AJ246" s="16">
        <f t="shared" si="219"/>
        <v>0</v>
      </c>
      <c r="AK246" s="9"/>
      <c r="AL246" s="372">
        <v>0</v>
      </c>
      <c r="AM246" s="375">
        <v>0</v>
      </c>
    </row>
    <row r="247" spans="1:70" ht="24.95" customHeight="1">
      <c r="A247" s="752"/>
      <c r="B247" s="661"/>
      <c r="C247" s="382"/>
      <c r="D247" s="382"/>
      <c r="E247" s="382"/>
      <c r="F247" s="382"/>
      <c r="G247" s="382"/>
      <c r="H247" s="382"/>
      <c r="I247" s="382"/>
      <c r="J247" s="382"/>
      <c r="K247" s="382"/>
      <c r="L247" s="382"/>
      <c r="M247" s="382"/>
      <c r="N247" s="9"/>
      <c r="O247" s="382"/>
      <c r="P247" s="9"/>
      <c r="Q247" s="9"/>
      <c r="S247" s="706" t="str">
        <f>+IF(NOVIEMBRE!S247=0,"",NOVIEMBRE!S247)</f>
        <v>8002100-4</v>
      </c>
      <c r="T247" s="682" t="str">
        <f>+IF(NOVIEMBRE!T247=0,"",NOVIEMBRE!T247)</f>
        <v>Programas Especial 03</v>
      </c>
      <c r="U247" s="27">
        <f>+ENERO!U247</f>
        <v>0</v>
      </c>
      <c r="V247" s="15">
        <f>NOVIEMBRE!V247+DICIEMBRE!AL247</f>
        <v>0</v>
      </c>
      <c r="W247" s="15">
        <f>NOVIEMBRE!W247+DICIEMBRE!AM247</f>
        <v>0</v>
      </c>
      <c r="X247" s="18">
        <f t="shared" si="213"/>
        <v>0</v>
      </c>
      <c r="Y247" s="19">
        <f>NOVIEMBRE!AA247</f>
        <v>0</v>
      </c>
      <c r="Z247" s="374">
        <v>0</v>
      </c>
      <c r="AA247" s="18">
        <f t="shared" si="214"/>
        <v>0</v>
      </c>
      <c r="AB247" s="19">
        <f>NOVIEMBRE!AD247</f>
        <v>0</v>
      </c>
      <c r="AC247" s="374">
        <v>0</v>
      </c>
      <c r="AD247" s="18">
        <f t="shared" si="215"/>
        <v>0</v>
      </c>
      <c r="AE247" s="19">
        <f>NOVIEMBRE!AG247</f>
        <v>0</v>
      </c>
      <c r="AF247" s="374">
        <v>0</v>
      </c>
      <c r="AG247" s="18">
        <f t="shared" si="216"/>
        <v>0</v>
      </c>
      <c r="AH247" s="19">
        <f t="shared" si="217"/>
        <v>0</v>
      </c>
      <c r="AI247" s="15">
        <f t="shared" si="218"/>
        <v>0</v>
      </c>
      <c r="AJ247" s="16">
        <f t="shared" si="219"/>
        <v>0</v>
      </c>
      <c r="AK247" s="9"/>
      <c r="AL247" s="372">
        <v>0</v>
      </c>
      <c r="AM247" s="375">
        <v>0</v>
      </c>
    </row>
    <row r="248" spans="1:70" ht="24.95" customHeight="1">
      <c r="A248" s="752"/>
      <c r="B248" s="661"/>
      <c r="C248" s="382"/>
      <c r="D248" s="382"/>
      <c r="E248" s="382"/>
      <c r="F248" s="382"/>
      <c r="G248" s="382"/>
      <c r="H248" s="382"/>
      <c r="I248" s="382"/>
      <c r="J248" s="382"/>
      <c r="K248" s="382"/>
      <c r="L248" s="382"/>
      <c r="M248" s="382"/>
      <c r="N248" s="9"/>
      <c r="O248" s="382"/>
      <c r="P248" s="9"/>
      <c r="Q248" s="9"/>
      <c r="S248" s="706" t="str">
        <f>+IF(NOVIEMBRE!S248=0,"",NOVIEMBRE!S248)</f>
        <v>8002100-5</v>
      </c>
      <c r="T248" s="682" t="str">
        <f>+IF(NOVIEMBRE!T248=0,"",NOVIEMBRE!T248)</f>
        <v>Programas Especial 04</v>
      </c>
      <c r="U248" s="27">
        <f>+ENERO!U248</f>
        <v>0</v>
      </c>
      <c r="V248" s="15">
        <f>NOVIEMBRE!V248+DICIEMBRE!AL248</f>
        <v>0</v>
      </c>
      <c r="W248" s="15">
        <f>NOVIEMBRE!W248+DICIEMBRE!AM248</f>
        <v>0</v>
      </c>
      <c r="X248" s="18">
        <f t="shared" si="213"/>
        <v>0</v>
      </c>
      <c r="Y248" s="19">
        <f>NOVIEMBRE!AA248</f>
        <v>0</v>
      </c>
      <c r="Z248" s="374">
        <v>0</v>
      </c>
      <c r="AA248" s="18">
        <f t="shared" si="214"/>
        <v>0</v>
      </c>
      <c r="AB248" s="19">
        <f>NOVIEMBRE!AD248</f>
        <v>0</v>
      </c>
      <c r="AC248" s="374">
        <v>0</v>
      </c>
      <c r="AD248" s="18">
        <f t="shared" si="215"/>
        <v>0</v>
      </c>
      <c r="AE248" s="19">
        <f>NOVIEMBRE!AG248</f>
        <v>0</v>
      </c>
      <c r="AF248" s="374">
        <v>0</v>
      </c>
      <c r="AG248" s="18">
        <f t="shared" si="216"/>
        <v>0</v>
      </c>
      <c r="AH248" s="19">
        <f t="shared" si="217"/>
        <v>0</v>
      </c>
      <c r="AI248" s="15">
        <f t="shared" si="218"/>
        <v>0</v>
      </c>
      <c r="AJ248" s="16">
        <f t="shared" si="219"/>
        <v>0</v>
      </c>
      <c r="AK248" s="9"/>
      <c r="AL248" s="372">
        <v>0</v>
      </c>
      <c r="AM248" s="375">
        <v>0</v>
      </c>
    </row>
    <row r="249" spans="1:70" ht="24.95" customHeight="1">
      <c r="A249" s="752"/>
      <c r="B249" s="661"/>
      <c r="C249" s="382"/>
      <c r="D249" s="382"/>
      <c r="E249" s="382"/>
      <c r="F249" s="382"/>
      <c r="G249" s="382"/>
      <c r="H249" s="382"/>
      <c r="I249" s="382"/>
      <c r="J249" s="382"/>
      <c r="K249" s="382"/>
      <c r="L249" s="382"/>
      <c r="M249" s="382"/>
      <c r="N249" s="9"/>
      <c r="O249" s="382"/>
      <c r="P249" s="9"/>
      <c r="Q249" s="9"/>
      <c r="S249" s="706" t="str">
        <f>+IF(NOVIEMBRE!S249=0,"",NOVIEMBRE!S249)</f>
        <v>8002100-6</v>
      </c>
      <c r="T249" s="682" t="str">
        <f>+IF(NOVIEMBRE!T249=0,"",NOVIEMBRE!T249)</f>
        <v>Programas Especial 05</v>
      </c>
      <c r="U249" s="27">
        <f>+ENERO!U249</f>
        <v>0</v>
      </c>
      <c r="V249" s="15">
        <f>NOVIEMBRE!V249+DICIEMBRE!AL249</f>
        <v>0</v>
      </c>
      <c r="W249" s="15">
        <f>NOVIEMBRE!W249+DICIEMBRE!AM249</f>
        <v>0</v>
      </c>
      <c r="X249" s="18">
        <f t="shared" si="213"/>
        <v>0</v>
      </c>
      <c r="Y249" s="19">
        <f>NOVIEMBRE!AA249</f>
        <v>0</v>
      </c>
      <c r="Z249" s="374">
        <v>0</v>
      </c>
      <c r="AA249" s="18">
        <f t="shared" si="214"/>
        <v>0</v>
      </c>
      <c r="AB249" s="19">
        <f>NOVIEMBRE!AD249</f>
        <v>0</v>
      </c>
      <c r="AC249" s="374">
        <v>0</v>
      </c>
      <c r="AD249" s="18">
        <f t="shared" si="215"/>
        <v>0</v>
      </c>
      <c r="AE249" s="19">
        <f>NOVIEMBRE!AG249</f>
        <v>0</v>
      </c>
      <c r="AF249" s="374">
        <v>0</v>
      </c>
      <c r="AG249" s="18">
        <f t="shared" si="216"/>
        <v>0</v>
      </c>
      <c r="AH249" s="19">
        <f t="shared" si="217"/>
        <v>0</v>
      </c>
      <c r="AI249" s="15">
        <f t="shared" si="218"/>
        <v>0</v>
      </c>
      <c r="AJ249" s="16">
        <f t="shared" si="219"/>
        <v>0</v>
      </c>
      <c r="AK249" s="9"/>
      <c r="AL249" s="372">
        <v>0</v>
      </c>
      <c r="AM249" s="375">
        <v>0</v>
      </c>
    </row>
    <row r="250" spans="1:70" ht="24.95" customHeight="1">
      <c r="A250" s="752"/>
      <c r="B250" s="661"/>
      <c r="C250" s="382"/>
      <c r="D250" s="382"/>
      <c r="E250" s="382"/>
      <c r="F250" s="382"/>
      <c r="G250" s="382"/>
      <c r="H250" s="382"/>
      <c r="I250" s="382"/>
      <c r="J250" s="382"/>
      <c r="K250" s="382"/>
      <c r="L250" s="382"/>
      <c r="M250" s="382"/>
      <c r="N250" s="9"/>
      <c r="O250" s="382"/>
      <c r="P250" s="9"/>
      <c r="Q250" s="9"/>
      <c r="S250" s="706" t="str">
        <f>+IF(NOVIEMBRE!S250=0,"",NOVIEMBRE!S250)</f>
        <v>8002100-7</v>
      </c>
      <c r="T250" s="682" t="str">
        <f>+IF(NOVIEMBRE!T250=0,"",NOVIEMBRE!T250)</f>
        <v>Programas Especial 06</v>
      </c>
      <c r="U250" s="27">
        <f>+ENERO!U250</f>
        <v>0</v>
      </c>
      <c r="V250" s="15">
        <f>NOVIEMBRE!V250+DICIEMBRE!AL250</f>
        <v>0</v>
      </c>
      <c r="W250" s="15">
        <f>NOVIEMBRE!W250+DICIEMBRE!AM250</f>
        <v>0</v>
      </c>
      <c r="X250" s="18">
        <f>SUM(U250:W250)</f>
        <v>0</v>
      </c>
      <c r="Y250" s="19">
        <f>NOVIEMBRE!AA250</f>
        <v>0</v>
      </c>
      <c r="Z250" s="374">
        <v>0</v>
      </c>
      <c r="AA250" s="18">
        <f>SUM(Y250:Z250)</f>
        <v>0</v>
      </c>
      <c r="AB250" s="19">
        <f>NOVIEMBRE!AD250</f>
        <v>0</v>
      </c>
      <c r="AC250" s="374">
        <v>0</v>
      </c>
      <c r="AD250" s="18">
        <f>SUM(AB250:AC250)</f>
        <v>0</v>
      </c>
      <c r="AE250" s="19">
        <f>NOVIEMBRE!AG250</f>
        <v>0</v>
      </c>
      <c r="AF250" s="374">
        <v>0</v>
      </c>
      <c r="AG250" s="18">
        <f>SUM(AE250:AF250)</f>
        <v>0</v>
      </c>
      <c r="AH250" s="19">
        <f>X250-AA250</f>
        <v>0</v>
      </c>
      <c r="AI250" s="15">
        <f>X250-AD250</f>
        <v>0</v>
      </c>
      <c r="AJ250" s="16">
        <f>X250-AG250</f>
        <v>0</v>
      </c>
      <c r="AK250" s="9"/>
      <c r="AL250" s="372">
        <v>0</v>
      </c>
      <c r="AM250" s="375">
        <v>0</v>
      </c>
    </row>
    <row r="251" spans="1:70" ht="24.95" customHeight="1">
      <c r="A251" s="752"/>
      <c r="B251" s="661"/>
      <c r="C251" s="382"/>
      <c r="D251" s="382"/>
      <c r="E251" s="382"/>
      <c r="F251" s="382"/>
      <c r="G251" s="382"/>
      <c r="H251" s="382"/>
      <c r="I251" s="382"/>
      <c r="J251" s="382"/>
      <c r="K251" s="382"/>
      <c r="L251" s="382"/>
      <c r="M251" s="382"/>
      <c r="N251" s="9"/>
      <c r="O251" s="382"/>
      <c r="P251" s="9"/>
      <c r="Q251" s="9"/>
      <c r="S251" s="706" t="str">
        <f>+IF(NOVIEMBRE!S251=0,"",NOVIEMBRE!S251)</f>
        <v>8002100-8</v>
      </c>
      <c r="T251" s="682" t="str">
        <f>+IF(NOVIEMBRE!T251=0,"",NOVIEMBRE!T251)</f>
        <v>Programas Especial 07</v>
      </c>
      <c r="U251" s="27">
        <f>+ENERO!U251</f>
        <v>0</v>
      </c>
      <c r="V251" s="15">
        <f>NOVIEMBRE!V251+DICIEMBRE!AL251</f>
        <v>0</v>
      </c>
      <c r="W251" s="15">
        <f>NOVIEMBRE!W251+DICIEMBRE!AM251</f>
        <v>0</v>
      </c>
      <c r="X251" s="18">
        <f>SUM(U251:W251)</f>
        <v>0</v>
      </c>
      <c r="Y251" s="19">
        <f>NOVIEMBRE!AA251</f>
        <v>0</v>
      </c>
      <c r="Z251" s="374">
        <v>0</v>
      </c>
      <c r="AA251" s="18">
        <f>SUM(Y251:Z251)</f>
        <v>0</v>
      </c>
      <c r="AB251" s="19">
        <f>NOVIEMBRE!AD251</f>
        <v>0</v>
      </c>
      <c r="AC251" s="374">
        <v>0</v>
      </c>
      <c r="AD251" s="18">
        <f>SUM(AB251:AC251)</f>
        <v>0</v>
      </c>
      <c r="AE251" s="19">
        <f>NOVIEMBRE!AG251</f>
        <v>0</v>
      </c>
      <c r="AF251" s="374">
        <v>0</v>
      </c>
      <c r="AG251" s="18">
        <f>SUM(AE251:AF251)</f>
        <v>0</v>
      </c>
      <c r="AH251" s="19">
        <f>X251-AA251</f>
        <v>0</v>
      </c>
      <c r="AI251" s="15">
        <f>X251-AD251</f>
        <v>0</v>
      </c>
      <c r="AJ251" s="16">
        <f>X251-AG251</f>
        <v>0</v>
      </c>
      <c r="AK251" s="9"/>
      <c r="AL251" s="372">
        <v>0</v>
      </c>
      <c r="AM251" s="375">
        <v>0</v>
      </c>
    </row>
    <row r="252" spans="1:70" ht="24.95" customHeight="1">
      <c r="A252" s="752"/>
      <c r="B252" s="661"/>
      <c r="C252" s="382"/>
      <c r="D252" s="382"/>
      <c r="E252" s="382"/>
      <c r="F252" s="382"/>
      <c r="G252" s="382"/>
      <c r="H252" s="382"/>
      <c r="I252" s="382"/>
      <c r="J252" s="382"/>
      <c r="K252" s="382"/>
      <c r="L252" s="382"/>
      <c r="M252" s="382"/>
      <c r="N252" s="9"/>
      <c r="O252" s="382"/>
      <c r="P252" s="9"/>
      <c r="Q252" s="9"/>
      <c r="S252" s="706" t="str">
        <f>+IF(NOVIEMBRE!S252=0,"",NOVIEMBRE!S252)</f>
        <v>8002100-9</v>
      </c>
      <c r="T252" s="682" t="str">
        <f>+IF(NOVIEMBRE!T252=0,"",NOVIEMBRE!T252)</f>
        <v>Programas Especial 08</v>
      </c>
      <c r="U252" s="27">
        <f>+ENERO!U252</f>
        <v>0</v>
      </c>
      <c r="V252" s="15">
        <f>NOVIEMBRE!V252+DICIEMBRE!AL252</f>
        <v>0</v>
      </c>
      <c r="W252" s="15">
        <f>NOVIEMBRE!W252+DICIEMBRE!AM252</f>
        <v>0</v>
      </c>
      <c r="X252" s="18">
        <f>SUM(U252:W252)</f>
        <v>0</v>
      </c>
      <c r="Y252" s="19">
        <f>NOVIEMBRE!AA252</f>
        <v>0</v>
      </c>
      <c r="Z252" s="374">
        <v>0</v>
      </c>
      <c r="AA252" s="18">
        <f>SUM(Y252:Z252)</f>
        <v>0</v>
      </c>
      <c r="AB252" s="19">
        <f>NOVIEMBRE!AD252</f>
        <v>0</v>
      </c>
      <c r="AC252" s="374">
        <v>0</v>
      </c>
      <c r="AD252" s="18">
        <f>SUM(AB252:AC252)</f>
        <v>0</v>
      </c>
      <c r="AE252" s="19">
        <f>NOVIEMBRE!AG252</f>
        <v>0</v>
      </c>
      <c r="AF252" s="374">
        <v>0</v>
      </c>
      <c r="AG252" s="18">
        <f>SUM(AE252:AF252)</f>
        <v>0</v>
      </c>
      <c r="AH252" s="19">
        <f>X252-AA252</f>
        <v>0</v>
      </c>
      <c r="AI252" s="15">
        <f>X252-AD252</f>
        <v>0</v>
      </c>
      <c r="AJ252" s="16">
        <f>X252-AG252</f>
        <v>0</v>
      </c>
      <c r="AK252" s="9"/>
      <c r="AL252" s="372">
        <v>0</v>
      </c>
      <c r="AM252" s="375">
        <v>0</v>
      </c>
    </row>
    <row r="253" spans="1:70" ht="24.95" customHeight="1">
      <c r="A253" s="752"/>
      <c r="B253" s="661"/>
      <c r="C253" s="382"/>
      <c r="D253" s="382"/>
      <c r="E253" s="382"/>
      <c r="F253" s="382"/>
      <c r="G253" s="382"/>
      <c r="H253" s="382"/>
      <c r="I253" s="382"/>
      <c r="J253" s="382"/>
      <c r="K253" s="382"/>
      <c r="L253" s="382"/>
      <c r="M253" s="382"/>
      <c r="N253" s="9"/>
      <c r="O253" s="382"/>
      <c r="P253" s="9"/>
      <c r="Q253" s="9"/>
      <c r="S253" s="706" t="str">
        <f>+IF(NOVIEMBRE!S253=0,"",NOVIEMBRE!S253)</f>
        <v>8002100-10</v>
      </c>
      <c r="T253" s="682" t="str">
        <f>+IF(NOVIEMBRE!T253=0,"",NOVIEMBRE!T253)</f>
        <v>Programas Especial 09</v>
      </c>
      <c r="U253" s="27">
        <f>+ENERO!U253</f>
        <v>0</v>
      </c>
      <c r="V253" s="15">
        <f>NOVIEMBRE!V253+DICIEMBRE!AL253</f>
        <v>0</v>
      </c>
      <c r="W253" s="15">
        <f>NOVIEMBRE!W253+DICIEMBRE!AM253</f>
        <v>0</v>
      </c>
      <c r="X253" s="18">
        <f>SUM(U253:W253)</f>
        <v>0</v>
      </c>
      <c r="Y253" s="19">
        <f>NOVIEMBRE!AA253</f>
        <v>0</v>
      </c>
      <c r="Z253" s="374">
        <v>0</v>
      </c>
      <c r="AA253" s="18">
        <f>SUM(Y253:Z253)</f>
        <v>0</v>
      </c>
      <c r="AB253" s="19">
        <f>NOVIEMBRE!AD253</f>
        <v>0</v>
      </c>
      <c r="AC253" s="374">
        <v>0</v>
      </c>
      <c r="AD253" s="18">
        <f>SUM(AB253:AC253)</f>
        <v>0</v>
      </c>
      <c r="AE253" s="19">
        <f>NOVIEMBRE!AG253</f>
        <v>0</v>
      </c>
      <c r="AF253" s="374">
        <v>0</v>
      </c>
      <c r="AG253" s="18">
        <f>SUM(AE253:AF253)</f>
        <v>0</v>
      </c>
      <c r="AH253" s="19">
        <f>X253-AA253</f>
        <v>0</v>
      </c>
      <c r="AI253" s="15">
        <f>X253-AD253</f>
        <v>0</v>
      </c>
      <c r="AJ253" s="16">
        <f>X253-AG253</f>
        <v>0</v>
      </c>
      <c r="AK253" s="9"/>
      <c r="AL253" s="372">
        <v>0</v>
      </c>
      <c r="AM253" s="375">
        <v>0</v>
      </c>
    </row>
    <row r="254" spans="1:70" ht="24.95" customHeight="1">
      <c r="A254" s="752"/>
      <c r="B254" s="661"/>
      <c r="C254" s="382"/>
      <c r="D254" s="382"/>
      <c r="E254" s="382"/>
      <c r="F254" s="382"/>
      <c r="G254" s="382"/>
      <c r="H254" s="382"/>
      <c r="I254" s="382"/>
      <c r="J254" s="382"/>
      <c r="K254" s="382"/>
      <c r="L254" s="382"/>
      <c r="M254" s="382"/>
      <c r="N254" s="9"/>
      <c r="O254" s="382"/>
      <c r="P254" s="9"/>
      <c r="Q254" s="9"/>
      <c r="S254" s="706" t="str">
        <f>+IF(NOVIEMBRE!S254=0,"",NOVIEMBRE!S254)</f>
        <v>8002100-11</v>
      </c>
      <c r="T254" s="682" t="str">
        <f>+IF(NOVIEMBRE!T254=0,"",NOVIEMBRE!T254)</f>
        <v>Programas Especial 10</v>
      </c>
      <c r="U254" s="27">
        <f>+ENERO!U254</f>
        <v>0</v>
      </c>
      <c r="V254" s="15">
        <f>NOVIEMBRE!V254+DICIEMBRE!AL254</f>
        <v>0</v>
      </c>
      <c r="W254" s="15">
        <f>NOVIEMBRE!W254+DICIEMBRE!AM254</f>
        <v>0</v>
      </c>
      <c r="X254" s="18">
        <f>SUM(U254:W254)</f>
        <v>0</v>
      </c>
      <c r="Y254" s="19">
        <f>NOVIEMBRE!AA254</f>
        <v>0</v>
      </c>
      <c r="Z254" s="374">
        <v>0</v>
      </c>
      <c r="AA254" s="18">
        <f>SUM(Y254:Z254)</f>
        <v>0</v>
      </c>
      <c r="AB254" s="19">
        <f>NOVIEMBRE!AD254</f>
        <v>0</v>
      </c>
      <c r="AC254" s="374">
        <v>0</v>
      </c>
      <c r="AD254" s="18">
        <f>SUM(AB254:AC254)</f>
        <v>0</v>
      </c>
      <c r="AE254" s="19">
        <f>NOVIEMBRE!AG254</f>
        <v>0</v>
      </c>
      <c r="AF254" s="374">
        <v>0</v>
      </c>
      <c r="AG254" s="18">
        <f>SUM(AE254:AF254)</f>
        <v>0</v>
      </c>
      <c r="AH254" s="19">
        <f>X254-AA254</f>
        <v>0</v>
      </c>
      <c r="AI254" s="15">
        <f>X254-AD254</f>
        <v>0</v>
      </c>
      <c r="AJ254" s="16">
        <f>X254-AG254</f>
        <v>0</v>
      </c>
      <c r="AK254" s="9"/>
      <c r="AL254" s="372">
        <v>0</v>
      </c>
      <c r="AM254" s="375">
        <v>0</v>
      </c>
    </row>
    <row r="255" spans="1:70" ht="24.95" customHeight="1">
      <c r="A255" s="752"/>
      <c r="B255" s="661"/>
      <c r="C255" s="382"/>
      <c r="D255" s="382"/>
      <c r="E255" s="382"/>
      <c r="F255" s="382"/>
      <c r="G255" s="382"/>
      <c r="H255" s="382"/>
      <c r="I255" s="382"/>
      <c r="J255" s="382"/>
      <c r="K255" s="382"/>
      <c r="L255" s="382"/>
      <c r="M255" s="382"/>
      <c r="N255" s="9"/>
      <c r="O255" s="382"/>
      <c r="P255" s="9"/>
      <c r="Q255" s="9"/>
      <c r="S255" s="706" t="str">
        <f>+IF(NOVIEMBRE!S255=0,"",NOVIEMBRE!S255)</f>
        <v>8002100-12</v>
      </c>
      <c r="T255" s="682" t="str">
        <f>+IF(NOVIEMBRE!T255=0,"",NOVIEMBRE!T255)</f>
        <v>Programas Especial 11</v>
      </c>
      <c r="U255" s="27">
        <f>+ENERO!U255</f>
        <v>0</v>
      </c>
      <c r="V255" s="15">
        <f>NOVIEMBRE!V255+DICIEMBRE!AL255</f>
        <v>0</v>
      </c>
      <c r="W255" s="15">
        <f>NOVIEMBRE!W255+DICIEMBRE!AM255</f>
        <v>0</v>
      </c>
      <c r="X255" s="18">
        <f t="shared" si="213"/>
        <v>0</v>
      </c>
      <c r="Y255" s="19">
        <f>NOVIEMBRE!AA255</f>
        <v>0</v>
      </c>
      <c r="Z255" s="374">
        <v>0</v>
      </c>
      <c r="AA255" s="18">
        <f t="shared" si="214"/>
        <v>0</v>
      </c>
      <c r="AB255" s="19">
        <f>NOVIEMBRE!AD255</f>
        <v>0</v>
      </c>
      <c r="AC255" s="374">
        <v>0</v>
      </c>
      <c r="AD255" s="18">
        <f t="shared" si="215"/>
        <v>0</v>
      </c>
      <c r="AE255" s="19">
        <f>NOVIEMBRE!AG255</f>
        <v>0</v>
      </c>
      <c r="AF255" s="374">
        <v>0</v>
      </c>
      <c r="AG255" s="18">
        <f t="shared" si="216"/>
        <v>0</v>
      </c>
      <c r="AH255" s="19">
        <f t="shared" si="217"/>
        <v>0</v>
      </c>
      <c r="AI255" s="15">
        <f t="shared" si="218"/>
        <v>0</v>
      </c>
      <c r="AJ255" s="16">
        <f t="shared" si="219"/>
        <v>0</v>
      </c>
      <c r="AK255" s="9"/>
      <c r="AL255" s="372">
        <v>0</v>
      </c>
      <c r="AM255" s="375">
        <v>0</v>
      </c>
    </row>
    <row r="256" spans="1:70" ht="24.95" customHeight="1" thickBot="1">
      <c r="A256" s="752"/>
      <c r="B256" s="661"/>
      <c r="C256" s="382"/>
      <c r="D256" s="382"/>
      <c r="E256" s="382"/>
      <c r="F256" s="382"/>
      <c r="G256" s="382"/>
      <c r="H256" s="382"/>
      <c r="I256" s="382"/>
      <c r="J256" s="382"/>
      <c r="K256" s="382"/>
      <c r="L256" s="382"/>
      <c r="M256" s="382"/>
      <c r="N256" s="9"/>
      <c r="O256" s="382"/>
      <c r="P256" s="9"/>
      <c r="Q256" s="9"/>
      <c r="S256" s="717">
        <f>+IF(NOVIEMBRE!S256=0,"",NOVIEMBRE!S256)</f>
        <v>8002999</v>
      </c>
      <c r="T256" s="697" t="str">
        <f>+IF(NOVIEMBRE!T256=0,"",NOVIEMBRE!T256)</f>
        <v>Vigencias Anteriores</v>
      </c>
      <c r="U256" s="133">
        <f>+ENERO!U256</f>
        <v>0</v>
      </c>
      <c r="V256" s="121">
        <f>NOVIEMBRE!V256+DICIEMBRE!AL256</f>
        <v>0</v>
      </c>
      <c r="W256" s="121">
        <f>NOVIEMBRE!W256+DICIEMBRE!AM256</f>
        <v>0</v>
      </c>
      <c r="X256" s="126">
        <f t="shared" si="213"/>
        <v>0</v>
      </c>
      <c r="Y256" s="124">
        <f>NOVIEMBRE!AA256</f>
        <v>0</v>
      </c>
      <c r="Z256" s="388">
        <v>0</v>
      </c>
      <c r="AA256" s="126">
        <f t="shared" si="214"/>
        <v>0</v>
      </c>
      <c r="AB256" s="124">
        <f>NOVIEMBRE!AD256</f>
        <v>0</v>
      </c>
      <c r="AC256" s="388">
        <v>0</v>
      </c>
      <c r="AD256" s="126">
        <f t="shared" si="215"/>
        <v>0</v>
      </c>
      <c r="AE256" s="124">
        <f>NOVIEMBRE!AG256</f>
        <v>0</v>
      </c>
      <c r="AF256" s="388">
        <v>0</v>
      </c>
      <c r="AG256" s="126">
        <f t="shared" si="216"/>
        <v>0</v>
      </c>
      <c r="AH256" s="124">
        <f t="shared" si="217"/>
        <v>0</v>
      </c>
      <c r="AI256" s="121">
        <f t="shared" si="218"/>
        <v>0</v>
      </c>
      <c r="AJ256" s="125">
        <f t="shared" si="219"/>
        <v>0</v>
      </c>
      <c r="AK256" s="9"/>
      <c r="AL256" s="384">
        <v>0</v>
      </c>
      <c r="AM256" s="389">
        <v>0</v>
      </c>
    </row>
    <row r="257" spans="1:39" ht="24.95" customHeight="1" thickBot="1">
      <c r="A257" s="752"/>
      <c r="B257" s="661"/>
      <c r="C257" s="382"/>
      <c r="D257" s="382"/>
      <c r="E257" s="382"/>
      <c r="F257" s="382"/>
      <c r="G257" s="382"/>
      <c r="H257" s="382"/>
      <c r="I257" s="382"/>
      <c r="J257" s="382"/>
      <c r="K257" s="382"/>
      <c r="L257" s="382"/>
      <c r="M257" s="382"/>
      <c r="N257" s="9"/>
      <c r="O257" s="382"/>
      <c r="P257" s="9"/>
      <c r="Q257" s="9"/>
      <c r="S257" s="495" t="str">
        <f>+IF(NOVIEMBRE!S257=0,"",NOVIEMBRE!S257)</f>
        <v/>
      </c>
      <c r="T257" s="694"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A258" s="752"/>
      <c r="B258" s="661"/>
      <c r="C258" s="382"/>
      <c r="D258" s="382"/>
      <c r="E258" s="382"/>
      <c r="F258" s="382"/>
      <c r="G258" s="382"/>
      <c r="H258" s="382"/>
      <c r="I258" s="382"/>
      <c r="J258" s="382"/>
      <c r="K258" s="382"/>
      <c r="L258" s="382"/>
      <c r="M258" s="382"/>
      <c r="N258" s="9"/>
      <c r="O258" s="382"/>
      <c r="P258" s="9"/>
      <c r="Q258" s="9"/>
      <c r="S258" s="776" t="s">
        <v>363</v>
      </c>
      <c r="T258" s="777" t="s">
        <v>133</v>
      </c>
      <c r="U258" s="340">
        <f>+(C10+C17+C113)-(U10+U193+U220+U232)</f>
        <v>0</v>
      </c>
      <c r="V258" s="340">
        <f t="shared" ref="V258:AJ258" si="220">+(D10+D17+D113)-(V10+V193+V220+V232)</f>
        <v>0</v>
      </c>
      <c r="W258" s="340">
        <f t="shared" si="220"/>
        <v>0</v>
      </c>
      <c r="X258" s="340">
        <f t="shared" si="220"/>
        <v>0</v>
      </c>
      <c r="Y258" s="340">
        <f t="shared" si="220"/>
        <v>-712796812</v>
      </c>
      <c r="Z258" s="340">
        <f t="shared" si="220"/>
        <v>6505284840</v>
      </c>
      <c r="AA258" s="340">
        <f t="shared" si="220"/>
        <v>5792488028</v>
      </c>
      <c r="AB258" s="340">
        <f t="shared" si="220"/>
        <v>-18594261636</v>
      </c>
      <c r="AC258" s="340">
        <f t="shared" si="220"/>
        <v>-39357495</v>
      </c>
      <c r="AD258" s="340">
        <f t="shared" si="220"/>
        <v>-18633619131</v>
      </c>
      <c r="AE258" s="340">
        <f t="shared" si="220"/>
        <v>-36534664549</v>
      </c>
      <c r="AF258" s="340">
        <f t="shared" si="220"/>
        <v>18866207974</v>
      </c>
      <c r="AG258" s="340">
        <f t="shared" si="220"/>
        <v>-43822101413</v>
      </c>
      <c r="AH258" s="340">
        <f t="shared" si="220"/>
        <v>-6656256867</v>
      </c>
      <c r="AI258" s="340">
        <f t="shared" si="220"/>
        <v>-5703916954</v>
      </c>
      <c r="AJ258" s="778">
        <f t="shared" si="220"/>
        <v>-26185516789</v>
      </c>
      <c r="AK258" s="9"/>
      <c r="AL258" s="338">
        <v>0</v>
      </c>
      <c r="AM258" s="339">
        <v>0</v>
      </c>
    </row>
    <row r="259" spans="1: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1252431838</v>
      </c>
    </row>
    <row r="260" spans="1:39" ht="24.95" customHeight="1" thickBot="1">
      <c r="S260" s="795" t="s">
        <v>582</v>
      </c>
      <c r="T260" s="796"/>
      <c r="U260" s="771">
        <f>+U8-U262</f>
        <v>47989706380</v>
      </c>
      <c r="V260" s="771">
        <f t="shared" ref="V260:AJ260" si="221">+V8-V262</f>
        <v>-392883676</v>
      </c>
      <c r="W260" s="771">
        <f t="shared" si="221"/>
        <v>8253962363</v>
      </c>
      <c r="X260" s="771">
        <f t="shared" si="221"/>
        <v>55850785067</v>
      </c>
      <c r="Y260" s="771">
        <f t="shared" si="221"/>
        <v>51825410357</v>
      </c>
      <c r="Z260" s="771">
        <f t="shared" si="221"/>
        <v>-2619454039</v>
      </c>
      <c r="AA260" s="771">
        <f t="shared" si="221"/>
        <v>49205956318</v>
      </c>
      <c r="AB260" s="771">
        <f t="shared" si="221"/>
        <v>43891601111</v>
      </c>
      <c r="AC260" s="771">
        <f t="shared" si="221"/>
        <v>5314355206</v>
      </c>
      <c r="AD260" s="771">
        <f t="shared" si="221"/>
        <v>49205956317</v>
      </c>
      <c r="AE260" s="771">
        <f t="shared" si="221"/>
        <v>25117499222</v>
      </c>
      <c r="AF260" s="771">
        <f t="shared" si="221"/>
        <v>4559197174</v>
      </c>
      <c r="AG260" s="771">
        <f t="shared" si="221"/>
        <v>29676696396</v>
      </c>
      <c r="AH260" s="771">
        <f t="shared" si="221"/>
        <v>6644828749</v>
      </c>
      <c r="AI260" s="771">
        <f t="shared" si="221"/>
        <v>6644828750</v>
      </c>
      <c r="AJ260" s="772">
        <f t="shared" si="221"/>
        <v>26174088671</v>
      </c>
      <c r="AK260" s="10"/>
      <c r="AL260" s="382"/>
      <c r="AM260" s="382"/>
    </row>
    <row r="261" spans="1:39" ht="24.95" customHeight="1" thickBot="1">
      <c r="S261" s="800"/>
      <c r="T261" s="801"/>
      <c r="U261" s="779"/>
      <c r="V261" s="779"/>
      <c r="W261" s="779"/>
      <c r="X261" s="779"/>
      <c r="Y261" s="779"/>
      <c r="Z261" s="779"/>
      <c r="AA261" s="779"/>
      <c r="AB261" s="779"/>
      <c r="AC261" s="779"/>
      <c r="AD261" s="779"/>
      <c r="AE261" s="779"/>
      <c r="AF261" s="779"/>
      <c r="AG261" s="779"/>
      <c r="AH261" s="779"/>
      <c r="AI261" s="779"/>
      <c r="AJ261" s="780"/>
      <c r="AK261" s="10"/>
      <c r="AL261" s="382"/>
      <c r="AM261" s="382"/>
    </row>
    <row r="262" spans="1:39" ht="24.95" customHeight="1" thickBot="1">
      <c r="S262" s="797" t="s">
        <v>583</v>
      </c>
      <c r="T262" s="798"/>
      <c r="U262" s="775">
        <f>+SUMIF($T$8:$T$256,$T$33,U8:U256)</f>
        <v>2232471701</v>
      </c>
      <c r="V262" s="775">
        <f t="shared" ref="V262:AJ262" si="222">+SUMIF($T$8:$T$256,$T$33,V8:V256)</f>
        <v>392883676</v>
      </c>
      <c r="W262" s="775">
        <f t="shared" si="222"/>
        <v>11531477758</v>
      </c>
      <c r="X262" s="775">
        <f t="shared" si="222"/>
        <v>14156833135</v>
      </c>
      <c r="Y262" s="775">
        <f t="shared" si="222"/>
        <v>12280934166</v>
      </c>
      <c r="Z262" s="775">
        <f t="shared" si="222"/>
        <v>1864470851</v>
      </c>
      <c r="AA262" s="775">
        <f t="shared" si="222"/>
        <v>14145405017</v>
      </c>
      <c r="AB262" s="775">
        <f t="shared" si="222"/>
        <v>12280934166</v>
      </c>
      <c r="AC262" s="775">
        <f t="shared" si="222"/>
        <v>1864470851</v>
      </c>
      <c r="AD262" s="775">
        <f t="shared" si="222"/>
        <v>14145405017</v>
      </c>
      <c r="AE262" s="775">
        <f t="shared" si="222"/>
        <v>12280934166</v>
      </c>
      <c r="AF262" s="775">
        <f t="shared" si="222"/>
        <v>1864470851</v>
      </c>
      <c r="AG262" s="775">
        <f t="shared" si="222"/>
        <v>14145405017</v>
      </c>
      <c r="AH262" s="775">
        <f t="shared" si="222"/>
        <v>11428118</v>
      </c>
      <c r="AI262" s="775">
        <f t="shared" si="222"/>
        <v>11428118</v>
      </c>
      <c r="AJ262" s="799">
        <f t="shared" si="222"/>
        <v>11428118</v>
      </c>
    </row>
    <row r="263" spans="1: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39" ht="24.95" customHeight="1" thickBot="1">
      <c r="S264" s="773" t="s">
        <v>584</v>
      </c>
      <c r="T264" s="774"/>
      <c r="U264" s="793">
        <f>+U260+U262</f>
        <v>50222178081</v>
      </c>
      <c r="V264" s="793">
        <f t="shared" ref="V264:AJ264" si="223">+V260+V262</f>
        <v>0</v>
      </c>
      <c r="W264" s="793">
        <f t="shared" si="223"/>
        <v>19785440121</v>
      </c>
      <c r="X264" s="793">
        <f t="shared" si="223"/>
        <v>70007618202</v>
      </c>
      <c r="Y264" s="793">
        <f t="shared" si="223"/>
        <v>64106344523</v>
      </c>
      <c r="Z264" s="793">
        <f t="shared" si="223"/>
        <v>-754983188</v>
      </c>
      <c r="AA264" s="793">
        <f t="shared" si="223"/>
        <v>63351361335</v>
      </c>
      <c r="AB264" s="793">
        <f t="shared" si="223"/>
        <v>56172535277</v>
      </c>
      <c r="AC264" s="793">
        <f t="shared" si="223"/>
        <v>7178826057</v>
      </c>
      <c r="AD264" s="793">
        <f t="shared" si="223"/>
        <v>63351361334</v>
      </c>
      <c r="AE264" s="793">
        <f t="shared" si="223"/>
        <v>37398433388</v>
      </c>
      <c r="AF264" s="793">
        <f t="shared" si="223"/>
        <v>6423668025</v>
      </c>
      <c r="AG264" s="793">
        <f t="shared" si="223"/>
        <v>43822101413</v>
      </c>
      <c r="AH264" s="793">
        <f t="shared" si="223"/>
        <v>6656256867</v>
      </c>
      <c r="AI264" s="793">
        <f t="shared" si="223"/>
        <v>6656256868</v>
      </c>
      <c r="AJ264" s="794">
        <f t="shared" si="223"/>
        <v>26185516789</v>
      </c>
    </row>
  </sheetData>
  <sheetProtection password="E4F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xr:uid="{00000000-0002-0000-0C00-000000000000}"/>
    <dataValidation allowBlank="1" showInputMessage="1" showErrorMessage="1" promptTitle="ATENCION..." prompt="Las actividades de Promoción y Prevención se manejaran en cada régimen." sqref="A23:C24 P23:Q24 K23:K24 H23:H24" xr:uid="{00000000-0002-0000-0C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C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0000"/>
  </sheetPr>
  <dimension ref="A1:IR122"/>
  <sheetViews>
    <sheetView showGridLines="0" showZeros="0" tabSelected="1" view="pageBreakPreview" topLeftCell="A28" zoomScale="80" zoomScaleNormal="80" zoomScaleSheetLayoutView="80" workbookViewId="0">
      <selection activeCell="C11" sqref="C11"/>
    </sheetView>
  </sheetViews>
  <sheetFormatPr baseColWidth="10" defaultColWidth="0" defaultRowHeight="24.95" customHeight="1"/>
  <cols>
    <col min="1" max="1" width="1.5703125" style="601" customWidth="1"/>
    <col min="2" max="2" width="53.42578125" style="759" customWidth="1"/>
    <col min="3" max="3" width="24.140625" style="601" customWidth="1"/>
    <col min="4" max="4" width="18" style="601" customWidth="1"/>
    <col min="5" max="5" width="20.42578125" style="601" customWidth="1"/>
    <col min="6" max="6" width="15.5703125" style="601" customWidth="1"/>
    <col min="7" max="7" width="15.7109375" style="601" customWidth="1"/>
    <col min="8" max="8" width="16.85546875" style="601" customWidth="1"/>
    <col min="9" max="9" width="15.140625" style="601" customWidth="1"/>
    <col min="10" max="10" width="16.28515625" style="601" customWidth="1"/>
    <col min="11" max="12" width="15.5703125" style="601" customWidth="1"/>
    <col min="13" max="13" width="15" style="601" customWidth="1"/>
    <col min="14" max="14" width="15.7109375" style="601" customWidth="1"/>
    <col min="15" max="17" width="17" style="601" hidden="1" customWidth="1"/>
    <col min="18" max="18" width="16.85546875" style="601" customWidth="1"/>
    <col min="19" max="19" width="2.85546875" style="592" customWidth="1"/>
    <col min="20" max="20" width="5.28515625" style="601" hidden="1" customWidth="1"/>
    <col min="21" max="16384" width="0" style="601" hidden="1"/>
  </cols>
  <sheetData>
    <row r="1" spans="1:19" s="592" customFormat="1" ht="40.5" customHeight="1">
      <c r="A1" s="590">
        <v>123</v>
      </c>
      <c r="B1" s="3419" t="s">
        <v>615</v>
      </c>
      <c r="C1" s="3419"/>
      <c r="D1" s="3419"/>
      <c r="E1" s="3419"/>
      <c r="F1" s="3419"/>
      <c r="G1" s="3419"/>
      <c r="H1" s="3419"/>
      <c r="I1" s="3419"/>
      <c r="J1" s="3419"/>
      <c r="K1" s="762" t="str">
        <f>+CONCATENATE("VIGENCIA ",INSTRUCCIONES!F3)</f>
        <v>VIGENCIA 2017</v>
      </c>
      <c r="L1" s="762"/>
      <c r="M1" s="762"/>
      <c r="N1" s="591"/>
      <c r="O1" s="591"/>
      <c r="P1" s="591"/>
      <c r="Q1" s="591"/>
      <c r="R1" s="591"/>
    </row>
    <row r="2" spans="1:19" s="596" customFormat="1" ht="24.95" customHeight="1">
      <c r="A2" s="593"/>
      <c r="B2" s="754"/>
      <c r="C2" s="594"/>
      <c r="D2" s="595"/>
      <c r="E2" s="595"/>
      <c r="F2" s="595"/>
      <c r="G2" s="595"/>
      <c r="H2" s="3420" t="str">
        <f>+IF((G4+I4+K4+M4)&gt;1,"OJO - SOLO DEBE SECCIONAR UNO DE LOS TRIMESTRES A LA VEZ","")</f>
        <v/>
      </c>
      <c r="I2" s="3420"/>
      <c r="J2" s="3420"/>
      <c r="K2" s="3420"/>
      <c r="L2" s="3420"/>
      <c r="M2" s="3420"/>
      <c r="N2" s="3420"/>
      <c r="O2" s="3420"/>
      <c r="P2" s="3420"/>
      <c r="Q2" s="3420"/>
      <c r="R2" s="3420"/>
      <c r="S2" s="592"/>
    </row>
    <row r="3" spans="1:19" s="596" customFormat="1" ht="45" customHeight="1">
      <c r="A3" s="593"/>
      <c r="B3" s="3425" t="str">
        <f>+CONCATENATE(INSTRUCCIONES!B5," - ",INSTRUCCIONES!B3)</f>
        <v>ESE HOSPITALSAN RAFAEL - ITAGUI</v>
      </c>
      <c r="C3" s="3425"/>
      <c r="D3" s="3425"/>
      <c r="E3" s="3425"/>
      <c r="F3" s="3425"/>
      <c r="G3" s="3425"/>
      <c r="H3" s="3425"/>
      <c r="I3" s="3425"/>
      <c r="J3" s="3425"/>
      <c r="K3" s="3425"/>
      <c r="L3" s="3425"/>
      <c r="M3" s="3425"/>
      <c r="N3" s="597"/>
      <c r="O3" s="597"/>
      <c r="P3" s="597"/>
      <c r="Q3" s="597"/>
      <c r="R3" s="597"/>
    </row>
    <row r="4" spans="1:19" s="596" customFormat="1" ht="42" customHeight="1">
      <c r="A4" s="593"/>
      <c r="B4" s="3421" t="s">
        <v>385</v>
      </c>
      <c r="C4" s="3421"/>
      <c r="D4" s="3421"/>
      <c r="E4" s="667"/>
      <c r="F4" s="598" t="s">
        <v>377</v>
      </c>
      <c r="G4" s="141"/>
      <c r="H4" s="598" t="s">
        <v>378</v>
      </c>
      <c r="I4" s="141"/>
      <c r="J4" s="598" t="s">
        <v>379</v>
      </c>
      <c r="K4" s="141"/>
      <c r="L4" s="598" t="s">
        <v>380</v>
      </c>
      <c r="M4" s="141">
        <v>1</v>
      </c>
    </row>
    <row r="5" spans="1:19" s="592" customFormat="1" ht="24.95" customHeight="1" thickBot="1">
      <c r="A5" s="590"/>
      <c r="B5" s="755"/>
      <c r="C5" s="599"/>
      <c r="D5" s="599"/>
      <c r="E5" s="599"/>
      <c r="F5" s="600"/>
      <c r="G5" s="600"/>
      <c r="H5" s="600"/>
      <c r="I5" s="600"/>
      <c r="J5" s="600"/>
      <c r="K5" s="600"/>
      <c r="L5" s="600"/>
      <c r="M5" s="600"/>
      <c r="N5" s="600"/>
      <c r="O5" s="600"/>
      <c r="P5" s="600"/>
      <c r="Q5" s="600"/>
      <c r="R5" s="591"/>
    </row>
    <row r="6" spans="1:19" ht="24.95" customHeight="1" thickBot="1">
      <c r="B6" s="3405" t="s">
        <v>31</v>
      </c>
      <c r="C6" s="3410" t="s">
        <v>541</v>
      </c>
      <c r="D6" s="3410" t="s">
        <v>513</v>
      </c>
      <c r="E6" s="3411"/>
      <c r="F6" s="251" t="s">
        <v>381</v>
      </c>
      <c r="G6" s="252"/>
      <c r="H6" s="252"/>
      <c r="I6" s="252"/>
      <c r="J6" s="252"/>
      <c r="K6" s="252"/>
      <c r="L6" s="252"/>
      <c r="M6" s="252"/>
      <c r="N6" s="252"/>
      <c r="O6" s="252"/>
      <c r="P6" s="252"/>
      <c r="Q6" s="252"/>
      <c r="R6" s="3423" t="s">
        <v>382</v>
      </c>
    </row>
    <row r="7" spans="1:19" ht="24.95" customHeight="1" thickBot="1">
      <c r="B7" s="3422"/>
      <c r="C7" s="3412"/>
      <c r="D7" s="3412"/>
      <c r="E7" s="3413"/>
      <c r="F7" s="253" t="s">
        <v>9</v>
      </c>
      <c r="G7" s="254" t="s">
        <v>364</v>
      </c>
      <c r="H7" s="254" t="s">
        <v>365</v>
      </c>
      <c r="I7" s="254" t="s">
        <v>368</v>
      </c>
      <c r="J7" s="254" t="s">
        <v>369</v>
      </c>
      <c r="K7" s="254" t="s">
        <v>370</v>
      </c>
      <c r="L7" s="254" t="s">
        <v>371</v>
      </c>
      <c r="M7" s="254" t="s">
        <v>372</v>
      </c>
      <c r="N7" s="254" t="s">
        <v>373</v>
      </c>
      <c r="O7" s="254" t="s">
        <v>374</v>
      </c>
      <c r="P7" s="254" t="s">
        <v>375</v>
      </c>
      <c r="Q7" s="532" t="s">
        <v>376</v>
      </c>
      <c r="R7" s="3424"/>
    </row>
    <row r="8" spans="1:19" s="602" customFormat="1" ht="24.95" customHeight="1">
      <c r="B8" s="255" t="s">
        <v>55</v>
      </c>
      <c r="C8" s="545">
        <f>+DICIEMBRE!F10</f>
        <v>617329922</v>
      </c>
      <c r="D8" s="3414">
        <f>+DICIEMBRE!I10</f>
        <v>617329922</v>
      </c>
      <c r="E8" s="3415"/>
      <c r="F8" s="256">
        <f>+DICIEMBRE!L10</f>
        <v>617329922</v>
      </c>
      <c r="G8" s="546">
        <f t="shared" ref="G8:Q8" si="0">F57</f>
        <v>225874059</v>
      </c>
      <c r="H8" s="546">
        <f t="shared" si="0"/>
        <v>-52591985</v>
      </c>
      <c r="I8" s="546">
        <f t="shared" si="0"/>
        <v>765536475</v>
      </c>
      <c r="J8" s="546">
        <f t="shared" si="0"/>
        <v>31643468</v>
      </c>
      <c r="K8" s="546">
        <f t="shared" si="0"/>
        <v>-332056275</v>
      </c>
      <c r="L8" s="546">
        <f t="shared" si="0"/>
        <v>-409841770</v>
      </c>
      <c r="M8" s="546">
        <f t="shared" si="0"/>
        <v>-329760505</v>
      </c>
      <c r="N8" s="546">
        <f t="shared" si="0"/>
        <v>361912128</v>
      </c>
      <c r="O8" s="546">
        <f t="shared" si="0"/>
        <v>385506507</v>
      </c>
      <c r="P8" s="546">
        <f t="shared" si="0"/>
        <v>473806122</v>
      </c>
      <c r="Q8" s="547">
        <f t="shared" si="0"/>
        <v>179840253</v>
      </c>
      <c r="R8" s="541">
        <f>F8</f>
        <v>617329922</v>
      </c>
      <c r="S8" s="603"/>
    </row>
    <row r="9" spans="1:19" s="602" customFormat="1" ht="24.95" customHeight="1">
      <c r="B9" s="257" t="s">
        <v>57</v>
      </c>
      <c r="C9" s="548">
        <f>C10+C18+C19+C20+C21+C22+C23</f>
        <v>42055863830</v>
      </c>
      <c r="D9" s="3416">
        <f t="shared" ref="D9:R9" si="1">D10+D18+D19+D20+D21+D22+D23</f>
        <v>48643144131</v>
      </c>
      <c r="E9" s="3417">
        <f t="shared" si="1"/>
        <v>0</v>
      </c>
      <c r="F9" s="549">
        <f t="shared" si="1"/>
        <v>153429822</v>
      </c>
      <c r="G9" s="550">
        <f t="shared" si="1"/>
        <v>69001799</v>
      </c>
      <c r="H9" s="550">
        <f t="shared" si="1"/>
        <v>88179208</v>
      </c>
      <c r="I9" s="550">
        <f t="shared" si="1"/>
        <v>321395943</v>
      </c>
      <c r="J9" s="550">
        <f t="shared" si="1"/>
        <v>1793470048</v>
      </c>
      <c r="K9" s="550">
        <f t="shared" si="1"/>
        <v>840714790</v>
      </c>
      <c r="L9" s="550">
        <f t="shared" si="1"/>
        <v>2216180378</v>
      </c>
      <c r="M9" s="550">
        <f t="shared" si="1"/>
        <v>3150854344</v>
      </c>
      <c r="N9" s="550">
        <f t="shared" si="1"/>
        <v>3302470940</v>
      </c>
      <c r="O9" s="550">
        <f t="shared" si="1"/>
        <v>3105914648</v>
      </c>
      <c r="P9" s="550">
        <f t="shared" si="1"/>
        <v>3457203208</v>
      </c>
      <c r="Q9" s="551">
        <f t="shared" si="1"/>
        <v>5718221843</v>
      </c>
      <c r="R9" s="542">
        <f t="shared" si="1"/>
        <v>24217036971</v>
      </c>
      <c r="S9" s="603"/>
    </row>
    <row r="10" spans="1:19" s="602" customFormat="1" ht="24.95" customHeight="1">
      <c r="B10" s="258" t="s">
        <v>428</v>
      </c>
      <c r="C10" s="548">
        <f>C11+C12+C13+C14+C15+C16+C17</f>
        <v>41071069639</v>
      </c>
      <c r="D10" s="3416">
        <f t="shared" ref="D10:R10" si="2">D11+D12+D13+D14+D15+D16+D17</f>
        <v>47317844992</v>
      </c>
      <c r="E10" s="3417"/>
      <c r="F10" s="549">
        <f t="shared" si="2"/>
        <v>68084919</v>
      </c>
      <c r="G10" s="550">
        <f t="shared" si="2"/>
        <v>55466567</v>
      </c>
      <c r="H10" s="550">
        <f t="shared" si="2"/>
        <v>78501916</v>
      </c>
      <c r="I10" s="550">
        <f t="shared" si="2"/>
        <v>264330872</v>
      </c>
      <c r="J10" s="550">
        <f t="shared" si="2"/>
        <v>1679235986</v>
      </c>
      <c r="K10" s="550">
        <f t="shared" si="2"/>
        <v>741301114</v>
      </c>
      <c r="L10" s="550">
        <f t="shared" si="2"/>
        <v>2071573820</v>
      </c>
      <c r="M10" s="550">
        <f t="shared" si="2"/>
        <v>3036580572</v>
      </c>
      <c r="N10" s="550">
        <f t="shared" si="2"/>
        <v>3242165084</v>
      </c>
      <c r="O10" s="550">
        <f t="shared" si="2"/>
        <v>3046430647</v>
      </c>
      <c r="P10" s="550">
        <f t="shared" si="2"/>
        <v>3366622084</v>
      </c>
      <c r="Q10" s="551">
        <f t="shared" si="2"/>
        <v>5698609213</v>
      </c>
      <c r="R10" s="542">
        <f t="shared" si="2"/>
        <v>23348902794</v>
      </c>
      <c r="S10" s="603"/>
    </row>
    <row r="11" spans="1:19" s="602" customFormat="1" ht="24.95" customHeight="1">
      <c r="B11" s="756" t="s">
        <v>429</v>
      </c>
      <c r="C11" s="529">
        <f>MARZO!$BC11*$G$4+JUNIO!$BC11*$I$4+SEPTIEMBRE!$BC11*$K$4+DICIEMBRE!$BC11*$M$4</f>
        <v>13439321219</v>
      </c>
      <c r="D11" s="3403">
        <f>MARZO!$BD11*$G$4+JUNIO!$BD11*$I$4+SEPTIEMBRE!$BD11*$K$4+DICIEMBRE!$BD11*$M$4</f>
        <v>21224164734</v>
      </c>
      <c r="E11" s="3404"/>
      <c r="F11" s="259">
        <f>ENERO!$BE11</f>
        <v>0</v>
      </c>
      <c r="G11" s="260">
        <f>FEBRERO!$BE11</f>
        <v>33400</v>
      </c>
      <c r="H11" s="260">
        <f>MARZO!$BE11</f>
        <v>303300</v>
      </c>
      <c r="I11" s="260">
        <f>ABRIL!$BE11</f>
        <v>200000000</v>
      </c>
      <c r="J11" s="260">
        <f>MAYO!$BE11</f>
        <v>794370415</v>
      </c>
      <c r="K11" s="260">
        <f>JUNIO!$BE11</f>
        <v>700001848</v>
      </c>
      <c r="L11" s="260">
        <f>JULIO!$BE11</f>
        <v>405292179</v>
      </c>
      <c r="M11" s="260">
        <f>AGOSTO!$BE11</f>
        <v>1960038015</v>
      </c>
      <c r="N11" s="260">
        <f>SEPTIEMBRE!$BE11</f>
        <v>2340588551</v>
      </c>
      <c r="O11" s="260">
        <f>OCTUBRE!$BE11</f>
        <v>1408692588</v>
      </c>
      <c r="P11" s="260">
        <f>NOVIEMBRE!$BE11</f>
        <v>2433486543</v>
      </c>
      <c r="Q11" s="534">
        <f>DICIEMBRE!$BE11</f>
        <v>3196514380</v>
      </c>
      <c r="R11" s="543">
        <f t="shared" ref="R11:R25" si="3">SUM(F11:Q11)</f>
        <v>13439321219</v>
      </c>
      <c r="S11" s="603"/>
    </row>
    <row r="12" spans="1:19" s="602" customFormat="1" ht="24.95" customHeight="1">
      <c r="B12" s="756" t="s">
        <v>430</v>
      </c>
      <c r="C12" s="529">
        <f>MARZO!$BC12*$G$4+JUNIO!$BC12*$I$4+SEPTIEMBRE!$BC12*$K$4+DICIEMBRE!$BC12*$M$4</f>
        <v>18905646713</v>
      </c>
      <c r="D12" s="3403">
        <f>MARZO!$BD12*$G$4+JUNIO!$BD12*$I$4+SEPTIEMBRE!$BD12*$K$4+DICIEMBRE!$BD12*$M$4</f>
        <v>16374558003</v>
      </c>
      <c r="E12" s="3404"/>
      <c r="F12" s="259">
        <f>ENERO!$BE12</f>
        <v>0</v>
      </c>
      <c r="G12" s="260">
        <f>FEBRERO!$BE12</f>
        <v>631871</v>
      </c>
      <c r="H12" s="260">
        <f>MARZO!$BE12</f>
        <v>1950079</v>
      </c>
      <c r="I12" s="260">
        <f>ABRIL!$BE12</f>
        <v>0</v>
      </c>
      <c r="J12" s="260">
        <f>MAYO!$BE12</f>
        <v>866066598</v>
      </c>
      <c r="K12" s="260">
        <f>JUNIO!$BE12</f>
        <v>0</v>
      </c>
      <c r="L12" s="260">
        <f>JULIO!$BE12</f>
        <v>1080899190</v>
      </c>
      <c r="M12" s="260">
        <f>AGOSTO!$BE12</f>
        <v>632235034</v>
      </c>
      <c r="N12" s="260">
        <f>SEPTIEMBRE!$BE12</f>
        <v>579638789</v>
      </c>
      <c r="O12" s="260">
        <f>OCTUBRE!$BE12</f>
        <v>1037045750</v>
      </c>
      <c r="P12" s="260">
        <f>NOVIEMBRE!$BE12</f>
        <v>473684105</v>
      </c>
      <c r="Q12" s="534">
        <f>DICIEMBRE!$BE12</f>
        <v>2159092221</v>
      </c>
      <c r="R12" s="543">
        <f t="shared" si="3"/>
        <v>6831243637</v>
      </c>
      <c r="S12" s="603"/>
    </row>
    <row r="13" spans="1:19" s="602" customFormat="1" ht="24.95" customHeight="1">
      <c r="B13" s="756" t="s">
        <v>431</v>
      </c>
      <c r="C13" s="529">
        <f>MARZO!$BC13*$G$4+JUNIO!$BC13*$I$4+SEPTIEMBRE!$BC13*$K$4+DICIEMBRE!$BC13*$M$4</f>
        <v>415598482</v>
      </c>
      <c r="D13" s="3403">
        <f>MARZO!$BD13*$G$4+JUNIO!$BD13*$I$4+SEPTIEMBRE!$BD13*$K$4+DICIEMBRE!$BD13*$M$4</f>
        <v>1881175076</v>
      </c>
      <c r="E13" s="3404"/>
      <c r="F13" s="259">
        <f>ENERO!$BE13</f>
        <v>0</v>
      </c>
      <c r="G13" s="260">
        <f>FEBRERO!$BE13</f>
        <v>185500</v>
      </c>
      <c r="H13" s="260">
        <f>MARZO!$BE13</f>
        <v>807050</v>
      </c>
      <c r="I13" s="260">
        <f>ABRIL!$BE13</f>
        <v>50000</v>
      </c>
      <c r="J13" s="260">
        <f>MAYO!$BE13</f>
        <v>10900</v>
      </c>
      <c r="K13" s="260">
        <f>JUNIO!$BE13</f>
        <v>0</v>
      </c>
      <c r="L13" s="260">
        <f>JULIO!$BE13</f>
        <v>202397721</v>
      </c>
      <c r="M13" s="260">
        <f>AGOSTO!$BE13</f>
        <v>11941887</v>
      </c>
      <c r="N13" s="260">
        <f>SEPTIEMBRE!$BE13</f>
        <v>44271903</v>
      </c>
      <c r="O13" s="260">
        <f>OCTUBRE!$BE13</f>
        <v>43012832</v>
      </c>
      <c r="P13" s="260">
        <f>NOVIEMBRE!$BE13</f>
        <v>38885338</v>
      </c>
      <c r="Q13" s="534">
        <f>DICIEMBRE!$BE13</f>
        <v>158548856</v>
      </c>
      <c r="R13" s="543">
        <f t="shared" si="3"/>
        <v>500111987</v>
      </c>
      <c r="S13" s="603"/>
    </row>
    <row r="14" spans="1:19" s="602" customFormat="1" ht="24.95" customHeight="1">
      <c r="B14" s="756" t="s">
        <v>432</v>
      </c>
      <c r="C14" s="529">
        <f>MARZO!$BC14*$G$4+JUNIO!$BC14*$I$4+SEPTIEMBRE!$BC14*$K$4+DICIEMBRE!$BC14*$M$4</f>
        <v>5110724757</v>
      </c>
      <c r="D14" s="3403">
        <f>MARZO!$BD14*$G$4+JUNIO!$BD14*$I$4+SEPTIEMBRE!$BD14*$K$4+DICIEMBRE!$BD14*$M$4</f>
        <v>2476295423</v>
      </c>
      <c r="E14" s="3404"/>
      <c r="F14" s="259">
        <f>ENERO!$BE14</f>
        <v>0</v>
      </c>
      <c r="G14" s="260">
        <f>FEBRERO!$BE14</f>
        <v>0</v>
      </c>
      <c r="H14" s="260">
        <f>MARZO!$BE14</f>
        <v>0</v>
      </c>
      <c r="I14" s="260">
        <f>ABRIL!$BE14</f>
        <v>660695</v>
      </c>
      <c r="J14" s="260">
        <f>MAYO!$BE14</f>
        <v>0</v>
      </c>
      <c r="K14" s="260">
        <f>JUNIO!$BE14</f>
        <v>13032501</v>
      </c>
      <c r="L14" s="260">
        <f>JULIO!$BE14</f>
        <v>60280459</v>
      </c>
      <c r="M14" s="260">
        <f>AGOSTO!$BE14</f>
        <v>151910974</v>
      </c>
      <c r="N14" s="260">
        <f>SEPTIEMBRE!$BE14</f>
        <v>189619018</v>
      </c>
      <c r="O14" s="260">
        <f>OCTUBRE!$BE14</f>
        <v>138456137</v>
      </c>
      <c r="P14" s="260">
        <f>NOVIEMBRE!$BE14</f>
        <v>195991268</v>
      </c>
      <c r="Q14" s="534">
        <f>DICIEMBRE!$BE14</f>
        <v>92178818</v>
      </c>
      <c r="R14" s="543">
        <f t="shared" si="3"/>
        <v>842129870</v>
      </c>
      <c r="S14" s="603"/>
    </row>
    <row r="15" spans="1:19" s="602" customFormat="1" ht="24.95" customHeight="1">
      <c r="B15" s="756" t="s">
        <v>77</v>
      </c>
      <c r="C15" s="529">
        <f>MARZO!$BC15*$G$4+JUNIO!$BC15*$I$4+SEPTIEMBRE!$BC15*$K$4+DICIEMBRE!$BC15*$M$4</f>
        <v>375197511</v>
      </c>
      <c r="D15" s="3403">
        <f>MARZO!$BD15*$G$4+JUNIO!$BD15*$I$4+SEPTIEMBRE!$BD15*$K$4+DICIEMBRE!$BD15*$M$4</f>
        <v>399215437</v>
      </c>
      <c r="E15" s="3404"/>
      <c r="F15" s="259">
        <f>ENERO!$BE15</f>
        <v>0</v>
      </c>
      <c r="G15" s="260">
        <f>FEBRERO!$BE15</f>
        <v>0</v>
      </c>
      <c r="H15" s="260">
        <f>MARZO!$BE15</f>
        <v>0</v>
      </c>
      <c r="I15" s="260">
        <f>ABRIL!$BE15</f>
        <v>0</v>
      </c>
      <c r="J15" s="260">
        <f>MAYO!$BE15</f>
        <v>0</v>
      </c>
      <c r="K15" s="260">
        <f>JUNIO!$BE15</f>
        <v>0</v>
      </c>
      <c r="L15" s="260">
        <f>JULIO!$BE15</f>
        <v>0</v>
      </c>
      <c r="M15" s="260">
        <f>AGOSTO!$BE15</f>
        <v>0</v>
      </c>
      <c r="N15" s="260">
        <f>SEPTIEMBRE!$BE15</f>
        <v>0</v>
      </c>
      <c r="O15" s="260">
        <f>OCTUBRE!$BE15</f>
        <v>0</v>
      </c>
      <c r="P15" s="260">
        <f>NOVIEMBRE!$BE15</f>
        <v>0</v>
      </c>
      <c r="Q15" s="534">
        <f>DICIEMBRE!$BE15</f>
        <v>0</v>
      </c>
      <c r="R15" s="543">
        <f t="shared" si="3"/>
        <v>0</v>
      </c>
      <c r="S15" s="603"/>
    </row>
    <row r="16" spans="1:19" s="602" customFormat="1" ht="24.95" customHeight="1">
      <c r="B16" s="756" t="s">
        <v>433</v>
      </c>
      <c r="C16" s="529">
        <f>MARZO!$BC16*$G$4+JUNIO!$BC16*$I$4+SEPTIEMBRE!$BC16*$K$4+DICIEMBRE!$BC16*$M$4</f>
        <v>0</v>
      </c>
      <c r="D16" s="3403">
        <f>MARZO!$BD16*$G$4+JUNIO!$BD16*$I$4+SEPTIEMBRE!$BD16*$K$4+DICIEMBRE!$BD16*$M$4</f>
        <v>0</v>
      </c>
      <c r="E16" s="3404"/>
      <c r="F16" s="259">
        <f>ENERO!$BE16</f>
        <v>0</v>
      </c>
      <c r="G16" s="260">
        <f>FEBRERO!$BE16</f>
        <v>0</v>
      </c>
      <c r="H16" s="260">
        <f>MARZO!$BE16</f>
        <v>0</v>
      </c>
      <c r="I16" s="260">
        <f>ABRIL!$BE16</f>
        <v>0</v>
      </c>
      <c r="J16" s="260">
        <f>MAYO!$BE16</f>
        <v>0</v>
      </c>
      <c r="K16" s="260">
        <f>JUNIO!$BE16</f>
        <v>0</v>
      </c>
      <c r="L16" s="260">
        <f>JULIO!$BE16</f>
        <v>0</v>
      </c>
      <c r="M16" s="260">
        <f>AGOSTO!$BE16</f>
        <v>0</v>
      </c>
      <c r="N16" s="260">
        <f>SEPTIEMBRE!$BE16</f>
        <v>0</v>
      </c>
      <c r="O16" s="260">
        <f>OCTUBRE!$BE16</f>
        <v>0</v>
      </c>
      <c r="P16" s="260">
        <f>NOVIEMBRE!$BE16</f>
        <v>0</v>
      </c>
      <c r="Q16" s="534">
        <f>DICIEMBRE!$BE16</f>
        <v>0</v>
      </c>
      <c r="R16" s="543">
        <f t="shared" si="3"/>
        <v>0</v>
      </c>
      <c r="S16" s="603"/>
    </row>
    <row r="17" spans="1:252" s="602" customFormat="1" ht="24.95" customHeight="1">
      <c r="B17" s="756" t="s">
        <v>434</v>
      </c>
      <c r="C17" s="529">
        <f>MARZO!$BC17*$G$4+JUNIO!$BC17*$I$4+SEPTIEMBRE!$BC17*$K$4+DICIEMBRE!$BC17*$M$4</f>
        <v>2824580957</v>
      </c>
      <c r="D17" s="3403">
        <f>MARZO!$BD17*$G$4+JUNIO!$BD17*$I$4+SEPTIEMBRE!$BD17*$K$4+DICIEMBRE!$BD17*$M$4</f>
        <v>4962436319</v>
      </c>
      <c r="E17" s="3404"/>
      <c r="F17" s="259">
        <f>ENERO!$BE17</f>
        <v>68084919</v>
      </c>
      <c r="G17" s="260">
        <f>FEBRERO!$BE17</f>
        <v>54615796</v>
      </c>
      <c r="H17" s="260">
        <f>MARZO!$BE17</f>
        <v>75441487</v>
      </c>
      <c r="I17" s="260">
        <f>ABRIL!$BE17</f>
        <v>63620177</v>
      </c>
      <c r="J17" s="260">
        <f>MAYO!$BE17</f>
        <v>18788073</v>
      </c>
      <c r="K17" s="260">
        <f>JUNIO!$BE17</f>
        <v>28266765</v>
      </c>
      <c r="L17" s="260">
        <f>JULIO!$BE17</f>
        <v>322704271</v>
      </c>
      <c r="M17" s="260">
        <f>AGOSTO!$BE17</f>
        <v>280454662</v>
      </c>
      <c r="N17" s="260">
        <f>SEPTIEMBRE!$BE17</f>
        <v>88046823</v>
      </c>
      <c r="O17" s="260">
        <f>OCTUBRE!$BE17</f>
        <v>419223340</v>
      </c>
      <c r="P17" s="260">
        <f>NOVIEMBRE!$BE17</f>
        <v>224574830</v>
      </c>
      <c r="Q17" s="534">
        <f>DICIEMBRE!$BE17</f>
        <v>92274938</v>
      </c>
      <c r="R17" s="543">
        <f t="shared" si="3"/>
        <v>1736096081</v>
      </c>
      <c r="S17" s="603"/>
    </row>
    <row r="18" spans="1:252" s="602" customFormat="1" ht="36.75" customHeight="1">
      <c r="B18" s="552" t="s">
        <v>542</v>
      </c>
      <c r="C18" s="529">
        <f>+MARZO!$F95*$G$4+JUNIO!$F95*$I$4+SEPTIEMBRE!$F95*$K$4+DICIEMBRE!$F95*$M$4</f>
        <v>0</v>
      </c>
      <c r="D18" s="3403">
        <f>+MARZO!I95*$G$4+JUNIO!$I95*$I$4+SEPTIEMBRE!$I95*$K$4+DICIEMBRE!$I95*$M$4</f>
        <v>0</v>
      </c>
      <c r="E18" s="3404"/>
      <c r="F18" s="259">
        <f>+ENERO!$K$95</f>
        <v>0</v>
      </c>
      <c r="G18" s="260">
        <f>+FEBRERO!$K$95</f>
        <v>0</v>
      </c>
      <c r="H18" s="260">
        <f>+MARZO!$K$95</f>
        <v>0</v>
      </c>
      <c r="I18" s="260">
        <f>+ABRIL!$K$95</f>
        <v>0</v>
      </c>
      <c r="J18" s="260">
        <f>+MAYO!$K$95</f>
        <v>0</v>
      </c>
      <c r="K18" s="260">
        <f>+JUNIO!$K$95</f>
        <v>0</v>
      </c>
      <c r="L18" s="260">
        <f>+JULIO!$K$95</f>
        <v>0</v>
      </c>
      <c r="M18" s="260">
        <f>+AGOSTO!$K$95</f>
        <v>0</v>
      </c>
      <c r="N18" s="260">
        <f>+SEPTIEMBRE!$K$95</f>
        <v>0</v>
      </c>
      <c r="O18" s="260">
        <f>+OCTUBRE!$K$95</f>
        <v>0</v>
      </c>
      <c r="P18" s="260">
        <f>+NOVIEMBRE!$K$95</f>
        <v>0</v>
      </c>
      <c r="Q18" s="534">
        <f>+DICIEMBRE!$K$95</f>
        <v>0</v>
      </c>
      <c r="R18" s="543">
        <f t="shared" si="3"/>
        <v>0</v>
      </c>
      <c r="S18" s="603"/>
    </row>
    <row r="19" spans="1:252" s="602" customFormat="1" ht="32.25" customHeight="1">
      <c r="B19" s="552" t="s">
        <v>543</v>
      </c>
      <c r="C19" s="529">
        <f>+MARZO!$F96*$G$4+JUNIO!$F96*$I$4+SEPTIEMBRE!$F96*$K$4+DICIEMBRE!$F96*$M$4</f>
        <v>125236928</v>
      </c>
      <c r="D19" s="3403">
        <f>+MARZO!I96*$G$4+JUNIO!$I96*$I$4+SEPTIEMBRE!$I96*$K$4+DICIEMBRE!$I96*$M$4</f>
        <v>125236928</v>
      </c>
      <c r="E19" s="3404"/>
      <c r="F19" s="259">
        <f>+ENERO!$K$96</f>
        <v>0</v>
      </c>
      <c r="G19" s="260">
        <f>+FEBRERO!$K$96</f>
        <v>0</v>
      </c>
      <c r="H19" s="260">
        <f>+MARZO!$K$96</f>
        <v>0</v>
      </c>
      <c r="I19" s="260">
        <f>+ABRIL!$K$96</f>
        <v>0</v>
      </c>
      <c r="J19" s="260">
        <f>+MAYO!$K$96</f>
        <v>0</v>
      </c>
      <c r="K19" s="260">
        <f>+JUNIO!$K$96</f>
        <v>0</v>
      </c>
      <c r="L19" s="260">
        <f>+JULIO!$K$96</f>
        <v>125236928</v>
      </c>
      <c r="M19" s="260">
        <f>+AGOSTO!$K$96</f>
        <v>0</v>
      </c>
      <c r="N19" s="260">
        <f>+SEPTIEMBRE!$K$96</f>
        <v>0</v>
      </c>
      <c r="O19" s="260">
        <f>+OCTUBRE!$K$96</f>
        <v>0</v>
      </c>
      <c r="P19" s="260">
        <f>+NOVIEMBRE!$K$96</f>
        <v>0</v>
      </c>
      <c r="Q19" s="534">
        <f>+DICIEMBRE!$K$96</f>
        <v>0</v>
      </c>
      <c r="R19" s="543">
        <f t="shared" si="3"/>
        <v>125236928</v>
      </c>
      <c r="S19" s="603"/>
    </row>
    <row r="20" spans="1:252" s="602" customFormat="1" ht="39.75" customHeight="1">
      <c r="B20" s="552" t="s">
        <v>544</v>
      </c>
      <c r="C20" s="529">
        <f>+MARZO!$F97*$G$4+JUNIO!$F97*$I$4+SEPTIEMBRE!$F97*$K$4+DICIEMBRE!$F97*$M$4</f>
        <v>0</v>
      </c>
      <c r="D20" s="3403">
        <f>+MARZO!I97*$G$4+JUNIO!$I97*$I$4+SEPTIEMBRE!$I97*$K$4+DICIEMBRE!$I97*$M$4</f>
        <v>0</v>
      </c>
      <c r="E20" s="3404"/>
      <c r="F20" s="259">
        <f>+ENERO!$K$97</f>
        <v>0</v>
      </c>
      <c r="G20" s="260">
        <f>+FEBRERO!$K$97</f>
        <v>0</v>
      </c>
      <c r="H20" s="260">
        <f>+MARZO!$K$97</f>
        <v>0</v>
      </c>
      <c r="I20" s="260">
        <f>+ABRIL!$K$97</f>
        <v>0</v>
      </c>
      <c r="J20" s="260">
        <f>+MAYO!$K$97</f>
        <v>0</v>
      </c>
      <c r="K20" s="260">
        <f>+JUNIO!$K$97</f>
        <v>0</v>
      </c>
      <c r="L20" s="260">
        <f>+JULIO!$K$97</f>
        <v>0</v>
      </c>
      <c r="M20" s="260">
        <f>+AGOSTO!$K$97</f>
        <v>0</v>
      </c>
      <c r="N20" s="260">
        <f>+SEPTIEMBRE!$K$97</f>
        <v>0</v>
      </c>
      <c r="O20" s="260">
        <f>+OCTUBRE!$K$97</f>
        <v>0</v>
      </c>
      <c r="P20" s="260">
        <f>+NOVIEMBRE!$K$97</f>
        <v>0</v>
      </c>
      <c r="Q20" s="534">
        <f>+DICIEMBRE!$K$97</f>
        <v>0</v>
      </c>
      <c r="R20" s="543">
        <f t="shared" si="3"/>
        <v>0</v>
      </c>
      <c r="S20" s="603"/>
    </row>
    <row r="21" spans="1:252" s="602" customFormat="1" ht="33.75" customHeight="1">
      <c r="B21" s="552" t="s">
        <v>545</v>
      </c>
      <c r="C21" s="529">
        <f>+MARZO!$F99*$G$4+JUNIO!$F99*$I$4+SEPTIEMBRE!$F99*$K$4+DICIEMBRE!$F99*$M$4</f>
        <v>0</v>
      </c>
      <c r="D21" s="3403">
        <f>+MARZO!$I99*$G$4+JUNIO!$I99*$I$4+SEPTIEMBRE!$I99*$K$4+DICIEMBRE!$I99*$M$4</f>
        <v>0</v>
      </c>
      <c r="E21" s="3404"/>
      <c r="F21" s="259">
        <f>+ENERO!$K$99</f>
        <v>0</v>
      </c>
      <c r="G21" s="260">
        <f>+FEBRERO!$K$99</f>
        <v>0</v>
      </c>
      <c r="H21" s="260">
        <f>+MARZO!$K$99</f>
        <v>0</v>
      </c>
      <c r="I21" s="260">
        <f>+ABRIL!$K$99</f>
        <v>0</v>
      </c>
      <c r="J21" s="260">
        <f>+MAYO!$K$99</f>
        <v>0</v>
      </c>
      <c r="K21" s="260">
        <f>+JUNIO!$K$99</f>
        <v>0</v>
      </c>
      <c r="L21" s="260">
        <f>+JULIO!$K$99</f>
        <v>0</v>
      </c>
      <c r="M21" s="260">
        <f>+AGOSTO!$K$99</f>
        <v>0</v>
      </c>
      <c r="N21" s="260">
        <f>+SEPTIEMBRE!$K$99</f>
        <v>0</v>
      </c>
      <c r="O21" s="260">
        <f>+OCTUBRE!$K$99</f>
        <v>0</v>
      </c>
      <c r="P21" s="260">
        <f>+NOVIEMBRE!$K$99</f>
        <v>0</v>
      </c>
      <c r="Q21" s="534">
        <f>+DICIEMBRE!$K$99</f>
        <v>0</v>
      </c>
      <c r="R21" s="543">
        <f t="shared" si="3"/>
        <v>0</v>
      </c>
      <c r="S21" s="603"/>
    </row>
    <row r="22" spans="1:252" s="602" customFormat="1" ht="29.25" customHeight="1">
      <c r="B22" s="552" t="s">
        <v>579</v>
      </c>
      <c r="C22" s="529">
        <f>+MARZO!$F100*$G$4+JUNIO!$F100*$I$4+SEPTIEMBRE!$F100*$K$4+DICIEMBRE!$F100*$M$4</f>
        <v>0</v>
      </c>
      <c r="D22" s="3403">
        <f>+MARZO!$I100*$G$4+JUNIO!$I100*$I$4+SEPTIEMBRE!$I100*$K$4+DICIEMBRE!$I100*$M$4</f>
        <v>0</v>
      </c>
      <c r="E22" s="3404"/>
      <c r="F22" s="259">
        <f>+ENERO!$K$100</f>
        <v>0</v>
      </c>
      <c r="G22" s="260">
        <f>+FEBRERO!$K$100</f>
        <v>0</v>
      </c>
      <c r="H22" s="260">
        <f>+MARZO!$K$100</f>
        <v>0</v>
      </c>
      <c r="I22" s="260">
        <f>+ABRIL!$K$100</f>
        <v>0</v>
      </c>
      <c r="J22" s="260">
        <f>+MAYO!$K$100</f>
        <v>0</v>
      </c>
      <c r="K22" s="260">
        <f>+JUNIO!$K$100</f>
        <v>0</v>
      </c>
      <c r="L22" s="260">
        <f>+JULIO!$K$100</f>
        <v>0</v>
      </c>
      <c r="M22" s="260">
        <f>+AGOSTO!$K$100</f>
        <v>0</v>
      </c>
      <c r="N22" s="1354">
        <f>+SEPTIEMBRE!$K$100</f>
        <v>0</v>
      </c>
      <c r="O22" s="260">
        <f>+OCTUBRE!$K$100</f>
        <v>0</v>
      </c>
      <c r="P22" s="260">
        <f>+NOVIEMBRE!$K$100</f>
        <v>0</v>
      </c>
      <c r="Q22" s="534">
        <f>+DICIEMBRE!$K$100</f>
        <v>0</v>
      </c>
      <c r="R22" s="543">
        <f t="shared" si="3"/>
        <v>0</v>
      </c>
      <c r="S22" s="603"/>
    </row>
    <row r="23" spans="1:252" s="602" customFormat="1" ht="24.95" customHeight="1">
      <c r="B23" s="552" t="s">
        <v>93</v>
      </c>
      <c r="C23" s="529">
        <f>MARZO!$BC19*$G$4+JUNIO!$BC19*$I$4+SEPTIEMBRE!$BC19*$K$4+DICIEMBRE!$BC19*$M$4</f>
        <v>859557263</v>
      </c>
      <c r="D23" s="3403">
        <f>MARZO!$BD19*$G$4+JUNIO!$BD19*$I$4+SEPTIEMBRE!$BD19*$K$4+DICIEMBRE!$BD19*$M$4</f>
        <v>1200062211</v>
      </c>
      <c r="E23" s="3404"/>
      <c r="F23" s="259">
        <f>ENERO!$BE19</f>
        <v>85344903</v>
      </c>
      <c r="G23" s="260">
        <f>FEBRERO!$BE19</f>
        <v>13535232</v>
      </c>
      <c r="H23" s="260">
        <f>MARZO!$BE19</f>
        <v>9677292</v>
      </c>
      <c r="I23" s="260">
        <f>ABRIL!$BE19</f>
        <v>57065071</v>
      </c>
      <c r="J23" s="260">
        <f>MAYO!$BE19</f>
        <v>114234062</v>
      </c>
      <c r="K23" s="260">
        <f>JUNIO!$BE19</f>
        <v>99413676</v>
      </c>
      <c r="L23" s="260">
        <f>JULIO!$BE19</f>
        <v>19369630</v>
      </c>
      <c r="M23" s="260">
        <f>AGOSTO!$BE19</f>
        <v>114273772</v>
      </c>
      <c r="N23" s="1355">
        <f>SEPTIEMBRE!$BE19</f>
        <v>60305856</v>
      </c>
      <c r="O23" s="260">
        <f>OCTUBRE!$BE19</f>
        <v>59484001</v>
      </c>
      <c r="P23" s="260">
        <f>NOVIEMBRE!$BE19</f>
        <v>90581124</v>
      </c>
      <c r="Q23" s="534">
        <f>DICIEMBRE!$BE19</f>
        <v>19612630</v>
      </c>
      <c r="R23" s="543">
        <f t="shared" si="3"/>
        <v>742897249</v>
      </c>
      <c r="S23" s="603"/>
    </row>
    <row r="24" spans="1:252" s="602" customFormat="1" ht="24.95" customHeight="1">
      <c r="B24" s="258" t="s">
        <v>436</v>
      </c>
      <c r="C24" s="548">
        <f>MARZO!$BC20*$G$4+JUNIO!$BC20*$I$4+SEPTIEMBRE!$BC20*$K$4+DICIEMBRE!$BC20*$M$4</f>
        <v>158049585</v>
      </c>
      <c r="D24" s="3416">
        <f>MARZO!$BD20*$G$4+JUNIO!$BD20*$I$4+SEPTIEMBRE!$BD20*$K$4+DICIEMBRE!$BD20*$M$4</f>
        <v>1578175518</v>
      </c>
      <c r="E24" s="3417"/>
      <c r="F24" s="549">
        <f>ENERO!$BE20</f>
        <v>0</v>
      </c>
      <c r="G24" s="550">
        <f>FEBRERO!$BE20</f>
        <v>1411839</v>
      </c>
      <c r="H24" s="550">
        <f>MARZO!$BE20</f>
        <v>129489</v>
      </c>
      <c r="I24" s="550">
        <f>ABRIL!$BE20</f>
        <v>57746</v>
      </c>
      <c r="J24" s="550">
        <f>MAYO!$BE20</f>
        <v>792243</v>
      </c>
      <c r="K24" s="550">
        <f>JUNIO!$BE20</f>
        <v>1125064</v>
      </c>
      <c r="L24" s="550">
        <f>JULIO!$BE20</f>
        <v>106444</v>
      </c>
      <c r="M24" s="550">
        <f>AGOSTO!$BE20</f>
        <v>598976</v>
      </c>
      <c r="N24" s="1356">
        <f>SEPTIEMBRE!$BE20</f>
        <v>369633</v>
      </c>
      <c r="O24" s="550">
        <f>OCTUBRE!$BE20</f>
        <v>274181</v>
      </c>
      <c r="P24" s="550">
        <f>NOVIEMBRE!$BE20</f>
        <v>153024140</v>
      </c>
      <c r="Q24" s="551">
        <f>DICIEMBRE!$BE20</f>
        <v>1420285763</v>
      </c>
      <c r="R24" s="542">
        <f t="shared" si="3"/>
        <v>1578175518</v>
      </c>
      <c r="S24" s="603"/>
    </row>
    <row r="25" spans="1:252" s="602" customFormat="1" ht="42.75" customHeight="1" thickBot="1">
      <c r="B25" s="261" t="s">
        <v>437</v>
      </c>
      <c r="C25" s="548">
        <f>MARZO!$BC21*$G$4+JUNIO!$BC21*$I$4+SEPTIEMBRE!$BC21*$K$4+DICIEMBRE!$BC21*$M$4</f>
        <v>27176374865</v>
      </c>
      <c r="D25" s="3399">
        <f>MARZO!$BD21*$G$4+JUNIO!$BD21*$I$4+SEPTIEMBRE!$BD21*$K$4+DICIEMBRE!$BD21*$M$4</f>
        <v>18305199792</v>
      </c>
      <c r="E25" s="3400"/>
      <c r="F25" s="530">
        <f>ENERO!$BE21</f>
        <v>1781366139</v>
      </c>
      <c r="G25" s="531">
        <f>FEBRERO!$BE21</f>
        <v>3589361311</v>
      </c>
      <c r="H25" s="531">
        <f>MARZO!$BE21</f>
        <v>4178495286</v>
      </c>
      <c r="I25" s="531">
        <f>ABRIL!$BE21</f>
        <v>2334578415</v>
      </c>
      <c r="J25" s="531">
        <f>MAYO!$BE21</f>
        <v>1610124506</v>
      </c>
      <c r="K25" s="531">
        <f>JUNIO!$BE21</f>
        <v>2075249930</v>
      </c>
      <c r="L25" s="531">
        <f>JULIO!$BE21</f>
        <v>1551527258</v>
      </c>
      <c r="M25" s="531">
        <f>AGOSTO!$BE21</f>
        <v>366428975</v>
      </c>
      <c r="N25" s="1357">
        <f>SEPTIEMBRE!$BE21</f>
        <v>240473195</v>
      </c>
      <c r="O25" s="531">
        <f>OCTUBRE!$BE21</f>
        <v>285746025</v>
      </c>
      <c r="P25" s="531">
        <f>NOVIEMBRE!$BE21</f>
        <v>290887796</v>
      </c>
      <c r="Q25" s="535">
        <f>DICIEMBRE!$BE21</f>
        <v>960956</v>
      </c>
      <c r="R25" s="544">
        <f t="shared" si="3"/>
        <v>18305199792</v>
      </c>
      <c r="S25" s="603"/>
    </row>
    <row r="26" spans="1:252" s="602" customFormat="1" ht="24.95" customHeight="1" thickBot="1">
      <c r="B26" s="553" t="s">
        <v>552</v>
      </c>
      <c r="C26" s="554">
        <f>C8+C9+C24+C25</f>
        <v>70007618202</v>
      </c>
      <c r="D26" s="3401">
        <f t="shared" ref="D26:R26" si="4">D8+D9+D24+D25</f>
        <v>69143849363</v>
      </c>
      <c r="E26" s="3402">
        <f t="shared" si="4"/>
        <v>0</v>
      </c>
      <c r="F26" s="555">
        <f t="shared" si="4"/>
        <v>2552125883</v>
      </c>
      <c r="G26" s="556">
        <f t="shared" si="4"/>
        <v>3885649008</v>
      </c>
      <c r="H26" s="556">
        <f t="shared" si="4"/>
        <v>4214211998</v>
      </c>
      <c r="I26" s="556">
        <f t="shared" si="4"/>
        <v>3421568579</v>
      </c>
      <c r="J26" s="556">
        <f t="shared" si="4"/>
        <v>3436030265</v>
      </c>
      <c r="K26" s="556">
        <f t="shared" si="4"/>
        <v>2585033509</v>
      </c>
      <c r="L26" s="556">
        <f t="shared" si="4"/>
        <v>3357972310</v>
      </c>
      <c r="M26" s="556">
        <f t="shared" si="4"/>
        <v>3188121790</v>
      </c>
      <c r="N26" s="556">
        <f t="shared" si="4"/>
        <v>3905225896</v>
      </c>
      <c r="O26" s="556">
        <f t="shared" si="4"/>
        <v>3777441361</v>
      </c>
      <c r="P26" s="556">
        <f t="shared" si="4"/>
        <v>4374921266</v>
      </c>
      <c r="Q26" s="557">
        <f t="shared" si="4"/>
        <v>7319308815</v>
      </c>
      <c r="R26" s="558">
        <f t="shared" si="4"/>
        <v>44717742203</v>
      </c>
      <c r="S26" s="603"/>
    </row>
    <row r="27" spans="1:252" s="602" customFormat="1" ht="24.95" customHeight="1" thickBot="1">
      <c r="B27" s="262"/>
      <c r="C27" s="262"/>
      <c r="D27" s="263"/>
      <c r="E27" s="263"/>
      <c r="F27" s="263"/>
      <c r="G27" s="263"/>
      <c r="H27" s="263"/>
      <c r="I27" s="263"/>
      <c r="J27" s="263"/>
      <c r="K27" s="263"/>
      <c r="L27" s="263"/>
      <c r="M27" s="263"/>
      <c r="N27" s="263"/>
      <c r="O27" s="263"/>
      <c r="P27" s="263"/>
      <c r="Q27" s="263"/>
      <c r="R27" s="533"/>
      <c r="S27" s="603"/>
      <c r="T27" s="604"/>
      <c r="U27" s="604"/>
      <c r="V27" s="604"/>
      <c r="W27" s="604"/>
      <c r="X27" s="604"/>
      <c r="Y27" s="604"/>
      <c r="Z27" s="604"/>
      <c r="AA27" s="604"/>
      <c r="AB27" s="604"/>
      <c r="AC27" s="604"/>
      <c r="AD27" s="604"/>
      <c r="AE27" s="604"/>
      <c r="AF27" s="604"/>
      <c r="AG27" s="604"/>
      <c r="AH27" s="604"/>
      <c r="AI27" s="604"/>
      <c r="AJ27" s="604"/>
      <c r="AK27" s="604"/>
      <c r="AL27" s="604"/>
      <c r="AM27" s="604"/>
      <c r="AN27" s="604"/>
      <c r="AO27" s="604"/>
      <c r="AP27" s="604"/>
      <c r="AQ27" s="604"/>
      <c r="AR27" s="604"/>
      <c r="AS27" s="604"/>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c r="CW27" s="604"/>
      <c r="CX27" s="604"/>
      <c r="CY27" s="604"/>
      <c r="CZ27" s="604"/>
      <c r="DA27" s="604"/>
      <c r="DB27" s="604"/>
      <c r="DC27" s="604"/>
      <c r="DD27" s="604"/>
      <c r="DE27" s="604"/>
      <c r="DF27" s="604"/>
      <c r="DG27" s="604"/>
      <c r="DH27" s="604"/>
      <c r="DI27" s="604"/>
      <c r="DJ27" s="604"/>
      <c r="DK27" s="604"/>
      <c r="DL27" s="604"/>
      <c r="DM27" s="604"/>
      <c r="DN27" s="604"/>
      <c r="DO27" s="604"/>
      <c r="DP27" s="604"/>
      <c r="DQ27" s="604"/>
      <c r="DR27" s="604"/>
      <c r="DS27" s="604"/>
      <c r="DT27" s="604"/>
      <c r="DU27" s="604"/>
      <c r="DV27" s="604"/>
      <c r="DW27" s="604"/>
      <c r="DX27" s="604"/>
      <c r="DY27" s="604"/>
      <c r="DZ27" s="604"/>
      <c r="EA27" s="604"/>
      <c r="EB27" s="604"/>
      <c r="EC27" s="604"/>
      <c r="ED27" s="604"/>
      <c r="EE27" s="604"/>
      <c r="EF27" s="604"/>
      <c r="EG27" s="604"/>
      <c r="EH27" s="604"/>
      <c r="EI27" s="604"/>
      <c r="EJ27" s="604"/>
      <c r="EK27" s="604"/>
      <c r="EL27" s="604"/>
      <c r="EM27" s="604"/>
      <c r="EN27" s="604"/>
      <c r="EO27" s="604"/>
      <c r="EP27" s="604"/>
      <c r="EQ27" s="604"/>
      <c r="ER27" s="604"/>
      <c r="ES27" s="604"/>
      <c r="ET27" s="604"/>
      <c r="EU27" s="604"/>
      <c r="EV27" s="604"/>
      <c r="EW27" s="604"/>
      <c r="EX27" s="604"/>
      <c r="EY27" s="604"/>
      <c r="EZ27" s="604"/>
      <c r="FA27" s="604"/>
      <c r="FB27" s="604"/>
      <c r="FC27" s="604"/>
      <c r="FD27" s="604"/>
      <c r="FE27" s="604"/>
      <c r="FF27" s="604"/>
      <c r="FG27" s="604"/>
      <c r="FH27" s="604"/>
      <c r="FI27" s="604"/>
      <c r="FJ27" s="604"/>
      <c r="FK27" s="604"/>
      <c r="FL27" s="604"/>
      <c r="FM27" s="604"/>
      <c r="FN27" s="604"/>
      <c r="FO27" s="604"/>
      <c r="FP27" s="604"/>
      <c r="FQ27" s="604"/>
      <c r="FR27" s="604"/>
      <c r="FS27" s="604"/>
      <c r="FT27" s="604"/>
      <c r="FU27" s="604"/>
      <c r="FV27" s="604"/>
      <c r="FW27" s="604"/>
      <c r="FX27" s="604"/>
      <c r="FY27" s="604"/>
      <c r="FZ27" s="604"/>
      <c r="GA27" s="604"/>
      <c r="GB27" s="604"/>
      <c r="GC27" s="604"/>
      <c r="GD27" s="604"/>
      <c r="GE27" s="604"/>
      <c r="GF27" s="604"/>
      <c r="GG27" s="604"/>
      <c r="GH27" s="604"/>
      <c r="GI27" s="604"/>
      <c r="GJ27" s="604"/>
      <c r="GK27" s="604"/>
      <c r="GL27" s="604"/>
      <c r="GM27" s="604"/>
      <c r="GN27" s="604"/>
      <c r="GO27" s="604"/>
      <c r="GP27" s="604"/>
      <c r="GQ27" s="604"/>
      <c r="GR27" s="604"/>
      <c r="GS27" s="604"/>
      <c r="GT27" s="604"/>
      <c r="GU27" s="604"/>
      <c r="GV27" s="604"/>
      <c r="GW27" s="604"/>
      <c r="GX27" s="604"/>
      <c r="GY27" s="604"/>
      <c r="GZ27" s="604"/>
      <c r="HA27" s="604"/>
      <c r="HB27" s="604"/>
      <c r="HC27" s="604"/>
      <c r="HD27" s="604"/>
      <c r="HE27" s="604"/>
      <c r="HF27" s="604"/>
      <c r="HG27" s="604"/>
      <c r="HH27" s="604"/>
      <c r="HI27" s="604"/>
      <c r="HJ27" s="604"/>
      <c r="HK27" s="604"/>
      <c r="HL27" s="604"/>
      <c r="HM27" s="604"/>
      <c r="HN27" s="604"/>
      <c r="HO27" s="604"/>
      <c r="HP27" s="604"/>
      <c r="HQ27" s="604"/>
      <c r="HR27" s="604"/>
      <c r="HS27" s="604"/>
      <c r="HT27" s="604"/>
      <c r="HU27" s="604"/>
      <c r="HV27" s="604"/>
      <c r="HW27" s="604"/>
      <c r="HX27" s="604"/>
      <c r="HY27" s="604"/>
      <c r="HZ27" s="604"/>
      <c r="IA27" s="604"/>
      <c r="IB27" s="604"/>
      <c r="IC27" s="604"/>
      <c r="ID27" s="604"/>
      <c r="IE27" s="604"/>
      <c r="IF27" s="604"/>
      <c r="IG27" s="604"/>
      <c r="IH27" s="604"/>
      <c r="II27" s="604"/>
      <c r="IJ27" s="604"/>
      <c r="IK27" s="604"/>
      <c r="IL27" s="604"/>
      <c r="IM27" s="604"/>
      <c r="IN27" s="604"/>
      <c r="IO27" s="604"/>
      <c r="IP27" s="604"/>
      <c r="IQ27" s="604"/>
      <c r="IR27" s="604"/>
    </row>
    <row r="28" spans="1:252" s="602" customFormat="1" ht="24.95" customHeight="1" thickBot="1">
      <c r="A28" s="605"/>
      <c r="B28" s="3405" t="s">
        <v>32</v>
      </c>
      <c r="C28" s="3410" t="s">
        <v>541</v>
      </c>
      <c r="D28" s="3407" t="s">
        <v>514</v>
      </c>
      <c r="E28" s="3407" t="s">
        <v>515</v>
      </c>
      <c r="F28" s="578" t="s">
        <v>383</v>
      </c>
      <c r="G28" s="252"/>
      <c r="H28" s="252"/>
      <c r="I28" s="252"/>
      <c r="J28" s="252"/>
      <c r="K28" s="252"/>
      <c r="L28" s="252"/>
      <c r="M28" s="252"/>
      <c r="N28" s="252"/>
      <c r="O28" s="252"/>
      <c r="P28" s="252"/>
      <c r="Q28" s="252"/>
      <c r="R28" s="3407" t="s">
        <v>384</v>
      </c>
      <c r="S28" s="603"/>
    </row>
    <row r="29" spans="1:252" s="602" customFormat="1" ht="24.95" customHeight="1" thickBot="1">
      <c r="A29" s="605"/>
      <c r="B29" s="3406"/>
      <c r="C29" s="3418"/>
      <c r="D29" s="3408"/>
      <c r="E29" s="3409"/>
      <c r="F29" s="580" t="str">
        <f t="shared" ref="F29:Q29" si="5">+F7</f>
        <v>ENERO</v>
      </c>
      <c r="G29" s="581" t="str">
        <f t="shared" si="5"/>
        <v>FEBRERO</v>
      </c>
      <c r="H29" s="581" t="str">
        <f t="shared" si="5"/>
        <v>MARZO</v>
      </c>
      <c r="I29" s="581" t="str">
        <f t="shared" si="5"/>
        <v>ABRIL</v>
      </c>
      <c r="J29" s="581" t="str">
        <f t="shared" si="5"/>
        <v>MAYO</v>
      </c>
      <c r="K29" s="581" t="str">
        <f t="shared" si="5"/>
        <v>JUNIO</v>
      </c>
      <c r="L29" s="581" t="str">
        <f t="shared" si="5"/>
        <v>JULIO</v>
      </c>
      <c r="M29" s="581" t="str">
        <f t="shared" si="5"/>
        <v>AGOSTO</v>
      </c>
      <c r="N29" s="581" t="str">
        <f t="shared" si="5"/>
        <v>SEPTIEMBRE</v>
      </c>
      <c r="O29" s="581" t="str">
        <f t="shared" si="5"/>
        <v>OCTUBRE</v>
      </c>
      <c r="P29" s="581" t="str">
        <f t="shared" si="5"/>
        <v>NOVIEMBRE</v>
      </c>
      <c r="Q29" s="582" t="str">
        <f t="shared" si="5"/>
        <v>DICIEMBRE</v>
      </c>
      <c r="R29" s="3408"/>
      <c r="S29" s="603"/>
    </row>
    <row r="30" spans="1:252" s="602" customFormat="1" ht="24.95" customHeight="1">
      <c r="A30" s="605"/>
      <c r="B30" s="564" t="s">
        <v>54</v>
      </c>
      <c r="C30" s="538">
        <f>+C31+C39+C46</f>
        <v>41980610660</v>
      </c>
      <c r="D30" s="538">
        <f t="shared" ref="D30:R30" si="6">+D31+D39+D46</f>
        <v>36705578856</v>
      </c>
      <c r="E30" s="539">
        <f t="shared" si="6"/>
        <v>36705578856</v>
      </c>
      <c r="F30" s="536">
        <f t="shared" si="6"/>
        <v>420016029</v>
      </c>
      <c r="G30" s="537">
        <f t="shared" si="6"/>
        <v>1320788824</v>
      </c>
      <c r="H30" s="537">
        <f t="shared" si="6"/>
        <v>1141237398</v>
      </c>
      <c r="I30" s="537">
        <f t="shared" si="6"/>
        <v>1586730026</v>
      </c>
      <c r="J30" s="537">
        <f t="shared" si="6"/>
        <v>1939548114</v>
      </c>
      <c r="K30" s="537">
        <f t="shared" si="6"/>
        <v>1858870781</v>
      </c>
      <c r="L30" s="537">
        <f t="shared" si="6"/>
        <v>2532985837</v>
      </c>
      <c r="M30" s="537">
        <f t="shared" si="6"/>
        <v>2084148867</v>
      </c>
      <c r="N30" s="537">
        <f t="shared" si="6"/>
        <v>2489859982</v>
      </c>
      <c r="O30" s="537">
        <f t="shared" si="6"/>
        <v>2435018190</v>
      </c>
      <c r="P30" s="537">
        <f t="shared" si="6"/>
        <v>2287906560</v>
      </c>
      <c r="Q30" s="584">
        <f t="shared" si="6"/>
        <v>3733313940</v>
      </c>
      <c r="R30" s="540">
        <f t="shared" si="6"/>
        <v>23830424548</v>
      </c>
      <c r="S30" s="603"/>
    </row>
    <row r="31" spans="1:252" s="602" customFormat="1" ht="24.95" customHeight="1">
      <c r="A31" s="605"/>
      <c r="B31" s="565" t="s">
        <v>547</v>
      </c>
      <c r="C31" s="540">
        <f>+C32+C38</f>
        <v>31734275018</v>
      </c>
      <c r="D31" s="540">
        <f t="shared" ref="D31:R31" si="7">+D32+D38</f>
        <v>28838119979</v>
      </c>
      <c r="E31" s="540">
        <f t="shared" si="7"/>
        <v>28838119979</v>
      </c>
      <c r="F31" s="585">
        <f t="shared" si="7"/>
        <v>228091823</v>
      </c>
      <c r="G31" s="570">
        <f t="shared" si="7"/>
        <v>823047303</v>
      </c>
      <c r="H31" s="570">
        <f t="shared" si="7"/>
        <v>780198885</v>
      </c>
      <c r="I31" s="570">
        <f t="shared" si="7"/>
        <v>1307528000</v>
      </c>
      <c r="J31" s="570">
        <f t="shared" si="7"/>
        <v>1359991375</v>
      </c>
      <c r="K31" s="570">
        <f t="shared" si="7"/>
        <v>1428837783</v>
      </c>
      <c r="L31" s="570">
        <f t="shared" si="7"/>
        <v>2081241679</v>
      </c>
      <c r="M31" s="570">
        <f t="shared" si="7"/>
        <v>1842109322</v>
      </c>
      <c r="N31" s="570">
        <f t="shared" si="7"/>
        <v>2053454938</v>
      </c>
      <c r="O31" s="570">
        <f t="shared" si="7"/>
        <v>2097823563</v>
      </c>
      <c r="P31" s="570">
        <f t="shared" si="7"/>
        <v>1652006204</v>
      </c>
      <c r="Q31" s="586">
        <f t="shared" si="7"/>
        <v>3171165991</v>
      </c>
      <c r="R31" s="540">
        <f t="shared" si="7"/>
        <v>18825496866</v>
      </c>
      <c r="S31" s="603"/>
    </row>
    <row r="32" spans="1:252" s="602" customFormat="1" ht="24.95" customHeight="1">
      <c r="A32" s="605"/>
      <c r="B32" s="757" t="s">
        <v>438</v>
      </c>
      <c r="C32" s="571">
        <f>+C33+C37</f>
        <v>2811598915</v>
      </c>
      <c r="D32" s="571">
        <f t="shared" ref="D32:R32" si="8">+D33+D37</f>
        <v>2384902304</v>
      </c>
      <c r="E32" s="571">
        <f t="shared" si="8"/>
        <v>2384902304</v>
      </c>
      <c r="F32" s="562">
        <f t="shared" si="8"/>
        <v>150283497</v>
      </c>
      <c r="G32" s="563">
        <f t="shared" si="8"/>
        <v>205368101</v>
      </c>
      <c r="H32" s="563">
        <f t="shared" si="8"/>
        <v>151962039</v>
      </c>
      <c r="I32" s="563">
        <f t="shared" si="8"/>
        <v>157788261</v>
      </c>
      <c r="J32" s="563">
        <f t="shared" si="8"/>
        <v>180397417</v>
      </c>
      <c r="K32" s="563">
        <f t="shared" si="8"/>
        <v>145337258</v>
      </c>
      <c r="L32" s="563">
        <f t="shared" si="8"/>
        <v>202070955</v>
      </c>
      <c r="M32" s="563">
        <f t="shared" si="8"/>
        <v>212551573</v>
      </c>
      <c r="N32" s="563">
        <f t="shared" si="8"/>
        <v>253110913</v>
      </c>
      <c r="O32" s="563">
        <f t="shared" si="8"/>
        <v>201806482</v>
      </c>
      <c r="P32" s="563">
        <f t="shared" si="8"/>
        <v>172608915</v>
      </c>
      <c r="Q32" s="587">
        <f t="shared" si="8"/>
        <v>351616893</v>
      </c>
      <c r="R32" s="571">
        <f t="shared" si="8"/>
        <v>2384902304</v>
      </c>
      <c r="S32" s="603"/>
    </row>
    <row r="33" spans="1:19" s="602" customFormat="1" ht="24.95" customHeight="1">
      <c r="A33" s="605"/>
      <c r="B33" s="757" t="s">
        <v>546</v>
      </c>
      <c r="C33" s="571">
        <f>SUM(C34:C36)</f>
        <v>2092764538</v>
      </c>
      <c r="D33" s="571">
        <f t="shared" ref="D33:R33" si="9">SUM(D34:D36)</f>
        <v>1908889085</v>
      </c>
      <c r="E33" s="571">
        <f t="shared" si="9"/>
        <v>1908889085</v>
      </c>
      <c r="F33" s="562">
        <f t="shared" si="9"/>
        <v>116132687</v>
      </c>
      <c r="G33" s="563">
        <f t="shared" si="9"/>
        <v>171205735</v>
      </c>
      <c r="H33" s="563">
        <f t="shared" si="9"/>
        <v>117407477</v>
      </c>
      <c r="I33" s="563">
        <f t="shared" si="9"/>
        <v>123735329</v>
      </c>
      <c r="J33" s="563">
        <f t="shared" si="9"/>
        <v>146844771</v>
      </c>
      <c r="K33" s="563">
        <f t="shared" si="9"/>
        <v>110867680</v>
      </c>
      <c r="L33" s="563">
        <f t="shared" si="9"/>
        <v>168617085</v>
      </c>
      <c r="M33" s="563">
        <f t="shared" si="9"/>
        <v>179372075</v>
      </c>
      <c r="N33" s="563">
        <f t="shared" si="9"/>
        <v>213854899</v>
      </c>
      <c r="O33" s="563">
        <f t="shared" si="9"/>
        <v>148557093</v>
      </c>
      <c r="P33" s="563">
        <f t="shared" si="9"/>
        <v>134399517</v>
      </c>
      <c r="Q33" s="587">
        <f t="shared" si="9"/>
        <v>277894737</v>
      </c>
      <c r="R33" s="571">
        <f t="shared" si="9"/>
        <v>1908889085</v>
      </c>
      <c r="S33" s="603"/>
    </row>
    <row r="34" spans="1:19" s="602" customFormat="1" ht="24.95" customHeight="1">
      <c r="A34" s="605"/>
      <c r="B34" s="758" t="s">
        <v>440</v>
      </c>
      <c r="C34" s="572">
        <f>MARZO!$BN10*$G$4+JUNIO!$BN10*$I$4+SEPTIEMBRE!$BN10*$K$4+DICIEMBRE!$BN10*$M$4</f>
        <v>1387755363</v>
      </c>
      <c r="D34" s="572">
        <f>MARZO!$BO10*$G$4+JUNIO!$BO10*$I$4+SEPTIEMBRE!$BO10*$K$4+DICIEMBRE!$BO10*$M$4</f>
        <v>1334459429</v>
      </c>
      <c r="E34" s="572">
        <f>MARZO!$BP10*$G$4+JUNIO!$BP10*$I$4+SEPTIEMBRE!$BP10*$K$4+DICIEMBRE!$BP10*$M$4</f>
        <v>1334459429</v>
      </c>
      <c r="F34" s="264">
        <f>ENERO!$BQ10</f>
        <v>96255247</v>
      </c>
      <c r="G34" s="265">
        <f>FEBRERO!$BQ10</f>
        <v>105450328</v>
      </c>
      <c r="H34" s="265">
        <f>MARZO!$BQ10</f>
        <v>101624011</v>
      </c>
      <c r="I34" s="265">
        <f>ABRIL!$BQ10</f>
        <v>102161904</v>
      </c>
      <c r="J34" s="265">
        <f>MAYO!$BQ10</f>
        <v>118322119</v>
      </c>
      <c r="K34" s="265">
        <f>JUNIO!$BQ10</f>
        <v>94667197</v>
      </c>
      <c r="L34" s="265">
        <f>JULIO!$BQ10</f>
        <v>99289323</v>
      </c>
      <c r="M34" s="265">
        <f>AGOSTO!$BQ10</f>
        <v>107879193</v>
      </c>
      <c r="N34" s="265">
        <f>SEPTIEMBRE!$BQ10</f>
        <v>160921129</v>
      </c>
      <c r="O34" s="265">
        <f>OCTUBRE!$BQ10</f>
        <v>113120779</v>
      </c>
      <c r="P34" s="265">
        <f>NOVIEMBRE!$BQ10</f>
        <v>109870138</v>
      </c>
      <c r="Q34" s="588">
        <f>DICIEMBRE!$BQ10</f>
        <v>124898061</v>
      </c>
      <c r="R34" s="559">
        <f t="shared" ref="R34:R55" si="10">SUM(F34:Q34)</f>
        <v>1334459429</v>
      </c>
      <c r="S34" s="603"/>
    </row>
    <row r="35" spans="1:19" s="602" customFormat="1" ht="24.95" customHeight="1">
      <c r="A35" s="605"/>
      <c r="B35" s="758" t="s">
        <v>441</v>
      </c>
      <c r="C35" s="572">
        <f>MARZO!$BN11*$G$4+JUNIO!$BN11*$I$4+SEPTIEMBRE!$BN11*$K$4+DICIEMBRE!$BN11*$M$4</f>
        <v>104121781</v>
      </c>
      <c r="D35" s="572">
        <f>MARZO!$BO11*$G$4+JUNIO!$BO11*$I$4+SEPTIEMBRE!$BO11*$K$4+DICIEMBRE!$BO11*$M$4</f>
        <v>103024428</v>
      </c>
      <c r="E35" s="572">
        <f>MARZO!$BP11*$G$4+JUNIO!$BP11*$I$4+SEPTIEMBRE!$BP11*$K$4+DICIEMBRE!$BP11*$M$4</f>
        <v>103024428</v>
      </c>
      <c r="F35" s="264">
        <f>ENERO!$BQ11</f>
        <v>6841937</v>
      </c>
      <c r="G35" s="265">
        <f>FEBRERO!$BQ11</f>
        <v>5979019</v>
      </c>
      <c r="H35" s="265">
        <f>MARZO!$BQ11</f>
        <v>6872938</v>
      </c>
      <c r="I35" s="265">
        <f>ABRIL!$BQ11</f>
        <v>6260264</v>
      </c>
      <c r="J35" s="265">
        <f>MAYO!$BQ11</f>
        <v>8394106</v>
      </c>
      <c r="K35" s="265">
        <f>JUNIO!$BQ11</f>
        <v>8209773</v>
      </c>
      <c r="L35" s="265">
        <f>JULIO!$BQ11</f>
        <v>6187887</v>
      </c>
      <c r="M35" s="265">
        <f>AGOSTO!$BQ11</f>
        <v>7886934</v>
      </c>
      <c r="N35" s="265">
        <f>SEPTIEMBRE!$BQ11</f>
        <v>19878214</v>
      </c>
      <c r="O35" s="265">
        <f>OCTUBRE!$BQ11</f>
        <v>7620426</v>
      </c>
      <c r="P35" s="265">
        <f>NOVIEMBRE!$BQ11</f>
        <v>9569733</v>
      </c>
      <c r="Q35" s="588">
        <f>DICIEMBRE!$BQ11</f>
        <v>9323197</v>
      </c>
      <c r="R35" s="559">
        <f t="shared" si="10"/>
        <v>103024428</v>
      </c>
      <c r="S35" s="603"/>
    </row>
    <row r="36" spans="1:19" s="602" customFormat="1" ht="24.95" customHeight="1">
      <c r="A36" s="605"/>
      <c r="B36" s="758" t="s">
        <v>442</v>
      </c>
      <c r="C36" s="572">
        <f>MARZO!$BN12*$G$4+JUNIO!$BN12*$I$4+SEPTIEMBRE!$BN12*$K$4+DICIEMBRE!$BN12*$M$4</f>
        <v>600887394</v>
      </c>
      <c r="D36" s="572">
        <f>MARZO!$BO12*$G$4+JUNIO!$BO12*$I$4+SEPTIEMBRE!$BO12*$K$4+DICIEMBRE!$BO12*$M$4</f>
        <v>471405228</v>
      </c>
      <c r="E36" s="572">
        <f>MARZO!$BP12*$G$4+JUNIO!$BP12*$I$4+SEPTIEMBRE!$BP12*$K$4+DICIEMBRE!$BP12*$M$4</f>
        <v>471405228</v>
      </c>
      <c r="F36" s="264">
        <f>ENERO!$BQ12</f>
        <v>13035503</v>
      </c>
      <c r="G36" s="265">
        <f>FEBRERO!$BQ12</f>
        <v>59776388</v>
      </c>
      <c r="H36" s="265">
        <f>MARZO!$BQ12</f>
        <v>8910528</v>
      </c>
      <c r="I36" s="265">
        <f>ABRIL!$BQ12</f>
        <v>15313161</v>
      </c>
      <c r="J36" s="265">
        <f>MAYO!$BQ12</f>
        <v>20128546</v>
      </c>
      <c r="K36" s="265">
        <f>JUNIO!$BQ12</f>
        <v>7990710</v>
      </c>
      <c r="L36" s="265">
        <f>JULIO!$BQ12</f>
        <v>63139875</v>
      </c>
      <c r="M36" s="265">
        <f>AGOSTO!$BQ12</f>
        <v>63605948</v>
      </c>
      <c r="N36" s="265">
        <f>SEPTIEMBRE!$BQ12</f>
        <v>33055556</v>
      </c>
      <c r="O36" s="265">
        <f>OCTUBRE!$BQ12</f>
        <v>27815888</v>
      </c>
      <c r="P36" s="265">
        <f>NOVIEMBRE!$BQ12</f>
        <v>14959646</v>
      </c>
      <c r="Q36" s="588">
        <f>DICIEMBRE!$BQ12</f>
        <v>143673479</v>
      </c>
      <c r="R36" s="559">
        <f t="shared" si="10"/>
        <v>471405228</v>
      </c>
      <c r="S36" s="603"/>
    </row>
    <row r="37" spans="1:19" s="602" customFormat="1" ht="24.95" customHeight="1">
      <c r="A37" s="605"/>
      <c r="B37" s="757" t="s">
        <v>443</v>
      </c>
      <c r="C37" s="571">
        <f>MARZO!$BN13*$G$4+JUNIO!$BN13*$I$4+SEPTIEMBRE!$BN13*$K$4+DICIEMBRE!$BN13*$M$4</f>
        <v>718834377</v>
      </c>
      <c r="D37" s="572">
        <f>MARZO!$BO13*$G$4+JUNIO!$BO13*$I$4+SEPTIEMBRE!$BO13*$K$4+DICIEMBRE!$BO13*$M$4</f>
        <v>476013219</v>
      </c>
      <c r="E37" s="572">
        <f>MARZO!$BP13*$G$4+JUNIO!$BP13*$I$4+SEPTIEMBRE!$BP13*$K$4+DICIEMBRE!$BP13*$M$4</f>
        <v>476013219</v>
      </c>
      <c r="F37" s="264">
        <f>ENERO!$BQ13</f>
        <v>34150810</v>
      </c>
      <c r="G37" s="265">
        <f>FEBRERO!$BQ13</f>
        <v>34162366</v>
      </c>
      <c r="H37" s="265">
        <f>MARZO!$BQ13</f>
        <v>34554562</v>
      </c>
      <c r="I37" s="265">
        <f>ABRIL!$BQ13</f>
        <v>34052932</v>
      </c>
      <c r="J37" s="265">
        <f>MAYO!$BQ13</f>
        <v>33552646</v>
      </c>
      <c r="K37" s="265">
        <f>JUNIO!$BQ13</f>
        <v>34469578</v>
      </c>
      <c r="L37" s="265">
        <f>JULIO!$BQ13</f>
        <v>33453870</v>
      </c>
      <c r="M37" s="265">
        <f>AGOSTO!$BQ13</f>
        <v>33179498</v>
      </c>
      <c r="N37" s="265">
        <f>SEPTIEMBRE!$BQ13</f>
        <v>39256014</v>
      </c>
      <c r="O37" s="265">
        <f>OCTUBRE!$BQ13</f>
        <v>53249389</v>
      </c>
      <c r="P37" s="265">
        <f>NOVIEMBRE!$BQ13</f>
        <v>38209398</v>
      </c>
      <c r="Q37" s="588">
        <f>DICIEMBRE!$BQ13</f>
        <v>73722156</v>
      </c>
      <c r="R37" s="559">
        <f t="shared" si="10"/>
        <v>476013219</v>
      </c>
      <c r="S37" s="603"/>
    </row>
    <row r="38" spans="1:19" s="602" customFormat="1" ht="24.95" customHeight="1">
      <c r="A38" s="605"/>
      <c r="B38" s="757" t="s">
        <v>439</v>
      </c>
      <c r="C38" s="571">
        <f>MARZO!$BN14*$G$4+JUNIO!$BN14*$I$4+SEPTIEMBRE!$BN14*$K$4+DICIEMBRE!$BN14*$M$4</f>
        <v>28922676103</v>
      </c>
      <c r="D38" s="572">
        <f>MARZO!$BO14*$G$4+JUNIO!$BO14*$I$4+SEPTIEMBRE!$BO14*$K$4+DICIEMBRE!$BO14*$M$4</f>
        <v>26453217675</v>
      </c>
      <c r="E38" s="572">
        <f>MARZO!$BP14*$G$4+JUNIO!$BP14*$I$4+SEPTIEMBRE!$BP14*$K$4+DICIEMBRE!$BP14*$M$4</f>
        <v>26453217675</v>
      </c>
      <c r="F38" s="264">
        <f>ENERO!$BQ14</f>
        <v>77808326</v>
      </c>
      <c r="G38" s="265">
        <f>FEBRERO!$BQ14</f>
        <v>617679202</v>
      </c>
      <c r="H38" s="265">
        <f>MARZO!$BQ14</f>
        <v>628236846</v>
      </c>
      <c r="I38" s="265">
        <f>ABRIL!$BQ14</f>
        <v>1149739739</v>
      </c>
      <c r="J38" s="265">
        <f>MAYO!$BQ14</f>
        <v>1179593958</v>
      </c>
      <c r="K38" s="265">
        <f>JUNIO!$BQ14</f>
        <v>1283500525</v>
      </c>
      <c r="L38" s="265">
        <f>JULIO!$BQ14</f>
        <v>1879170724</v>
      </c>
      <c r="M38" s="265">
        <f>AGOSTO!$BQ14</f>
        <v>1629557749</v>
      </c>
      <c r="N38" s="265">
        <f>SEPTIEMBRE!$BQ14</f>
        <v>1800344025</v>
      </c>
      <c r="O38" s="265">
        <f>OCTUBRE!$BQ14</f>
        <v>1896017081</v>
      </c>
      <c r="P38" s="265">
        <f>NOVIEMBRE!$BQ14</f>
        <v>1479397289</v>
      </c>
      <c r="Q38" s="588">
        <f>DICIEMBRE!$BQ14</f>
        <v>2819549098</v>
      </c>
      <c r="R38" s="559">
        <f t="shared" si="10"/>
        <v>16440594562</v>
      </c>
      <c r="S38" s="603"/>
    </row>
    <row r="39" spans="1:19" s="608" customFormat="1" ht="24.95" customHeight="1">
      <c r="A39" s="606"/>
      <c r="B39" s="565" t="s">
        <v>548</v>
      </c>
      <c r="C39" s="571">
        <f>SUM(C40:C45)</f>
        <v>10096605639</v>
      </c>
      <c r="D39" s="571">
        <f t="shared" ref="D39:I39" si="11">SUM(D40:D45)</f>
        <v>7761629191</v>
      </c>
      <c r="E39" s="571">
        <f t="shared" si="11"/>
        <v>7761629191</v>
      </c>
      <c r="F39" s="562">
        <f t="shared" si="11"/>
        <v>178729818</v>
      </c>
      <c r="G39" s="563">
        <f t="shared" si="11"/>
        <v>496414700</v>
      </c>
      <c r="H39" s="563">
        <f t="shared" si="11"/>
        <v>342095295</v>
      </c>
      <c r="I39" s="563">
        <f t="shared" si="11"/>
        <v>277306272</v>
      </c>
      <c r="J39" s="563">
        <f t="shared" ref="J39" si="12">SUM(J40:J45)</f>
        <v>567688139</v>
      </c>
      <c r="K39" s="563">
        <f t="shared" ref="K39" si="13">SUM(K40:K45)</f>
        <v>426107770</v>
      </c>
      <c r="L39" s="563">
        <f t="shared" ref="L39" si="14">SUM(L40:L45)</f>
        <v>445343211</v>
      </c>
      <c r="M39" s="563">
        <f t="shared" ref="M39" si="15">SUM(M40:M45)</f>
        <v>236966752</v>
      </c>
      <c r="N39" s="563">
        <f t="shared" ref="N39" si="16">SUM(N40:N45)</f>
        <v>417146865</v>
      </c>
      <c r="O39" s="563">
        <f t="shared" ref="O39" si="17">SUM(O40:O45)</f>
        <v>336701251</v>
      </c>
      <c r="P39" s="563">
        <f t="shared" ref="P39" si="18">SUM(P40:P45)</f>
        <v>628610950</v>
      </c>
      <c r="Q39" s="587">
        <f t="shared" ref="Q39" si="19">SUM(Q40:Q45)</f>
        <v>561473985</v>
      </c>
      <c r="R39" s="571">
        <f t="shared" ref="R39" si="20">SUM(R40:R45)</f>
        <v>4914585008</v>
      </c>
      <c r="S39" s="607"/>
    </row>
    <row r="40" spans="1:19" s="602" customFormat="1" ht="24.95" customHeight="1">
      <c r="A40" s="605"/>
      <c r="B40" s="758" t="s">
        <v>83</v>
      </c>
      <c r="C40" s="572">
        <f>MARZO!$BN16*$G$4+JUNIO!$BN16*$I$4+SEPTIEMBRE!$BN16*$K$4+DICIEMBRE!$BN16*$M$4</f>
        <v>1871358788</v>
      </c>
      <c r="D40" s="572">
        <f>MARZO!$BO16*$G$4+JUNIO!$BO16*$I$4+SEPTIEMBRE!$BO16*$K$4+DICIEMBRE!$BO16*$M$4</f>
        <v>924586116</v>
      </c>
      <c r="E40" s="572">
        <f>MARZO!$BP16*$G$4+JUNIO!$BP16*$I$4+SEPTIEMBRE!$BP16*$K$4+DICIEMBRE!$BP16*$M$4</f>
        <v>924586116</v>
      </c>
      <c r="F40" s="264">
        <f>ENERO!$BQ16</f>
        <v>2150050</v>
      </c>
      <c r="G40" s="265">
        <f>FEBRERO!$BQ16</f>
        <v>9593066</v>
      </c>
      <c r="H40" s="265">
        <f>MARZO!$BQ16</f>
        <v>23613471</v>
      </c>
      <c r="I40" s="265">
        <f>ABRIL!$BQ16</f>
        <v>60849324</v>
      </c>
      <c r="J40" s="265">
        <f>MAYO!$BQ16</f>
        <v>57085843</v>
      </c>
      <c r="K40" s="265">
        <f>JUNIO!$BQ16</f>
        <v>26829089</v>
      </c>
      <c r="L40" s="265">
        <f>JULIO!$BQ16</f>
        <v>57444214</v>
      </c>
      <c r="M40" s="265">
        <f>AGOSTO!$BQ16</f>
        <v>22519037</v>
      </c>
      <c r="N40" s="265">
        <f>SEPTIEMBRE!$BQ16</f>
        <v>35233916</v>
      </c>
      <c r="O40" s="265">
        <f>OCTUBRE!$BQ16</f>
        <v>43037349</v>
      </c>
      <c r="P40" s="265">
        <f>NOVIEMBRE!$BQ16</f>
        <v>38161682</v>
      </c>
      <c r="Q40" s="588">
        <f>DICIEMBRE!$BQ16</f>
        <v>87838015</v>
      </c>
      <c r="R40" s="559">
        <f t="shared" si="10"/>
        <v>464355056</v>
      </c>
      <c r="S40" s="603"/>
    </row>
    <row r="41" spans="1:19" s="602" customFormat="1" ht="24.95" customHeight="1">
      <c r="A41" s="605"/>
      <c r="B41" s="758" t="s">
        <v>449</v>
      </c>
      <c r="C41" s="572">
        <f>MARZO!$BN17*$G$4+JUNIO!$BN17*$I$4+SEPTIEMBRE!$BN17*$K$4+DICIEMBRE!$BN17*$M$4</f>
        <v>5018392129</v>
      </c>
      <c r="D41" s="572">
        <f>MARZO!$BO17*$G$4+JUNIO!$BO17*$I$4+SEPTIEMBRE!$BO17*$K$4+DICIEMBRE!$BO17*$M$4</f>
        <v>4791458778</v>
      </c>
      <c r="E41" s="572">
        <f>MARZO!$BP17*$G$4+JUNIO!$BP17*$I$4+SEPTIEMBRE!$BP17*$K$4+DICIEMBRE!$BP17*$M$4</f>
        <v>4791458778</v>
      </c>
      <c r="F41" s="264">
        <f>ENERO!$BQ17</f>
        <v>45014739</v>
      </c>
      <c r="G41" s="265">
        <f>FEBRERO!$BQ17</f>
        <v>426414357</v>
      </c>
      <c r="H41" s="265">
        <f>MARZO!$BQ17</f>
        <v>193030604</v>
      </c>
      <c r="I41" s="265">
        <f>ABRIL!$BQ17</f>
        <v>111919453</v>
      </c>
      <c r="J41" s="265">
        <f>MAYO!$BQ17</f>
        <v>414120066</v>
      </c>
      <c r="K41" s="265">
        <f>JUNIO!$BQ17</f>
        <v>208132715</v>
      </c>
      <c r="L41" s="265">
        <f>JULIO!$BQ17</f>
        <v>281322085</v>
      </c>
      <c r="M41" s="265">
        <f>AGOSTO!$BQ17</f>
        <v>121373367</v>
      </c>
      <c r="N41" s="265">
        <f>SEPTIEMBRE!$BQ17</f>
        <v>273090329</v>
      </c>
      <c r="O41" s="265">
        <f>OCTUBRE!$BQ17</f>
        <v>157413670</v>
      </c>
      <c r="P41" s="265">
        <f>NOVIEMBRE!$BQ17</f>
        <v>452245962</v>
      </c>
      <c r="Q41" s="588">
        <f>DICIEMBRE!$BQ17</f>
        <v>260798250</v>
      </c>
      <c r="R41" s="559">
        <f t="shared" si="10"/>
        <v>2944875597</v>
      </c>
      <c r="S41" s="603"/>
    </row>
    <row r="42" spans="1:19" s="602" customFormat="1" ht="24.95" customHeight="1">
      <c r="A42" s="605"/>
      <c r="B42" s="758" t="s">
        <v>87</v>
      </c>
      <c r="C42" s="572">
        <f>MARZO!$BN18*$G$4+JUNIO!$BN18*$I$4+SEPTIEMBRE!$BN18*$K$4+DICIEMBRE!$BN18*$M$4</f>
        <v>2058462544</v>
      </c>
      <c r="D42" s="572">
        <f>MARZO!$BO18*$G$4+JUNIO!$BO18*$I$4+SEPTIEMBRE!$BO18*$K$4+DICIEMBRE!$BO18*$M$4</f>
        <v>978641777</v>
      </c>
      <c r="E42" s="572">
        <f>MARZO!$BP18*$G$4+JUNIO!$BP18*$I$4+SEPTIEMBRE!$BP18*$K$4+DICIEMBRE!$BP18*$M$4</f>
        <v>978641777</v>
      </c>
      <c r="F42" s="264">
        <f>ENERO!$BQ18</f>
        <v>6585347</v>
      </c>
      <c r="G42" s="265">
        <f>FEBRERO!$BQ18</f>
        <v>12654163</v>
      </c>
      <c r="H42" s="265">
        <f>MARZO!$BQ18</f>
        <v>40345874</v>
      </c>
      <c r="I42" s="265">
        <f>ABRIL!$BQ18</f>
        <v>4191348</v>
      </c>
      <c r="J42" s="265">
        <f>MAYO!$BQ18</f>
        <v>25133861</v>
      </c>
      <c r="K42" s="265">
        <f>JUNIO!$BQ18</f>
        <v>96349606</v>
      </c>
      <c r="L42" s="265">
        <f>JULIO!$BQ18</f>
        <v>21976100</v>
      </c>
      <c r="M42" s="265">
        <f>AGOSTO!$BQ18</f>
        <v>8685898</v>
      </c>
      <c r="N42" s="265">
        <f>SEPTIEMBRE!$BQ18</f>
        <v>51227735</v>
      </c>
      <c r="O42" s="265">
        <f>OCTUBRE!$BQ18</f>
        <v>19078356</v>
      </c>
      <c r="P42" s="265">
        <f>NOVIEMBRE!$BQ18</f>
        <v>29607611</v>
      </c>
      <c r="Q42" s="588">
        <f>DICIEMBRE!$BQ18</f>
        <v>128014079</v>
      </c>
      <c r="R42" s="559">
        <f t="shared" si="10"/>
        <v>443849978</v>
      </c>
      <c r="S42" s="603"/>
    </row>
    <row r="43" spans="1:19" s="602" customFormat="1" ht="24.95" customHeight="1">
      <c r="A43" s="605"/>
      <c r="B43" s="758" t="s">
        <v>94</v>
      </c>
      <c r="C43" s="572">
        <f>MARZO!$BN19*$G$4+JUNIO!$BN19*$I$4+SEPTIEMBRE!$BN19*$K$4+DICIEMBRE!$BN19*$M$4</f>
        <v>1145500000</v>
      </c>
      <c r="D43" s="572">
        <f>MARZO!$BO19*$G$4+JUNIO!$BO19*$I$4+SEPTIEMBRE!$BO19*$K$4+DICIEMBRE!$BO19*$M$4</f>
        <v>1064050342</v>
      </c>
      <c r="E43" s="572">
        <f>MARZO!$BP19*$G$4+JUNIO!$BP19*$I$4+SEPTIEMBRE!$BP19*$K$4+DICIEMBRE!$BP19*$M$4</f>
        <v>1064050342</v>
      </c>
      <c r="F43" s="264">
        <f>ENERO!$BQ19</f>
        <v>124979682</v>
      </c>
      <c r="G43" s="265">
        <f>FEBRERO!$BQ19</f>
        <v>47753114</v>
      </c>
      <c r="H43" s="265">
        <f>MARZO!$BQ19</f>
        <v>85105346</v>
      </c>
      <c r="I43" s="265">
        <f>ABRIL!$BQ19</f>
        <v>100346147</v>
      </c>
      <c r="J43" s="265">
        <f>MAYO!$BQ19</f>
        <v>71348369</v>
      </c>
      <c r="K43" s="265">
        <f>JUNIO!$BQ19</f>
        <v>94796360</v>
      </c>
      <c r="L43" s="265">
        <f>JULIO!$BQ19</f>
        <v>84600812</v>
      </c>
      <c r="M43" s="265">
        <f>AGOSTO!$BQ19</f>
        <v>84388450</v>
      </c>
      <c r="N43" s="265">
        <f>SEPTIEMBRE!$BQ19</f>
        <v>54702707</v>
      </c>
      <c r="O43" s="265">
        <f>OCTUBRE!$BQ19</f>
        <v>117171876</v>
      </c>
      <c r="P43" s="265">
        <f>NOVIEMBRE!$BQ19</f>
        <v>108595695</v>
      </c>
      <c r="Q43" s="588">
        <f>DICIEMBRE!$BQ19</f>
        <v>84823641</v>
      </c>
      <c r="R43" s="559">
        <f t="shared" si="10"/>
        <v>1058612199</v>
      </c>
      <c r="S43" s="603"/>
    </row>
    <row r="44" spans="1:19" s="602" customFormat="1" ht="24.95" customHeight="1">
      <c r="A44" s="605"/>
      <c r="B44" s="758" t="s">
        <v>444</v>
      </c>
      <c r="C44" s="572">
        <f>MARZO!$BN20*$G$4+JUNIO!$BN20*$I$4+SEPTIEMBRE!$BN20*$K$4+DICIEMBRE!$BN20*$M$4</f>
        <v>2892178</v>
      </c>
      <c r="D44" s="572">
        <f>MARZO!$BO20*$G$4+JUNIO!$BO20*$I$4+SEPTIEMBRE!$BO20*$K$4+DICIEMBRE!$BO20*$M$4</f>
        <v>2892178</v>
      </c>
      <c r="E44" s="572">
        <f>MARZO!$BP20*$G$4+JUNIO!$BP20*$I$4+SEPTIEMBRE!$BP20*$K$4+DICIEMBRE!$BP20*$M$4</f>
        <v>2892178</v>
      </c>
      <c r="F44" s="264">
        <f>ENERO!$BQ20</f>
        <v>0</v>
      </c>
      <c r="G44" s="265">
        <f>FEBRERO!$BQ20</f>
        <v>0</v>
      </c>
      <c r="H44" s="265">
        <f>MARZO!$BQ20</f>
        <v>0</v>
      </c>
      <c r="I44" s="265">
        <f>ABRIL!$BQ20</f>
        <v>0</v>
      </c>
      <c r="J44" s="265">
        <f>MAYO!$BQ20</f>
        <v>0</v>
      </c>
      <c r="K44" s="265">
        <f>JUNIO!$BQ20</f>
        <v>0</v>
      </c>
      <c r="L44" s="265">
        <f>JULIO!$BQ20</f>
        <v>0</v>
      </c>
      <c r="M44" s="265">
        <f>AGOSTO!$BQ20</f>
        <v>0</v>
      </c>
      <c r="N44" s="265">
        <f>SEPTIEMBRE!$BQ20</f>
        <v>2892178</v>
      </c>
      <c r="O44" s="265">
        <f>OCTUBRE!$BQ20</f>
        <v>0</v>
      </c>
      <c r="P44" s="265">
        <f>NOVIEMBRE!$BQ20</f>
        <v>0</v>
      </c>
      <c r="Q44" s="588">
        <f>DICIEMBRE!$BQ20</f>
        <v>0</v>
      </c>
      <c r="R44" s="559">
        <f t="shared" si="10"/>
        <v>2892178</v>
      </c>
      <c r="S44" s="603"/>
    </row>
    <row r="45" spans="1:19" s="602" customFormat="1" ht="24.95" customHeight="1">
      <c r="A45" s="605"/>
      <c r="B45" s="758" t="s">
        <v>99</v>
      </c>
      <c r="C45" s="572">
        <f>MARZO!$BN21*$G$4+JUNIO!$BN21*$I$4+SEPTIEMBRE!$BN21*$K$4+DICIEMBRE!$BN21*$M$4</f>
        <v>0</v>
      </c>
      <c r="D45" s="572">
        <f>MARZO!$BO21*$G$4+JUNIO!$BO21*$I$4+SEPTIEMBRE!$BO21*$K$4+DICIEMBRE!$BO21*$M$4</f>
        <v>0</v>
      </c>
      <c r="E45" s="572">
        <f>MARZO!$BP21*$G$4+JUNIO!$BP21*$I$4+SEPTIEMBRE!$BP21*$K$4+DICIEMBRE!$BP21*$M$4</f>
        <v>0</v>
      </c>
      <c r="F45" s="264">
        <f>ENERO!$BQ21</f>
        <v>0</v>
      </c>
      <c r="G45" s="265">
        <f>FEBRERO!$BQ21</f>
        <v>0</v>
      </c>
      <c r="H45" s="265">
        <f>MARZO!$BQ21</f>
        <v>0</v>
      </c>
      <c r="I45" s="265">
        <f>ABRIL!$BQ21</f>
        <v>0</v>
      </c>
      <c r="J45" s="265">
        <f>MAYO!$BQ21</f>
        <v>0</v>
      </c>
      <c r="K45" s="265">
        <f>JUNIO!$BQ21</f>
        <v>0</v>
      </c>
      <c r="L45" s="265">
        <f>JULIO!$BQ21</f>
        <v>0</v>
      </c>
      <c r="M45" s="265">
        <f>AGOSTO!$BQ21</f>
        <v>0</v>
      </c>
      <c r="N45" s="265">
        <f>SEPTIEMBRE!$BQ21</f>
        <v>0</v>
      </c>
      <c r="O45" s="265">
        <f>OCTUBRE!$BQ21</f>
        <v>0</v>
      </c>
      <c r="P45" s="265">
        <f>NOVIEMBRE!$BQ21</f>
        <v>0</v>
      </c>
      <c r="Q45" s="588">
        <f>DICIEMBRE!$BQ21</f>
        <v>0</v>
      </c>
      <c r="R45" s="559">
        <f t="shared" si="10"/>
        <v>0</v>
      </c>
      <c r="S45" s="603"/>
    </row>
    <row r="46" spans="1:19" s="608" customFormat="1" ht="24.95" customHeight="1">
      <c r="A46" s="606"/>
      <c r="B46" s="565" t="s">
        <v>301</v>
      </c>
      <c r="C46" s="571">
        <f>SUM(C47:C48)</f>
        <v>149730003</v>
      </c>
      <c r="D46" s="571">
        <f t="shared" ref="D46:R46" si="21">SUM(D47:D48)</f>
        <v>105829686</v>
      </c>
      <c r="E46" s="571">
        <f t="shared" si="21"/>
        <v>105829686</v>
      </c>
      <c r="F46" s="562">
        <f t="shared" si="21"/>
        <v>13194388</v>
      </c>
      <c r="G46" s="563">
        <f t="shared" si="21"/>
        <v>1326821</v>
      </c>
      <c r="H46" s="563">
        <f t="shared" si="21"/>
        <v>18943218</v>
      </c>
      <c r="I46" s="563">
        <f t="shared" si="21"/>
        <v>1895754</v>
      </c>
      <c r="J46" s="563">
        <f t="shared" si="21"/>
        <v>11868600</v>
      </c>
      <c r="K46" s="563">
        <f t="shared" si="21"/>
        <v>3925228</v>
      </c>
      <c r="L46" s="563">
        <f t="shared" si="21"/>
        <v>6400947</v>
      </c>
      <c r="M46" s="563">
        <f t="shared" si="21"/>
        <v>5072793</v>
      </c>
      <c r="N46" s="563">
        <f t="shared" si="21"/>
        <v>19258179</v>
      </c>
      <c r="O46" s="563">
        <f t="shared" si="21"/>
        <v>493376</v>
      </c>
      <c r="P46" s="563">
        <f t="shared" si="21"/>
        <v>7289406</v>
      </c>
      <c r="Q46" s="587">
        <f t="shared" si="21"/>
        <v>673964</v>
      </c>
      <c r="R46" s="571">
        <f t="shared" si="21"/>
        <v>90342674</v>
      </c>
      <c r="S46" s="607"/>
    </row>
    <row r="47" spans="1:19" s="602" customFormat="1" ht="24.95" customHeight="1">
      <c r="A47" s="605"/>
      <c r="B47" s="758" t="s">
        <v>105</v>
      </c>
      <c r="C47" s="572">
        <f>MARZO!$BN23*$G$4+JUNIO!$BN23*$I$4+SEPTIEMBRE!$BN23*$K$4+DICIEMBRE!$BN23*$M$4</f>
        <v>18619412</v>
      </c>
      <c r="D47" s="572">
        <f>MARZO!$BO23*$G$4+JUNIO!$BO23*$I$4+SEPTIEMBRE!$BO23*$K$4+DICIEMBRE!$BO23*$M$4</f>
        <v>12094696</v>
      </c>
      <c r="E47" s="572">
        <f>MARZO!$BP23*$G$4+JUNIO!$BP23*$I$4+SEPTIEMBRE!$BP23*$K$4+DICIEMBRE!$BP23*$M$4</f>
        <v>12094696</v>
      </c>
      <c r="F47" s="264">
        <f>ENERO!$BQ23</f>
        <v>1326821</v>
      </c>
      <c r="G47" s="265">
        <f>FEBRERO!$BQ23</f>
        <v>1326821</v>
      </c>
      <c r="H47" s="265">
        <f>MARZO!$BQ23</f>
        <v>1326821</v>
      </c>
      <c r="I47" s="265">
        <f>ABRIL!$BQ23</f>
        <v>1326821</v>
      </c>
      <c r="J47" s="265">
        <f>MAYO!$BQ23</f>
        <v>0</v>
      </c>
      <c r="K47" s="265">
        <f>JUNIO!$BQ23</f>
        <v>0</v>
      </c>
      <c r="L47" s="265">
        <f>JULIO!$BQ23</f>
        <v>2653642</v>
      </c>
      <c r="M47" s="265">
        <f>AGOSTO!$BQ23</f>
        <v>1326821</v>
      </c>
      <c r="N47" s="265">
        <f>SEPTIEMBRE!$BQ23</f>
        <v>1326821</v>
      </c>
      <c r="O47" s="265">
        <f>OCTUBRE!$BQ23</f>
        <v>493376</v>
      </c>
      <c r="P47" s="265">
        <f>NOVIEMBRE!$BQ23</f>
        <v>493376</v>
      </c>
      <c r="Q47" s="588">
        <f>DICIEMBRE!$BQ23</f>
        <v>493376</v>
      </c>
      <c r="R47" s="559">
        <f t="shared" si="10"/>
        <v>12094696</v>
      </c>
      <c r="S47" s="603"/>
    </row>
    <row r="48" spans="1:19" s="602" customFormat="1" ht="24.95" customHeight="1">
      <c r="A48" s="605"/>
      <c r="B48" s="758" t="s">
        <v>110</v>
      </c>
      <c r="C48" s="572">
        <f>MARZO!$BN24*$G$4+JUNIO!$BN24*$I$4+SEPTIEMBRE!$BN24*$K$4+DICIEMBRE!$BN24*$M$4</f>
        <v>131110591</v>
      </c>
      <c r="D48" s="572">
        <f>MARZO!$BO24*$G$4+JUNIO!$BO24*$I$4+SEPTIEMBRE!$BO24*$K$4+DICIEMBRE!$BO24*$M$4</f>
        <v>93734990</v>
      </c>
      <c r="E48" s="572">
        <f>MARZO!$BP24*$G$4+JUNIO!$BP24*$I$4+SEPTIEMBRE!$BP24*$K$4+DICIEMBRE!$BP24*$M$4</f>
        <v>93734990</v>
      </c>
      <c r="F48" s="264">
        <f>ENERO!$BQ24</f>
        <v>11867567</v>
      </c>
      <c r="G48" s="265">
        <f>FEBRERO!$BQ24</f>
        <v>0</v>
      </c>
      <c r="H48" s="265">
        <f>MARZO!$BQ24</f>
        <v>17616397</v>
      </c>
      <c r="I48" s="265">
        <f>ABRIL!$BQ24</f>
        <v>568933</v>
      </c>
      <c r="J48" s="265">
        <f>MAYO!$BQ24</f>
        <v>11868600</v>
      </c>
      <c r="K48" s="265">
        <f>JUNIO!$BQ24</f>
        <v>3925228</v>
      </c>
      <c r="L48" s="265">
        <f>JULIO!$BQ24</f>
        <v>3747305</v>
      </c>
      <c r="M48" s="265">
        <f>AGOSTO!$BQ24</f>
        <v>3745972</v>
      </c>
      <c r="N48" s="265">
        <f>SEPTIEMBRE!$BQ24</f>
        <v>17931358</v>
      </c>
      <c r="O48" s="265">
        <f>OCTUBRE!$BQ24</f>
        <v>0</v>
      </c>
      <c r="P48" s="265">
        <f>NOVIEMBRE!$BQ24</f>
        <v>6796030</v>
      </c>
      <c r="Q48" s="588">
        <f>DICIEMBRE!$BQ24</f>
        <v>180588</v>
      </c>
      <c r="R48" s="559">
        <f t="shared" si="10"/>
        <v>78247978</v>
      </c>
      <c r="S48" s="603"/>
    </row>
    <row r="49" spans="1:19" s="608" customFormat="1" ht="47.25" customHeight="1">
      <c r="A49" s="606"/>
      <c r="B49" s="566" t="s">
        <v>549</v>
      </c>
      <c r="C49" s="571">
        <f>SUM(C50:C52)</f>
        <v>13405609615</v>
      </c>
      <c r="D49" s="571">
        <f t="shared" ref="D49:R49" si="22">SUM(D50:D52)</f>
        <v>12164104460</v>
      </c>
      <c r="E49" s="571">
        <f t="shared" si="22"/>
        <v>12164104459</v>
      </c>
      <c r="F49" s="562">
        <f t="shared" si="22"/>
        <v>117105277</v>
      </c>
      <c r="G49" s="563">
        <f t="shared" si="22"/>
        <v>350893328</v>
      </c>
      <c r="H49" s="563">
        <f t="shared" si="22"/>
        <v>280275023</v>
      </c>
      <c r="I49" s="563">
        <f t="shared" si="22"/>
        <v>103927956</v>
      </c>
      <c r="J49" s="563">
        <f t="shared" si="22"/>
        <v>242988294</v>
      </c>
      <c r="K49" s="563">
        <f t="shared" si="22"/>
        <v>439165546</v>
      </c>
      <c r="L49" s="563">
        <f t="shared" si="22"/>
        <v>641228334</v>
      </c>
      <c r="M49" s="563">
        <f t="shared" si="22"/>
        <v>475665142</v>
      </c>
      <c r="N49" s="563">
        <f t="shared" si="22"/>
        <v>747083444</v>
      </c>
      <c r="O49" s="563">
        <f t="shared" si="22"/>
        <v>716829340</v>
      </c>
      <c r="P49" s="563">
        <f t="shared" si="22"/>
        <v>732486367</v>
      </c>
      <c r="Q49" s="587">
        <f t="shared" si="22"/>
        <v>825883234</v>
      </c>
      <c r="R49" s="571">
        <f t="shared" si="22"/>
        <v>5673531285</v>
      </c>
      <c r="S49" s="607"/>
    </row>
    <row r="50" spans="1:19" s="602" customFormat="1" ht="24.95" customHeight="1">
      <c r="A50" s="605"/>
      <c r="B50" s="758" t="s">
        <v>446</v>
      </c>
      <c r="C50" s="572">
        <f>MARZO!$BN26*$G$4+JUNIO!$BN26*$I$4+SEPTIEMBRE!$BN26*$K$4+DICIEMBRE!$BN26*$M$4</f>
        <v>4419700346</v>
      </c>
      <c r="D50" s="572">
        <f>MARZO!$BO26*$G$4+JUNIO!$BO26*$I$4+SEPTIEMBRE!$BO26*$K$4+DICIEMBRE!$BO26*$M$4</f>
        <v>3934932538</v>
      </c>
      <c r="E50" s="572">
        <f>MARZO!$BP26*$G$4+JUNIO!$BP26*$I$4+SEPTIEMBRE!$BP26*$K$4+DICIEMBRE!$BP26*$M$4</f>
        <v>3934932538</v>
      </c>
      <c r="F50" s="264">
        <f>ENERO!$BQ26</f>
        <v>51294076</v>
      </c>
      <c r="G50" s="265">
        <f>FEBRERO!$BQ26</f>
        <v>115637387</v>
      </c>
      <c r="H50" s="265">
        <f>MARZO!$BQ26</f>
        <v>9559283</v>
      </c>
      <c r="I50" s="265">
        <f>ABRIL!$BQ26</f>
        <v>55313996</v>
      </c>
      <c r="J50" s="265">
        <f>MAYO!$BQ26</f>
        <v>142742864</v>
      </c>
      <c r="K50" s="265">
        <f>JUNIO!$BQ26</f>
        <v>228209473</v>
      </c>
      <c r="L50" s="265">
        <f>JULIO!$BQ26</f>
        <v>199420666</v>
      </c>
      <c r="M50" s="265">
        <f>AGOSTO!$BQ26</f>
        <v>242817900</v>
      </c>
      <c r="N50" s="265">
        <f>SEPTIEMBRE!$BQ26</f>
        <v>271014466</v>
      </c>
      <c r="O50" s="265">
        <f>OCTUBRE!$BQ26</f>
        <v>298480709</v>
      </c>
      <c r="P50" s="265">
        <f>NOVIEMBRE!$BQ26</f>
        <v>242266982</v>
      </c>
      <c r="Q50" s="588">
        <f>DICIEMBRE!$BQ26</f>
        <v>338005132</v>
      </c>
      <c r="R50" s="559">
        <f t="shared" si="10"/>
        <v>2194762934</v>
      </c>
      <c r="S50" s="603"/>
    </row>
    <row r="51" spans="1:19" s="602" customFormat="1" ht="24.95" customHeight="1">
      <c r="A51" s="605"/>
      <c r="B51" s="758" t="s">
        <v>550</v>
      </c>
      <c r="C51" s="572">
        <f>MARZO!$BN27*$G$4+JUNIO!$BN27*$I$4+SEPTIEMBRE!$BN27*$K$4+DICIEMBRE!$BN27*$M$4</f>
        <v>0</v>
      </c>
      <c r="D51" s="572">
        <f>MARZO!$BO27*$G$4+JUNIO!$BO27*$I$4+SEPTIEMBRE!$BO27*$K$4+DICIEMBRE!$BO27*$M$4</f>
        <v>0</v>
      </c>
      <c r="E51" s="572">
        <f>MARZO!$BP27*$G$4+JUNIO!$BP27*$I$4+SEPTIEMBRE!$BP27*$K$4+DICIEMBRE!$BP27*$M$4</f>
        <v>0</v>
      </c>
      <c r="F51" s="264">
        <f>ENERO!$BQ27</f>
        <v>0</v>
      </c>
      <c r="G51" s="265">
        <f>FEBRERO!$BQ27</f>
        <v>0</v>
      </c>
      <c r="H51" s="265">
        <f>MARZO!$BQ27</f>
        <v>0</v>
      </c>
      <c r="I51" s="265">
        <f>ABRIL!$BQ27</f>
        <v>0</v>
      </c>
      <c r="J51" s="265">
        <f>MAYO!$BQ27</f>
        <v>0</v>
      </c>
      <c r="K51" s="265">
        <f>JUNIO!$BQ27</f>
        <v>0</v>
      </c>
      <c r="L51" s="265">
        <f>JULIO!$BQ27</f>
        <v>0</v>
      </c>
      <c r="M51" s="265">
        <f>AGOSTO!$BQ27</f>
        <v>0</v>
      </c>
      <c r="N51" s="265">
        <f>SEPTIEMBRE!$BQ27</f>
        <v>0</v>
      </c>
      <c r="O51" s="265">
        <f>OCTUBRE!$BQ27</f>
        <v>0</v>
      </c>
      <c r="P51" s="265">
        <f>NOVIEMBRE!$BQ27</f>
        <v>0</v>
      </c>
      <c r="Q51" s="588">
        <f>DICIEMBRE!$BQ27</f>
        <v>0</v>
      </c>
      <c r="R51" s="559">
        <f t="shared" si="10"/>
        <v>0</v>
      </c>
      <c r="S51" s="603"/>
    </row>
    <row r="52" spans="1:19" s="602" customFormat="1" ht="24.95" customHeight="1">
      <c r="A52" s="605"/>
      <c r="B52" s="758" t="s">
        <v>551</v>
      </c>
      <c r="C52" s="572">
        <f>MARZO!$BN28*$G$4+JUNIO!$BN28*$I$4+SEPTIEMBRE!$BN28*$K$4+DICIEMBRE!$BN28*$M$4</f>
        <v>8985909269</v>
      </c>
      <c r="D52" s="572">
        <f>MARZO!$BO28*$G$4+JUNIO!$BO28*$I$4+SEPTIEMBRE!$BO28*$K$4+DICIEMBRE!$BO28*$M$4</f>
        <v>8229171922</v>
      </c>
      <c r="E52" s="572">
        <f>MARZO!$BP28*$G$4+JUNIO!$BP28*$I$4+SEPTIEMBRE!$BP28*$K$4+DICIEMBRE!$BP28*$M$4</f>
        <v>8229171921</v>
      </c>
      <c r="F52" s="264">
        <f>ENERO!$BQ28</f>
        <v>65811201</v>
      </c>
      <c r="G52" s="265">
        <f>FEBRERO!$BQ28</f>
        <v>235255941</v>
      </c>
      <c r="H52" s="265">
        <f>MARZO!$BQ28</f>
        <v>270715740</v>
      </c>
      <c r="I52" s="265">
        <f>ABRIL!$BQ28</f>
        <v>48613960</v>
      </c>
      <c r="J52" s="265">
        <f>MAYO!$BQ28</f>
        <v>100245430</v>
      </c>
      <c r="K52" s="265">
        <f>JUNIO!$BQ28</f>
        <v>210956073</v>
      </c>
      <c r="L52" s="265">
        <f>JULIO!$BQ28</f>
        <v>441807668</v>
      </c>
      <c r="M52" s="265">
        <f>AGOSTO!$BQ28</f>
        <v>232847242</v>
      </c>
      <c r="N52" s="265">
        <f>SEPTIEMBRE!$BQ28</f>
        <v>476068978</v>
      </c>
      <c r="O52" s="265">
        <f>OCTUBRE!$BQ28</f>
        <v>418348631</v>
      </c>
      <c r="P52" s="265">
        <f>NOVIEMBRE!$BQ28</f>
        <v>490219385</v>
      </c>
      <c r="Q52" s="588">
        <f>DICIEMBRE!$BQ28</f>
        <v>487878102</v>
      </c>
      <c r="R52" s="559">
        <f t="shared" si="10"/>
        <v>3478768351</v>
      </c>
      <c r="S52" s="603"/>
    </row>
    <row r="53" spans="1:19" s="608" customFormat="1" ht="24.95" customHeight="1">
      <c r="A53" s="606"/>
      <c r="B53" s="566" t="s">
        <v>70</v>
      </c>
      <c r="C53" s="571">
        <f>MARZO!$BN29*$G$4+JUNIO!$BN29*$I$4+SEPTIEMBRE!$BN29*$K$4+DICIEMBRE!$BN29*$M$4</f>
        <v>464564792</v>
      </c>
      <c r="D53" s="571">
        <f>MARZO!$BO29*$G$4+JUNIO!$BO29*$I$4+SEPTIEMBRE!$BO29*$K$4+DICIEMBRE!$BO29*$M$4</f>
        <v>336273002</v>
      </c>
      <c r="E53" s="571">
        <f>MARZO!$BP29*$G$4+JUNIO!$BP29*$I$4+SEPTIEMBRE!$BP29*$K$4+DICIEMBRE!$BP29*$M$4</f>
        <v>336273002</v>
      </c>
      <c r="F53" s="264">
        <f>ENERO!$BQ29</f>
        <v>0</v>
      </c>
      <c r="G53" s="265">
        <f>FEBRERO!$BQ29</f>
        <v>0</v>
      </c>
      <c r="H53" s="265">
        <f>MARZO!$BQ29</f>
        <v>135351186</v>
      </c>
      <c r="I53" s="265">
        <f>ABRIL!$BQ29</f>
        <v>0</v>
      </c>
      <c r="J53" s="265">
        <f>MAYO!$BQ29</f>
        <v>30056711</v>
      </c>
      <c r="K53" s="265">
        <f>JUNIO!$BQ29</f>
        <v>7332666</v>
      </c>
      <c r="L53" s="265">
        <f>JULIO!$BQ29</f>
        <v>0</v>
      </c>
      <c r="M53" s="265">
        <f>AGOSTO!$BQ29</f>
        <v>0</v>
      </c>
      <c r="N53" s="265">
        <f>SEPTIEMBRE!$BQ29</f>
        <v>0</v>
      </c>
      <c r="O53" s="265">
        <f>OCTUBRE!$BQ29</f>
        <v>0</v>
      </c>
      <c r="P53" s="265">
        <f>NOVIEMBRE!$BQ29</f>
        <v>0</v>
      </c>
      <c r="Q53" s="588">
        <f>DICIEMBRE!$BQ29</f>
        <v>0</v>
      </c>
      <c r="R53" s="559">
        <f t="shared" si="10"/>
        <v>172740563</v>
      </c>
      <c r="S53" s="607"/>
    </row>
    <row r="54" spans="1:19" s="608" customFormat="1" ht="24.95" customHeight="1">
      <c r="A54" s="606"/>
      <c r="B54" s="566" t="s">
        <v>74</v>
      </c>
      <c r="C54" s="571">
        <f>MARZO!$BN30*$G$4+JUNIO!$BN30*$I$4+SEPTIEMBRE!$BN30*$K$4+DICIEMBRE!$BN30*$M$4</f>
        <v>0</v>
      </c>
      <c r="D54" s="571">
        <f>MARZO!$BO30*$G$4+JUNIO!$BO30*$I$4+SEPTIEMBRE!$BO30*$K$4+DICIEMBRE!$BO30*$M$4</f>
        <v>0</v>
      </c>
      <c r="E54" s="571">
        <f>MARZO!$BP30*$G$4+JUNIO!$BP30*$I$4+SEPTIEMBRE!$BP30*$K$4+DICIEMBRE!$BP30*$M$4</f>
        <v>0</v>
      </c>
      <c r="F54" s="264">
        <f>ENERO!$BQ30</f>
        <v>0</v>
      </c>
      <c r="G54" s="265">
        <f>FEBRERO!$BQ30</f>
        <v>0</v>
      </c>
      <c r="H54" s="265">
        <f>MARZO!$BQ30</f>
        <v>0</v>
      </c>
      <c r="I54" s="265">
        <f>ABRIL!$BQ30</f>
        <v>0</v>
      </c>
      <c r="J54" s="265">
        <f>MAYO!$BQ30</f>
        <v>0</v>
      </c>
      <c r="K54" s="265">
        <f>JUNIO!$BQ30</f>
        <v>0</v>
      </c>
      <c r="L54" s="265">
        <f>JULIO!$BQ30</f>
        <v>0</v>
      </c>
      <c r="M54" s="265">
        <f>AGOSTO!$BQ30</f>
        <v>0</v>
      </c>
      <c r="N54" s="265">
        <f>SEPTIEMBRE!$BQ30</f>
        <v>0</v>
      </c>
      <c r="O54" s="265">
        <f>OCTUBRE!$BQ30</f>
        <v>0</v>
      </c>
      <c r="P54" s="265">
        <f>NOVIEMBRE!$BQ30</f>
        <v>0</v>
      </c>
      <c r="Q54" s="588">
        <f>DICIEMBRE!$BQ30</f>
        <v>0</v>
      </c>
      <c r="R54" s="559">
        <f t="shared" si="10"/>
        <v>0</v>
      </c>
      <c r="S54" s="607"/>
    </row>
    <row r="55" spans="1:19" s="608" customFormat="1" ht="36.75" customHeight="1" thickBot="1">
      <c r="A55" s="606"/>
      <c r="B55" s="567" t="s">
        <v>130</v>
      </c>
      <c r="C55" s="573">
        <f>MARZO!$BN31*$G$4+JUNIO!$BN31*$I$4+SEPTIEMBRE!$BN31*$K$4+DICIEMBRE!$BN31*$M$4</f>
        <v>14156833135</v>
      </c>
      <c r="D55" s="573">
        <f>MARZO!$BO31*$G$4+JUNIO!$BO31*$I$4+SEPTIEMBRE!$BO31*$K$4+DICIEMBRE!$BO31*$M$4</f>
        <v>14145405017</v>
      </c>
      <c r="E55" s="579">
        <f>MARZO!$BP31*$G$4+JUNIO!$BP31*$I$4+SEPTIEMBRE!$BP31*$K$4+DICIEMBRE!$BP31*$M$4</f>
        <v>14145405017</v>
      </c>
      <c r="F55" s="560">
        <f>ENERO!$BQ31</f>
        <v>1789130518</v>
      </c>
      <c r="G55" s="561">
        <f>FEBRERO!$BQ31</f>
        <v>2266558841</v>
      </c>
      <c r="H55" s="561">
        <f>MARZO!$BQ31</f>
        <v>1891811916</v>
      </c>
      <c r="I55" s="561">
        <f>ABRIL!$BQ31</f>
        <v>1699267129</v>
      </c>
      <c r="J55" s="561">
        <f>MAYO!$BQ31</f>
        <v>1555493421</v>
      </c>
      <c r="K55" s="561">
        <f>JUNIO!$BQ31</f>
        <v>689506286</v>
      </c>
      <c r="L55" s="561">
        <f>JULIO!$BQ31</f>
        <v>513518644</v>
      </c>
      <c r="M55" s="561">
        <f>AGOSTO!$BQ31</f>
        <v>266395653</v>
      </c>
      <c r="N55" s="561">
        <f>SEPTIEMBRE!$BQ31</f>
        <v>282775963</v>
      </c>
      <c r="O55" s="561">
        <f>OCTUBRE!$BQ31</f>
        <v>151787709</v>
      </c>
      <c r="P55" s="561">
        <f>NOVIEMBRE!$BQ31</f>
        <v>1174688086</v>
      </c>
      <c r="Q55" s="589">
        <f>DICIEMBRE!$BQ31</f>
        <v>1864470851</v>
      </c>
      <c r="R55" s="583">
        <f t="shared" si="10"/>
        <v>14145405017</v>
      </c>
      <c r="S55" s="607"/>
    </row>
    <row r="56" spans="1:19" s="602" customFormat="1" ht="24.95" customHeight="1" thickBot="1">
      <c r="A56" s="605"/>
      <c r="B56" s="568" t="s">
        <v>136</v>
      </c>
      <c r="C56" s="266">
        <f>C30+C49+C53+C54+C55</f>
        <v>70007618202</v>
      </c>
      <c r="D56" s="266">
        <f t="shared" ref="D56:R56" si="23">D30+D49+D53+D54+D55</f>
        <v>63351361335</v>
      </c>
      <c r="E56" s="575">
        <f t="shared" si="23"/>
        <v>63351361334</v>
      </c>
      <c r="F56" s="269">
        <f t="shared" si="23"/>
        <v>2326251824</v>
      </c>
      <c r="G56" s="269">
        <f t="shared" si="23"/>
        <v>3938240993</v>
      </c>
      <c r="H56" s="269">
        <f t="shared" si="23"/>
        <v>3448675523</v>
      </c>
      <c r="I56" s="269">
        <f t="shared" si="23"/>
        <v>3389925111</v>
      </c>
      <c r="J56" s="269">
        <f t="shared" si="23"/>
        <v>3768086540</v>
      </c>
      <c r="K56" s="269">
        <f t="shared" si="23"/>
        <v>2994875279</v>
      </c>
      <c r="L56" s="269">
        <f t="shared" si="23"/>
        <v>3687732815</v>
      </c>
      <c r="M56" s="269">
        <f t="shared" si="23"/>
        <v>2826209662</v>
      </c>
      <c r="N56" s="269">
        <f t="shared" si="23"/>
        <v>3519719389</v>
      </c>
      <c r="O56" s="269">
        <f t="shared" si="23"/>
        <v>3303635239</v>
      </c>
      <c r="P56" s="269">
        <f t="shared" si="23"/>
        <v>4195081013</v>
      </c>
      <c r="Q56" s="269">
        <f t="shared" si="23"/>
        <v>6423668025</v>
      </c>
      <c r="R56" s="576">
        <f t="shared" si="23"/>
        <v>43822101413</v>
      </c>
      <c r="S56" s="603"/>
    </row>
    <row r="57" spans="1:19" s="602" customFormat="1" ht="24.95" customHeight="1" thickBot="1">
      <c r="A57" s="605"/>
      <c r="B57" s="569" t="s">
        <v>133</v>
      </c>
      <c r="C57" s="574">
        <f>C26-C56</f>
        <v>0</v>
      </c>
      <c r="D57" s="574">
        <f t="shared" ref="D57:R57" si="24">D26-D56</f>
        <v>5792488028</v>
      </c>
      <c r="E57" s="267">
        <f t="shared" si="24"/>
        <v>-63351361334</v>
      </c>
      <c r="F57" s="268">
        <f t="shared" si="24"/>
        <v>225874059</v>
      </c>
      <c r="G57" s="268">
        <f t="shared" si="24"/>
        <v>-52591985</v>
      </c>
      <c r="H57" s="268">
        <f t="shared" si="24"/>
        <v>765536475</v>
      </c>
      <c r="I57" s="268">
        <f t="shared" si="24"/>
        <v>31643468</v>
      </c>
      <c r="J57" s="268">
        <f t="shared" si="24"/>
        <v>-332056275</v>
      </c>
      <c r="K57" s="268">
        <f t="shared" si="24"/>
        <v>-409841770</v>
      </c>
      <c r="L57" s="268">
        <f t="shared" si="24"/>
        <v>-329760505</v>
      </c>
      <c r="M57" s="268">
        <f t="shared" si="24"/>
        <v>361912128</v>
      </c>
      <c r="N57" s="268">
        <f t="shared" si="24"/>
        <v>385506507</v>
      </c>
      <c r="O57" s="268">
        <f t="shared" si="24"/>
        <v>473806122</v>
      </c>
      <c r="P57" s="268">
        <f t="shared" si="24"/>
        <v>179840253</v>
      </c>
      <c r="Q57" s="268">
        <f t="shared" si="24"/>
        <v>895640790</v>
      </c>
      <c r="R57" s="577">
        <f t="shared" si="24"/>
        <v>895640790</v>
      </c>
      <c r="S57" s="603"/>
    </row>
    <row r="70" spans="2:2" ht="24.95" customHeight="1">
      <c r="B70" s="631"/>
    </row>
    <row r="122" spans="2:2" ht="24.95" customHeight="1">
      <c r="B122" s="631"/>
    </row>
  </sheetData>
  <sheetProtection password="C6F7" sheet="1" objects="1" scenarios="1" formatCells="0" formatColumns="0"/>
  <mergeCells count="32">
    <mergeCell ref="B1:J1"/>
    <mergeCell ref="H2:R2"/>
    <mergeCell ref="B4:D4"/>
    <mergeCell ref="B6:B7"/>
    <mergeCell ref="R6:R7"/>
    <mergeCell ref="B3:M3"/>
    <mergeCell ref="C6:C7"/>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3:E23"/>
    <mergeCell ref="D24:E24"/>
    <mergeCell ref="D25:E25"/>
    <mergeCell ref="D26:E26"/>
    <mergeCell ref="D13:E13"/>
    <mergeCell ref="D14:E14"/>
    <mergeCell ref="D15:E15"/>
    <mergeCell ref="D16:E16"/>
    <mergeCell ref="D17:E17"/>
    <mergeCell ref="D18:E18"/>
    <mergeCell ref="D22:E22"/>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xr:uid="{00000000-0002-0000-0D00-000000000000}">
      <formula1>+SUM($G$4:$M$4)=1</formula1>
    </dataValidation>
  </dataValidations>
  <printOptions horizontalCentered="1" verticalCentered="1"/>
  <pageMargins left="0.82677165354330717" right="0" top="0.35433070866141736" bottom="0.35433070866141736" header="0.31496062992125984" footer="0.31496062992125984"/>
  <pageSetup paperSize="5" scale="60" orientation="landscape" blackAndWhite="1" r:id="rId1"/>
  <headerFooter alignWithMargins="0">
    <oddFooter>&amp;CPágina &amp;P de &amp;N</oddFooter>
  </headerFooter>
  <rowBreaks count="1" manualBreakCount="1">
    <brk id="27"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L122"/>
  <sheetViews>
    <sheetView zoomScale="80" zoomScaleNormal="80" workbookViewId="0">
      <selection activeCell="G9" sqref="G9"/>
    </sheetView>
  </sheetViews>
  <sheetFormatPr baseColWidth="10" defaultRowHeight="12.75"/>
  <cols>
    <col min="1" max="1" width="24.28515625" customWidth="1"/>
    <col min="2" max="2" width="25" customWidth="1"/>
    <col min="3" max="3" width="26" customWidth="1"/>
    <col min="4" max="4" width="23.140625" customWidth="1"/>
    <col min="5" max="5" width="17.28515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3426" t="str">
        <f>+CONCATENATE("SEGUIMIENTO A LA EJECUCION PRESUPUESTAL - VIGENCIA ",INSTRUCCIONES!F3)</f>
        <v>SEGUIMIENTO A LA EJECUCION PRESUPUESTAL - VIGENCIA 2017</v>
      </c>
      <c r="B1" s="3426"/>
      <c r="C1" s="3426"/>
      <c r="D1" s="3426"/>
      <c r="E1" s="3426"/>
      <c r="F1" s="3426"/>
      <c r="G1" s="3426"/>
      <c r="H1" s="3426"/>
      <c r="I1" s="3426"/>
      <c r="J1" s="232"/>
      <c r="K1" s="34"/>
      <c r="L1" s="233"/>
    </row>
    <row r="2" spans="1:12" ht="26.25">
      <c r="A2" s="3428" t="str">
        <f>+CONCATENATE(INSTRUCCIONES!B5," - ",INSTRUCCIONES!B3)</f>
        <v>ESE HOSPITALSAN RAFAEL - ITAGUI</v>
      </c>
      <c r="B2" s="3428"/>
      <c r="C2" s="3428"/>
      <c r="D2" s="3428"/>
      <c r="E2" s="3428"/>
      <c r="F2" s="3428"/>
      <c r="G2" s="3428"/>
      <c r="H2" s="3428"/>
      <c r="I2" s="232"/>
      <c r="J2" s="232"/>
      <c r="K2" s="34"/>
      <c r="L2" s="233"/>
    </row>
    <row r="3" spans="1:12" ht="26.25">
      <c r="A3" s="3428"/>
      <c r="B3" s="3428"/>
      <c r="C3" s="3428"/>
      <c r="D3" s="3428"/>
      <c r="E3" s="3428"/>
      <c r="F3" s="3428"/>
      <c r="G3" s="3428"/>
      <c r="H3" s="3428"/>
      <c r="I3" s="34"/>
      <c r="J3" s="234"/>
      <c r="K3" s="34"/>
      <c r="L3" s="233"/>
    </row>
    <row r="4" spans="1:12" ht="15.75">
      <c r="A4" s="236"/>
      <c r="B4" s="236"/>
      <c r="C4" s="236"/>
      <c r="D4" s="236"/>
      <c r="E4" s="236"/>
      <c r="F4" s="236"/>
      <c r="G4" s="236"/>
      <c r="H4" s="236"/>
      <c r="I4" s="34"/>
      <c r="J4" s="234"/>
      <c r="K4" s="34"/>
      <c r="L4" s="233"/>
    </row>
    <row r="5" spans="1:12">
      <c r="A5" s="237"/>
      <c r="B5" s="238"/>
      <c r="C5" s="239"/>
      <c r="D5" s="239"/>
      <c r="E5" s="240"/>
      <c r="F5" s="240"/>
      <c r="G5" s="241"/>
      <c r="H5" s="237"/>
      <c r="I5" s="34"/>
      <c r="J5" s="234"/>
      <c r="K5" s="34"/>
      <c r="L5" s="233"/>
    </row>
    <row r="6" spans="1:12" s="235" customFormat="1">
      <c r="A6" s="3427" t="s">
        <v>36</v>
      </c>
      <c r="B6" s="3429" t="s">
        <v>11</v>
      </c>
      <c r="C6" s="3429"/>
      <c r="D6" s="3430" t="s">
        <v>518</v>
      </c>
      <c r="E6" s="3427" t="s">
        <v>51</v>
      </c>
      <c r="F6" s="3427"/>
      <c r="G6" s="3427" t="s">
        <v>506</v>
      </c>
      <c r="H6" s="3427"/>
      <c r="I6" s="3427" t="s">
        <v>519</v>
      </c>
      <c r="J6" s="3427"/>
    </row>
    <row r="7" spans="1:12" s="235" customFormat="1">
      <c r="A7" s="3427"/>
      <c r="B7" s="242" t="s">
        <v>28</v>
      </c>
      <c r="C7" s="242" t="s">
        <v>29</v>
      </c>
      <c r="D7" s="3431"/>
      <c r="E7" s="243" t="s">
        <v>43</v>
      </c>
      <c r="F7" s="243" t="s">
        <v>22</v>
      </c>
      <c r="G7" s="243" t="s">
        <v>507</v>
      </c>
      <c r="H7" s="243" t="s">
        <v>508</v>
      </c>
      <c r="I7" s="270" t="s">
        <v>507</v>
      </c>
      <c r="J7" s="270" t="s">
        <v>508</v>
      </c>
    </row>
    <row r="8" spans="1:12" s="235" customFormat="1" ht="17.25" customHeight="1">
      <c r="A8" s="3427"/>
      <c r="B8" s="244" t="s">
        <v>25</v>
      </c>
      <c r="C8" s="244" t="s">
        <v>325</v>
      </c>
      <c r="D8" s="245" t="s">
        <v>334</v>
      </c>
      <c r="E8" s="246" t="s">
        <v>341</v>
      </c>
      <c r="F8" s="246" t="s">
        <v>363</v>
      </c>
      <c r="G8" s="245" t="s">
        <v>509</v>
      </c>
      <c r="H8" s="245" t="s">
        <v>510</v>
      </c>
      <c r="I8" s="245" t="s">
        <v>520</v>
      </c>
      <c r="J8" s="245" t="s">
        <v>521</v>
      </c>
    </row>
    <row r="9" spans="1:12" s="235" customFormat="1" ht="73.5" customHeight="1">
      <c r="A9" s="760">
        <f>+DICIEMBRE!$F$8</f>
        <v>70007618202</v>
      </c>
      <c r="B9" s="760">
        <f>+DICIEMBRE!$I$8</f>
        <v>69143849363</v>
      </c>
      <c r="C9" s="761">
        <f>+DICIEMBRE!$L$8</f>
        <v>44717742203</v>
      </c>
      <c r="D9" s="247">
        <f>+C9/B9</f>
        <v>0.64673492458071324</v>
      </c>
      <c r="E9" s="761">
        <f>+DICIEMBRE!$AA$8</f>
        <v>63351361335</v>
      </c>
      <c r="F9" s="761">
        <f>+DICIEMBRE!$AG$8</f>
        <v>43822101413</v>
      </c>
      <c r="G9" s="248">
        <f>+B9/E9</f>
        <v>1.0914343102647708</v>
      </c>
      <c r="H9" s="248">
        <f>+C9/E9</f>
        <v>0.70586868633388933</v>
      </c>
      <c r="I9" s="760">
        <f>+B9-E9</f>
        <v>5792488028</v>
      </c>
      <c r="J9" s="760">
        <f>+C9-E9</f>
        <v>-18633619132</v>
      </c>
    </row>
    <row r="10" spans="1:12">
      <c r="A10" s="249"/>
      <c r="B10" s="249"/>
      <c r="C10" s="249"/>
      <c r="D10" s="249"/>
      <c r="E10" s="249"/>
      <c r="F10" s="249"/>
      <c r="G10" s="249"/>
      <c r="H10" s="249"/>
    </row>
    <row r="11" spans="1:12">
      <c r="A11" s="249"/>
      <c r="B11" s="249"/>
      <c r="C11" s="249"/>
      <c r="D11" s="249"/>
      <c r="E11" s="249"/>
      <c r="F11" s="249"/>
      <c r="G11" s="249"/>
      <c r="H11" s="249"/>
    </row>
    <row r="12" spans="1:12">
      <c r="A12" s="249" t="s">
        <v>511</v>
      </c>
      <c r="B12" s="249"/>
      <c r="C12" s="249"/>
      <c r="D12" s="249"/>
      <c r="E12" s="249"/>
      <c r="F12" s="249"/>
      <c r="G12" s="249"/>
      <c r="H12" s="249"/>
    </row>
    <row r="13" spans="1:12">
      <c r="A13" s="249"/>
      <c r="B13" s="249"/>
      <c r="C13" s="249"/>
      <c r="D13" s="249"/>
      <c r="E13" s="249"/>
      <c r="F13" s="249"/>
      <c r="G13" s="249"/>
      <c r="H13" s="249"/>
    </row>
    <row r="14" spans="1:12">
      <c r="A14" s="249" t="s">
        <v>512</v>
      </c>
      <c r="B14" s="249"/>
      <c r="C14" s="249" t="s">
        <v>517</v>
      </c>
      <c r="D14" s="249"/>
      <c r="E14" s="249"/>
      <c r="F14" s="249"/>
      <c r="G14" s="249"/>
      <c r="H14" s="249"/>
    </row>
    <row r="15" spans="1:12">
      <c r="A15" s="249" t="s">
        <v>523</v>
      </c>
      <c r="B15" s="249"/>
      <c r="C15" s="249" t="s">
        <v>516</v>
      </c>
      <c r="D15" s="249"/>
      <c r="E15" s="249"/>
      <c r="F15" s="249"/>
      <c r="G15" s="249"/>
      <c r="H15" s="249"/>
    </row>
    <row r="16" spans="1:12">
      <c r="A16" s="249"/>
      <c r="B16" s="249"/>
      <c r="C16" s="249"/>
      <c r="D16" s="249"/>
      <c r="E16" s="249"/>
      <c r="F16" s="249"/>
      <c r="G16" s="249"/>
      <c r="H16" s="249"/>
    </row>
    <row r="17" spans="1:8">
      <c r="A17" s="249"/>
      <c r="B17" s="249"/>
      <c r="C17" s="249"/>
      <c r="D17" s="249"/>
      <c r="E17" s="249"/>
      <c r="F17" s="249"/>
      <c r="G17" s="249"/>
      <c r="H17" s="249"/>
    </row>
    <row r="18" spans="1:8">
      <c r="A18" t="s">
        <v>604</v>
      </c>
    </row>
    <row r="70" spans="2:2">
      <c r="B70" s="630"/>
    </row>
    <row r="122" spans="2:2">
      <c r="B122" s="633"/>
    </row>
  </sheetData>
  <sheetProtection password="C6F7" sheet="1" objects="1" scenarios="1" formatCells="0" formatColumns="0"/>
  <mergeCells count="9">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W122"/>
  <sheetViews>
    <sheetView topLeftCell="B1" zoomScale="80" zoomScaleNormal="80" workbookViewId="0">
      <selection activeCell="J16" sqref="J16"/>
    </sheetView>
  </sheetViews>
  <sheetFormatPr baseColWidth="10" defaultColWidth="11.42578125" defaultRowHeight="12.75"/>
  <cols>
    <col min="1" max="1" width="20.140625" style="226" customWidth="1"/>
    <col min="2" max="3" width="21.28515625" style="226" customWidth="1"/>
    <col min="4" max="8" width="17.85546875" style="226" customWidth="1"/>
    <col min="9" max="9" width="17.28515625" style="226" customWidth="1"/>
    <col min="10" max="22" width="17.85546875" style="226" customWidth="1"/>
    <col min="23" max="23" width="19.28515625" style="226" customWidth="1"/>
    <col min="24" max="16384" width="11.42578125" style="226"/>
  </cols>
  <sheetData>
    <row r="1" spans="1:23" ht="26.25">
      <c r="A1" s="3437" t="s">
        <v>609</v>
      </c>
      <c r="B1" s="3438"/>
      <c r="C1" s="3438"/>
      <c r="D1" s="3438"/>
      <c r="E1" s="3438"/>
      <c r="F1" s="3438"/>
      <c r="G1" s="3438"/>
      <c r="H1" s="3438"/>
      <c r="I1" s="3438"/>
      <c r="J1" s="3438"/>
      <c r="K1" s="3438"/>
      <c r="L1" s="3438"/>
      <c r="M1" s="3438"/>
      <c r="N1" s="3438"/>
      <c r="O1" s="3438"/>
      <c r="P1" s="3438"/>
      <c r="Q1" s="3438"/>
      <c r="R1" s="3438"/>
      <c r="S1" s="3438"/>
      <c r="T1" s="3438"/>
      <c r="U1" s="3438"/>
      <c r="V1" s="3438"/>
    </row>
    <row r="2" spans="1:23" ht="26.25">
      <c r="A2" s="3439" t="str">
        <f>+CONCATENATE(INSTRUCCIONES!B5," - ",INSTRUCCIONES!B3)</f>
        <v>ESE HOSPITALSAN RAFAEL - ITAGUI</v>
      </c>
      <c r="B2" s="3440"/>
      <c r="C2" s="3440"/>
      <c r="D2" s="3440"/>
      <c r="E2" s="3440"/>
      <c r="F2" s="3440"/>
      <c r="G2" s="3440"/>
      <c r="H2" s="3440"/>
      <c r="I2" s="3440"/>
      <c r="J2" s="3440"/>
      <c r="K2" s="3440"/>
      <c r="L2" s="3440"/>
      <c r="M2" s="3440"/>
      <c r="N2" s="3440"/>
      <c r="O2" s="3440"/>
      <c r="P2" s="3440"/>
      <c r="Q2" s="3440"/>
      <c r="R2" s="3440"/>
      <c r="S2" s="3440"/>
      <c r="T2" s="3440"/>
      <c r="U2" s="3440"/>
      <c r="V2" s="3440"/>
    </row>
    <row r="3" spans="1:23" ht="26.25">
      <c r="A3" s="3439"/>
      <c r="B3" s="3440"/>
      <c r="C3" s="3440"/>
      <c r="D3" s="3440"/>
      <c r="E3" s="3440"/>
      <c r="F3" s="3440"/>
      <c r="G3" s="3440"/>
      <c r="H3" s="3440"/>
      <c r="I3" s="3440"/>
      <c r="J3" s="3440"/>
      <c r="K3" s="3440"/>
      <c r="L3" s="3440"/>
      <c r="M3" s="3440"/>
      <c r="N3" s="3440"/>
      <c r="O3" s="3440"/>
      <c r="P3" s="3440"/>
      <c r="Q3" s="3440"/>
      <c r="R3" s="3440"/>
      <c r="S3" s="3440"/>
      <c r="T3" s="3440"/>
      <c r="U3" s="3440"/>
      <c r="V3" s="3440"/>
    </row>
    <row r="8" spans="1:23" ht="51" customHeight="1">
      <c r="A8" s="3436" t="s">
        <v>588</v>
      </c>
      <c r="B8" s="3436" t="s">
        <v>589</v>
      </c>
      <c r="C8" s="3436" t="s">
        <v>590</v>
      </c>
      <c r="D8" s="3434" t="s">
        <v>500</v>
      </c>
      <c r="E8" s="3435"/>
      <c r="F8" s="3432" t="s">
        <v>592</v>
      </c>
      <c r="G8" s="3432" t="s">
        <v>591</v>
      </c>
      <c r="H8" s="3432" t="s">
        <v>593</v>
      </c>
      <c r="I8" s="3434" t="s">
        <v>501</v>
      </c>
      <c r="J8" s="3435"/>
      <c r="K8" s="3432" t="s">
        <v>594</v>
      </c>
      <c r="L8" s="3432" t="s">
        <v>595</v>
      </c>
      <c r="M8" s="3432" t="s">
        <v>596</v>
      </c>
      <c r="N8" s="3434" t="s">
        <v>502</v>
      </c>
      <c r="O8" s="3435"/>
      <c r="P8" s="3432" t="s">
        <v>597</v>
      </c>
      <c r="Q8" s="3432" t="s">
        <v>598</v>
      </c>
      <c r="R8" s="3432" t="s">
        <v>599</v>
      </c>
      <c r="S8" s="3434" t="s">
        <v>503</v>
      </c>
      <c r="T8" s="3435"/>
      <c r="U8" s="3432" t="s">
        <v>600</v>
      </c>
      <c r="V8" s="3432" t="s">
        <v>601</v>
      </c>
      <c r="W8" s="3432" t="s">
        <v>602</v>
      </c>
    </row>
    <row r="9" spans="1:23" ht="60.75" customHeight="1">
      <c r="A9" s="3436"/>
      <c r="B9" s="3436"/>
      <c r="C9" s="3436"/>
      <c r="D9" s="227" t="s">
        <v>504</v>
      </c>
      <c r="E9" s="227" t="s">
        <v>505</v>
      </c>
      <c r="F9" s="3433"/>
      <c r="G9" s="3433"/>
      <c r="H9" s="3433"/>
      <c r="I9" s="227" t="s">
        <v>504</v>
      </c>
      <c r="J9" s="227" t="s">
        <v>505</v>
      </c>
      <c r="K9" s="3433"/>
      <c r="L9" s="3433"/>
      <c r="M9" s="3433"/>
      <c r="N9" s="227" t="s">
        <v>504</v>
      </c>
      <c r="O9" s="227" t="s">
        <v>505</v>
      </c>
      <c r="P9" s="3433"/>
      <c r="Q9" s="3433"/>
      <c r="R9" s="3433"/>
      <c r="S9" s="227" t="s">
        <v>504</v>
      </c>
      <c r="T9" s="227" t="s">
        <v>505</v>
      </c>
      <c r="U9" s="3433"/>
      <c r="V9" s="3433"/>
      <c r="W9" s="3433"/>
    </row>
    <row r="10" spans="1:23" s="230" customFormat="1" ht="79.5" customHeight="1">
      <c r="A10" s="231">
        <f>+DICIEMBRE!F19-(SUMIF(DICIEMBRE!B21:B92,DICIEMBRE!B24,DICIEMBRE!F21:F92))</f>
        <v>41071069639</v>
      </c>
      <c r="B10" s="231">
        <f>+DICIEMBRE!I19-(SUMIF(DICIEMBRE!B21:B92,DICIEMBRE!B24,DICIEMBRE!I21:I92))</f>
        <v>47317844992</v>
      </c>
      <c r="C10" s="231">
        <f>+DICIEMBRE!L19-(SUMIF(DICIEMBRE!B21:B92,DICIEMBRE!B24,DICIEMBRE!L21:L92))</f>
        <v>23348902794</v>
      </c>
      <c r="D10" s="231">
        <f>+DICIEMBRE!X148</f>
        <v>929231272</v>
      </c>
      <c r="E10" s="231">
        <f>+DICIEMBRE!X156</f>
        <v>1129231272</v>
      </c>
      <c r="F10" s="229">
        <f>+IF(A10=0," ",($D$10+$E$10)/A10)</f>
        <v>5.0119526033608301E-2</v>
      </c>
      <c r="G10" s="229">
        <f t="shared" ref="G10:H10" si="0">+IF(B10=0," ",($D$10+$E$10)/B10)</f>
        <v>4.3502880242074063E-2</v>
      </c>
      <c r="H10" s="229">
        <f t="shared" si="0"/>
        <v>8.8160996778356801E-2</v>
      </c>
      <c r="I10" s="231">
        <f>+DICIEMBRE!AA148</f>
        <v>188131636</v>
      </c>
      <c r="J10" s="231">
        <f>+DICIEMBRE!AA156</f>
        <v>790510141</v>
      </c>
      <c r="K10" s="228">
        <f>+IF(A10=0," ",($I$10+$J$10)/A10)</f>
        <v>2.3828008026133989E-2</v>
      </c>
      <c r="L10" s="228">
        <f t="shared" ref="L10:M10" si="1">+IF(B10=0," ",($I$10+$J$10)/B10)</f>
        <v>2.0682298130133746E-2</v>
      </c>
      <c r="M10" s="228">
        <f t="shared" si="1"/>
        <v>4.1913822916402006E-2</v>
      </c>
      <c r="N10" s="231">
        <f>+DICIEMBRE!AD148</f>
        <v>188131636</v>
      </c>
      <c r="O10" s="231">
        <f>+DICIEMBRE!AD156</f>
        <v>790510141</v>
      </c>
      <c r="P10" s="228">
        <f>+IF(A10=0," ",($N$10+$O$10)/A10)</f>
        <v>2.3828008026133989E-2</v>
      </c>
      <c r="Q10" s="228">
        <f t="shared" ref="Q10:R10" si="2">+IF(B10=0," ",($N$10+$O$10)/B10)</f>
        <v>2.0682298130133746E-2</v>
      </c>
      <c r="R10" s="228">
        <f t="shared" si="2"/>
        <v>4.1913822916402006E-2</v>
      </c>
      <c r="S10" s="231">
        <f>+DICIEMBRE!AG148</f>
        <v>126990348</v>
      </c>
      <c r="T10" s="231">
        <f>+DICIEMBRE!AG156</f>
        <v>316859630</v>
      </c>
      <c r="U10" s="228">
        <f>+IF(A10=0," ",($S$10+$T$10)/A10)</f>
        <v>1.0806876516761857E-2</v>
      </c>
      <c r="V10" s="228">
        <f t="shared" ref="V10:W10" si="3">+IF(B10=0," ",($S$10+$T$10)/B10)</f>
        <v>9.3801815800157728E-3</v>
      </c>
      <c r="W10" s="228">
        <f t="shared" si="3"/>
        <v>1.900945761417349E-2</v>
      </c>
    </row>
    <row r="70" spans="2:3">
      <c r="B70" s="629"/>
      <c r="C70" s="629"/>
    </row>
    <row r="122" spans="2:3">
      <c r="B122" s="632"/>
      <c r="C122" s="632"/>
    </row>
  </sheetData>
  <sheetProtection password="C6F7" sheet="1" objects="1" scenarios="1" formatCells="0" formatColumns="0"/>
  <mergeCells count="22">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 ref="R8:R9"/>
    <mergeCell ref="D8:E8"/>
    <mergeCell ref="C8:C9"/>
    <mergeCell ref="F8:F9"/>
    <mergeCell ref="G8:G9"/>
    <mergeCell ref="L8:L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S264"/>
  <sheetViews>
    <sheetView showGridLines="0" topLeftCell="R142" zoomScale="80" zoomScaleNormal="80" workbookViewId="0">
      <selection activeCell="AJ1" sqref="S1:AJ264"/>
    </sheetView>
  </sheetViews>
  <sheetFormatPr baseColWidth="10" defaultColWidth="0" defaultRowHeight="24.95" customHeight="1"/>
  <cols>
    <col min="1" max="1" width="14.7109375" style="749" customWidth="1"/>
    <col min="2" max="2" width="49.85546875" style="662" customWidth="1"/>
    <col min="3" max="3" width="17.140625" style="272" customWidth="1"/>
    <col min="4" max="4" width="13.5703125" style="272" customWidth="1"/>
    <col min="5" max="5" width="13.28515625" style="272" customWidth="1"/>
    <col min="6" max="6" width="14.42578125" style="272" customWidth="1"/>
    <col min="7" max="7" width="16.140625" style="272" customWidth="1"/>
    <col min="8" max="8" width="15.5703125" style="272" customWidth="1"/>
    <col min="9" max="9" width="14.42578125" style="272" customWidth="1"/>
    <col min="10" max="10" width="15.140625" style="272" customWidth="1"/>
    <col min="11" max="11" width="16.140625" style="272" customWidth="1"/>
    <col min="12" max="12" width="13.5703125" style="272" customWidth="1"/>
    <col min="13" max="13" width="14.42578125" style="272" customWidth="1"/>
    <col min="14" max="14" width="15.140625" style="31" customWidth="1"/>
    <col min="15" max="15" width="2.85546875" style="272" customWidth="1"/>
    <col min="16" max="16" width="17.140625" style="31" customWidth="1"/>
    <col min="17" max="17" width="17.28515625" style="31" customWidth="1"/>
    <col min="18" max="18" width="5.42578125" style="272" customWidth="1"/>
    <col min="19" max="19" width="12.5703125" style="698" customWidth="1"/>
    <col min="20" max="20" width="43.140625" style="674" customWidth="1"/>
    <col min="21" max="21" width="17.42578125" style="272" customWidth="1"/>
    <col min="22" max="22" width="10.5703125" style="272" customWidth="1"/>
    <col min="23" max="23" width="14.7109375" style="272" customWidth="1"/>
    <col min="24" max="24" width="17.28515625" style="272" customWidth="1"/>
    <col min="25" max="25" width="13.7109375" style="272" customWidth="1"/>
    <col min="26" max="26" width="17.28515625" style="272" customWidth="1"/>
    <col min="27" max="27" width="17.140625" style="272" customWidth="1"/>
    <col min="28" max="28" width="14.7109375" style="272" customWidth="1"/>
    <col min="29" max="30" width="15.7109375" style="272" customWidth="1"/>
    <col min="31" max="32" width="17" style="272" customWidth="1"/>
    <col min="33" max="33" width="16.85546875" style="272" customWidth="1"/>
    <col min="34" max="34" width="18.140625" style="272" customWidth="1"/>
    <col min="35" max="35" width="17.5703125" style="272" customWidth="1"/>
    <col min="36" max="36" width="18.28515625" style="272" customWidth="1"/>
    <col min="37" max="37" width="8.85546875" style="1" customWidth="1"/>
    <col min="38" max="39" width="23.7109375" style="272" customWidth="1"/>
    <col min="40" max="40" width="4.85546875" style="272" customWidth="1"/>
    <col min="41" max="41" width="12.28515625" style="272" customWidth="1"/>
    <col min="42" max="42" width="43.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3" style="272" customWidth="1"/>
    <col min="60" max="63" width="17.5703125" style="272" customWidth="1"/>
    <col min="64" max="64" width="11" style="272" customWidth="1"/>
    <col min="65" max="65" width="76" style="272" customWidth="1"/>
    <col min="66" max="66" width="19.7109375" style="272" customWidth="1"/>
    <col min="67" max="68" width="18.42578125" style="272" customWidth="1"/>
    <col min="69" max="69" width="20.42578125" style="272" customWidth="1"/>
    <col min="70" max="70" width="11" style="272" customWidth="1"/>
    <col min="71" max="71" width="2.28515625" style="272" customWidth="1"/>
    <col min="72" max="16384" width="11" style="272" hidden="1"/>
  </cols>
  <sheetData>
    <row r="1" spans="1:69" ht="24.95" customHeight="1" thickBot="1">
      <c r="A1" s="2998" t="str">
        <f>IF($F$8-$X$8=0," ","OJO: PRESUPUESTO DESEQUILIBRADO")</f>
        <v xml:space="preserve"> </v>
      </c>
      <c r="B1" s="2998"/>
      <c r="C1" s="271" t="str">
        <f>IF(SUM(C12:C15)=0,"",IF(SUM(H12:H15)=SUM(C12:C15),"OJO - EN LA DISPONIBILIDAD INICIAL, NI EL RECONOCIMIENTO NI EL RECAUDO PUEDEN SER IGUALES AL PRESUPUESTO INICIAL, haga click en la celda B8 para mas información",""))</f>
        <v/>
      </c>
      <c r="D1" s="271"/>
      <c r="E1" s="271"/>
      <c r="F1" s="271"/>
      <c r="G1" s="271"/>
      <c r="H1" s="271"/>
      <c r="I1" s="271"/>
      <c r="J1" s="271"/>
      <c r="K1" s="2999" t="str">
        <f>+IF(L8&gt;I8,"OJO - SUS RECAUDOS SON SUPERIORES A SUS RECONOCIMIENTOS, VERIFIQUE","")</f>
        <v/>
      </c>
      <c r="L1" s="2999"/>
      <c r="M1" s="2999"/>
      <c r="N1" s="2999"/>
      <c r="U1" s="2966" t="str">
        <f>+IF(AA8&gt;X8,"OJO - HA COMPROMETIDO MUCHO MAS DE LO QUE TIENE PRESUPUESTADO","")</f>
        <v/>
      </c>
      <c r="V1" s="2966"/>
      <c r="W1" s="2966"/>
      <c r="X1" s="2966"/>
      <c r="Y1" s="273" t="str">
        <f>+IF(AD8&gt;AA8,"OJO - SUS OBLIGACIONES SUPERAN SUS COMPROMISOS, VERIFIQUE","")</f>
        <v/>
      </c>
      <c r="AC1" s="273" t="str">
        <f>+IF(AG8&gt;AD8,"OJO - SUS PAGOS NO PUEDEN SUPERAR SUS OBLIGACIONES, VERIFIQUE","")</f>
        <v/>
      </c>
    </row>
    <row r="2" spans="1:69" ht="53.25" customHeight="1" thickBot="1">
      <c r="A2" s="728"/>
      <c r="B2" s="673" t="s">
        <v>618</v>
      </c>
      <c r="C2" s="274"/>
      <c r="D2" s="3008" t="str">
        <f>+IF(F2="","","MUNICIPIO:")</f>
        <v>MUNICIPIO:</v>
      </c>
      <c r="E2" s="3008"/>
      <c r="F2" s="275" t="str">
        <f>IF(INSTRUCCIONES!B3=0,"",INSTRUCCIONES!B3)</f>
        <v>ITAGUI</v>
      </c>
      <c r="G2" s="276"/>
      <c r="H2" s="276"/>
      <c r="I2" s="276"/>
      <c r="J2" s="276"/>
      <c r="K2" s="277"/>
      <c r="L2" s="3009" t="s">
        <v>388</v>
      </c>
      <c r="M2" s="2982"/>
      <c r="N2" s="609" t="s">
        <v>389</v>
      </c>
      <c r="P2" s="2993" t="s">
        <v>41</v>
      </c>
      <c r="Q2" s="2994"/>
      <c r="R2" s="279"/>
      <c r="S2" s="699"/>
      <c r="T2" s="718" t="s">
        <v>618</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278" t="s">
        <v>389</v>
      </c>
      <c r="AL2" s="2993" t="s">
        <v>41</v>
      </c>
      <c r="AM2" s="2994"/>
      <c r="AO2" s="2">
        <v>1</v>
      </c>
      <c r="AP2" s="280" t="s">
        <v>7</v>
      </c>
      <c r="AQ2" s="281"/>
      <c r="AR2" s="3"/>
      <c r="AS2" s="3"/>
      <c r="AT2" s="3"/>
      <c r="AU2" s="3"/>
      <c r="AV2" s="3"/>
      <c r="AW2" s="3"/>
      <c r="AX2" s="3"/>
      <c r="AY2" s="3"/>
      <c r="AZ2" s="4"/>
      <c r="BB2" s="2993" t="s">
        <v>616</v>
      </c>
      <c r="BC2" s="3010"/>
      <c r="BD2" s="51" t="s">
        <v>388</v>
      </c>
      <c r="BE2" s="278" t="str">
        <f>+L3</f>
        <v>ENERO</v>
      </c>
      <c r="BF2" s="273"/>
      <c r="BG2" s="2993" t="s">
        <v>617</v>
      </c>
      <c r="BH2" s="3010"/>
      <c r="BI2" s="3010"/>
      <c r="BJ2" s="51" t="s">
        <v>388</v>
      </c>
      <c r="BK2" s="278" t="str">
        <f>+BE2</f>
        <v>ENERO</v>
      </c>
      <c r="BM2" s="2993" t="s">
        <v>617</v>
      </c>
      <c r="BN2" s="3010"/>
      <c r="BO2" s="3010"/>
      <c r="BP2" s="51" t="s">
        <v>388</v>
      </c>
      <c r="BQ2" s="278" t="str">
        <f>+BK2</f>
        <v>ENERO</v>
      </c>
    </row>
    <row r="3" spans="1:69" ht="24.95" customHeight="1" thickBot="1">
      <c r="A3" s="729"/>
      <c r="B3" s="3004" t="s">
        <v>8</v>
      </c>
      <c r="C3" s="282"/>
      <c r="D3" s="3041" t="str">
        <f>+IF(F3="","","INSTITUCION:")</f>
        <v>INSTITUCION:</v>
      </c>
      <c r="E3" s="3041"/>
      <c r="F3" s="3000" t="str">
        <f>IF(INSTRUCCIONES!B5=0,"",INSTRUCCIONES!B5)</f>
        <v>ESE HOSPITALSAN RAFAEL</v>
      </c>
      <c r="G3" s="3000"/>
      <c r="H3" s="3000"/>
      <c r="I3" s="3000"/>
      <c r="J3" s="3000"/>
      <c r="K3" s="3001"/>
      <c r="L3" s="3026" t="s">
        <v>9</v>
      </c>
      <c r="M3" s="3027"/>
      <c r="N3" s="3006">
        <f>+INSTRUCCIONES!F3</f>
        <v>2017</v>
      </c>
      <c r="P3" s="2995" t="s">
        <v>525</v>
      </c>
      <c r="Q3" s="3013" t="s">
        <v>526</v>
      </c>
      <c r="R3" s="279"/>
      <c r="S3" s="700"/>
      <c r="T3" s="3025" t="s">
        <v>10</v>
      </c>
      <c r="U3" s="283"/>
      <c r="V3" s="2972" t="str">
        <f>+IF(F3="","","E.S.E. HOSPITAL:")</f>
        <v>E.S.E. HOSPITAL:</v>
      </c>
      <c r="W3" s="2972"/>
      <c r="X3" s="2972"/>
      <c r="Y3" s="2974" t="str">
        <f>IF(INSTRUCCIONES!B5=0,"",INSTRUCCIONES!B5)</f>
        <v>ESE HOSPITALSAN RAFAEL</v>
      </c>
      <c r="Z3" s="2974"/>
      <c r="AA3" s="2974"/>
      <c r="AB3" s="2974"/>
      <c r="AC3" s="2974"/>
      <c r="AD3" s="2974"/>
      <c r="AE3" s="2974"/>
      <c r="AF3" s="2974"/>
      <c r="AG3" s="2975"/>
      <c r="AH3" s="2978" t="str">
        <f>+L3</f>
        <v>ENERO</v>
      </c>
      <c r="AI3" s="2979"/>
      <c r="AJ3" s="2970">
        <f>+N3</f>
        <v>2017</v>
      </c>
      <c r="AL3" s="2995" t="s">
        <v>527</v>
      </c>
      <c r="AM3" s="3013" t="s">
        <v>528</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50">
        <f>+BK3</f>
        <v>2017</v>
      </c>
    </row>
    <row r="4" spans="1:69" ht="24.95" customHeight="1" thickBot="1">
      <c r="A4" s="729"/>
      <c r="B4" s="3005"/>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48"/>
      <c r="BE4" s="47"/>
      <c r="BF4" s="7"/>
      <c r="BG4" s="291"/>
      <c r="BH4" s="292"/>
      <c r="BI4" s="48"/>
      <c r="BJ4" s="48"/>
      <c r="BK4" s="293"/>
      <c r="BL4" s="8"/>
      <c r="BM4" s="291"/>
      <c r="BN4" s="294"/>
      <c r="BO4" s="49"/>
      <c r="BP4" s="49"/>
      <c r="BQ4" s="295"/>
    </row>
    <row r="5" spans="1:69" ht="42" customHeight="1" thickBot="1">
      <c r="A5" s="2986" t="s">
        <v>17</v>
      </c>
      <c r="B5" s="2988" t="str">
        <f>IF(SUM(C8:N125)=0,"DESCRIPCIÓN",IF(I10&gt;0,"DESCRIPCIÓN",IF(MARZO!I10=0,"OJO - RECUERDE RECAUDAR LA DISPONIBLIDAD INICIAL EN ESTE TRIMESTRE, haga clik en H9 para ampliar la información","")))</f>
        <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2990" t="s">
        <v>481</v>
      </c>
      <c r="T5" s="3043" t="s">
        <v>18</v>
      </c>
      <c r="U5" s="296" t="s">
        <v>19</v>
      </c>
      <c r="V5" s="297"/>
      <c r="W5" s="297"/>
      <c r="X5" s="298"/>
      <c r="Y5" s="299" t="s">
        <v>530</v>
      </c>
      <c r="Z5" s="297"/>
      <c r="AA5" s="297"/>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304" t="str">
        <f>+CONCATENATE("ACUMULADO ",N3)</f>
        <v>ACUMULADO 2017</v>
      </c>
      <c r="BD5" s="305"/>
      <c r="BE5" s="306"/>
      <c r="BF5" s="307" t="s">
        <v>12</v>
      </c>
      <c r="BG5" s="3021" t="s">
        <v>32</v>
      </c>
      <c r="BH5" s="3018" t="str">
        <f>+CONCATENATE("ACUMULADO ",N3)</f>
        <v>ACUMULADO 2017</v>
      </c>
      <c r="BI5" s="3019"/>
      <c r="BJ5" s="3019"/>
      <c r="BK5" s="3020"/>
      <c r="BM5" s="3016" t="s">
        <v>32</v>
      </c>
      <c r="BN5" s="308" t="str">
        <f>+CONCATENATE("ACUMULADO ",BQ3)</f>
        <v>ACUMULADO 2017</v>
      </c>
      <c r="BO5" s="309"/>
      <c r="BP5" s="310"/>
      <c r="BQ5" s="311"/>
    </row>
    <row r="6" spans="1:69" ht="24.95" customHeight="1" thickBot="1">
      <c r="A6" s="2987"/>
      <c r="B6" s="2989"/>
      <c r="C6" s="127" t="s">
        <v>33</v>
      </c>
      <c r="D6" s="119" t="s">
        <v>34</v>
      </c>
      <c r="E6" s="119" t="s">
        <v>35</v>
      </c>
      <c r="F6" s="120" t="s">
        <v>36</v>
      </c>
      <c r="G6" s="127" t="s">
        <v>37</v>
      </c>
      <c r="H6" s="119" t="s">
        <v>38</v>
      </c>
      <c r="I6" s="120" t="s">
        <v>39</v>
      </c>
      <c r="J6" s="127" t="s">
        <v>37</v>
      </c>
      <c r="K6" s="119" t="s">
        <v>38</v>
      </c>
      <c r="L6" s="120" t="s">
        <v>39</v>
      </c>
      <c r="M6" s="127" t="s">
        <v>40</v>
      </c>
      <c r="N6" s="120" t="s">
        <v>20</v>
      </c>
      <c r="P6" s="159" t="s">
        <v>482</v>
      </c>
      <c r="Q6" s="158" t="s">
        <v>467</v>
      </c>
      <c r="R6" s="279"/>
      <c r="S6" s="2991"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482</v>
      </c>
      <c r="AM6" s="120" t="s">
        <v>467</v>
      </c>
      <c r="AO6" s="314"/>
      <c r="AP6" s="315"/>
      <c r="AQ6" s="316" t="s">
        <v>36</v>
      </c>
      <c r="AR6" s="316" t="str">
        <f>+L3</f>
        <v>ENERO</v>
      </c>
      <c r="AS6" s="316" t="str">
        <f>AR6</f>
        <v>ENERO</v>
      </c>
      <c r="AT6" s="316" t="str">
        <f>AR6</f>
        <v>ENERO</v>
      </c>
      <c r="AU6" s="316" t="s">
        <v>14</v>
      </c>
      <c r="AV6" s="316" t="s">
        <v>29</v>
      </c>
      <c r="AW6" s="316"/>
      <c r="AX6" s="316"/>
      <c r="AY6" s="316" t="s">
        <v>14</v>
      </c>
      <c r="AZ6" s="317" t="s">
        <v>29</v>
      </c>
      <c r="BB6" s="318"/>
      <c r="BC6" s="319" t="s">
        <v>45</v>
      </c>
      <c r="BD6" s="320" t="s">
        <v>46</v>
      </c>
      <c r="BE6" s="321" t="s">
        <v>47</v>
      </c>
      <c r="BF6" s="322"/>
      <c r="BG6" s="3022"/>
      <c r="BH6" s="323" t="s">
        <v>45</v>
      </c>
      <c r="BI6" s="323" t="s">
        <v>48</v>
      </c>
      <c r="BJ6" s="323" t="s">
        <v>49</v>
      </c>
      <c r="BK6" s="324" t="s">
        <v>50</v>
      </c>
      <c r="BM6" s="3017"/>
      <c r="BN6" s="325" t="s">
        <v>45</v>
      </c>
      <c r="BO6" s="323" t="s">
        <v>48</v>
      </c>
      <c r="BP6" s="323" t="s">
        <v>49</v>
      </c>
      <c r="BQ6" s="324" t="s">
        <v>50</v>
      </c>
    </row>
    <row r="7" spans="1:69" s="9" customFormat="1" ht="24.95" customHeight="1" thickBot="1">
      <c r="A7" s="665"/>
      <c r="B7" s="811"/>
      <c r="C7" s="182"/>
      <c r="D7" s="182"/>
      <c r="E7" s="182"/>
      <c r="F7" s="182"/>
      <c r="G7" s="182"/>
      <c r="H7" s="182"/>
      <c r="I7" s="182"/>
      <c r="J7" s="182"/>
      <c r="K7" s="182"/>
      <c r="L7" s="182"/>
      <c r="M7" s="182"/>
      <c r="N7" s="183"/>
      <c r="O7" s="279"/>
      <c r="P7" s="184"/>
      <c r="Q7" s="18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19600473880</v>
      </c>
      <c r="AR7" s="327">
        <f>I22</f>
        <v>2741355462</v>
      </c>
      <c r="AS7" s="327">
        <f>L22</f>
        <v>1212337020</v>
      </c>
      <c r="AT7" s="13"/>
      <c r="AU7" s="328">
        <f t="shared" ref="AU7:AU17" si="0">IF(AQ7=0," ",AR7/AQ7)</f>
        <v>0.13986169307861654</v>
      </c>
      <c r="AV7" s="328">
        <f t="shared" ref="AV7:AV17" si="1">IF(AQ7=0," ",AS7/AQ7)</f>
        <v>6.1852434151454298E-2</v>
      </c>
      <c r="AW7" s="327">
        <f>I23/AO$2*12+I24</f>
        <v>19560558324</v>
      </c>
      <c r="AX7" s="327">
        <f>L23/AO$2*12+L24</f>
        <v>1212337020</v>
      </c>
      <c r="AY7" s="327">
        <f t="shared" ref="AY7:AY16" si="2">AW7-AQ7</f>
        <v>-39915556</v>
      </c>
      <c r="AZ7" s="329">
        <f t="shared" ref="AZ7:AZ16" si="3">AX7-AQ7</f>
        <v>-18388136860</v>
      </c>
      <c r="BB7" s="330" t="s">
        <v>53</v>
      </c>
      <c r="BC7" s="54">
        <f>F10</f>
        <v>0</v>
      </c>
      <c r="BD7" s="55">
        <f>I10</f>
        <v>0</v>
      </c>
      <c r="BE7" s="56">
        <f>K10</f>
        <v>0</v>
      </c>
      <c r="BF7" s="57"/>
      <c r="BG7" s="58" t="s">
        <v>54</v>
      </c>
      <c r="BH7" s="59">
        <f>+SUM(BH8:BH11)</f>
        <v>33239300034</v>
      </c>
      <c r="BI7" s="59">
        <f>+SUM(BI8:BI11)</f>
        <v>13787539940</v>
      </c>
      <c r="BJ7" s="59">
        <f>+SUM(BJ8:BJ11)</f>
        <v>1492159560</v>
      </c>
      <c r="BK7" s="60">
        <f>+SUM(BK8:BK11)</f>
        <v>420016029</v>
      </c>
      <c r="BM7" s="61" t="s">
        <v>54</v>
      </c>
      <c r="BN7" s="62">
        <f>BN8+BN15+BN22</f>
        <v>33239300034</v>
      </c>
      <c r="BO7" s="63">
        <f>BO8+BO15+BO22</f>
        <v>13787539940</v>
      </c>
      <c r="BP7" s="63">
        <f>BP8+BP15+BP22</f>
        <v>1492159560</v>
      </c>
      <c r="BQ7" s="64">
        <f>BQ8+BQ15+BQ22</f>
        <v>420016029</v>
      </c>
    </row>
    <row r="8" spans="1:69" s="9" customFormat="1" ht="24.95" customHeight="1" thickBot="1">
      <c r="A8" s="730">
        <v>1</v>
      </c>
      <c r="B8" s="635" t="s">
        <v>11</v>
      </c>
      <c r="C8" s="331">
        <f>C10+C17+C113</f>
        <v>50222178081</v>
      </c>
      <c r="D8" s="331">
        <f t="shared" ref="D8:N8" si="4">D10+D17+D113</f>
        <v>0</v>
      </c>
      <c r="E8" s="331">
        <f t="shared" si="4"/>
        <v>836836965</v>
      </c>
      <c r="F8" s="331">
        <f t="shared" si="4"/>
        <v>51059015046</v>
      </c>
      <c r="G8" s="331">
        <f t="shared" si="4"/>
        <v>0</v>
      </c>
      <c r="H8" s="331">
        <f t="shared" si="4"/>
        <v>6269819158</v>
      </c>
      <c r="I8" s="331">
        <f t="shared" si="4"/>
        <v>6269819158</v>
      </c>
      <c r="J8" s="331">
        <f t="shared" si="4"/>
        <v>0</v>
      </c>
      <c r="K8" s="331">
        <f t="shared" si="4"/>
        <v>1934795961</v>
      </c>
      <c r="L8" s="331">
        <f t="shared" si="4"/>
        <v>1934795961</v>
      </c>
      <c r="M8" s="331">
        <f t="shared" si="4"/>
        <v>44789195888</v>
      </c>
      <c r="N8" s="331">
        <f t="shared" si="4"/>
        <v>49124219085</v>
      </c>
      <c r="O8" s="333"/>
      <c r="P8" s="334">
        <f>P10+P17+P113</f>
        <v>0</v>
      </c>
      <c r="Q8" s="332">
        <f>Q10+Q17+Q113</f>
        <v>836836965</v>
      </c>
      <c r="S8" s="701"/>
      <c r="T8" s="675" t="s">
        <v>51</v>
      </c>
      <c r="U8" s="335">
        <f>U10+U193+U220+U232</f>
        <v>50222178081</v>
      </c>
      <c r="V8" s="336">
        <f t="shared" ref="V8:AJ8" si="5">V10+V193+V220+V232</f>
        <v>0</v>
      </c>
      <c r="W8" s="336">
        <f t="shared" si="5"/>
        <v>836836965</v>
      </c>
      <c r="X8" s="337">
        <f t="shared" si="5"/>
        <v>51059015046</v>
      </c>
      <c r="Y8" s="338">
        <f t="shared" si="5"/>
        <v>0</v>
      </c>
      <c r="Z8" s="336">
        <f t="shared" si="5"/>
        <v>17536540795</v>
      </c>
      <c r="AA8" s="337">
        <f t="shared" si="5"/>
        <v>17536540795</v>
      </c>
      <c r="AB8" s="338">
        <f t="shared" si="5"/>
        <v>0</v>
      </c>
      <c r="AC8" s="336">
        <f t="shared" si="5"/>
        <v>4109707062</v>
      </c>
      <c r="AD8" s="337">
        <f t="shared" si="5"/>
        <v>4109707062</v>
      </c>
      <c r="AE8" s="338">
        <f t="shared" si="5"/>
        <v>0</v>
      </c>
      <c r="AF8" s="336">
        <f t="shared" si="5"/>
        <v>2326251824</v>
      </c>
      <c r="AG8" s="337">
        <f t="shared" si="5"/>
        <v>2326251824</v>
      </c>
      <c r="AH8" s="338">
        <f t="shared" si="5"/>
        <v>33522474251</v>
      </c>
      <c r="AI8" s="336">
        <f t="shared" si="5"/>
        <v>46949307984</v>
      </c>
      <c r="AJ8" s="339">
        <f t="shared" si="5"/>
        <v>48732763222</v>
      </c>
      <c r="AL8" s="340">
        <f t="shared" ref="AL8:AM8" si="6">AL10+AL193+AL220+AL232</f>
        <v>0</v>
      </c>
      <c r="AM8" s="341">
        <f t="shared" si="6"/>
        <v>836836965</v>
      </c>
      <c r="AO8" s="21"/>
      <c r="AP8" s="11" t="s">
        <v>56</v>
      </c>
      <c r="AQ8" s="12">
        <f>F25</f>
        <v>13440356729</v>
      </c>
      <c r="AR8" s="12">
        <f>I25</f>
        <v>2111551795</v>
      </c>
      <c r="AS8" s="12">
        <f>L25</f>
        <v>257711993</v>
      </c>
      <c r="AT8" s="13"/>
      <c r="AU8" s="342">
        <f t="shared" si="0"/>
        <v>0.15710533861381412</v>
      </c>
      <c r="AV8" s="342">
        <f t="shared" si="1"/>
        <v>1.9174490543390099E-2</v>
      </c>
      <c r="AW8" s="12">
        <f>I26/AO$2*12+I27</f>
        <v>22503789617</v>
      </c>
      <c r="AX8" s="12">
        <f>L26/AO$2*12+L27</f>
        <v>257711993</v>
      </c>
      <c r="AY8" s="12">
        <f t="shared" si="2"/>
        <v>9063432888</v>
      </c>
      <c r="AZ8" s="343">
        <f t="shared" si="3"/>
        <v>-13182644736</v>
      </c>
      <c r="BB8" s="140" t="s">
        <v>57</v>
      </c>
      <c r="BC8" s="65">
        <f>BC9+BC19</f>
        <v>41169250887</v>
      </c>
      <c r="BD8" s="66">
        <f>BD9+BD19</f>
        <v>4488453019</v>
      </c>
      <c r="BE8" s="67">
        <f>BE9+BE19</f>
        <v>153429822</v>
      </c>
      <c r="BF8" s="57"/>
      <c r="BG8" s="68" t="s">
        <v>58</v>
      </c>
      <c r="BH8" s="69">
        <f>BN9+BN13</f>
        <v>2490502012</v>
      </c>
      <c r="BI8" s="69">
        <f>BO9+BO13</f>
        <v>150283497</v>
      </c>
      <c r="BJ8" s="69">
        <f>BP9+BP13</f>
        <v>150283497</v>
      </c>
      <c r="BK8" s="70">
        <f>BQ9+BQ13</f>
        <v>150283497</v>
      </c>
      <c r="BM8" s="71" t="s">
        <v>59</v>
      </c>
      <c r="BN8" s="72">
        <f>BN9+BN14+BN13</f>
        <v>25525402195</v>
      </c>
      <c r="BO8" s="69">
        <f>BO9+BO14+BO13</f>
        <v>10384233775</v>
      </c>
      <c r="BP8" s="69">
        <f>BP9+BP14+BP13</f>
        <v>1073854919</v>
      </c>
      <c r="BQ8" s="70">
        <f>BQ9+BQ14+BQ13</f>
        <v>228091823</v>
      </c>
    </row>
    <row r="9" spans="1:69"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209521482</v>
      </c>
      <c r="AR9" s="12">
        <f>I28+I75</f>
        <v>0</v>
      </c>
      <c r="AS9" s="12">
        <f>L28+L75</f>
        <v>0</v>
      </c>
      <c r="AT9" s="13"/>
      <c r="AU9" s="350">
        <f t="shared" si="0"/>
        <v>0</v>
      </c>
      <c r="AV9" s="350">
        <f t="shared" si="1"/>
        <v>0</v>
      </c>
      <c r="AW9" s="351">
        <f>(I30+I33+I36+I76)/AO$2*12+I31+I34+I37+I38+I39+I40+I77</f>
        <v>0</v>
      </c>
      <c r="AX9" s="351">
        <f>(L30+L33+L36+L76)/AO$2*12+L31+L34+L37+L38+L39+L40+L77</f>
        <v>0</v>
      </c>
      <c r="AY9" s="351">
        <f t="shared" si="2"/>
        <v>-209521482</v>
      </c>
      <c r="AZ9" s="352">
        <f t="shared" si="3"/>
        <v>-209521482</v>
      </c>
      <c r="BB9" s="353" t="s">
        <v>427</v>
      </c>
      <c r="BC9" s="73">
        <f>BC10+BC18</f>
        <v>40501810887</v>
      </c>
      <c r="BD9" s="74">
        <f>BD10+BD18</f>
        <v>4340960374</v>
      </c>
      <c r="BE9" s="75">
        <f>BE10+BE18</f>
        <v>68084919</v>
      </c>
      <c r="BF9" s="76"/>
      <c r="BG9" s="77" t="s">
        <v>62</v>
      </c>
      <c r="BH9" s="78">
        <f t="shared" ref="BH9:BK10" si="7">BN14</f>
        <v>23034900183</v>
      </c>
      <c r="BI9" s="78">
        <f t="shared" si="7"/>
        <v>10233950278</v>
      </c>
      <c r="BJ9" s="78">
        <f t="shared" si="7"/>
        <v>923571422</v>
      </c>
      <c r="BK9" s="79">
        <f t="shared" si="7"/>
        <v>77808326</v>
      </c>
      <c r="BM9" s="137" t="s">
        <v>63</v>
      </c>
      <c r="BN9" s="80">
        <f>SUM(BN10:BN12)</f>
        <v>1973744635</v>
      </c>
      <c r="BO9" s="78">
        <f>SUM(BO10:BO12)</f>
        <v>116132687</v>
      </c>
      <c r="BP9" s="78">
        <f>SUM(BP10:BP12)</f>
        <v>116132687</v>
      </c>
      <c r="BQ9" s="79">
        <f>SUM(BQ10:BQ12)</f>
        <v>116132687</v>
      </c>
    </row>
    <row r="10" spans="1:69" s="9" customFormat="1" ht="24.95" customHeight="1">
      <c r="A10" s="731">
        <v>10</v>
      </c>
      <c r="B10" s="637" t="s">
        <v>55</v>
      </c>
      <c r="C10" s="174">
        <f t="shared" ref="C10:N10" si="8">SUM(C12:C15)</f>
        <v>0</v>
      </c>
      <c r="D10" s="354">
        <f t="shared" si="8"/>
        <v>0</v>
      </c>
      <c r="E10" s="354">
        <f t="shared" si="8"/>
        <v>0</v>
      </c>
      <c r="F10" s="175">
        <f t="shared" si="8"/>
        <v>0</v>
      </c>
      <c r="G10" s="355">
        <f t="shared" si="8"/>
        <v>0</v>
      </c>
      <c r="H10" s="354">
        <f t="shared" si="8"/>
        <v>0</v>
      </c>
      <c r="I10" s="356">
        <f t="shared" si="8"/>
        <v>0</v>
      </c>
      <c r="J10" s="174">
        <f t="shared" si="8"/>
        <v>0</v>
      </c>
      <c r="K10" s="354">
        <f t="shared" si="8"/>
        <v>0</v>
      </c>
      <c r="L10" s="175">
        <f t="shared" si="8"/>
        <v>0</v>
      </c>
      <c r="M10" s="174">
        <f t="shared" si="8"/>
        <v>0</v>
      </c>
      <c r="N10" s="175">
        <f t="shared" si="8"/>
        <v>0</v>
      </c>
      <c r="O10" s="13"/>
      <c r="P10" s="174">
        <f>SUM(P12:P15)</f>
        <v>0</v>
      </c>
      <c r="Q10" s="175">
        <f>SUM(Q12:Q15)</f>
        <v>0</v>
      </c>
      <c r="S10" s="357" t="s">
        <v>25</v>
      </c>
      <c r="T10" s="676" t="s">
        <v>54</v>
      </c>
      <c r="U10" s="358">
        <f>U12+U110+U170</f>
        <v>35471771735</v>
      </c>
      <c r="V10" s="359">
        <f t="shared" ref="V10:AJ10" si="9">V12+V110+V170</f>
        <v>0</v>
      </c>
      <c r="W10" s="359">
        <f t="shared" si="9"/>
        <v>470000000</v>
      </c>
      <c r="X10" s="360">
        <f t="shared" si="9"/>
        <v>35941771735</v>
      </c>
      <c r="Y10" s="361">
        <f t="shared" si="9"/>
        <v>0</v>
      </c>
      <c r="Z10" s="359">
        <f t="shared" si="9"/>
        <v>15187209061</v>
      </c>
      <c r="AA10" s="360">
        <f t="shared" si="9"/>
        <v>15187209061</v>
      </c>
      <c r="AB10" s="361">
        <f t="shared" si="9"/>
        <v>0</v>
      </c>
      <c r="AC10" s="359">
        <f t="shared" si="9"/>
        <v>2891828681</v>
      </c>
      <c r="AD10" s="362">
        <f t="shared" si="9"/>
        <v>2891828681</v>
      </c>
      <c r="AE10" s="361">
        <f t="shared" si="9"/>
        <v>0</v>
      </c>
      <c r="AF10" s="359">
        <f t="shared" si="9"/>
        <v>1819685150</v>
      </c>
      <c r="AG10" s="360">
        <f t="shared" si="9"/>
        <v>1819685150</v>
      </c>
      <c r="AH10" s="361">
        <f t="shared" si="9"/>
        <v>20754562674</v>
      </c>
      <c r="AI10" s="359">
        <f t="shared" si="9"/>
        <v>33049943054</v>
      </c>
      <c r="AJ10" s="360">
        <f t="shared" si="9"/>
        <v>34122086585</v>
      </c>
      <c r="AL10" s="363">
        <f t="shared" ref="AL10:AM10" si="10">AL12+AL110+AL170</f>
        <v>0</v>
      </c>
      <c r="AM10" s="364">
        <f t="shared" si="10"/>
        <v>470000000</v>
      </c>
      <c r="AO10" s="349"/>
      <c r="AP10" s="11" t="s">
        <v>65</v>
      </c>
      <c r="AQ10" s="12">
        <f>F42</f>
        <v>0</v>
      </c>
      <c r="AR10" s="12">
        <f>I42</f>
        <v>0</v>
      </c>
      <c r="AS10" s="12">
        <f>L42</f>
        <v>0</v>
      </c>
      <c r="AT10" s="13"/>
      <c r="AU10" s="350" t="str">
        <f t="shared" si="0"/>
        <v xml:space="preserve"> </v>
      </c>
      <c r="AV10" s="350" t="str">
        <f t="shared" si="1"/>
        <v xml:space="preserve"> </v>
      </c>
      <c r="AW10" s="351">
        <f>I43/AO$2*12+I44</f>
        <v>0</v>
      </c>
      <c r="AX10" s="351">
        <f>L43/AO$2*12+L44</f>
        <v>0</v>
      </c>
      <c r="AY10" s="351">
        <f t="shared" si="2"/>
        <v>0</v>
      </c>
      <c r="AZ10" s="352">
        <f t="shared" si="3"/>
        <v>0</v>
      </c>
      <c r="BB10" s="365" t="s">
        <v>428</v>
      </c>
      <c r="BC10" s="73">
        <f>BC11+BC12+BC13+BC14+BC16+BC17+BC15</f>
        <v>40501810887</v>
      </c>
      <c r="BD10" s="74">
        <f>BD11+BD12+BD13+BD14+BD16+BD17+BD15</f>
        <v>4340960374</v>
      </c>
      <c r="BE10" s="75">
        <f>BE11+BE12+BE13+BE14+BE16+BE17+BE15</f>
        <v>68084919</v>
      </c>
      <c r="BF10" s="76"/>
      <c r="BG10" s="68" t="s">
        <v>66</v>
      </c>
      <c r="BH10" s="81">
        <f t="shared" si="7"/>
        <v>7574161274</v>
      </c>
      <c r="BI10" s="81">
        <f t="shared" si="7"/>
        <v>3390111777</v>
      </c>
      <c r="BJ10" s="81">
        <f t="shared" si="7"/>
        <v>405110253</v>
      </c>
      <c r="BK10" s="82">
        <f t="shared" si="7"/>
        <v>178729818</v>
      </c>
      <c r="BM10" s="134" t="s">
        <v>440</v>
      </c>
      <c r="BN10" s="83">
        <f>X17+X66</f>
        <v>1512951119</v>
      </c>
      <c r="BO10" s="81">
        <f>AA17+AA66</f>
        <v>96255247</v>
      </c>
      <c r="BP10" s="81">
        <f>AD17+AD66</f>
        <v>96255247</v>
      </c>
      <c r="BQ10" s="82">
        <f>AF17+AF66</f>
        <v>96255247</v>
      </c>
    </row>
    <row r="11" spans="1:69" s="9" customFormat="1" ht="24.95" customHeight="1">
      <c r="A11" s="666"/>
      <c r="B11" s="636"/>
      <c r="C11" s="344"/>
      <c r="D11" s="344"/>
      <c r="E11" s="344"/>
      <c r="F11" s="344"/>
      <c r="G11" s="344"/>
      <c r="H11" s="344"/>
      <c r="I11" s="344"/>
      <c r="J11" s="344"/>
      <c r="K11" s="344"/>
      <c r="L11" s="344"/>
      <c r="M11" s="344"/>
      <c r="N11" s="345"/>
      <c r="O11" s="333"/>
      <c r="P11" s="346"/>
      <c r="Q11" s="345"/>
      <c r="S11" s="366"/>
      <c r="T11" s="677"/>
      <c r="U11" s="161"/>
      <c r="V11" s="161"/>
      <c r="W11" s="161"/>
      <c r="X11" s="166"/>
      <c r="Y11" s="367"/>
      <c r="Z11" s="161"/>
      <c r="AA11" s="166"/>
      <c r="AB11" s="367"/>
      <c r="AC11" s="161"/>
      <c r="AD11" s="161"/>
      <c r="AE11" s="367"/>
      <c r="AF11" s="161"/>
      <c r="AG11" s="166"/>
      <c r="AH11" s="367"/>
      <c r="AI11" s="161"/>
      <c r="AJ11" s="166"/>
      <c r="AL11" s="368"/>
      <c r="AM11" s="369"/>
      <c r="AO11" s="370" t="s">
        <v>11</v>
      </c>
      <c r="AP11" s="527" t="s">
        <v>538</v>
      </c>
      <c r="AQ11" s="12">
        <f>F88</f>
        <v>0</v>
      </c>
      <c r="AR11" s="12">
        <f>I88</f>
        <v>0</v>
      </c>
      <c r="AS11" s="12">
        <f>L88</f>
        <v>0</v>
      </c>
      <c r="AT11" s="371">
        <f>AO2/12</f>
        <v>8.3333333333333329E-2</v>
      </c>
      <c r="AU11" s="350" t="str">
        <f t="shared" si="0"/>
        <v xml:space="preserve"> </v>
      </c>
      <c r="AV11" s="350" t="str">
        <f t="shared" si="1"/>
        <v xml:space="preserve"> </v>
      </c>
      <c r="AW11" s="351">
        <f>I88</f>
        <v>0</v>
      </c>
      <c r="AX11" s="351">
        <f>L88</f>
        <v>0</v>
      </c>
      <c r="AY11" s="351">
        <f t="shared" si="2"/>
        <v>0</v>
      </c>
      <c r="AZ11" s="352">
        <f t="shared" si="3"/>
        <v>0</v>
      </c>
      <c r="BB11" s="365" t="s">
        <v>429</v>
      </c>
      <c r="BC11" s="73">
        <f>F26</f>
        <v>13439321219</v>
      </c>
      <c r="BD11" s="74">
        <f>I26</f>
        <v>1853839802</v>
      </c>
      <c r="BE11" s="75">
        <f>K26</f>
        <v>0</v>
      </c>
      <c r="BF11" s="76"/>
      <c r="BG11" s="68" t="s">
        <v>67</v>
      </c>
      <c r="BH11" s="84">
        <f>BN22</f>
        <v>139736565</v>
      </c>
      <c r="BI11" s="84">
        <f>BO22</f>
        <v>13194388</v>
      </c>
      <c r="BJ11" s="84">
        <f>BP22</f>
        <v>13194388</v>
      </c>
      <c r="BK11" s="85">
        <f>BQ22</f>
        <v>13194388</v>
      </c>
      <c r="BM11" s="135" t="s">
        <v>441</v>
      </c>
      <c r="BN11" s="86">
        <f>X18+X67</f>
        <v>36988810</v>
      </c>
      <c r="BO11" s="84">
        <f>AA18+AA67</f>
        <v>6841937</v>
      </c>
      <c r="BP11" s="84">
        <f>AD18+AD67</f>
        <v>6841937</v>
      </c>
      <c r="BQ11" s="85">
        <f>AF18+AF67</f>
        <v>6841937</v>
      </c>
    </row>
    <row r="12" spans="1:69" s="9" customFormat="1" ht="24.95" customHeight="1">
      <c r="A12" s="611">
        <v>1001</v>
      </c>
      <c r="B12" s="638" t="str">
        <f>+CONCATENATE("Bienestar Social (Caja, Bancos, Inversiones Tempor.) a Dic-31-",INSTRUCCIONES!$F$3-1)</f>
        <v>Bienestar Social (Caja, Bancos, Inversiones Tempor.) a Dic-31-2016</v>
      </c>
      <c r="C12" s="372">
        <v>0</v>
      </c>
      <c r="D12" s="373">
        <f t="shared" ref="D12:E15" si="11">P12</f>
        <v>0</v>
      </c>
      <c r="E12" s="373">
        <f t="shared" si="11"/>
        <v>0</v>
      </c>
      <c r="F12" s="143">
        <f>SUM(C12:E12)</f>
        <v>0</v>
      </c>
      <c r="G12" s="219">
        <v>0</v>
      </c>
      <c r="H12" s="374">
        <v>0</v>
      </c>
      <c r="I12" s="143">
        <f>SUM(G12:H12)</f>
        <v>0</v>
      </c>
      <c r="J12" s="219">
        <v>0</v>
      </c>
      <c r="K12" s="131">
        <f>+H12</f>
        <v>0</v>
      </c>
      <c r="L12" s="143">
        <f>SUM(J12:K12)</f>
        <v>0</v>
      </c>
      <c r="M12" s="219">
        <f>F12-I12</f>
        <v>0</v>
      </c>
      <c r="N12" s="143">
        <f>F12-L12</f>
        <v>0</v>
      </c>
      <c r="O12" s="294"/>
      <c r="P12" s="372">
        <v>0</v>
      </c>
      <c r="Q12" s="375">
        <v>0</v>
      </c>
      <c r="S12" s="702">
        <v>1000000</v>
      </c>
      <c r="T12" s="678" t="s">
        <v>60</v>
      </c>
      <c r="U12" s="376">
        <f t="shared" ref="U12:AJ12" si="12">U14+U63</f>
        <v>27757873896</v>
      </c>
      <c r="V12" s="377">
        <f t="shared" si="12"/>
        <v>0</v>
      </c>
      <c r="W12" s="377">
        <f t="shared" si="12"/>
        <v>100000000</v>
      </c>
      <c r="X12" s="364">
        <f t="shared" si="12"/>
        <v>27857873896</v>
      </c>
      <c r="Y12" s="363">
        <f t="shared" si="12"/>
        <v>0</v>
      </c>
      <c r="Z12" s="377">
        <f t="shared" si="12"/>
        <v>11634500676</v>
      </c>
      <c r="AA12" s="364">
        <f t="shared" si="12"/>
        <v>11634500676</v>
      </c>
      <c r="AB12" s="363">
        <f t="shared" si="12"/>
        <v>0</v>
      </c>
      <c r="AC12" s="377">
        <f t="shared" si="12"/>
        <v>2324121820</v>
      </c>
      <c r="AD12" s="378">
        <f t="shared" si="12"/>
        <v>2324121820</v>
      </c>
      <c r="AE12" s="363">
        <f t="shared" si="12"/>
        <v>0</v>
      </c>
      <c r="AF12" s="377">
        <f t="shared" si="12"/>
        <v>1478358724</v>
      </c>
      <c r="AG12" s="364">
        <f t="shared" si="12"/>
        <v>1478358724</v>
      </c>
      <c r="AH12" s="363">
        <f t="shared" si="12"/>
        <v>16223373220</v>
      </c>
      <c r="AI12" s="377">
        <f t="shared" si="12"/>
        <v>25533752076</v>
      </c>
      <c r="AJ12" s="364">
        <f t="shared" si="12"/>
        <v>26379515172</v>
      </c>
      <c r="AK12" s="10"/>
      <c r="AL12" s="379">
        <f>AL14+AL63</f>
        <v>0</v>
      </c>
      <c r="AM12" s="380">
        <f>AM14+AM63</f>
        <v>100000000</v>
      </c>
      <c r="AO12" s="370"/>
      <c r="AP12" s="527"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18905646713</v>
      </c>
      <c r="BD12" s="74">
        <f>I23</f>
        <v>1529018442</v>
      </c>
      <c r="BE12" s="75">
        <f>K23</f>
        <v>0</v>
      </c>
      <c r="BF12" s="76"/>
      <c r="BG12" s="381" t="s">
        <v>391</v>
      </c>
      <c r="BH12" s="84">
        <f>BN25</f>
        <v>14750406346</v>
      </c>
      <c r="BI12" s="15">
        <f>BO25</f>
        <v>1959870337</v>
      </c>
      <c r="BJ12" s="84">
        <f>BP25</f>
        <v>828416984</v>
      </c>
      <c r="BK12" s="85">
        <f>BQ25</f>
        <v>117105277</v>
      </c>
      <c r="BM12" s="136" t="s">
        <v>442</v>
      </c>
      <c r="BN12" s="86">
        <f>X16+X65-X81-X33-BN10-BN11</f>
        <v>423804706</v>
      </c>
      <c r="BO12" s="84">
        <f>AA16+AA65-AA81-AA33-BO10-BO11</f>
        <v>13035503</v>
      </c>
      <c r="BP12" s="84">
        <f>AD16+AD65-AD81-AD33-BP10-BP11</f>
        <v>13035503</v>
      </c>
      <c r="BQ12" s="85">
        <f>AF16+AF65-AF81-AF33-BQ10-BQ11</f>
        <v>13035503</v>
      </c>
    </row>
    <row r="13" spans="1:69" s="9" customFormat="1" ht="24.95" customHeight="1">
      <c r="A13" s="611">
        <v>1002</v>
      </c>
      <c r="B13" s="638" t="str">
        <f>+CONCATENATE("Fondo Vivienda (Caja, Bancos, Inversiones Tempor.) a Dic-31-",INSTRUCCIONES!$F$3-1)</f>
        <v>Fondo Vivienda (Caja, Bancos, Inversiones Tempor.) a Dic-31-2016</v>
      </c>
      <c r="C13" s="372">
        <v>0</v>
      </c>
      <c r="D13" s="373">
        <f t="shared" si="11"/>
        <v>0</v>
      </c>
      <c r="E13" s="373">
        <f t="shared" si="11"/>
        <v>0</v>
      </c>
      <c r="F13" s="143">
        <f>SUM(C13:E13)</f>
        <v>0</v>
      </c>
      <c r="G13" s="219">
        <v>0</v>
      </c>
      <c r="H13" s="374">
        <v>0</v>
      </c>
      <c r="I13" s="143">
        <f>SUM(G13:H13)</f>
        <v>0</v>
      </c>
      <c r="J13" s="219">
        <v>0</v>
      </c>
      <c r="K13" s="131">
        <f>+H13</f>
        <v>0</v>
      </c>
      <c r="L13" s="143">
        <f>SUM(J13:K13)</f>
        <v>0</v>
      </c>
      <c r="M13" s="219">
        <f>F13-I13</f>
        <v>0</v>
      </c>
      <c r="N13" s="143">
        <f>F13-L13</f>
        <v>0</v>
      </c>
      <c r="O13" s="382"/>
      <c r="P13" s="372">
        <v>0</v>
      </c>
      <c r="Q13" s="375">
        <v>0</v>
      </c>
      <c r="S13" s="366"/>
      <c r="T13" s="677"/>
      <c r="U13" s="161"/>
      <c r="V13" s="161"/>
      <c r="W13" s="161"/>
      <c r="X13" s="166"/>
      <c r="Y13" s="367"/>
      <c r="Z13" s="161"/>
      <c r="AA13" s="166"/>
      <c r="AB13" s="367"/>
      <c r="AC13" s="161"/>
      <c r="AD13" s="161"/>
      <c r="AE13" s="367"/>
      <c r="AF13" s="161"/>
      <c r="AG13" s="166"/>
      <c r="AH13" s="367"/>
      <c r="AI13" s="161"/>
      <c r="AJ13" s="166"/>
      <c r="AK13" s="10"/>
      <c r="AL13" s="368"/>
      <c r="AM13" s="369"/>
      <c r="AO13" s="20"/>
      <c r="AP13" s="527"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526" t="s">
        <v>431</v>
      </c>
      <c r="BC13" s="87">
        <f>+F30+F33+F36+F38+F39+F40</f>
        <v>157521482</v>
      </c>
      <c r="BD13" s="88">
        <f>+I30+I33+I36+I38+I39+I40</f>
        <v>0</v>
      </c>
      <c r="BE13" s="89">
        <f>+K30+K33+K36+K38+K39+K40</f>
        <v>0</v>
      </c>
      <c r="BF13" s="90"/>
      <c r="BG13" s="91" t="s">
        <v>70</v>
      </c>
      <c r="BH13" s="84">
        <f t="shared" ref="BH13:BK15" si="13">BN29</f>
        <v>0</v>
      </c>
      <c r="BI13" s="84">
        <f t="shared" si="13"/>
        <v>0</v>
      </c>
      <c r="BJ13" s="84">
        <f t="shared" si="13"/>
        <v>0</v>
      </c>
      <c r="BK13" s="85">
        <f t="shared" si="13"/>
        <v>0</v>
      </c>
      <c r="BM13" s="139" t="s">
        <v>443</v>
      </c>
      <c r="BN13" s="83">
        <f>X43-X55+X57-X61+X90-X102+X104-X108</f>
        <v>516757377</v>
      </c>
      <c r="BO13" s="81">
        <f>AA43-AA55+AA57-AA61+AA90-AA102+AA104-AA108</f>
        <v>34150810</v>
      </c>
      <c r="BP13" s="81">
        <f>AD43-AD55+AD57-AD61+AD90-AD102+AD104-AD108</f>
        <v>34150810</v>
      </c>
      <c r="BQ13" s="82">
        <f>AF43-AF55+AF57-AF61+AF90-AF102+AF104-AF108</f>
        <v>34150810</v>
      </c>
    </row>
    <row r="14" spans="1:69" s="9" customFormat="1" ht="24.95" customHeight="1">
      <c r="A14" s="611">
        <v>1003</v>
      </c>
      <c r="B14" s="638" t="str">
        <f>+CONCATENATE("Fondos Comunes y Especiales (Caja, Bancos, Invers. Tempor.) a Dic-31-",INSTRUCCIONES!$F$3-1)</f>
        <v>Fondos Comunes y Especiales (Caja, Bancos, Invers. Tempor.) a Dic-31-2016</v>
      </c>
      <c r="C14" s="372">
        <v>0</v>
      </c>
      <c r="D14" s="373">
        <f t="shared" si="11"/>
        <v>0</v>
      </c>
      <c r="E14" s="373">
        <f t="shared" si="11"/>
        <v>0</v>
      </c>
      <c r="F14" s="143">
        <f>SUM(C14:E14)</f>
        <v>0</v>
      </c>
      <c r="G14" s="219">
        <v>0</v>
      </c>
      <c r="H14" s="374">
        <v>0</v>
      </c>
      <c r="I14" s="143">
        <f>SUM(G14:H14)</f>
        <v>0</v>
      </c>
      <c r="J14" s="219">
        <v>0</v>
      </c>
      <c r="K14" s="131">
        <f>+H14</f>
        <v>0</v>
      </c>
      <c r="L14" s="143">
        <f>SUM(J14:K14)</f>
        <v>0</v>
      </c>
      <c r="M14" s="219">
        <f>F14-I14</f>
        <v>0</v>
      </c>
      <c r="N14" s="143">
        <f>F14-L14</f>
        <v>0</v>
      </c>
      <c r="O14" s="382"/>
      <c r="P14" s="372">
        <v>0</v>
      </c>
      <c r="Q14" s="375">
        <v>0</v>
      </c>
      <c r="S14" s="703">
        <v>1010000</v>
      </c>
      <c r="T14" s="679" t="s">
        <v>64</v>
      </c>
      <c r="U14" s="132">
        <f t="shared" ref="U14:AJ14" si="14">U16+U35+U43+U57</f>
        <v>4011945263</v>
      </c>
      <c r="V14" s="122">
        <f t="shared" si="14"/>
        <v>0</v>
      </c>
      <c r="W14" s="122">
        <f t="shared" si="14"/>
        <v>100000000</v>
      </c>
      <c r="X14" s="130">
        <f t="shared" si="14"/>
        <v>4111945263</v>
      </c>
      <c r="Y14" s="128">
        <f t="shared" si="14"/>
        <v>0</v>
      </c>
      <c r="Z14" s="122">
        <f t="shared" si="14"/>
        <v>1703648925</v>
      </c>
      <c r="AA14" s="130">
        <f t="shared" si="14"/>
        <v>1703648925</v>
      </c>
      <c r="AB14" s="128">
        <f t="shared" si="14"/>
        <v>0</v>
      </c>
      <c r="AC14" s="122">
        <f t="shared" si="14"/>
        <v>225785352</v>
      </c>
      <c r="AD14" s="129">
        <f t="shared" si="14"/>
        <v>225785352</v>
      </c>
      <c r="AE14" s="128">
        <f t="shared" si="14"/>
        <v>0</v>
      </c>
      <c r="AF14" s="122">
        <f t="shared" si="14"/>
        <v>174826919</v>
      </c>
      <c r="AG14" s="130">
        <f t="shared" si="14"/>
        <v>174826919</v>
      </c>
      <c r="AH14" s="128">
        <f t="shared" si="14"/>
        <v>2408296338</v>
      </c>
      <c r="AI14" s="122">
        <f t="shared" si="14"/>
        <v>3886159911</v>
      </c>
      <c r="AJ14" s="130">
        <f t="shared" si="14"/>
        <v>3937118344</v>
      </c>
      <c r="AK14" s="10"/>
      <c r="AL14" s="128">
        <f>AL16+AL35+AL43+AL57</f>
        <v>0</v>
      </c>
      <c r="AM14" s="130">
        <f>AM16+AM35+AM43+AM57</f>
        <v>100000000</v>
      </c>
      <c r="AO14" s="21"/>
      <c r="AP14" s="11" t="s">
        <v>73</v>
      </c>
      <c r="AQ14" s="12">
        <f>F19-AQ7-AQ8-AQ9-AQ10-AQ11-AQ12-AQ13</f>
        <v>8088295761</v>
      </c>
      <c r="AR14" s="12">
        <f>I19-AR7-AR8-AR9-AR10-AR11-AR12-AR13</f>
        <v>1269419256</v>
      </c>
      <c r="AS14" s="12">
        <f>L19-AS7-AS8-AS9-AS10-AS11-AS12-AS13</f>
        <v>379402045</v>
      </c>
      <c r="AT14" s="382"/>
      <c r="AU14" s="350">
        <f t="shared" si="0"/>
        <v>0.15694520743428586</v>
      </c>
      <c r="AV14" s="350">
        <f t="shared" si="1"/>
        <v>4.6907538523676892E-2</v>
      </c>
      <c r="AW14" s="668">
        <f>(I41+I46+I49+I52+I55+I58+I61+I64+I67+I70+I73+I78+I81+I82+I83+I85+I94+I104)/AO$2*12+I47+I50+I53+I56+I59+I62+I65+I68+I71+I74</f>
        <v>13578454426</v>
      </c>
      <c r="AX14" s="351">
        <f>(L41+L46+L49+L52+L55+L58+L61+L64+L67+L70+L73+L78+L81+L82+L83+L85+L94+L104)/AO$2*12+L47+L50+L53+L56+L59+L62+L65+L68+L71+L74</f>
        <v>2152474990</v>
      </c>
      <c r="AY14" s="351">
        <f t="shared" si="2"/>
        <v>5490158665</v>
      </c>
      <c r="AZ14" s="352">
        <f t="shared" si="3"/>
        <v>-5935820771</v>
      </c>
      <c r="BB14" s="383" t="s">
        <v>432</v>
      </c>
      <c r="BC14" s="92">
        <f>+F64</f>
        <v>5110724757</v>
      </c>
      <c r="BD14" s="93">
        <f>+I64</f>
        <v>270351935</v>
      </c>
      <c r="BE14" s="94">
        <f>K64</f>
        <v>0</v>
      </c>
      <c r="BF14" s="95"/>
      <c r="BG14" s="91" t="s">
        <v>74</v>
      </c>
      <c r="BH14" s="81">
        <f t="shared" si="13"/>
        <v>0</v>
      </c>
      <c r="BI14" s="81">
        <f t="shared" si="13"/>
        <v>0</v>
      </c>
      <c r="BJ14" s="81">
        <f t="shared" si="13"/>
        <v>0</v>
      </c>
      <c r="BK14" s="82">
        <f t="shared" si="13"/>
        <v>0</v>
      </c>
      <c r="BM14" s="138" t="s">
        <v>439</v>
      </c>
      <c r="BN14" s="86">
        <f>X35-X41+X83-X88</f>
        <v>23034900183</v>
      </c>
      <c r="BO14" s="84">
        <f>AA35-AA41+AA83-AA88</f>
        <v>10233950278</v>
      </c>
      <c r="BP14" s="84">
        <f>AD35-AD41+AD83-AD88</f>
        <v>923571422</v>
      </c>
      <c r="BQ14" s="85">
        <f>AF35-AF41+AF83-AF88</f>
        <v>77808326</v>
      </c>
    </row>
    <row r="15" spans="1:69" s="9" customFormat="1" ht="24.95" customHeight="1" thickBot="1">
      <c r="A15" s="612">
        <v>1004</v>
      </c>
      <c r="B15" s="638" t="str">
        <f>+CONCATENATE("Cesantias Ley 50/1990 a Dic-31-",INSTRUCCIONES!$F$3-1)</f>
        <v>Cesantias Ley 50/1990 a Dic-31-2016</v>
      </c>
      <c r="C15" s="384">
        <v>0</v>
      </c>
      <c r="D15" s="385">
        <f t="shared" si="11"/>
        <v>0</v>
      </c>
      <c r="E15" s="385">
        <f t="shared" si="11"/>
        <v>0</v>
      </c>
      <c r="F15" s="386">
        <f>SUM(C15:E15)</f>
        <v>0</v>
      </c>
      <c r="G15" s="387">
        <v>0</v>
      </c>
      <c r="H15" s="388">
        <v>0</v>
      </c>
      <c r="I15" s="386">
        <f>SUM(G15:H15)</f>
        <v>0</v>
      </c>
      <c r="J15" s="387">
        <v>0</v>
      </c>
      <c r="K15" s="165">
        <f>+H15</f>
        <v>0</v>
      </c>
      <c r="L15" s="386">
        <f>SUM(J15:K15)</f>
        <v>0</v>
      </c>
      <c r="M15" s="387">
        <f>F15-I15</f>
        <v>0</v>
      </c>
      <c r="N15" s="386">
        <f>F15-L15</f>
        <v>0</v>
      </c>
      <c r="O15" s="382"/>
      <c r="P15" s="384">
        <v>0</v>
      </c>
      <c r="Q15" s="389">
        <v>0</v>
      </c>
      <c r="S15" s="366"/>
      <c r="T15" s="677" t="str">
        <f>IF($F$8-$X$8=0," ","OJO: PRESUPUESTO DESEQUILIBRADO")</f>
        <v xml:space="preserve"> </v>
      </c>
      <c r="U15" s="161"/>
      <c r="V15" s="161"/>
      <c r="W15" s="161"/>
      <c r="X15" s="166"/>
      <c r="Y15" s="367"/>
      <c r="Z15" s="161"/>
      <c r="AA15" s="166"/>
      <c r="AB15" s="367"/>
      <c r="AC15" s="161"/>
      <c r="AD15" s="161"/>
      <c r="AE15" s="367"/>
      <c r="AF15" s="161"/>
      <c r="AG15" s="166"/>
      <c r="AH15" s="367"/>
      <c r="AI15" s="161"/>
      <c r="AJ15" s="166"/>
      <c r="AK15" s="10"/>
      <c r="AL15" s="170"/>
      <c r="AM15" s="171"/>
      <c r="AO15" s="20"/>
      <c r="AP15" s="11" t="s">
        <v>76</v>
      </c>
      <c r="AQ15" s="12">
        <f>F113</f>
        <v>9052927194</v>
      </c>
      <c r="AR15" s="12">
        <f>I113</f>
        <v>0</v>
      </c>
      <c r="AS15" s="12">
        <f>L113</f>
        <v>0</v>
      </c>
      <c r="AT15" s="13"/>
      <c r="AU15" s="350">
        <f t="shared" si="0"/>
        <v>0</v>
      </c>
      <c r="AV15" s="342">
        <f t="shared" si="1"/>
        <v>0</v>
      </c>
      <c r="AW15" s="12">
        <f>+AR15</f>
        <v>0</v>
      </c>
      <c r="AX15" s="12">
        <f>+AS15</f>
        <v>0</v>
      </c>
      <c r="AY15" s="12">
        <f t="shared" si="2"/>
        <v>-9052927194</v>
      </c>
      <c r="AZ15" s="343">
        <f t="shared" si="3"/>
        <v>-9052927194</v>
      </c>
      <c r="BA15" s="382"/>
      <c r="BB15" s="365" t="s">
        <v>77</v>
      </c>
      <c r="BC15" s="92">
        <f>F46+F49</f>
        <v>375197511</v>
      </c>
      <c r="BD15" s="93">
        <f>I46+I49</f>
        <v>0</v>
      </c>
      <c r="BE15" s="94">
        <f>K46+K49</f>
        <v>0</v>
      </c>
      <c r="BF15" s="95"/>
      <c r="BG15" s="91" t="s">
        <v>78</v>
      </c>
      <c r="BH15" s="81">
        <f t="shared" si="13"/>
        <v>3069308666</v>
      </c>
      <c r="BI15" s="81">
        <f t="shared" si="13"/>
        <v>1789130518</v>
      </c>
      <c r="BJ15" s="81">
        <f t="shared" si="13"/>
        <v>1789130518</v>
      </c>
      <c r="BK15" s="82">
        <f t="shared" si="13"/>
        <v>1789130518</v>
      </c>
      <c r="BM15" s="71" t="s">
        <v>66</v>
      </c>
      <c r="BN15" s="83">
        <f>SUM(BN16:BN21)</f>
        <v>7574161274</v>
      </c>
      <c r="BO15" s="81">
        <f>SUM(BO16:BO21)</f>
        <v>3390111777</v>
      </c>
      <c r="BP15" s="81">
        <f>SUM(BP16:BP21)</f>
        <v>405110253</v>
      </c>
      <c r="BQ15" s="82">
        <f>SUM(BQ16:BQ21)</f>
        <v>178729818</v>
      </c>
    </row>
    <row r="16" spans="1:69" s="9" customFormat="1" ht="24.95" customHeight="1" thickBot="1">
      <c r="A16" s="732"/>
      <c r="B16" s="639"/>
      <c r="C16" s="390"/>
      <c r="D16" s="390"/>
      <c r="E16" s="390"/>
      <c r="F16" s="390"/>
      <c r="G16" s="390"/>
      <c r="H16" s="390"/>
      <c r="I16" s="390"/>
      <c r="J16" s="390"/>
      <c r="K16" s="390"/>
      <c r="L16" s="390"/>
      <c r="M16" s="390"/>
      <c r="N16" s="391"/>
      <c r="O16" s="382"/>
      <c r="P16" s="392"/>
      <c r="Q16" s="393"/>
      <c r="S16" s="704">
        <v>1010100</v>
      </c>
      <c r="T16" s="680" t="s">
        <v>68</v>
      </c>
      <c r="U16" s="132">
        <f t="shared" ref="U16:AJ16" si="15">SUM(U17:U20)+U33</f>
        <v>762990941</v>
      </c>
      <c r="V16" s="122">
        <f t="shared" si="15"/>
        <v>0</v>
      </c>
      <c r="W16" s="122">
        <f t="shared" si="15"/>
        <v>0</v>
      </c>
      <c r="X16" s="130">
        <f t="shared" si="15"/>
        <v>762990941</v>
      </c>
      <c r="Y16" s="128">
        <f t="shared" si="15"/>
        <v>0</v>
      </c>
      <c r="Z16" s="122">
        <f t="shared" si="15"/>
        <v>33605449</v>
      </c>
      <c r="AA16" s="130">
        <f t="shared" si="15"/>
        <v>33605449</v>
      </c>
      <c r="AB16" s="128">
        <f t="shared" si="15"/>
        <v>0</v>
      </c>
      <c r="AC16" s="122">
        <f t="shared" si="15"/>
        <v>33605449</v>
      </c>
      <c r="AD16" s="129">
        <f t="shared" si="15"/>
        <v>33605449</v>
      </c>
      <c r="AE16" s="128">
        <f t="shared" si="15"/>
        <v>0</v>
      </c>
      <c r="AF16" s="122">
        <f t="shared" si="15"/>
        <v>33605449</v>
      </c>
      <c r="AG16" s="130">
        <f t="shared" si="15"/>
        <v>33605449</v>
      </c>
      <c r="AH16" s="128">
        <f t="shared" si="15"/>
        <v>729385492</v>
      </c>
      <c r="AI16" s="122">
        <f t="shared" si="15"/>
        <v>729385492</v>
      </c>
      <c r="AJ16" s="130">
        <f t="shared" si="15"/>
        <v>729385492</v>
      </c>
      <c r="AK16" s="10"/>
      <c r="AL16" s="128">
        <f>SUM(AL17:AL20)+AL33</f>
        <v>0</v>
      </c>
      <c r="AM16" s="130">
        <f>SUM(AM17:AM20)+AM33</f>
        <v>0</v>
      </c>
      <c r="AO16" s="21"/>
      <c r="AP16" s="394" t="s">
        <v>81</v>
      </c>
      <c r="AQ16" s="395">
        <f>F10</f>
        <v>0</v>
      </c>
      <c r="AR16" s="395">
        <f>I10</f>
        <v>0</v>
      </c>
      <c r="AS16" s="395">
        <f>L10</f>
        <v>0</v>
      </c>
      <c r="AT16" s="382"/>
      <c r="AU16" s="396" t="str">
        <f t="shared" si="0"/>
        <v xml:space="preserve"> </v>
      </c>
      <c r="AV16" s="396" t="str">
        <f t="shared" si="1"/>
        <v xml:space="preserve"> </v>
      </c>
      <c r="AW16" s="395">
        <f t="shared" ref="AW16:AW17" si="16">+AR16</f>
        <v>0</v>
      </c>
      <c r="AX16" s="395">
        <f t="shared" ref="AX16:AX17" si="17">+AS16</f>
        <v>0</v>
      </c>
      <c r="AY16" s="12">
        <f t="shared" si="2"/>
        <v>0</v>
      </c>
      <c r="AZ16" s="397">
        <f t="shared" si="3"/>
        <v>0</v>
      </c>
      <c r="BA16" s="382"/>
      <c r="BB16" s="383" t="s">
        <v>433</v>
      </c>
      <c r="BC16" s="92">
        <f>F43</f>
        <v>0</v>
      </c>
      <c r="BD16" s="93">
        <f>I43</f>
        <v>0</v>
      </c>
      <c r="BE16" s="94">
        <f>K43</f>
        <v>0</v>
      </c>
      <c r="BF16" s="76"/>
      <c r="BG16" s="91" t="s">
        <v>82</v>
      </c>
      <c r="BH16" s="96">
        <f>BH7+BH12+BH13+BH14+BH15</f>
        <v>51059015046</v>
      </c>
      <c r="BI16" s="96">
        <f>BI7+BI12+BI13+BI14+BI15</f>
        <v>17536540795</v>
      </c>
      <c r="BJ16" s="96">
        <f>BJ7+BJ12+BJ13+BJ14+BJ15</f>
        <v>4109707062</v>
      </c>
      <c r="BK16" s="97">
        <f>BK7+BK12+BK13+BK14+BK15</f>
        <v>2326251824</v>
      </c>
      <c r="BM16" s="199" t="s">
        <v>83</v>
      </c>
      <c r="BN16" s="83">
        <f>X114-X121+X147-X148-X153</f>
        <v>1354271450</v>
      </c>
      <c r="BO16" s="81">
        <f>AA114-AA121+AA147-AA148-AA153</f>
        <v>49392161</v>
      </c>
      <c r="BP16" s="81">
        <f>AD114-AD121+AD147-AD148-AD153</f>
        <v>29019576</v>
      </c>
      <c r="BQ16" s="82">
        <f>AF114-AF121+AF147-AF148-AF153</f>
        <v>2150050</v>
      </c>
    </row>
    <row r="17" spans="1:70" s="382" customFormat="1" ht="24.95" customHeight="1" thickBot="1">
      <c r="A17" s="731">
        <v>11</v>
      </c>
      <c r="B17" s="640" t="s">
        <v>71</v>
      </c>
      <c r="C17" s="334">
        <f>C19+C94+C104</f>
        <v>41169250887</v>
      </c>
      <c r="D17" s="331">
        <f t="shared" ref="D17:N17" si="18">D19+D94+D104</f>
        <v>0</v>
      </c>
      <c r="E17" s="331">
        <f t="shared" si="18"/>
        <v>836836965</v>
      </c>
      <c r="F17" s="331">
        <f t="shared" si="18"/>
        <v>42006087852</v>
      </c>
      <c r="G17" s="331">
        <f t="shared" si="18"/>
        <v>0</v>
      </c>
      <c r="H17" s="331">
        <f t="shared" si="18"/>
        <v>6269819158</v>
      </c>
      <c r="I17" s="331">
        <f t="shared" si="18"/>
        <v>6269819158</v>
      </c>
      <c r="J17" s="331">
        <f t="shared" si="18"/>
        <v>0</v>
      </c>
      <c r="K17" s="331">
        <f t="shared" si="18"/>
        <v>1934795961</v>
      </c>
      <c r="L17" s="331">
        <f t="shared" si="18"/>
        <v>1934795961</v>
      </c>
      <c r="M17" s="331">
        <f t="shared" si="18"/>
        <v>35736268694</v>
      </c>
      <c r="N17" s="332">
        <f t="shared" si="18"/>
        <v>40071291891</v>
      </c>
      <c r="P17" s="174">
        <f>P19+P94+P104</f>
        <v>0</v>
      </c>
      <c r="Q17" s="175">
        <f>Q19+Q94+Q104</f>
        <v>836836965</v>
      </c>
      <c r="R17" s="9"/>
      <c r="S17" s="705">
        <v>1010101</v>
      </c>
      <c r="T17" s="681" t="s">
        <v>69</v>
      </c>
      <c r="U17" s="398">
        <v>619731764</v>
      </c>
      <c r="V17" s="15">
        <f t="shared" ref="V17:W19" si="19">AL17</f>
        <v>0</v>
      </c>
      <c r="W17" s="15">
        <f t="shared" si="19"/>
        <v>0</v>
      </c>
      <c r="X17" s="16">
        <f>SUM(U17:W17)</f>
        <v>619731764</v>
      </c>
      <c r="Y17" s="19">
        <v>0</v>
      </c>
      <c r="Z17" s="374">
        <v>32945852</v>
      </c>
      <c r="AA17" s="16">
        <f>SUM(Y17:Z17)</f>
        <v>32945852</v>
      </c>
      <c r="AB17" s="19">
        <v>0</v>
      </c>
      <c r="AC17" s="374">
        <v>32945852</v>
      </c>
      <c r="AD17" s="18">
        <f>SUM(AB17:AC17)</f>
        <v>32945852</v>
      </c>
      <c r="AE17" s="19">
        <v>0</v>
      </c>
      <c r="AF17" s="374">
        <v>32945852</v>
      </c>
      <c r="AG17" s="16">
        <f>SUM(AE17:AF17)</f>
        <v>32945852</v>
      </c>
      <c r="AH17" s="19">
        <f>X17-AA17</f>
        <v>586785912</v>
      </c>
      <c r="AI17" s="15">
        <f>X17-AD17</f>
        <v>586785912</v>
      </c>
      <c r="AJ17" s="16">
        <f>X17-AG17</f>
        <v>586785912</v>
      </c>
      <c r="AK17" s="9"/>
      <c r="AL17" s="372">
        <v>0</v>
      </c>
      <c r="AM17" s="375">
        <v>0</v>
      </c>
      <c r="AN17" s="9"/>
      <c r="AO17" s="349"/>
      <c r="AP17" s="399" t="s">
        <v>85</v>
      </c>
      <c r="AQ17" s="400">
        <f>SUM(AQ7:AQ16)</f>
        <v>50391575046</v>
      </c>
      <c r="AR17" s="401">
        <f>SUM(AR7:AR16)</f>
        <v>6122326513</v>
      </c>
      <c r="AS17" s="402">
        <f>SUM(AS7:AS16)</f>
        <v>1849451058</v>
      </c>
      <c r="AT17" s="403"/>
      <c r="AU17" s="401">
        <f t="shared" si="0"/>
        <v>0.12149504172892449</v>
      </c>
      <c r="AV17" s="401">
        <f t="shared" si="1"/>
        <v>3.6701592603758201E-2</v>
      </c>
      <c r="AW17" s="404">
        <f t="shared" si="16"/>
        <v>6122326513</v>
      </c>
      <c r="AX17" s="404">
        <f t="shared" si="17"/>
        <v>1849451058</v>
      </c>
      <c r="AY17" s="404">
        <f>SUM(AY7:AY16)</f>
        <v>5251227321</v>
      </c>
      <c r="AZ17" s="405">
        <f>SUM(AZ7:AZ16)</f>
        <v>-46769051043</v>
      </c>
      <c r="BA17" s="9"/>
      <c r="BB17" s="365" t="s">
        <v>434</v>
      </c>
      <c r="BC17" s="73">
        <f>F41+F52+F55+F58+F61+F67+F70+F73+F76+F79+F82+F86+F87+F88+F89+F90+F91</f>
        <v>2513399205</v>
      </c>
      <c r="BD17" s="74">
        <f>I41+I52+I55+I58+I61+I67+I70+I73+I76+I79+I82+I86+I87+I88+I89+I90+I91</f>
        <v>687750195</v>
      </c>
      <c r="BE17" s="75">
        <f>K41+K52+K55+K58+K61+K67+K70+K73+K76+K79+K82+K86+K87+K88+K89+K90+K91</f>
        <v>68084919</v>
      </c>
      <c r="BF17" s="76"/>
      <c r="BG17" s="98" t="s">
        <v>86</v>
      </c>
      <c r="BH17" s="99">
        <f>BC22-BH16</f>
        <v>0</v>
      </c>
      <c r="BI17" s="99"/>
      <c r="BJ17" s="99"/>
      <c r="BK17" s="100"/>
      <c r="BM17" s="199" t="s">
        <v>449</v>
      </c>
      <c r="BN17" s="83">
        <f>X123-X126-X139+X155-X156-X167-X168</f>
        <v>3754328612</v>
      </c>
      <c r="BO17" s="81">
        <f>AA123-AA126-AA139+AA155-AA156-AA167-AA168</f>
        <v>2780084821</v>
      </c>
      <c r="BP17" s="81">
        <f>AD123-AD126-AD139+AD155-AD156-AD167-AD168</f>
        <v>205403045</v>
      </c>
      <c r="BQ17" s="82">
        <f>AF123-AF126-AF139+AF155-AF156-AF167-AF168</f>
        <v>45014739</v>
      </c>
      <c r="BR17" s="9"/>
    </row>
    <row r="18" spans="1:70" s="9" customFormat="1" ht="24.95" customHeight="1" thickBot="1">
      <c r="A18" s="611"/>
      <c r="B18" s="641"/>
      <c r="C18" s="294"/>
      <c r="D18" s="294"/>
      <c r="E18" s="294"/>
      <c r="F18" s="294"/>
      <c r="G18" s="294"/>
      <c r="H18" s="294"/>
      <c r="I18" s="294"/>
      <c r="J18" s="294"/>
      <c r="K18" s="294"/>
      <c r="L18" s="294"/>
      <c r="M18" s="294"/>
      <c r="N18" s="463"/>
      <c r="P18" s="407"/>
      <c r="Q18" s="406"/>
      <c r="S18" s="705">
        <v>1010102</v>
      </c>
      <c r="T18" s="681" t="s">
        <v>72</v>
      </c>
      <c r="U18" s="398">
        <v>0</v>
      </c>
      <c r="V18" s="15">
        <f t="shared" si="19"/>
        <v>0</v>
      </c>
      <c r="W18" s="15">
        <f t="shared" si="19"/>
        <v>0</v>
      </c>
      <c r="X18" s="16">
        <f>SUM(U18:W18)</f>
        <v>0</v>
      </c>
      <c r="Y18" s="19">
        <v>0</v>
      </c>
      <c r="Z18" s="374">
        <v>0</v>
      </c>
      <c r="AA18" s="16">
        <f>SUM(Y18:Z18)</f>
        <v>0</v>
      </c>
      <c r="AB18" s="19">
        <v>0</v>
      </c>
      <c r="AC18" s="374">
        <v>0</v>
      </c>
      <c r="AD18" s="18">
        <f>SUM(AB18:AC18)</f>
        <v>0</v>
      </c>
      <c r="AE18" s="19">
        <v>0</v>
      </c>
      <c r="AF18" s="374">
        <v>0</v>
      </c>
      <c r="AG18" s="16">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99" t="s">
        <v>87</v>
      </c>
      <c r="BN18" s="83">
        <f>X148+X156</f>
        <v>1561061212</v>
      </c>
      <c r="BO18" s="81">
        <f>AA148+AA156</f>
        <v>435202774</v>
      </c>
      <c r="BP18" s="81">
        <f>AD148+AD156</f>
        <v>45255611</v>
      </c>
      <c r="BQ18" s="82">
        <f>AF148+AF156</f>
        <v>6585347</v>
      </c>
      <c r="BR18" s="382"/>
    </row>
    <row r="19" spans="1:70" s="9" customFormat="1" ht="24.95" customHeight="1" thickBot="1">
      <c r="A19" s="733">
        <v>113</v>
      </c>
      <c r="B19" s="642" t="s">
        <v>79</v>
      </c>
      <c r="C19" s="334">
        <f t="shared" ref="C19:N19" si="20">C21+C85</f>
        <v>40501810887</v>
      </c>
      <c r="D19" s="331">
        <f t="shared" si="20"/>
        <v>0</v>
      </c>
      <c r="E19" s="331">
        <f t="shared" si="20"/>
        <v>836836965</v>
      </c>
      <c r="F19" s="332">
        <f t="shared" si="20"/>
        <v>41338647852</v>
      </c>
      <c r="G19" s="334">
        <f t="shared" si="20"/>
        <v>0</v>
      </c>
      <c r="H19" s="331">
        <f t="shared" si="20"/>
        <v>6122326513</v>
      </c>
      <c r="I19" s="332">
        <f t="shared" si="20"/>
        <v>6122326513</v>
      </c>
      <c r="J19" s="334">
        <f t="shared" si="20"/>
        <v>0</v>
      </c>
      <c r="K19" s="331">
        <f t="shared" si="20"/>
        <v>1849451058</v>
      </c>
      <c r="L19" s="332">
        <f t="shared" si="20"/>
        <v>1849451058</v>
      </c>
      <c r="M19" s="334">
        <f t="shared" si="20"/>
        <v>35216321339</v>
      </c>
      <c r="N19" s="332">
        <f t="shared" si="20"/>
        <v>39489196794</v>
      </c>
      <c r="O19" s="382"/>
      <c r="P19" s="43">
        <f>P21+P85</f>
        <v>0</v>
      </c>
      <c r="Q19" s="45">
        <f>Q21+Q85</f>
        <v>836836965</v>
      </c>
      <c r="S19" s="705">
        <v>1010103</v>
      </c>
      <c r="T19" s="681" t="s">
        <v>75</v>
      </c>
      <c r="U19" s="398">
        <v>0</v>
      </c>
      <c r="V19" s="15">
        <f t="shared" si="19"/>
        <v>0</v>
      </c>
      <c r="W19" s="15">
        <f t="shared" si="19"/>
        <v>0</v>
      </c>
      <c r="X19" s="16">
        <f>SUM(U19:W19)</f>
        <v>0</v>
      </c>
      <c r="Y19" s="19">
        <v>0</v>
      </c>
      <c r="Z19" s="374">
        <v>0</v>
      </c>
      <c r="AA19" s="16">
        <f>SUM(Y19:Z19)</f>
        <v>0</v>
      </c>
      <c r="AB19" s="19">
        <v>0</v>
      </c>
      <c r="AC19" s="374">
        <v>0</v>
      </c>
      <c r="AD19" s="18">
        <f>SUM(AB19:AC19)</f>
        <v>0</v>
      </c>
      <c r="AE19" s="19">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667440000</v>
      </c>
      <c r="BD19" s="93">
        <f>+I105+I106+I107+I108+I109+I110+I98</f>
        <v>147492645</v>
      </c>
      <c r="BE19" s="94">
        <f>+K105+K106+K107+K108+K109+K110+K98</f>
        <v>85344903</v>
      </c>
      <c r="BF19" s="57"/>
      <c r="BG19" s="382"/>
      <c r="BH19" s="382"/>
      <c r="BI19" s="382"/>
      <c r="BJ19" s="382"/>
      <c r="BK19" s="382"/>
      <c r="BM19" s="199" t="s">
        <v>94</v>
      </c>
      <c r="BN19" s="83">
        <f>X126+X167</f>
        <v>904500000</v>
      </c>
      <c r="BO19" s="81">
        <f>AA126+AA167</f>
        <v>125432021</v>
      </c>
      <c r="BP19" s="81">
        <f>AD126+AD167</f>
        <v>125432021</v>
      </c>
      <c r="BQ19" s="82">
        <f>AF126+AF167</f>
        <v>124979682</v>
      </c>
    </row>
    <row r="20" spans="1:70" s="422" customFormat="1" ht="24.95" customHeight="1" thickBot="1">
      <c r="A20" s="611"/>
      <c r="B20" s="643"/>
      <c r="C20" s="294"/>
      <c r="D20" s="294"/>
      <c r="E20" s="294"/>
      <c r="F20" s="294"/>
      <c r="G20" s="294"/>
      <c r="H20" s="294"/>
      <c r="I20" s="294"/>
      <c r="J20" s="294"/>
      <c r="K20" s="294"/>
      <c r="L20" s="294"/>
      <c r="M20" s="294"/>
      <c r="N20" s="463"/>
      <c r="O20" s="9"/>
      <c r="P20" s="407"/>
      <c r="Q20" s="406"/>
      <c r="R20" s="9"/>
      <c r="S20" s="705">
        <v>1010104</v>
      </c>
      <c r="T20" s="681" t="s">
        <v>80</v>
      </c>
      <c r="U20" s="17">
        <f t="shared" ref="U20:AJ20" si="21">SUM(U21:U32)</f>
        <v>143259177</v>
      </c>
      <c r="V20" s="15">
        <f t="shared" si="21"/>
        <v>0</v>
      </c>
      <c r="W20" s="15">
        <f t="shared" si="21"/>
        <v>0</v>
      </c>
      <c r="X20" s="16">
        <f t="shared" si="21"/>
        <v>143259177</v>
      </c>
      <c r="Y20" s="19">
        <f t="shared" si="21"/>
        <v>0</v>
      </c>
      <c r="Z20" s="142">
        <f t="shared" si="21"/>
        <v>659597</v>
      </c>
      <c r="AA20" s="16">
        <f t="shared" si="21"/>
        <v>659597</v>
      </c>
      <c r="AB20" s="19">
        <f t="shared" si="21"/>
        <v>0</v>
      </c>
      <c r="AC20" s="142">
        <f t="shared" si="21"/>
        <v>659597</v>
      </c>
      <c r="AD20" s="18">
        <f t="shared" si="21"/>
        <v>659597</v>
      </c>
      <c r="AE20" s="19">
        <f t="shared" si="21"/>
        <v>0</v>
      </c>
      <c r="AF20" s="142">
        <f t="shared" si="21"/>
        <v>659597</v>
      </c>
      <c r="AG20" s="16">
        <f t="shared" si="21"/>
        <v>659597</v>
      </c>
      <c r="AH20" s="19">
        <f t="shared" si="21"/>
        <v>142599580</v>
      </c>
      <c r="AI20" s="15">
        <f t="shared" si="21"/>
        <v>142599580</v>
      </c>
      <c r="AJ20" s="16">
        <f t="shared" si="21"/>
        <v>142599580</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0</v>
      </c>
      <c r="BD20" s="66">
        <f>+I115+I117+I119+I120+I121+I123+I124</f>
        <v>0</v>
      </c>
      <c r="BE20" s="67">
        <f>+K115+K117+K119+K120+K121+K123+K124</f>
        <v>0</v>
      </c>
      <c r="BF20" s="57"/>
      <c r="BG20" s="382"/>
      <c r="BH20" s="382"/>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4">
        <v>11301</v>
      </c>
      <c r="B21" s="644" t="s">
        <v>88</v>
      </c>
      <c r="C21" s="174">
        <f t="shared" ref="C21:N21" si="22">C22+C25+C28+C41+C42+C45+C48+C51+C54+C57+C60+C63+C66+C69+C72+C75+C78+C81</f>
        <v>40501810887</v>
      </c>
      <c r="D21" s="354">
        <f t="shared" si="22"/>
        <v>0</v>
      </c>
      <c r="E21" s="354">
        <f t="shared" si="22"/>
        <v>836836965</v>
      </c>
      <c r="F21" s="354">
        <f t="shared" si="22"/>
        <v>41338647852</v>
      </c>
      <c r="G21" s="354">
        <f t="shared" si="22"/>
        <v>0</v>
      </c>
      <c r="H21" s="354">
        <f t="shared" si="22"/>
        <v>6122326513</v>
      </c>
      <c r="I21" s="354">
        <f t="shared" si="22"/>
        <v>6122326513</v>
      </c>
      <c r="J21" s="354">
        <f t="shared" si="22"/>
        <v>0</v>
      </c>
      <c r="K21" s="354">
        <f t="shared" si="22"/>
        <v>1849451058</v>
      </c>
      <c r="L21" s="354">
        <f t="shared" si="22"/>
        <v>1849451058</v>
      </c>
      <c r="M21" s="354">
        <f t="shared" si="22"/>
        <v>35216321339</v>
      </c>
      <c r="N21" s="175">
        <f t="shared" si="22"/>
        <v>39489196794</v>
      </c>
      <c r="O21" s="382"/>
      <c r="P21" s="43">
        <f>P22+P25+P28+P41+P42+P45+P48+P51+P54+P57+P60+P63+P66+P69+P72+P75+P78+P81</f>
        <v>0</v>
      </c>
      <c r="Q21" s="45">
        <f>Q22+Q25+Q28+Q41+Q42+Q45+Q48+Q51+Q54+Q57+Q60+Q63+Q66+Q69+Q72+Q75+Q78+Q81</f>
        <v>836836965</v>
      </c>
      <c r="R21" s="9"/>
      <c r="S21" s="706" t="s">
        <v>84</v>
      </c>
      <c r="T21" s="682" t="s">
        <v>400</v>
      </c>
      <c r="U21" s="398">
        <v>52257791</v>
      </c>
      <c r="V21" s="15">
        <f t="shared" ref="V21:V33" si="23">AL21</f>
        <v>0</v>
      </c>
      <c r="W21" s="15">
        <f t="shared" ref="W21:W33" si="24">AM21</f>
        <v>0</v>
      </c>
      <c r="X21" s="16">
        <f t="shared" ref="X21:X33" si="25">SUM(U21:W21)</f>
        <v>52257791</v>
      </c>
      <c r="Y21" s="19">
        <v>0</v>
      </c>
      <c r="Z21" s="374">
        <v>0</v>
      </c>
      <c r="AA21" s="16">
        <f t="shared" ref="AA21:AA33" si="26">SUM(Y21:Z21)</f>
        <v>0</v>
      </c>
      <c r="AB21" s="19">
        <v>0</v>
      </c>
      <c r="AC21" s="374">
        <v>0</v>
      </c>
      <c r="AD21" s="18">
        <f t="shared" ref="AD21:AD33" si="27">SUM(AB21:AC21)</f>
        <v>0</v>
      </c>
      <c r="AE21" s="19">
        <v>0</v>
      </c>
      <c r="AF21" s="374">
        <v>0</v>
      </c>
      <c r="AG21" s="16">
        <f t="shared" ref="AG21:AG33" si="28">SUM(AE21:AF21)</f>
        <v>0</v>
      </c>
      <c r="AH21" s="19">
        <f t="shared" ref="AH21:AH33" si="29">X21-AA21</f>
        <v>52257791</v>
      </c>
      <c r="AI21" s="15">
        <f t="shared" ref="AI21:AI33" si="30">X21-AD21</f>
        <v>52257791</v>
      </c>
      <c r="AJ21" s="16">
        <f t="shared" ref="AJ21:AJ33" si="31">X21-AG21</f>
        <v>52257791</v>
      </c>
      <c r="AK21" s="9"/>
      <c r="AL21" s="372">
        <v>0</v>
      </c>
      <c r="AM21" s="375">
        <v>0</v>
      </c>
      <c r="AN21" s="9"/>
      <c r="AO21" s="349"/>
      <c r="AP21" s="423"/>
      <c r="AQ21" s="424"/>
      <c r="AR21" s="425" t="str">
        <f>AR6</f>
        <v>ENERO</v>
      </c>
      <c r="AS21" s="426" t="str">
        <f>AR6</f>
        <v>ENERO</v>
      </c>
      <c r="AT21" s="425" t="str">
        <f>AR6</f>
        <v>ENERO</v>
      </c>
      <c r="AU21" s="425" t="s">
        <v>44</v>
      </c>
      <c r="AV21" s="425" t="s">
        <v>22</v>
      </c>
      <c r="AW21" s="427"/>
      <c r="AX21" s="427"/>
      <c r="AY21" s="425" t="s">
        <v>44</v>
      </c>
      <c r="AZ21" s="428" t="s">
        <v>22</v>
      </c>
      <c r="BA21" s="9"/>
      <c r="BB21" s="101" t="s">
        <v>437</v>
      </c>
      <c r="BC21" s="65">
        <f>SUMIF($B8:B122,$B24,F8:F122)+F122</f>
        <v>9889764159</v>
      </c>
      <c r="BD21" s="66">
        <f>SUMIF($B8:B122,$B24,I8:I122)+I122</f>
        <v>1781366139</v>
      </c>
      <c r="BE21" s="67">
        <f>SUMIF($B8:B122,$B24,K8:K122)+K122</f>
        <v>1781366139</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3">
        <v>1130101</v>
      </c>
      <c r="B22" s="645" t="s">
        <v>90</v>
      </c>
      <c r="C22" s="43">
        <f t="shared" ref="C22:N22" si="32">SUM(C23:C24)</f>
        <v>18905646713</v>
      </c>
      <c r="D22" s="44">
        <f t="shared" si="32"/>
        <v>0</v>
      </c>
      <c r="E22" s="44">
        <f t="shared" si="32"/>
        <v>694827167</v>
      </c>
      <c r="F22" s="44">
        <f t="shared" si="32"/>
        <v>19600473880</v>
      </c>
      <c r="G22" s="44">
        <f t="shared" si="32"/>
        <v>0</v>
      </c>
      <c r="H22" s="44">
        <f t="shared" si="32"/>
        <v>2741355462</v>
      </c>
      <c r="I22" s="44">
        <f t="shared" si="32"/>
        <v>2741355462</v>
      </c>
      <c r="J22" s="44">
        <f t="shared" si="32"/>
        <v>0</v>
      </c>
      <c r="K22" s="44">
        <f t="shared" si="32"/>
        <v>1212337020</v>
      </c>
      <c r="L22" s="44">
        <f t="shared" si="32"/>
        <v>1212337020</v>
      </c>
      <c r="M22" s="44">
        <f t="shared" si="32"/>
        <v>16859118418</v>
      </c>
      <c r="N22" s="45">
        <f t="shared" si="32"/>
        <v>18388136860</v>
      </c>
      <c r="P22" s="43">
        <f>SUM(P23:P24)</f>
        <v>0</v>
      </c>
      <c r="Q22" s="45">
        <f>SUM(Q23:Q24)</f>
        <v>694827167</v>
      </c>
      <c r="S22" s="706" t="s">
        <v>89</v>
      </c>
      <c r="T22" s="682" t="s">
        <v>401</v>
      </c>
      <c r="U22" s="398">
        <v>24380551</v>
      </c>
      <c r="V22" s="15">
        <f t="shared" si="23"/>
        <v>0</v>
      </c>
      <c r="W22" s="15">
        <f t="shared" si="24"/>
        <v>0</v>
      </c>
      <c r="X22" s="16">
        <f t="shared" si="25"/>
        <v>24380551</v>
      </c>
      <c r="Y22" s="19">
        <v>0</v>
      </c>
      <c r="Z22" s="374">
        <v>0</v>
      </c>
      <c r="AA22" s="16">
        <f t="shared" si="26"/>
        <v>0</v>
      </c>
      <c r="AB22" s="19">
        <v>0</v>
      </c>
      <c r="AC22" s="374">
        <v>0</v>
      </c>
      <c r="AD22" s="18">
        <f t="shared" si="27"/>
        <v>0</v>
      </c>
      <c r="AE22" s="19">
        <v>0</v>
      </c>
      <c r="AF22" s="374">
        <v>0</v>
      </c>
      <c r="AG22" s="16">
        <f t="shared" si="28"/>
        <v>0</v>
      </c>
      <c r="AH22" s="19">
        <f t="shared" si="29"/>
        <v>24380551</v>
      </c>
      <c r="AI22" s="15">
        <f t="shared" si="30"/>
        <v>24380551</v>
      </c>
      <c r="AJ22" s="16">
        <f t="shared" si="31"/>
        <v>24380551</v>
      </c>
      <c r="AL22" s="372">
        <v>0</v>
      </c>
      <c r="AM22" s="375">
        <v>0</v>
      </c>
      <c r="AO22" s="783"/>
      <c r="AP22" s="785" t="s">
        <v>104</v>
      </c>
      <c r="AQ22" s="433">
        <f>X17+X66</f>
        <v>1512951119</v>
      </c>
      <c r="AR22" s="433">
        <f>AD17+AD66</f>
        <v>96255247</v>
      </c>
      <c r="AS22" s="433">
        <f>AG17+AG66</f>
        <v>96255247</v>
      </c>
      <c r="AT22" s="786"/>
      <c r="AU22" s="432">
        <f t="shared" ref="AU22:AU32" si="33">IF(AQ22=0," ",AR22/AQ22)</f>
        <v>6.3620857138874956E-2</v>
      </c>
      <c r="AV22" s="432">
        <f t="shared" ref="AV22:AV32" si="34">IF(AQ22=0," ",AS22/AQ22)</f>
        <v>6.3620857138874956E-2</v>
      </c>
      <c r="AW22" s="433">
        <f>AR22/$AO$2*12</f>
        <v>1155062964</v>
      </c>
      <c r="AX22" s="433">
        <f>AS22/$AO$2*12</f>
        <v>1155062964</v>
      </c>
      <c r="AY22" s="433">
        <f t="shared" ref="AY22:AY28" si="35">AQ22-AW22</f>
        <v>357888155</v>
      </c>
      <c r="AZ22" s="434">
        <f t="shared" ref="AZ22:AZ31" si="36">AQ22-AX22</f>
        <v>357888155</v>
      </c>
      <c r="BA22" s="382"/>
      <c r="BB22" s="102" t="s">
        <v>109</v>
      </c>
      <c r="BC22" s="103">
        <f>BC7+BC8+BC20+BC21</f>
        <v>51059015046</v>
      </c>
      <c r="BD22" s="104">
        <f>BD7+BD8+BD20+BD21</f>
        <v>6269819158</v>
      </c>
      <c r="BE22" s="105">
        <f>BE7+BE8+BE20+BE21</f>
        <v>1934795961</v>
      </c>
      <c r="BF22" s="57"/>
      <c r="BG22" s="382"/>
      <c r="BH22" s="382"/>
      <c r="BI22" s="382"/>
      <c r="BJ22" s="382"/>
      <c r="BK22" s="382"/>
      <c r="BM22" s="71" t="s">
        <v>67</v>
      </c>
      <c r="BN22" s="83">
        <f>BN23+BN24</f>
        <v>139736565</v>
      </c>
      <c r="BO22" s="81">
        <f>BO23+BO24</f>
        <v>13194388</v>
      </c>
      <c r="BP22" s="81">
        <f>BP23+BP24</f>
        <v>13194388</v>
      </c>
      <c r="BQ22" s="82">
        <f>BQ23+BQ24</f>
        <v>13194388</v>
      </c>
      <c r="BR22" s="382"/>
    </row>
    <row r="23" spans="1:70" s="422" customFormat="1" ht="24.95" customHeight="1">
      <c r="A23" s="611" t="s">
        <v>95</v>
      </c>
      <c r="B23" s="646" t="str">
        <f>+CONCATENATE("Vigencia ",INSTRUCCIONES!$F$3)</f>
        <v>Vigencia 2017</v>
      </c>
      <c r="C23" s="372">
        <v>18905646713</v>
      </c>
      <c r="D23" s="373">
        <f>P23</f>
        <v>0</v>
      </c>
      <c r="E23" s="373">
        <f>Q23</f>
        <v>0</v>
      </c>
      <c r="F23" s="373">
        <f>SUM(C23:E23)</f>
        <v>18905646713</v>
      </c>
      <c r="G23" s="373">
        <v>0</v>
      </c>
      <c r="H23" s="374">
        <v>1529018442</v>
      </c>
      <c r="I23" s="373">
        <f>SUM(G23:H23)</f>
        <v>1529018442</v>
      </c>
      <c r="J23" s="373">
        <v>0</v>
      </c>
      <c r="K23" s="374">
        <v>0</v>
      </c>
      <c r="L23" s="373">
        <f>SUM(J23:K23)</f>
        <v>0</v>
      </c>
      <c r="M23" s="373">
        <f>F23-I23</f>
        <v>17376628271</v>
      </c>
      <c r="N23" s="143">
        <f>F23-L23</f>
        <v>18905646713</v>
      </c>
      <c r="O23" s="9"/>
      <c r="P23" s="372">
        <v>0</v>
      </c>
      <c r="Q23" s="375">
        <v>0</v>
      </c>
      <c r="R23" s="9"/>
      <c r="S23" s="706" t="s">
        <v>91</v>
      </c>
      <c r="T23" s="682" t="s">
        <v>402</v>
      </c>
      <c r="U23" s="398">
        <v>25221642</v>
      </c>
      <c r="V23" s="15">
        <f t="shared" si="23"/>
        <v>0</v>
      </c>
      <c r="W23" s="15">
        <f t="shared" si="24"/>
        <v>0</v>
      </c>
      <c r="X23" s="16">
        <f t="shared" si="25"/>
        <v>25221642</v>
      </c>
      <c r="Y23" s="19">
        <v>0</v>
      </c>
      <c r="Z23" s="374">
        <v>0</v>
      </c>
      <c r="AA23" s="16">
        <f t="shared" si="26"/>
        <v>0</v>
      </c>
      <c r="AB23" s="19">
        <v>0</v>
      </c>
      <c r="AC23" s="374">
        <v>0</v>
      </c>
      <c r="AD23" s="18">
        <f t="shared" si="27"/>
        <v>0</v>
      </c>
      <c r="AE23" s="19">
        <v>0</v>
      </c>
      <c r="AF23" s="374">
        <v>0</v>
      </c>
      <c r="AG23" s="16">
        <f t="shared" si="28"/>
        <v>0</v>
      </c>
      <c r="AH23" s="19">
        <f t="shared" si="29"/>
        <v>25221642</v>
      </c>
      <c r="AI23" s="15">
        <f t="shared" si="30"/>
        <v>25221642</v>
      </c>
      <c r="AJ23" s="16">
        <f t="shared" si="31"/>
        <v>25221642</v>
      </c>
      <c r="AK23" s="9"/>
      <c r="AL23" s="372">
        <v>0</v>
      </c>
      <c r="AM23" s="375">
        <v>0</v>
      </c>
      <c r="AN23" s="9"/>
      <c r="AO23" s="784"/>
      <c r="AP23" s="787" t="s">
        <v>108</v>
      </c>
      <c r="AQ23" s="436">
        <f>X16+X65-AQ22</f>
        <v>460793516</v>
      </c>
      <c r="AR23" s="436">
        <f>AD16+AD65-AR22</f>
        <v>19877440</v>
      </c>
      <c r="AS23" s="436">
        <f>AG16+AG65-AS22</f>
        <v>19877440</v>
      </c>
      <c r="AT23" s="327"/>
      <c r="AU23" s="342">
        <f t="shared" si="33"/>
        <v>4.3137412549876242E-2</v>
      </c>
      <c r="AV23" s="342">
        <f t="shared" si="34"/>
        <v>4.3137412549876242E-2</v>
      </c>
      <c r="AW23" s="436">
        <f>(AR23-AD21-AD22-AD23-AD25-AD30-AD33-AD70-AD71-AD72-AD74-AD78-AD81)/$AO$2*12+AX22/12*2.5+AD30+AD33+AD78+AD81</f>
        <v>428430773.5</v>
      </c>
      <c r="AX23" s="436">
        <f>(AS23-AG21-AG22-AG23-AG25-AG30-AG33-AG70-AG71-AG72-AG74-AG78-AG81)/$AO$2*12+AX22/12*2.5+AG30+AG33+AG78+AG81</f>
        <v>428430773.5</v>
      </c>
      <c r="AY23" s="436">
        <f t="shared" si="35"/>
        <v>32362742.5</v>
      </c>
      <c r="AZ23" s="46">
        <f t="shared" si="36"/>
        <v>32362742.5</v>
      </c>
      <c r="BA23" s="382"/>
      <c r="BF23" s="382"/>
      <c r="BG23" s="382"/>
      <c r="BH23" s="382"/>
      <c r="BI23" s="382"/>
      <c r="BJ23" s="382"/>
      <c r="BK23" s="382"/>
      <c r="BL23" s="382"/>
      <c r="BM23" s="137" t="s">
        <v>105</v>
      </c>
      <c r="BN23" s="83">
        <f>X177</f>
        <v>18619412</v>
      </c>
      <c r="BO23" s="81">
        <f>AA177</f>
        <v>1326821</v>
      </c>
      <c r="BP23" s="81">
        <f>AD177</f>
        <v>1326821</v>
      </c>
      <c r="BQ23" s="82">
        <f>AF177</f>
        <v>1326821</v>
      </c>
      <c r="BR23" s="9"/>
    </row>
    <row r="24" spans="1:70" s="422" customFormat="1" ht="24.95" customHeight="1">
      <c r="A24" s="611" t="s">
        <v>100</v>
      </c>
      <c r="B24" s="646" t="s">
        <v>566</v>
      </c>
      <c r="C24" s="372">
        <v>0</v>
      </c>
      <c r="D24" s="373">
        <f>P24</f>
        <v>0</v>
      </c>
      <c r="E24" s="373">
        <f>Q24</f>
        <v>694827167</v>
      </c>
      <c r="F24" s="373">
        <f>SUM(C24:E24)</f>
        <v>694827167</v>
      </c>
      <c r="G24" s="373">
        <v>0</v>
      </c>
      <c r="H24" s="374">
        <v>1212337020</v>
      </c>
      <c r="I24" s="373">
        <f>SUM(G24:H24)</f>
        <v>1212337020</v>
      </c>
      <c r="J24" s="373">
        <v>0</v>
      </c>
      <c r="K24" s="374">
        <v>1212337020</v>
      </c>
      <c r="L24" s="373">
        <f>SUM(J24:K24)</f>
        <v>1212337020</v>
      </c>
      <c r="M24" s="373">
        <f>F24-I24</f>
        <v>-517509853</v>
      </c>
      <c r="N24" s="143">
        <f>F24-L24</f>
        <v>-517509853</v>
      </c>
      <c r="O24" s="382"/>
      <c r="P24" s="372">
        <v>0</v>
      </c>
      <c r="Q24" s="375">
        <v>694827167</v>
      </c>
      <c r="R24" s="9"/>
      <c r="S24" s="706" t="s">
        <v>96</v>
      </c>
      <c r="T24" s="682" t="s">
        <v>403</v>
      </c>
      <c r="U24" s="398">
        <v>0</v>
      </c>
      <c r="V24" s="15">
        <f t="shared" si="23"/>
        <v>0</v>
      </c>
      <c r="W24" s="15">
        <f t="shared" si="24"/>
        <v>0</v>
      </c>
      <c r="X24" s="16">
        <f t="shared" si="25"/>
        <v>0</v>
      </c>
      <c r="Y24" s="19">
        <v>0</v>
      </c>
      <c r="Z24" s="374">
        <v>0</v>
      </c>
      <c r="AA24" s="16">
        <f t="shared" si="26"/>
        <v>0</v>
      </c>
      <c r="AB24" s="19">
        <v>0</v>
      </c>
      <c r="AC24" s="374">
        <v>0</v>
      </c>
      <c r="AD24" s="18">
        <f t="shared" si="27"/>
        <v>0</v>
      </c>
      <c r="AE24" s="19">
        <v>0</v>
      </c>
      <c r="AF24" s="374">
        <v>0</v>
      </c>
      <c r="AG24" s="16">
        <f t="shared" si="28"/>
        <v>0</v>
      </c>
      <c r="AH24" s="19">
        <f t="shared" si="29"/>
        <v>0</v>
      </c>
      <c r="AI24" s="15">
        <f t="shared" si="30"/>
        <v>0</v>
      </c>
      <c r="AJ24" s="16">
        <f t="shared" si="31"/>
        <v>0</v>
      </c>
      <c r="AK24" s="9"/>
      <c r="AL24" s="372">
        <v>0</v>
      </c>
      <c r="AM24" s="375">
        <v>0</v>
      </c>
      <c r="AN24" s="9"/>
      <c r="AO24" s="784"/>
      <c r="AP24" s="788" t="s">
        <v>113</v>
      </c>
      <c r="AQ24" s="431">
        <f>X35+X83</f>
        <v>25367371884</v>
      </c>
      <c r="AR24" s="431">
        <f>AD35+AD83</f>
        <v>2173838323</v>
      </c>
      <c r="AS24" s="431">
        <f>AG35+AG83</f>
        <v>1328075227</v>
      </c>
      <c r="AT24" s="431"/>
      <c r="AU24" s="373">
        <f t="shared" si="33"/>
        <v>8.5694266356819884E-2</v>
      </c>
      <c r="AV24" s="373">
        <f t="shared" si="34"/>
        <v>5.2353678302704224E-2</v>
      </c>
      <c r="AW24" s="373">
        <f>(AR24-AD41-AD88)/$AO$2*12+AD41+AD88</f>
        <v>12333123965</v>
      </c>
      <c r="AX24" s="373">
        <f>(AS24-AG41-AG88)/$AO$2*12+AG41+AG88</f>
        <v>2183966813</v>
      </c>
      <c r="AY24" s="373">
        <f t="shared" si="35"/>
        <v>13034247919</v>
      </c>
      <c r="AZ24" s="143">
        <f t="shared" si="36"/>
        <v>23183405071</v>
      </c>
      <c r="BA24" s="9"/>
      <c r="BB24" s="437"/>
      <c r="BC24" s="382"/>
      <c r="BD24" s="382"/>
      <c r="BE24" s="382"/>
      <c r="BF24" s="382"/>
      <c r="BG24" s="382"/>
      <c r="BH24" s="382"/>
      <c r="BI24" s="382"/>
      <c r="BJ24" s="382"/>
      <c r="BK24" s="382"/>
      <c r="BL24" s="382"/>
      <c r="BM24" s="137" t="s">
        <v>110</v>
      </c>
      <c r="BN24" s="83">
        <f>X170-X177-X174-X183-X191</f>
        <v>121117153</v>
      </c>
      <c r="BO24" s="81">
        <f>AA170-AA177-AA174-AA183-AA191</f>
        <v>11867567</v>
      </c>
      <c r="BP24" s="81">
        <f>AD170-AD177-AD174-AD183-AD191</f>
        <v>11867567</v>
      </c>
      <c r="BQ24" s="82">
        <f>AF170-AF177-AF174-AF183-AF191</f>
        <v>11867567</v>
      </c>
      <c r="BR24" s="382"/>
    </row>
    <row r="25" spans="1:70" s="382" customFormat="1" ht="24.95" customHeight="1">
      <c r="A25" s="733">
        <v>1130102</v>
      </c>
      <c r="B25" s="645" t="s">
        <v>102</v>
      </c>
      <c r="C25" s="43">
        <f t="shared" ref="C25:N25" si="37">SUM(C26:C27)</f>
        <v>13439321219</v>
      </c>
      <c r="D25" s="44">
        <f t="shared" si="37"/>
        <v>0</v>
      </c>
      <c r="E25" s="44">
        <f t="shared" si="37"/>
        <v>1035510</v>
      </c>
      <c r="F25" s="44">
        <f t="shared" si="37"/>
        <v>13440356729</v>
      </c>
      <c r="G25" s="44">
        <f t="shared" si="37"/>
        <v>0</v>
      </c>
      <c r="H25" s="44">
        <f t="shared" si="37"/>
        <v>2111551795</v>
      </c>
      <c r="I25" s="44">
        <f t="shared" si="37"/>
        <v>2111551795</v>
      </c>
      <c r="J25" s="44">
        <f t="shared" si="37"/>
        <v>0</v>
      </c>
      <c r="K25" s="44">
        <f t="shared" si="37"/>
        <v>257711993</v>
      </c>
      <c r="L25" s="44">
        <f t="shared" si="37"/>
        <v>257711993</v>
      </c>
      <c r="M25" s="44">
        <f t="shared" si="37"/>
        <v>11328804934</v>
      </c>
      <c r="N25" s="45">
        <f t="shared" si="37"/>
        <v>13182644736</v>
      </c>
      <c r="P25" s="43">
        <f>SUM(P26:P27)</f>
        <v>0</v>
      </c>
      <c r="Q25" s="45">
        <f>SUM(Q26:Q27)</f>
        <v>1035510</v>
      </c>
      <c r="R25" s="9"/>
      <c r="S25" s="706" t="s">
        <v>101</v>
      </c>
      <c r="T25" s="682" t="s">
        <v>404</v>
      </c>
      <c r="U25" s="398">
        <v>26128895</v>
      </c>
      <c r="V25" s="15">
        <f t="shared" si="23"/>
        <v>0</v>
      </c>
      <c r="W25" s="15">
        <f t="shared" si="24"/>
        <v>0</v>
      </c>
      <c r="X25" s="16">
        <f t="shared" si="25"/>
        <v>26128895</v>
      </c>
      <c r="Y25" s="19">
        <v>0</v>
      </c>
      <c r="Z25" s="374">
        <v>0</v>
      </c>
      <c r="AA25" s="16">
        <f t="shared" si="26"/>
        <v>0</v>
      </c>
      <c r="AB25" s="19">
        <v>0</v>
      </c>
      <c r="AC25" s="374">
        <v>0</v>
      </c>
      <c r="AD25" s="18">
        <f t="shared" si="27"/>
        <v>0</v>
      </c>
      <c r="AE25" s="19">
        <v>0</v>
      </c>
      <c r="AF25" s="374">
        <v>0</v>
      </c>
      <c r="AG25" s="16">
        <f t="shared" si="28"/>
        <v>0</v>
      </c>
      <c r="AH25" s="19">
        <f t="shared" si="29"/>
        <v>26128895</v>
      </c>
      <c r="AI25" s="15">
        <f t="shared" si="30"/>
        <v>26128895</v>
      </c>
      <c r="AJ25" s="16">
        <f t="shared" si="31"/>
        <v>26128895</v>
      </c>
      <c r="AK25" s="9"/>
      <c r="AL25" s="372">
        <v>0</v>
      </c>
      <c r="AM25" s="375">
        <v>0</v>
      </c>
      <c r="AN25" s="9"/>
      <c r="AO25" s="783"/>
      <c r="AP25" s="219" t="s">
        <v>116</v>
      </c>
      <c r="AQ25" s="373">
        <f>X43+X57+X90+X104</f>
        <v>516757377</v>
      </c>
      <c r="AR25" s="373">
        <f>AD43+AD57+AD90+AD104</f>
        <v>34150810</v>
      </c>
      <c r="AS25" s="373">
        <f>AG43+AG57+AG90+AG104</f>
        <v>34150810</v>
      </c>
      <c r="AT25" s="431"/>
      <c r="AU25" s="373">
        <f t="shared" si="33"/>
        <v>6.6086739193275221E-2</v>
      </c>
      <c r="AV25" s="373">
        <f t="shared" si="34"/>
        <v>6.6086739193275221E-2</v>
      </c>
      <c r="AW25" s="373">
        <f>(AR25-AD55-AD61-AD102-AD108)/$AO$2*12+AD55+AD61+AD102+AD108</f>
        <v>409809720</v>
      </c>
      <c r="AX25" s="373">
        <f>(AS25-AG55-AG61-AG102-AG108)/$AO$2*12+AG55+AG61+AG102+AG108</f>
        <v>409809720</v>
      </c>
      <c r="AY25" s="373">
        <f t="shared" si="35"/>
        <v>106947657</v>
      </c>
      <c r="AZ25" s="143">
        <f t="shared" si="36"/>
        <v>106947657</v>
      </c>
      <c r="BB25" s="437"/>
      <c r="BM25" s="140" t="s">
        <v>445</v>
      </c>
      <c r="BN25" s="106">
        <f>+SUM(BN26:BN28)</f>
        <v>14750406346</v>
      </c>
      <c r="BO25" s="107">
        <f>+SUM(BO26:BO28)</f>
        <v>1959870337</v>
      </c>
      <c r="BP25" s="107">
        <f>+SUM(BP26:BP28)</f>
        <v>828416984</v>
      </c>
      <c r="BQ25" s="108">
        <f>+SUM(BQ26:BQ28)</f>
        <v>117105277</v>
      </c>
    </row>
    <row r="26" spans="1:70" s="9" customFormat="1" ht="24.95" customHeight="1">
      <c r="A26" s="611" t="s">
        <v>106</v>
      </c>
      <c r="B26" s="646" t="str">
        <f>+CONCATENATE("Vigencia ",INSTRUCCIONES!$F$3)</f>
        <v>Vigencia 2017</v>
      </c>
      <c r="C26" s="372">
        <v>13439321219</v>
      </c>
      <c r="D26" s="373">
        <f>P26</f>
        <v>0</v>
      </c>
      <c r="E26" s="373">
        <f>Q26</f>
        <v>0</v>
      </c>
      <c r="F26" s="373">
        <f>SUM(C26:E26)</f>
        <v>13439321219</v>
      </c>
      <c r="G26" s="373">
        <v>0</v>
      </c>
      <c r="H26" s="374">
        <v>1853839802</v>
      </c>
      <c r="I26" s="373">
        <f>SUM(G26:H26)</f>
        <v>1853839802</v>
      </c>
      <c r="J26" s="373">
        <v>0</v>
      </c>
      <c r="K26" s="374">
        <v>0</v>
      </c>
      <c r="L26" s="373">
        <f>SUM(J26:K26)</f>
        <v>0</v>
      </c>
      <c r="M26" s="373">
        <f>F26-I26</f>
        <v>11585481417</v>
      </c>
      <c r="N26" s="143">
        <f>F26-L26</f>
        <v>13439321219</v>
      </c>
      <c r="P26" s="372">
        <v>0</v>
      </c>
      <c r="Q26" s="375">
        <v>0</v>
      </c>
      <c r="S26" s="706" t="s">
        <v>103</v>
      </c>
      <c r="T26" s="682" t="s">
        <v>587</v>
      </c>
      <c r="U26" s="398">
        <v>12868455</v>
      </c>
      <c r="V26" s="15">
        <f t="shared" si="23"/>
        <v>0</v>
      </c>
      <c r="W26" s="15">
        <f t="shared" si="24"/>
        <v>0</v>
      </c>
      <c r="X26" s="16">
        <f t="shared" si="25"/>
        <v>12868455</v>
      </c>
      <c r="Y26" s="19">
        <v>0</v>
      </c>
      <c r="Z26" s="374">
        <v>605963</v>
      </c>
      <c r="AA26" s="16">
        <f t="shared" si="26"/>
        <v>605963</v>
      </c>
      <c r="AB26" s="19">
        <v>0</v>
      </c>
      <c r="AC26" s="374">
        <v>605963</v>
      </c>
      <c r="AD26" s="18">
        <f t="shared" si="27"/>
        <v>605963</v>
      </c>
      <c r="AE26" s="19">
        <v>0</v>
      </c>
      <c r="AF26" s="374">
        <v>605963</v>
      </c>
      <c r="AG26" s="16">
        <f t="shared" si="28"/>
        <v>605963</v>
      </c>
      <c r="AH26" s="19">
        <f t="shared" si="29"/>
        <v>12262492</v>
      </c>
      <c r="AI26" s="15">
        <f t="shared" si="30"/>
        <v>12262492</v>
      </c>
      <c r="AJ26" s="16">
        <f t="shared" si="31"/>
        <v>12262492</v>
      </c>
      <c r="AL26" s="372">
        <v>0</v>
      </c>
      <c r="AM26" s="375">
        <v>0</v>
      </c>
      <c r="AO26" s="783"/>
      <c r="AP26" s="789" t="s">
        <v>120</v>
      </c>
      <c r="AQ26" s="327">
        <f>X110</f>
        <v>7944161274</v>
      </c>
      <c r="AR26" s="327">
        <f>AD110</f>
        <v>554512473</v>
      </c>
      <c r="AS26" s="327">
        <f>AG110</f>
        <v>328132038</v>
      </c>
      <c r="AT26" s="371">
        <f>AO2/12</f>
        <v>8.3333333333333329E-2</v>
      </c>
      <c r="AU26" s="342">
        <f t="shared" si="33"/>
        <v>6.9801260809600224E-2</v>
      </c>
      <c r="AV26" s="342">
        <f t="shared" si="34"/>
        <v>4.1304805716108124E-2</v>
      </c>
      <c r="AW26" s="436">
        <f>(AR26-AD121-AD139-AD143-AD153-AD168)/$AO$2*12+AD121+AD139+AD143+AD153+AD168</f>
        <v>5010725256</v>
      </c>
      <c r="AX26" s="436">
        <f>(AS26-AG121-AG139-AG143-AG153-AG168)/$AO$2*12+AG121+AG139+AG143+AG153+AG168</f>
        <v>2294160036</v>
      </c>
      <c r="AY26" s="436">
        <f t="shared" si="35"/>
        <v>2933436018</v>
      </c>
      <c r="AZ26" s="46">
        <f t="shared" si="36"/>
        <v>5650001238</v>
      </c>
      <c r="BA26" s="382"/>
      <c r="BB26" s="382"/>
      <c r="BC26" s="382"/>
      <c r="BD26" s="382"/>
      <c r="BE26" s="382"/>
      <c r="BF26" s="382"/>
      <c r="BG26" s="382"/>
      <c r="BH26" s="382"/>
      <c r="BI26" s="382"/>
      <c r="BJ26" s="382"/>
      <c r="BK26" s="382"/>
      <c r="BM26" s="109" t="s">
        <v>446</v>
      </c>
      <c r="BN26" s="86">
        <f>+X198+X212</f>
        <v>6473158346</v>
      </c>
      <c r="BO26" s="84">
        <f>+AA198+AA212</f>
        <v>716781203</v>
      </c>
      <c r="BP26" s="84">
        <f>+AD198+AD212</f>
        <v>229010253</v>
      </c>
      <c r="BQ26" s="85">
        <f>+AF198+AF212</f>
        <v>51294076</v>
      </c>
      <c r="BR26" s="382"/>
    </row>
    <row r="27" spans="1:70" s="422" customFormat="1" ht="24.95" customHeight="1">
      <c r="A27" s="611" t="s">
        <v>111</v>
      </c>
      <c r="B27" s="646" t="s">
        <v>566</v>
      </c>
      <c r="C27" s="372">
        <v>0</v>
      </c>
      <c r="D27" s="373">
        <f>P27</f>
        <v>0</v>
      </c>
      <c r="E27" s="373">
        <f>Q27</f>
        <v>1035510</v>
      </c>
      <c r="F27" s="373">
        <f>SUM(C27:E27)</f>
        <v>1035510</v>
      </c>
      <c r="G27" s="373">
        <v>0</v>
      </c>
      <c r="H27" s="374">
        <v>257711993</v>
      </c>
      <c r="I27" s="373">
        <f>SUM(G27:H27)</f>
        <v>257711993</v>
      </c>
      <c r="J27" s="373">
        <v>0</v>
      </c>
      <c r="K27" s="374">
        <v>257711993</v>
      </c>
      <c r="L27" s="373">
        <f>SUM(J27:K27)</f>
        <v>257711993</v>
      </c>
      <c r="M27" s="373">
        <f>F27-I27</f>
        <v>-256676483</v>
      </c>
      <c r="N27" s="143">
        <f>F27-L27</f>
        <v>-256676483</v>
      </c>
      <c r="O27" s="382"/>
      <c r="P27" s="372">
        <v>0</v>
      </c>
      <c r="Q27" s="375">
        <v>1035510</v>
      </c>
      <c r="R27" s="9"/>
      <c r="S27" s="706" t="s">
        <v>107</v>
      </c>
      <c r="T27" s="682" t="s">
        <v>405</v>
      </c>
      <c r="U27" s="398">
        <v>0</v>
      </c>
      <c r="V27" s="15">
        <f t="shared" si="23"/>
        <v>0</v>
      </c>
      <c r="W27" s="15">
        <f t="shared" si="24"/>
        <v>0</v>
      </c>
      <c r="X27" s="16">
        <f t="shared" si="25"/>
        <v>0</v>
      </c>
      <c r="Y27" s="19">
        <v>0</v>
      </c>
      <c r="Z27" s="374">
        <v>0</v>
      </c>
      <c r="AA27" s="16">
        <f t="shared" si="26"/>
        <v>0</v>
      </c>
      <c r="AB27" s="19">
        <v>0</v>
      </c>
      <c r="AC27" s="374">
        <v>0</v>
      </c>
      <c r="AD27" s="18">
        <f t="shared" si="27"/>
        <v>0</v>
      </c>
      <c r="AE27" s="19">
        <v>0</v>
      </c>
      <c r="AF27" s="374">
        <v>0</v>
      </c>
      <c r="AG27" s="16">
        <f t="shared" si="28"/>
        <v>0</v>
      </c>
      <c r="AH27" s="19">
        <f t="shared" si="29"/>
        <v>0</v>
      </c>
      <c r="AI27" s="15">
        <f t="shared" si="30"/>
        <v>0</v>
      </c>
      <c r="AJ27" s="16">
        <f t="shared" si="31"/>
        <v>0</v>
      </c>
      <c r="AK27" s="9"/>
      <c r="AL27" s="372">
        <v>0</v>
      </c>
      <c r="AM27" s="375">
        <v>0</v>
      </c>
      <c r="AN27" s="9"/>
      <c r="AO27" s="782"/>
      <c r="AP27" s="219" t="s">
        <v>124</v>
      </c>
      <c r="AQ27" s="373">
        <f>X170</f>
        <v>139736565</v>
      </c>
      <c r="AR27" s="373">
        <f>AD170</f>
        <v>13194388</v>
      </c>
      <c r="AS27" s="373">
        <f>AG170</f>
        <v>13194388</v>
      </c>
      <c r="AT27" s="431"/>
      <c r="AU27" s="373">
        <f t="shared" si="33"/>
        <v>9.442330287709591E-2</v>
      </c>
      <c r="AV27" s="373">
        <f t="shared" si="34"/>
        <v>9.442330287709591E-2</v>
      </c>
      <c r="AW27" s="373">
        <f>(AR27-AD174-AD183-AD191)/$AO$2*12+AD174+AD183+AD191</f>
        <v>158332656</v>
      </c>
      <c r="AX27" s="373">
        <f>(AS27-AG174-AG183-AG191)/$AO$2*12+AG174+AG183+AG191</f>
        <v>158332656</v>
      </c>
      <c r="AY27" s="373">
        <f t="shared" si="35"/>
        <v>-18596091</v>
      </c>
      <c r="AZ27" s="143">
        <f t="shared" si="36"/>
        <v>-18596091</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3">
        <v>1130103</v>
      </c>
      <c r="B28" s="622" t="s">
        <v>114</v>
      </c>
      <c r="C28" s="43">
        <f>C29+C32+C35+C38+C39+C40</f>
        <v>157521482</v>
      </c>
      <c r="D28" s="44">
        <f>+D29+D32+D35+D38+D39+D40</f>
        <v>0</v>
      </c>
      <c r="E28" s="44">
        <f>+E29+E32+E35+E38+E39+E40</f>
        <v>0</v>
      </c>
      <c r="F28" s="44">
        <f>+F29+F32+F35+F38+F39+F40</f>
        <v>157521482</v>
      </c>
      <c r="G28" s="44">
        <f t="shared" ref="G28:N28" si="38">G29+G32+G35+G38+G39+G40</f>
        <v>0</v>
      </c>
      <c r="H28" s="44">
        <f t="shared" si="38"/>
        <v>0</v>
      </c>
      <c r="I28" s="44">
        <f t="shared" si="38"/>
        <v>0</v>
      </c>
      <c r="J28" s="44">
        <f t="shared" si="38"/>
        <v>0</v>
      </c>
      <c r="K28" s="44">
        <f t="shared" si="38"/>
        <v>0</v>
      </c>
      <c r="L28" s="44">
        <f t="shared" si="38"/>
        <v>0</v>
      </c>
      <c r="M28" s="44">
        <f t="shared" si="38"/>
        <v>157521482</v>
      </c>
      <c r="N28" s="45">
        <f t="shared" si="38"/>
        <v>157521482</v>
      </c>
      <c r="O28" s="382"/>
      <c r="P28" s="43">
        <f>P29+P32+P35+P38+P39+P940</f>
        <v>0</v>
      </c>
      <c r="Q28" s="45">
        <f>Q29+Q32+Q35+Q38+Q39+Q40</f>
        <v>0</v>
      </c>
      <c r="R28" s="9"/>
      <c r="S28" s="706" t="s">
        <v>112</v>
      </c>
      <c r="T28" s="682" t="s">
        <v>406</v>
      </c>
      <c r="U28" s="398">
        <v>532000</v>
      </c>
      <c r="V28" s="15">
        <f t="shared" si="23"/>
        <v>0</v>
      </c>
      <c r="W28" s="15">
        <f t="shared" si="24"/>
        <v>0</v>
      </c>
      <c r="X28" s="16">
        <f t="shared" si="25"/>
        <v>532000</v>
      </c>
      <c r="Y28" s="19">
        <v>0</v>
      </c>
      <c r="Z28" s="374">
        <v>53634</v>
      </c>
      <c r="AA28" s="16">
        <f t="shared" si="26"/>
        <v>53634</v>
      </c>
      <c r="AB28" s="19">
        <v>0</v>
      </c>
      <c r="AC28" s="374">
        <v>53634</v>
      </c>
      <c r="AD28" s="18">
        <f t="shared" si="27"/>
        <v>53634</v>
      </c>
      <c r="AE28" s="19">
        <v>0</v>
      </c>
      <c r="AF28" s="374">
        <v>53634</v>
      </c>
      <c r="AG28" s="16">
        <f t="shared" si="28"/>
        <v>53634</v>
      </c>
      <c r="AH28" s="19">
        <f t="shared" si="29"/>
        <v>478366</v>
      </c>
      <c r="AI28" s="15">
        <f t="shared" si="30"/>
        <v>478366</v>
      </c>
      <c r="AJ28" s="16">
        <f t="shared" si="31"/>
        <v>478366</v>
      </c>
      <c r="AK28" s="9"/>
      <c r="AL28" s="372">
        <v>0</v>
      </c>
      <c r="AM28" s="375">
        <v>0</v>
      </c>
      <c r="AN28" s="9"/>
      <c r="AO28" s="782"/>
      <c r="AP28" s="787" t="s">
        <v>586</v>
      </c>
      <c r="AQ28" s="373">
        <f>X195</f>
        <v>15117243311</v>
      </c>
      <c r="AR28" s="373">
        <f>AD195</f>
        <v>1217878381</v>
      </c>
      <c r="AS28" s="373">
        <f>AG195</f>
        <v>506566674</v>
      </c>
      <c r="AT28" s="431"/>
      <c r="AU28" s="373">
        <f t="shared" si="33"/>
        <v>8.0562200127705541E-2</v>
      </c>
      <c r="AV28" s="373">
        <f t="shared" si="34"/>
        <v>3.3509196324927763E-2</v>
      </c>
      <c r="AW28" s="373">
        <f>(AR28-AD207)/$AO$2*12+AD207</f>
        <v>10330465205</v>
      </c>
      <c r="AX28" s="373">
        <f>(AS28-AG207)/$AO$2*12+AG207</f>
        <v>1794724721</v>
      </c>
      <c r="AY28" s="373">
        <f t="shared" si="35"/>
        <v>4786778106</v>
      </c>
      <c r="AZ28" s="143">
        <f t="shared" si="36"/>
        <v>13322518590</v>
      </c>
      <c r="BA28" s="382"/>
      <c r="BB28" s="382"/>
      <c r="BC28" s="382"/>
      <c r="BD28" s="382"/>
      <c r="BE28" s="382"/>
      <c r="BF28" s="382"/>
      <c r="BG28" s="382"/>
      <c r="BH28" s="382"/>
      <c r="BI28" s="382"/>
      <c r="BJ28" s="382"/>
      <c r="BK28" s="382"/>
      <c r="BL28" s="382"/>
      <c r="BM28" s="71" t="s">
        <v>448</v>
      </c>
      <c r="BN28" s="83">
        <f>+X196-X198-X207</f>
        <v>8277248000</v>
      </c>
      <c r="BO28" s="81">
        <f>+AA196-AA198-AA207</f>
        <v>1243089134</v>
      </c>
      <c r="BP28" s="81">
        <f>+AD196-AD198-AD207</f>
        <v>599406731</v>
      </c>
      <c r="BQ28" s="82">
        <f>+AF196-AF198-AF207</f>
        <v>65811201</v>
      </c>
      <c r="BR28" s="9"/>
    </row>
    <row r="29" spans="1:70" s="9" customFormat="1" ht="24.95" customHeight="1">
      <c r="A29" s="611" t="s">
        <v>117</v>
      </c>
      <c r="B29" s="647"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82"/>
      <c r="P29" s="144">
        <f>SUM(P30:P31)</f>
        <v>0</v>
      </c>
      <c r="Q29" s="145">
        <f>SUM(Q30:Q31)</f>
        <v>0</v>
      </c>
      <c r="S29" s="706" t="s">
        <v>115</v>
      </c>
      <c r="T29" s="682" t="s">
        <v>407</v>
      </c>
      <c r="U29" s="398">
        <v>0</v>
      </c>
      <c r="V29" s="15">
        <f t="shared" si="23"/>
        <v>0</v>
      </c>
      <c r="W29" s="15">
        <f t="shared" si="24"/>
        <v>0</v>
      </c>
      <c r="X29" s="16">
        <f t="shared" si="25"/>
        <v>0</v>
      </c>
      <c r="Y29" s="19">
        <v>0</v>
      </c>
      <c r="Z29" s="374">
        <v>0</v>
      </c>
      <c r="AA29" s="16">
        <f t="shared" si="26"/>
        <v>0</v>
      </c>
      <c r="AB29" s="19">
        <v>0</v>
      </c>
      <c r="AC29" s="374">
        <v>0</v>
      </c>
      <c r="AD29" s="18">
        <f t="shared" si="27"/>
        <v>0</v>
      </c>
      <c r="AE29" s="19">
        <v>0</v>
      </c>
      <c r="AF29" s="374">
        <v>0</v>
      </c>
      <c r="AG29" s="16">
        <f t="shared" si="28"/>
        <v>0</v>
      </c>
      <c r="AH29" s="19">
        <f t="shared" si="29"/>
        <v>0</v>
      </c>
      <c r="AI29" s="15">
        <f t="shared" si="30"/>
        <v>0</v>
      </c>
      <c r="AJ29" s="16">
        <f t="shared" si="31"/>
        <v>0</v>
      </c>
      <c r="AL29" s="372">
        <v>0</v>
      </c>
      <c r="AM29" s="375">
        <v>0</v>
      </c>
      <c r="AO29" s="783"/>
      <c r="AP29" s="787" t="s">
        <v>585</v>
      </c>
      <c r="AQ29" s="373">
        <f>X209</f>
        <v>0</v>
      </c>
      <c r="AR29" s="373">
        <f>AD209</f>
        <v>0</v>
      </c>
      <c r="AS29" s="373">
        <f>AG209</f>
        <v>0</v>
      </c>
      <c r="AT29" s="327"/>
      <c r="AU29" s="342" t="str">
        <f t="shared" si="33"/>
        <v xml:space="preserve"> </v>
      </c>
      <c r="AV29" s="342" t="str">
        <f t="shared" si="34"/>
        <v xml:space="preserve"> </v>
      </c>
      <c r="AW29" s="436">
        <f>(AR29-AD218)/$AO$2*12+AD218</f>
        <v>0</v>
      </c>
      <c r="AX29" s="436">
        <f>(AS29-AG218)/$AO$2*12+AG218</f>
        <v>0</v>
      </c>
      <c r="AY29" s="436">
        <v>0</v>
      </c>
      <c r="AZ29" s="46">
        <f t="shared" si="36"/>
        <v>0</v>
      </c>
      <c r="BA29" s="382"/>
      <c r="BB29" s="382"/>
      <c r="BC29" s="382"/>
      <c r="BD29" s="382"/>
      <c r="BE29" s="382"/>
      <c r="BF29" s="422"/>
      <c r="BG29" s="382"/>
      <c r="BH29" s="382"/>
      <c r="BI29" s="382"/>
      <c r="BJ29" s="382"/>
      <c r="BK29" s="382"/>
      <c r="BM29" s="110" t="s">
        <v>70</v>
      </c>
      <c r="BN29" s="106">
        <f>X232-X256-X241</f>
        <v>0</v>
      </c>
      <c r="BO29" s="107">
        <f>AA232-AA256-AA241</f>
        <v>0</v>
      </c>
      <c r="BP29" s="107">
        <f>AD232-AD256-AD241</f>
        <v>0</v>
      </c>
      <c r="BQ29" s="108">
        <f>AF232-AF256-AF241</f>
        <v>0</v>
      </c>
      <c r="BR29" s="382"/>
    </row>
    <row r="30" spans="1:70" s="422" customFormat="1" ht="24.95" customHeight="1">
      <c r="A30" s="611" t="s">
        <v>121</v>
      </c>
      <c r="B30" s="646" t="str">
        <f>+CONCATENATE("Vigencia ",INSTRUCCIONES!$F$3)</f>
        <v>Vigencia 2017</v>
      </c>
      <c r="C30" s="372">
        <v>0</v>
      </c>
      <c r="D30" s="373">
        <f>P30</f>
        <v>0</v>
      </c>
      <c r="E30" s="373">
        <f>Q30</f>
        <v>0</v>
      </c>
      <c r="F30" s="373">
        <f>SUM(C30:E30)</f>
        <v>0</v>
      </c>
      <c r="G30" s="373">
        <v>0</v>
      </c>
      <c r="H30" s="374">
        <v>0</v>
      </c>
      <c r="I30" s="373">
        <f>SUM(G30:H30)</f>
        <v>0</v>
      </c>
      <c r="J30" s="373">
        <v>0</v>
      </c>
      <c r="K30" s="374">
        <v>0</v>
      </c>
      <c r="L30" s="373">
        <f>SUM(J30:K30)</f>
        <v>0</v>
      </c>
      <c r="M30" s="373">
        <f>F30-I30</f>
        <v>0</v>
      </c>
      <c r="N30" s="143">
        <f>F30-L30</f>
        <v>0</v>
      </c>
      <c r="O30" s="9"/>
      <c r="P30" s="372">
        <v>0</v>
      </c>
      <c r="Q30" s="375">
        <v>0</v>
      </c>
      <c r="R30" s="9"/>
      <c r="S30" s="706" t="s">
        <v>119</v>
      </c>
      <c r="T30" s="682" t="s">
        <v>408</v>
      </c>
      <c r="U30" s="398">
        <v>0</v>
      </c>
      <c r="V30" s="15">
        <f t="shared" si="23"/>
        <v>0</v>
      </c>
      <c r="W30" s="15">
        <f t="shared" si="24"/>
        <v>0</v>
      </c>
      <c r="X30" s="16">
        <f t="shared" si="25"/>
        <v>0</v>
      </c>
      <c r="Y30" s="19">
        <v>0</v>
      </c>
      <c r="Z30" s="374">
        <v>0</v>
      </c>
      <c r="AA30" s="16">
        <f t="shared" si="26"/>
        <v>0</v>
      </c>
      <c r="AB30" s="19">
        <v>0</v>
      </c>
      <c r="AC30" s="374">
        <v>0</v>
      </c>
      <c r="AD30" s="18">
        <f t="shared" si="27"/>
        <v>0</v>
      </c>
      <c r="AE30" s="19">
        <v>0</v>
      </c>
      <c r="AF30" s="374">
        <v>0</v>
      </c>
      <c r="AG30" s="16">
        <f t="shared" si="28"/>
        <v>0</v>
      </c>
      <c r="AH30" s="19">
        <f t="shared" si="29"/>
        <v>0</v>
      </c>
      <c r="AI30" s="15">
        <f t="shared" si="30"/>
        <v>0</v>
      </c>
      <c r="AJ30" s="16">
        <f t="shared" si="31"/>
        <v>0</v>
      </c>
      <c r="AK30" s="9"/>
      <c r="AL30" s="372">
        <v>0</v>
      </c>
      <c r="AM30" s="375">
        <v>0</v>
      </c>
      <c r="AN30" s="9"/>
      <c r="AO30" s="784" t="s">
        <v>51</v>
      </c>
      <c r="AP30" s="219" t="s">
        <v>132</v>
      </c>
      <c r="AQ30" s="373">
        <f>X220+X232</f>
        <v>0</v>
      </c>
      <c r="AR30" s="373">
        <f>AD220+AD232</f>
        <v>0</v>
      </c>
      <c r="AS30" s="373">
        <f>AG220+AG232</f>
        <v>0</v>
      </c>
      <c r="AT30" s="431"/>
      <c r="AU30" s="373" t="str">
        <f t="shared" si="33"/>
        <v xml:space="preserve"> </v>
      </c>
      <c r="AV30" s="373" t="str">
        <f t="shared" si="34"/>
        <v xml:space="preserve"> </v>
      </c>
      <c r="AW30" s="373">
        <f>(AR30-AD225-AD230-AD241-AD256)/$AO$2*12+AD225+AD230+AD241+AD256</f>
        <v>0</v>
      </c>
      <c r="AX30" s="373">
        <f>(AS30-AG225-AG230-AG241-AG256)/$AO$2*12+AG225+AG230+AG241+AG256</f>
        <v>0</v>
      </c>
      <c r="AY30" s="373">
        <f>AQ30-AW30</f>
        <v>0</v>
      </c>
      <c r="AZ30" s="143">
        <f t="shared" si="36"/>
        <v>0</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
        <v>125</v>
      </c>
      <c r="B31" s="646" t="s">
        <v>566</v>
      </c>
      <c r="C31" s="372">
        <v>0</v>
      </c>
      <c r="D31" s="373">
        <f>P31</f>
        <v>0</v>
      </c>
      <c r="E31" s="373">
        <f>Q31</f>
        <v>0</v>
      </c>
      <c r="F31" s="373">
        <f>SUM(C31:E31)</f>
        <v>0</v>
      </c>
      <c r="G31" s="373">
        <v>0</v>
      </c>
      <c r="H31" s="374">
        <v>0</v>
      </c>
      <c r="I31" s="373">
        <f>SUM(G31:H31)</f>
        <v>0</v>
      </c>
      <c r="J31" s="373">
        <v>0</v>
      </c>
      <c r="K31" s="374">
        <v>0</v>
      </c>
      <c r="L31" s="373">
        <f>SUM(J31:K31)</f>
        <v>0</v>
      </c>
      <c r="M31" s="373">
        <f>F31-I31</f>
        <v>0</v>
      </c>
      <c r="N31" s="143">
        <f>F31-L31</f>
        <v>0</v>
      </c>
      <c r="O31" s="382"/>
      <c r="P31" s="372">
        <v>0</v>
      </c>
      <c r="Q31" s="375">
        <v>0</v>
      </c>
      <c r="R31" s="9"/>
      <c r="S31" s="706" t="s">
        <v>122</v>
      </c>
      <c r="T31" s="682" t="s">
        <v>123</v>
      </c>
      <c r="U31" s="398">
        <v>1869843</v>
      </c>
      <c r="V31" s="15">
        <f t="shared" si="23"/>
        <v>0</v>
      </c>
      <c r="W31" s="15">
        <f t="shared" si="24"/>
        <v>0</v>
      </c>
      <c r="X31" s="16">
        <f t="shared" si="25"/>
        <v>1869843</v>
      </c>
      <c r="Y31" s="19">
        <v>0</v>
      </c>
      <c r="Z31" s="374">
        <v>0</v>
      </c>
      <c r="AA31" s="16">
        <f t="shared" si="26"/>
        <v>0</v>
      </c>
      <c r="AB31" s="19">
        <v>0</v>
      </c>
      <c r="AC31" s="374">
        <v>0</v>
      </c>
      <c r="AD31" s="18">
        <f t="shared" si="27"/>
        <v>0</v>
      </c>
      <c r="AE31" s="19">
        <v>0</v>
      </c>
      <c r="AF31" s="374">
        <v>0</v>
      </c>
      <c r="AG31" s="16">
        <f t="shared" si="28"/>
        <v>0</v>
      </c>
      <c r="AH31" s="19">
        <f t="shared" si="29"/>
        <v>1869843</v>
      </c>
      <c r="AI31" s="15">
        <f t="shared" si="30"/>
        <v>1869843</v>
      </c>
      <c r="AJ31" s="16">
        <f t="shared" si="31"/>
        <v>1869843</v>
      </c>
      <c r="AK31" s="9"/>
      <c r="AL31" s="372">
        <v>0</v>
      </c>
      <c r="AM31" s="375">
        <v>0</v>
      </c>
      <c r="AN31" s="9"/>
      <c r="AO31" s="782"/>
      <c r="AP31" s="788" t="s">
        <v>135</v>
      </c>
      <c r="AQ31" s="431">
        <f>X258</f>
        <v>0</v>
      </c>
      <c r="AR31" s="431">
        <f>AD258</f>
        <v>-2174911101</v>
      </c>
      <c r="AS31" s="431">
        <f>AG258</f>
        <v>-2326251824</v>
      </c>
      <c r="AT31" s="431"/>
      <c r="AU31" s="373" t="str">
        <f t="shared" si="33"/>
        <v xml:space="preserve"> </v>
      </c>
      <c r="AV31" s="373" t="str">
        <f t="shared" si="34"/>
        <v xml:space="preserve"> </v>
      </c>
      <c r="AW31" s="373">
        <f>AQ31</f>
        <v>0</v>
      </c>
      <c r="AX31" s="373">
        <f>AQ31</f>
        <v>0</v>
      </c>
      <c r="AY31" s="373">
        <f>AQ31-AW31</f>
        <v>0</v>
      </c>
      <c r="AZ31" s="143">
        <f t="shared" si="36"/>
        <v>0</v>
      </c>
      <c r="BA31" s="382"/>
      <c r="BF31" s="382"/>
      <c r="BG31" s="382"/>
      <c r="BH31" s="382"/>
      <c r="BI31" s="382"/>
      <c r="BJ31" s="382"/>
      <c r="BK31" s="382"/>
      <c r="BL31" s="382"/>
      <c r="BM31" s="110" t="s">
        <v>130</v>
      </c>
      <c r="BN31" s="106">
        <f>X33+X41+X55+X61+X81+X88+X102+X108+X121+X139+X143+X153+X168+X174+X183+X191+X207+X218+X230+X241+X256+X225</f>
        <v>3069308666</v>
      </c>
      <c r="BO31" s="107">
        <f>AA33+AA41+AA55+AA61+AA81+AA88+AA102+AA108+AA121+AA139+AA143+AA153+AA168+AA174+AA183+AA191+AA207+AA218+AA230+AA241+AA256+AA225</f>
        <v>1789130518</v>
      </c>
      <c r="BP31" s="107">
        <f>AD33+AD41+AD55+AD61+AD81+AD88+AD102+AD108+AD121+AD139+AD143+AD153+AD168+AD174+AD183+AD191+AD207+AD218+AD230+AD241+AD256+AD225</f>
        <v>1789130518</v>
      </c>
      <c r="BQ31" s="108">
        <f>AF33+AF41+AF55+AF61+AF81+AF88+AF102+AF108+AF121+AF139+AF143+AF153+AF168+AF174+AF183+AF191+AF207+AF218+AF230+AF241+AF256+AF225</f>
        <v>1789130518</v>
      </c>
      <c r="BR31" s="9"/>
    </row>
    <row r="32" spans="1:70" s="9" customFormat="1" ht="24.95" customHeight="1" thickBot="1">
      <c r="A32" s="611" t="s">
        <v>127</v>
      </c>
      <c r="B32" s="647" t="s">
        <v>128</v>
      </c>
      <c r="C32" s="19">
        <f t="shared" ref="C32:N32" si="40">SUM(C33:C34)</f>
        <v>157521482</v>
      </c>
      <c r="D32" s="15">
        <f t="shared" si="40"/>
        <v>0</v>
      </c>
      <c r="E32" s="15">
        <f t="shared" si="40"/>
        <v>0</v>
      </c>
      <c r="F32" s="15">
        <f t="shared" si="40"/>
        <v>157521482</v>
      </c>
      <c r="G32" s="15">
        <f t="shared" si="40"/>
        <v>0</v>
      </c>
      <c r="H32" s="15">
        <f t="shared" si="40"/>
        <v>0</v>
      </c>
      <c r="I32" s="15">
        <f t="shared" si="40"/>
        <v>0</v>
      </c>
      <c r="J32" s="15">
        <f t="shared" si="40"/>
        <v>0</v>
      </c>
      <c r="K32" s="15">
        <f t="shared" si="40"/>
        <v>0</v>
      </c>
      <c r="L32" s="15">
        <f t="shared" si="40"/>
        <v>0</v>
      </c>
      <c r="M32" s="15">
        <f t="shared" si="40"/>
        <v>157521482</v>
      </c>
      <c r="N32" s="16">
        <f t="shared" si="40"/>
        <v>157521482</v>
      </c>
      <c r="O32" s="382"/>
      <c r="P32" s="144">
        <f>SUM(P33:P34)</f>
        <v>0</v>
      </c>
      <c r="Q32" s="145">
        <f>SUM(Q33:Q34)</f>
        <v>0</v>
      </c>
      <c r="S32" s="706" t="s">
        <v>126</v>
      </c>
      <c r="T32" s="683"/>
      <c r="U32" s="398">
        <v>0</v>
      </c>
      <c r="V32" s="15">
        <f t="shared" si="23"/>
        <v>0</v>
      </c>
      <c r="W32" s="15">
        <f t="shared" si="24"/>
        <v>0</v>
      </c>
      <c r="X32" s="16">
        <f t="shared" si="25"/>
        <v>0</v>
      </c>
      <c r="Y32" s="19">
        <v>0</v>
      </c>
      <c r="Z32" s="374">
        <v>0</v>
      </c>
      <c r="AA32" s="16">
        <f t="shared" si="26"/>
        <v>0</v>
      </c>
      <c r="AB32" s="19">
        <v>0</v>
      </c>
      <c r="AC32" s="374">
        <v>0</v>
      </c>
      <c r="AD32" s="18">
        <f t="shared" si="27"/>
        <v>0</v>
      </c>
      <c r="AE32" s="19">
        <v>0</v>
      </c>
      <c r="AF32" s="374">
        <v>0</v>
      </c>
      <c r="AG32" s="16">
        <f t="shared" si="28"/>
        <v>0</v>
      </c>
      <c r="AH32" s="19">
        <f t="shared" si="29"/>
        <v>0</v>
      </c>
      <c r="AI32" s="15">
        <f t="shared" si="30"/>
        <v>0</v>
      </c>
      <c r="AJ32" s="16">
        <f t="shared" si="31"/>
        <v>0</v>
      </c>
      <c r="AL32" s="372">
        <v>0</v>
      </c>
      <c r="AM32" s="375">
        <v>0</v>
      </c>
      <c r="AO32" s="783"/>
      <c r="AP32" s="790" t="s">
        <v>140</v>
      </c>
      <c r="AQ32" s="395">
        <f>SUM(AQ22:AQ31)</f>
        <v>51059015046</v>
      </c>
      <c r="AR32" s="395">
        <f>SUM(AR22:AR31)</f>
        <v>1934795961</v>
      </c>
      <c r="AS32" s="395">
        <f>SUM(AS22:AS31)</f>
        <v>0</v>
      </c>
      <c r="AT32" s="441"/>
      <c r="AU32" s="442">
        <f t="shared" si="33"/>
        <v>3.7893327148142343E-2</v>
      </c>
      <c r="AV32" s="442">
        <f t="shared" si="34"/>
        <v>0</v>
      </c>
      <c r="AW32" s="385">
        <f>SUM(AW22:AW31)</f>
        <v>29825950539.5</v>
      </c>
      <c r="AX32" s="385">
        <f>SUM(AX22:AX31)</f>
        <v>8424487683.5</v>
      </c>
      <c r="AY32" s="385">
        <f>SUM(AY22:AY31)</f>
        <v>21233064506.5</v>
      </c>
      <c r="AZ32" s="386">
        <f>SUM(AZ22:AZ31)</f>
        <v>42634527362.5</v>
      </c>
      <c r="BA32" s="382"/>
      <c r="BB32" s="382"/>
      <c r="BC32" s="382"/>
      <c r="BD32" s="382"/>
      <c r="BE32" s="382"/>
      <c r="BF32" s="422"/>
      <c r="BG32" s="382"/>
      <c r="BH32" s="382"/>
      <c r="BI32" s="382"/>
      <c r="BJ32" s="382"/>
      <c r="BK32" s="382"/>
      <c r="BM32" s="110" t="s">
        <v>136</v>
      </c>
      <c r="BN32" s="106">
        <f>+BN7+BN25+BN29+BN30+BN31</f>
        <v>51059015046</v>
      </c>
      <c r="BO32" s="107">
        <f t="shared" ref="BO32:BQ32" si="41">+BO7+BO25+BO29+BO30+BO31</f>
        <v>17536540795</v>
      </c>
      <c r="BP32" s="107">
        <f t="shared" si="41"/>
        <v>4109707062</v>
      </c>
      <c r="BQ32" s="108">
        <f t="shared" si="41"/>
        <v>2326251824</v>
      </c>
      <c r="BR32" s="382"/>
    </row>
    <row r="33" spans="1:70" s="422" customFormat="1" ht="24.95" customHeight="1" thickBot="1">
      <c r="A33" s="611" t="s">
        <v>131</v>
      </c>
      <c r="B33" s="646" t="str">
        <f>+CONCATENATE("Vigencia ",INSTRUCCIONES!$F$3)</f>
        <v>Vigencia 2017</v>
      </c>
      <c r="C33" s="372">
        <v>157521482</v>
      </c>
      <c r="D33" s="373">
        <f>P33</f>
        <v>0</v>
      </c>
      <c r="E33" s="373">
        <f>Q33</f>
        <v>0</v>
      </c>
      <c r="F33" s="373">
        <f>SUM(C33:E33)</f>
        <v>157521482</v>
      </c>
      <c r="G33" s="373">
        <v>0</v>
      </c>
      <c r="H33" s="374">
        <v>0</v>
      </c>
      <c r="I33" s="373">
        <f>SUM(G33:H33)</f>
        <v>0</v>
      </c>
      <c r="J33" s="373">
        <v>0</v>
      </c>
      <c r="K33" s="374">
        <v>0</v>
      </c>
      <c r="L33" s="373">
        <f>SUM(J33:K33)</f>
        <v>0</v>
      </c>
      <c r="M33" s="373">
        <f>F33-I33</f>
        <v>157521482</v>
      </c>
      <c r="N33" s="143">
        <f>F33-L33</f>
        <v>157521482</v>
      </c>
      <c r="O33" s="9"/>
      <c r="P33" s="372">
        <v>0</v>
      </c>
      <c r="Q33" s="375">
        <v>0</v>
      </c>
      <c r="R33" s="9"/>
      <c r="S33" s="705">
        <v>1010199</v>
      </c>
      <c r="T33" s="681" t="s">
        <v>129</v>
      </c>
      <c r="U33" s="398">
        <v>0</v>
      </c>
      <c r="V33" s="15">
        <f t="shared" si="23"/>
        <v>0</v>
      </c>
      <c r="W33" s="15">
        <f t="shared" si="24"/>
        <v>0</v>
      </c>
      <c r="X33" s="16">
        <f t="shared" si="25"/>
        <v>0</v>
      </c>
      <c r="Y33" s="19">
        <v>0</v>
      </c>
      <c r="Z33" s="374">
        <v>0</v>
      </c>
      <c r="AA33" s="16">
        <f t="shared" si="26"/>
        <v>0</v>
      </c>
      <c r="AB33" s="19">
        <v>0</v>
      </c>
      <c r="AC33" s="374">
        <v>0</v>
      </c>
      <c r="AD33" s="18">
        <f t="shared" si="27"/>
        <v>0</v>
      </c>
      <c r="AE33" s="19">
        <v>0</v>
      </c>
      <c r="AF33" s="374">
        <v>0</v>
      </c>
      <c r="AG33" s="16">
        <f t="shared" si="28"/>
        <v>0</v>
      </c>
      <c r="AH33" s="19">
        <f t="shared" si="29"/>
        <v>0</v>
      </c>
      <c r="AI33" s="15">
        <f t="shared" si="30"/>
        <v>0</v>
      </c>
      <c r="AJ33" s="16">
        <f t="shared" si="31"/>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-11266721637</v>
      </c>
      <c r="BP33" s="113">
        <f>AD258</f>
        <v>-2174911101</v>
      </c>
      <c r="BQ33" s="114">
        <f>AF258</f>
        <v>46797967261</v>
      </c>
      <c r="BR33" s="382"/>
    </row>
    <row r="34" spans="1:70" s="422" customFormat="1" ht="24.95" customHeight="1" thickBot="1">
      <c r="A34" s="611" t="s">
        <v>134</v>
      </c>
      <c r="B34" s="646" t="s">
        <v>566</v>
      </c>
      <c r="C34" s="372">
        <v>0</v>
      </c>
      <c r="D34" s="373">
        <f>P34</f>
        <v>0</v>
      </c>
      <c r="E34" s="373">
        <f>Q34</f>
        <v>0</v>
      </c>
      <c r="F34" s="373">
        <f>SUM(C34:E34)</f>
        <v>0</v>
      </c>
      <c r="G34" s="373">
        <v>0</v>
      </c>
      <c r="H34" s="374">
        <v>0</v>
      </c>
      <c r="I34" s="373">
        <f>SUM(G34:H34)</f>
        <v>0</v>
      </c>
      <c r="J34" s="373">
        <v>0</v>
      </c>
      <c r="K34" s="374">
        <v>0</v>
      </c>
      <c r="L34" s="373">
        <f>SUM(J34:K34)</f>
        <v>0</v>
      </c>
      <c r="M34" s="373">
        <f>F34-I34</f>
        <v>0</v>
      </c>
      <c r="N34" s="143">
        <f>F34-L34</f>
        <v>0</v>
      </c>
      <c r="O34" s="382"/>
      <c r="P34" s="372">
        <v>0</v>
      </c>
      <c r="Q34" s="375">
        <v>0</v>
      </c>
      <c r="R34" s="9"/>
      <c r="S34" s="366"/>
      <c r="T34" s="677"/>
      <c r="U34" s="161"/>
      <c r="V34" s="161"/>
      <c r="W34" s="161"/>
      <c r="X34" s="166"/>
      <c r="Y34" s="367"/>
      <c r="Z34" s="161"/>
      <c r="AA34" s="166"/>
      <c r="AB34" s="367"/>
      <c r="AC34" s="161"/>
      <c r="AD34" s="161"/>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F34" s="382"/>
      <c r="BG34" s="382"/>
      <c r="BH34" s="382"/>
      <c r="BI34" s="382"/>
      <c r="BJ34" s="382"/>
      <c r="BK34" s="382"/>
      <c r="BL34" s="382"/>
      <c r="BM34" s="9"/>
      <c r="BN34" s="9"/>
      <c r="BO34" s="9"/>
      <c r="BP34" s="9"/>
      <c r="BQ34" s="9"/>
      <c r="BR34" s="9"/>
    </row>
    <row r="35" spans="1:70" s="382" customFormat="1" ht="24.95" customHeight="1" thickBot="1">
      <c r="A35" s="611" t="s">
        <v>137</v>
      </c>
      <c r="B35" s="647" t="s">
        <v>138</v>
      </c>
      <c r="C35" s="19">
        <f t="shared" ref="C35:N35" si="42">SUM(C36:C37)</f>
        <v>0</v>
      </c>
      <c r="D35" s="15">
        <f t="shared" si="42"/>
        <v>0</v>
      </c>
      <c r="E35" s="15">
        <f t="shared" si="42"/>
        <v>0</v>
      </c>
      <c r="F35" s="15">
        <f t="shared" si="42"/>
        <v>0</v>
      </c>
      <c r="G35" s="15">
        <f t="shared" si="42"/>
        <v>0</v>
      </c>
      <c r="H35" s="15">
        <f t="shared" si="42"/>
        <v>0</v>
      </c>
      <c r="I35" s="15">
        <f t="shared" si="42"/>
        <v>0</v>
      </c>
      <c r="J35" s="15">
        <f t="shared" si="42"/>
        <v>0</v>
      </c>
      <c r="K35" s="15">
        <f t="shared" si="42"/>
        <v>0</v>
      </c>
      <c r="L35" s="15">
        <f t="shared" si="42"/>
        <v>0</v>
      </c>
      <c r="M35" s="15">
        <f t="shared" si="42"/>
        <v>0</v>
      </c>
      <c r="N35" s="16">
        <f t="shared" si="42"/>
        <v>0</v>
      </c>
      <c r="P35" s="144">
        <f>SUM(P36:P37)</f>
        <v>0</v>
      </c>
      <c r="Q35" s="145">
        <f>SUM(Q36:Q37)</f>
        <v>0</v>
      </c>
      <c r="R35" s="9"/>
      <c r="S35" s="704">
        <v>1010200</v>
      </c>
      <c r="T35" s="680" t="s">
        <v>113</v>
      </c>
      <c r="U35" s="132">
        <f t="shared" ref="U35:AJ35" si="43">SUM(U36:U41)</f>
        <v>3034900183</v>
      </c>
      <c r="V35" s="122">
        <f t="shared" si="43"/>
        <v>0</v>
      </c>
      <c r="W35" s="122">
        <f t="shared" si="43"/>
        <v>100000000</v>
      </c>
      <c r="X35" s="130">
        <f t="shared" si="43"/>
        <v>3134900183</v>
      </c>
      <c r="Y35" s="128">
        <f t="shared" si="43"/>
        <v>0</v>
      </c>
      <c r="Z35" s="122">
        <f t="shared" si="43"/>
        <v>1658599070</v>
      </c>
      <c r="AA35" s="130">
        <f t="shared" si="43"/>
        <v>1658599070</v>
      </c>
      <c r="AB35" s="128">
        <f t="shared" si="43"/>
        <v>0</v>
      </c>
      <c r="AC35" s="122">
        <f t="shared" si="43"/>
        <v>180735497</v>
      </c>
      <c r="AD35" s="129">
        <f t="shared" si="43"/>
        <v>180735497</v>
      </c>
      <c r="AE35" s="128">
        <f t="shared" si="43"/>
        <v>0</v>
      </c>
      <c r="AF35" s="122">
        <f t="shared" si="43"/>
        <v>129777064</v>
      </c>
      <c r="AG35" s="130">
        <f t="shared" si="43"/>
        <v>129777064</v>
      </c>
      <c r="AH35" s="128">
        <f t="shared" si="43"/>
        <v>1476301113</v>
      </c>
      <c r="AI35" s="122">
        <f t="shared" si="43"/>
        <v>2954164686</v>
      </c>
      <c r="AJ35" s="130">
        <f t="shared" si="43"/>
        <v>3005123119</v>
      </c>
      <c r="AK35" s="9"/>
      <c r="AL35" s="128">
        <f>SUM(AL36:AL41)</f>
        <v>0</v>
      </c>
      <c r="AM35" s="130">
        <f>SUM(AM36:AM41)</f>
        <v>100000000</v>
      </c>
      <c r="AN35" s="9"/>
      <c r="AO35" s="349"/>
      <c r="AP35" s="450"/>
      <c r="AQ35" s="292"/>
      <c r="AR35" s="451"/>
      <c r="AS35" s="451"/>
      <c r="AT35" s="451"/>
      <c r="AU35" s="452">
        <f>AR17-AR32</f>
        <v>4187530552</v>
      </c>
      <c r="AV35" s="453">
        <f>AS17-AR32</f>
        <v>-85344903</v>
      </c>
      <c r="AW35" s="453" t="s">
        <v>153</v>
      </c>
      <c r="AX35" s="454"/>
      <c r="AY35" s="453">
        <f>AY17+AY32</f>
        <v>26484291827.5</v>
      </c>
      <c r="AZ35" s="455">
        <f>AZ17+AY32</f>
        <v>-25535986536.5</v>
      </c>
      <c r="BF35" s="422"/>
    </row>
    <row r="36" spans="1:70" s="382" customFormat="1" ht="24.95" customHeight="1" thickBot="1">
      <c r="A36" s="611" t="s">
        <v>141</v>
      </c>
      <c r="B36" s="646" t="str">
        <f>+CONCATENATE("Vigencia ",INSTRUCCIONES!$F$3)</f>
        <v>Vigencia 2017</v>
      </c>
      <c r="C36" s="372">
        <v>0</v>
      </c>
      <c r="D36" s="373">
        <f t="shared" ref="D36:E41" si="44">P36</f>
        <v>0</v>
      </c>
      <c r="E36" s="373">
        <f t="shared" si="44"/>
        <v>0</v>
      </c>
      <c r="F36" s="373">
        <f t="shared" ref="F36:F41" si="45">SUM(C36:E36)</f>
        <v>0</v>
      </c>
      <c r="G36" s="373">
        <v>0</v>
      </c>
      <c r="H36" s="374">
        <v>0</v>
      </c>
      <c r="I36" s="373">
        <f t="shared" ref="I36:I41" si="46">SUM(G36:H36)</f>
        <v>0</v>
      </c>
      <c r="J36" s="373">
        <v>0</v>
      </c>
      <c r="K36" s="374">
        <v>0</v>
      </c>
      <c r="L36" s="373">
        <f t="shared" ref="L36:L41" si="47">SUM(J36:K36)</f>
        <v>0</v>
      </c>
      <c r="M36" s="373">
        <f t="shared" ref="M36:M41" si="48">F36-I36</f>
        <v>0</v>
      </c>
      <c r="N36" s="143">
        <f t="shared" ref="N36:N41" si="49">F36-L36</f>
        <v>0</v>
      </c>
      <c r="O36" s="9"/>
      <c r="P36" s="372">
        <v>0</v>
      </c>
      <c r="Q36" s="375">
        <v>0</v>
      </c>
      <c r="R36" s="9"/>
      <c r="S36" s="705" t="s">
        <v>139</v>
      </c>
      <c r="T36" s="681" t="s">
        <v>451</v>
      </c>
      <c r="U36" s="398">
        <v>999690000</v>
      </c>
      <c r="V36" s="15">
        <f t="shared" ref="V36:W41" si="50">AL36</f>
        <v>0</v>
      </c>
      <c r="W36" s="15">
        <f t="shared" si="50"/>
        <v>0</v>
      </c>
      <c r="X36" s="16">
        <f t="shared" ref="X36:X41" si="51">SUM(U36:W36)</f>
        <v>999690000</v>
      </c>
      <c r="Y36" s="19">
        <v>0</v>
      </c>
      <c r="Z36" s="374">
        <v>1072883833</v>
      </c>
      <c r="AA36" s="16">
        <f t="shared" ref="AA36:AA41" si="52">SUM(Y36:Z36)</f>
        <v>1072883833</v>
      </c>
      <c r="AB36" s="19">
        <v>0</v>
      </c>
      <c r="AC36" s="374">
        <v>128397900</v>
      </c>
      <c r="AD36" s="18">
        <f t="shared" ref="AD36:AD41" si="53">SUM(AB36:AC36)</f>
        <v>128397900</v>
      </c>
      <c r="AE36" s="19">
        <v>0</v>
      </c>
      <c r="AF36" s="374">
        <v>77808326</v>
      </c>
      <c r="AG36" s="16">
        <f t="shared" ref="AG36:AG41" si="54">SUM(AE36:AF36)</f>
        <v>77808326</v>
      </c>
      <c r="AH36" s="19">
        <f t="shared" ref="AH36:AH41" si="55">X36-AA36</f>
        <v>-73193833</v>
      </c>
      <c r="AI36" s="15">
        <f t="shared" ref="AI36:AI41" si="56">X36-AD36</f>
        <v>871292100</v>
      </c>
      <c r="AJ36" s="16">
        <f t="shared" ref="AJ36:AJ41" si="57">X36-AG36</f>
        <v>921881674</v>
      </c>
      <c r="AK36" s="9"/>
      <c r="AL36" s="372">
        <v>0</v>
      </c>
      <c r="AM36" s="375"/>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
        <v>144</v>
      </c>
      <c r="B37" s="646" t="s">
        <v>566</v>
      </c>
      <c r="C37" s="372">
        <v>0</v>
      </c>
      <c r="D37" s="373">
        <f t="shared" si="44"/>
        <v>0</v>
      </c>
      <c r="E37" s="373">
        <f t="shared" si="44"/>
        <v>0</v>
      </c>
      <c r="F37" s="373">
        <f t="shared" si="45"/>
        <v>0</v>
      </c>
      <c r="G37" s="373">
        <v>0</v>
      </c>
      <c r="H37" s="374">
        <v>0</v>
      </c>
      <c r="I37" s="373">
        <f t="shared" si="46"/>
        <v>0</v>
      </c>
      <c r="J37" s="373">
        <v>0</v>
      </c>
      <c r="K37" s="374">
        <v>0</v>
      </c>
      <c r="L37" s="373">
        <f t="shared" si="47"/>
        <v>0</v>
      </c>
      <c r="M37" s="373">
        <f t="shared" si="48"/>
        <v>0</v>
      </c>
      <c r="N37" s="143">
        <f t="shared" si="49"/>
        <v>0</v>
      </c>
      <c r="P37" s="372">
        <v>0</v>
      </c>
      <c r="Q37" s="375">
        <v>0</v>
      </c>
      <c r="R37" s="9"/>
      <c r="S37" s="705" t="s">
        <v>142</v>
      </c>
      <c r="T37" s="681" t="s">
        <v>143</v>
      </c>
      <c r="U37" s="398">
        <v>0</v>
      </c>
      <c r="V37" s="15">
        <f t="shared" si="50"/>
        <v>0</v>
      </c>
      <c r="W37" s="15">
        <f t="shared" si="50"/>
        <v>0</v>
      </c>
      <c r="X37" s="16">
        <f t="shared" si="51"/>
        <v>0</v>
      </c>
      <c r="Y37" s="19">
        <v>0</v>
      </c>
      <c r="Z37" s="374">
        <v>0</v>
      </c>
      <c r="AA37" s="16">
        <f t="shared" si="52"/>
        <v>0</v>
      </c>
      <c r="AB37" s="19">
        <v>0</v>
      </c>
      <c r="AC37" s="374">
        <v>0</v>
      </c>
      <c r="AD37" s="18">
        <f t="shared" si="53"/>
        <v>0</v>
      </c>
      <c r="AE37" s="19">
        <v>0</v>
      </c>
      <c r="AF37" s="374">
        <v>0</v>
      </c>
      <c r="AG37" s="16">
        <f t="shared" si="54"/>
        <v>0</v>
      </c>
      <c r="AH37" s="19">
        <f t="shared" si="55"/>
        <v>0</v>
      </c>
      <c r="AI37" s="15">
        <f t="shared" si="56"/>
        <v>0</v>
      </c>
      <c r="AJ37" s="16">
        <f t="shared" si="57"/>
        <v>0</v>
      </c>
      <c r="AK37" s="9"/>
      <c r="AL37" s="372">
        <v>0</v>
      </c>
      <c r="AM37" s="375">
        <v>0</v>
      </c>
      <c r="AN37" s="9"/>
      <c r="AO37" s="24" t="s">
        <v>156</v>
      </c>
      <c r="BB37" s="422"/>
      <c r="BC37" s="422"/>
      <c r="BD37" s="422"/>
      <c r="BE37" s="422"/>
    </row>
    <row r="38" spans="1:70" s="382" customFormat="1" ht="24.95" customHeight="1">
      <c r="A38" s="735" t="s">
        <v>553</v>
      </c>
      <c r="B38" s="648" t="s">
        <v>556</v>
      </c>
      <c r="C38" s="372">
        <v>0</v>
      </c>
      <c r="D38" s="373">
        <f t="shared" si="44"/>
        <v>0</v>
      </c>
      <c r="E38" s="373">
        <f t="shared" si="44"/>
        <v>0</v>
      </c>
      <c r="F38" s="373">
        <f t="shared" si="45"/>
        <v>0</v>
      </c>
      <c r="G38" s="373">
        <v>0</v>
      </c>
      <c r="H38" s="374">
        <v>0</v>
      </c>
      <c r="I38" s="373">
        <f t="shared" si="46"/>
        <v>0</v>
      </c>
      <c r="J38" s="373">
        <v>0</v>
      </c>
      <c r="K38" s="374">
        <v>0</v>
      </c>
      <c r="L38" s="373">
        <f t="shared" si="47"/>
        <v>0</v>
      </c>
      <c r="M38" s="373">
        <f t="shared" si="48"/>
        <v>0</v>
      </c>
      <c r="N38" s="143">
        <f t="shared" si="49"/>
        <v>0</v>
      </c>
      <c r="O38" s="525"/>
      <c r="P38" s="372">
        <v>0</v>
      </c>
      <c r="Q38" s="375">
        <v>0</v>
      </c>
      <c r="R38" s="9"/>
      <c r="S38" s="705" t="s">
        <v>145</v>
      </c>
      <c r="T38" s="681" t="s">
        <v>146</v>
      </c>
      <c r="U38" s="398">
        <v>5000000</v>
      </c>
      <c r="V38" s="15">
        <f t="shared" si="50"/>
        <v>0</v>
      </c>
      <c r="W38" s="15">
        <f t="shared" si="50"/>
        <v>0</v>
      </c>
      <c r="X38" s="16">
        <f t="shared" si="51"/>
        <v>5000000</v>
      </c>
      <c r="Y38" s="19">
        <v>0</v>
      </c>
      <c r="Z38" s="374">
        <v>368859</v>
      </c>
      <c r="AA38" s="16">
        <f t="shared" si="52"/>
        <v>368859</v>
      </c>
      <c r="AB38" s="19">
        <v>0</v>
      </c>
      <c r="AC38" s="374">
        <v>368859</v>
      </c>
      <c r="AD38" s="18">
        <f t="shared" si="53"/>
        <v>368859</v>
      </c>
      <c r="AE38" s="19">
        <v>0</v>
      </c>
      <c r="AF38" s="374">
        <v>0</v>
      </c>
      <c r="AG38" s="16">
        <f t="shared" si="54"/>
        <v>0</v>
      </c>
      <c r="AH38" s="19">
        <f t="shared" si="55"/>
        <v>4631141</v>
      </c>
      <c r="AI38" s="15">
        <f t="shared" si="56"/>
        <v>4631141</v>
      </c>
      <c r="AJ38" s="16">
        <f t="shared" si="57"/>
        <v>5000000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5" t="s">
        <v>554</v>
      </c>
      <c r="B39" s="648" t="s">
        <v>557</v>
      </c>
      <c r="C39" s="372">
        <v>0</v>
      </c>
      <c r="D39" s="373">
        <f t="shared" si="44"/>
        <v>0</v>
      </c>
      <c r="E39" s="373">
        <f t="shared" si="44"/>
        <v>0</v>
      </c>
      <c r="F39" s="373">
        <f t="shared" si="45"/>
        <v>0</v>
      </c>
      <c r="G39" s="373">
        <v>0</v>
      </c>
      <c r="H39" s="374">
        <v>0</v>
      </c>
      <c r="I39" s="373">
        <f t="shared" si="46"/>
        <v>0</v>
      </c>
      <c r="J39" s="373">
        <v>0</v>
      </c>
      <c r="K39" s="374">
        <v>0</v>
      </c>
      <c r="L39" s="373">
        <f t="shared" si="47"/>
        <v>0</v>
      </c>
      <c r="M39" s="373">
        <f t="shared" si="48"/>
        <v>0</v>
      </c>
      <c r="N39" s="143">
        <f t="shared" si="49"/>
        <v>0</v>
      </c>
      <c r="O39" s="525"/>
      <c r="P39" s="372">
        <v>0</v>
      </c>
      <c r="Q39" s="375">
        <v>0</v>
      </c>
      <c r="R39" s="9"/>
      <c r="S39" s="705" t="s">
        <v>152</v>
      </c>
      <c r="T39" s="681" t="s">
        <v>603</v>
      </c>
      <c r="U39" s="398">
        <v>2030210183</v>
      </c>
      <c r="V39" s="15">
        <f t="shared" si="50"/>
        <v>0</v>
      </c>
      <c r="W39" s="15">
        <f t="shared" si="50"/>
        <v>0</v>
      </c>
      <c r="X39" s="16">
        <f t="shared" si="51"/>
        <v>2030210183</v>
      </c>
      <c r="Y39" s="19">
        <v>0</v>
      </c>
      <c r="Z39" s="374">
        <v>533377640</v>
      </c>
      <c r="AA39" s="16">
        <f t="shared" si="52"/>
        <v>533377640</v>
      </c>
      <c r="AB39" s="19">
        <v>0</v>
      </c>
      <c r="AC39" s="374">
        <v>0</v>
      </c>
      <c r="AD39" s="18">
        <f t="shared" si="53"/>
        <v>0</v>
      </c>
      <c r="AE39" s="19">
        <v>0</v>
      </c>
      <c r="AF39" s="374">
        <v>0</v>
      </c>
      <c r="AG39" s="16">
        <f t="shared" si="54"/>
        <v>0</v>
      </c>
      <c r="AH39" s="19">
        <f t="shared" si="55"/>
        <v>1496832543</v>
      </c>
      <c r="AI39" s="15">
        <f t="shared" si="56"/>
        <v>2030210183</v>
      </c>
      <c r="AJ39" s="16">
        <f t="shared" si="57"/>
        <v>2030210183</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5" t="s">
        <v>555</v>
      </c>
      <c r="B40" s="648" t="s">
        <v>558</v>
      </c>
      <c r="C40" s="372">
        <v>0</v>
      </c>
      <c r="D40" s="373">
        <f t="shared" si="44"/>
        <v>0</v>
      </c>
      <c r="E40" s="373">
        <f t="shared" si="44"/>
        <v>0</v>
      </c>
      <c r="F40" s="373">
        <f t="shared" si="45"/>
        <v>0</v>
      </c>
      <c r="G40" s="373">
        <v>0</v>
      </c>
      <c r="H40" s="374">
        <v>0</v>
      </c>
      <c r="I40" s="373">
        <f t="shared" si="46"/>
        <v>0</v>
      </c>
      <c r="J40" s="373">
        <v>0</v>
      </c>
      <c r="K40" s="374">
        <v>0</v>
      </c>
      <c r="L40" s="373">
        <f t="shared" si="47"/>
        <v>0</v>
      </c>
      <c r="M40" s="373">
        <f t="shared" si="48"/>
        <v>0</v>
      </c>
      <c r="N40" s="143">
        <f t="shared" si="49"/>
        <v>0</v>
      </c>
      <c r="O40" s="525"/>
      <c r="P40" s="372">
        <v>0</v>
      </c>
      <c r="Q40" s="375">
        <v>0</v>
      </c>
      <c r="R40" s="9"/>
      <c r="S40" s="705" t="s">
        <v>154</v>
      </c>
      <c r="T40" s="681" t="s">
        <v>155</v>
      </c>
      <c r="U40" s="398">
        <v>0</v>
      </c>
      <c r="V40" s="15">
        <f t="shared" si="50"/>
        <v>0</v>
      </c>
      <c r="W40" s="15">
        <f t="shared" si="50"/>
        <v>0</v>
      </c>
      <c r="X40" s="16">
        <f t="shared" si="51"/>
        <v>0</v>
      </c>
      <c r="Y40" s="19">
        <v>0</v>
      </c>
      <c r="Z40" s="374">
        <v>0</v>
      </c>
      <c r="AA40" s="16">
        <f t="shared" si="52"/>
        <v>0</v>
      </c>
      <c r="AB40" s="19">
        <v>0</v>
      </c>
      <c r="AC40" s="374">
        <v>0</v>
      </c>
      <c r="AD40" s="18">
        <f t="shared" si="53"/>
        <v>0</v>
      </c>
      <c r="AE40" s="19">
        <v>0</v>
      </c>
      <c r="AF40" s="374">
        <v>0</v>
      </c>
      <c r="AG40" s="16">
        <f t="shared" si="54"/>
        <v>0</v>
      </c>
      <c r="AH40" s="19">
        <f t="shared" si="55"/>
        <v>0</v>
      </c>
      <c r="AI40" s="15">
        <f t="shared" si="56"/>
        <v>0</v>
      </c>
      <c r="AJ40" s="16">
        <f t="shared" si="57"/>
        <v>0</v>
      </c>
      <c r="AK40" s="9"/>
      <c r="AL40" s="372">
        <v>0</v>
      </c>
      <c r="AM40" s="375">
        <v>0</v>
      </c>
      <c r="AN40" s="9"/>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row>
    <row r="41" spans="1:70" s="422" customFormat="1" ht="24.95" customHeight="1">
      <c r="A41" s="733">
        <v>1130104</v>
      </c>
      <c r="B41" s="645" t="s">
        <v>157</v>
      </c>
      <c r="C41" s="372">
        <v>0</v>
      </c>
      <c r="D41" s="122">
        <f t="shared" si="44"/>
        <v>0</v>
      </c>
      <c r="E41" s="122">
        <f t="shared" si="44"/>
        <v>0</v>
      </c>
      <c r="F41" s="122">
        <f t="shared" si="45"/>
        <v>0</v>
      </c>
      <c r="G41" s="122">
        <v>0</v>
      </c>
      <c r="H41" s="374">
        <v>0</v>
      </c>
      <c r="I41" s="122">
        <f t="shared" si="46"/>
        <v>0</v>
      </c>
      <c r="J41" s="122">
        <v>0</v>
      </c>
      <c r="K41" s="374">
        <v>0</v>
      </c>
      <c r="L41" s="122">
        <f t="shared" si="47"/>
        <v>0</v>
      </c>
      <c r="M41" s="122">
        <f t="shared" si="48"/>
        <v>0</v>
      </c>
      <c r="N41" s="130">
        <f t="shared" si="49"/>
        <v>0</v>
      </c>
      <c r="O41" s="382"/>
      <c r="P41" s="374">
        <v>0</v>
      </c>
      <c r="Q41" s="375">
        <v>0</v>
      </c>
      <c r="R41" s="9"/>
      <c r="S41" s="705">
        <v>1010299</v>
      </c>
      <c r="T41" s="681" t="s">
        <v>129</v>
      </c>
      <c r="U41" s="398">
        <v>0</v>
      </c>
      <c r="V41" s="15">
        <f t="shared" si="50"/>
        <v>0</v>
      </c>
      <c r="W41" s="15">
        <f t="shared" si="50"/>
        <v>100000000</v>
      </c>
      <c r="X41" s="16">
        <f t="shared" si="51"/>
        <v>100000000</v>
      </c>
      <c r="Y41" s="19">
        <v>0</v>
      </c>
      <c r="Z41" s="374">
        <v>51968738</v>
      </c>
      <c r="AA41" s="16">
        <f t="shared" si="52"/>
        <v>51968738</v>
      </c>
      <c r="AB41" s="19">
        <v>0</v>
      </c>
      <c r="AC41" s="374">
        <v>51968738</v>
      </c>
      <c r="AD41" s="18">
        <f t="shared" si="53"/>
        <v>51968738</v>
      </c>
      <c r="AE41" s="19">
        <v>0</v>
      </c>
      <c r="AF41" s="374">
        <v>51968738</v>
      </c>
      <c r="AG41" s="16">
        <f t="shared" si="54"/>
        <v>51968738</v>
      </c>
      <c r="AH41" s="19">
        <f t="shared" si="55"/>
        <v>48031262</v>
      </c>
      <c r="AI41" s="15">
        <f t="shared" si="56"/>
        <v>48031262</v>
      </c>
      <c r="AJ41" s="16">
        <f t="shared" si="57"/>
        <v>48031262</v>
      </c>
      <c r="AK41" s="9"/>
      <c r="AL41" s="372">
        <v>0</v>
      </c>
      <c r="AM41" s="375">
        <v>100000000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3">
        <v>1130106</v>
      </c>
      <c r="B42" s="645" t="s">
        <v>522</v>
      </c>
      <c r="C42" s="43">
        <f t="shared" ref="C42:N42" si="58">SUM(C43:C44)</f>
        <v>0</v>
      </c>
      <c r="D42" s="44">
        <f t="shared" si="58"/>
        <v>0</v>
      </c>
      <c r="E42" s="44">
        <f t="shared" si="58"/>
        <v>0</v>
      </c>
      <c r="F42" s="44">
        <f t="shared" si="58"/>
        <v>0</v>
      </c>
      <c r="G42" s="44">
        <f t="shared" si="58"/>
        <v>0</v>
      </c>
      <c r="H42" s="44">
        <f t="shared" si="58"/>
        <v>0</v>
      </c>
      <c r="I42" s="44">
        <f t="shared" si="58"/>
        <v>0</v>
      </c>
      <c r="J42" s="44">
        <f t="shared" si="58"/>
        <v>0</v>
      </c>
      <c r="K42" s="44">
        <f t="shared" si="58"/>
        <v>0</v>
      </c>
      <c r="L42" s="44">
        <f t="shared" si="58"/>
        <v>0</v>
      </c>
      <c r="M42" s="44">
        <f t="shared" si="58"/>
        <v>0</v>
      </c>
      <c r="N42" s="45">
        <f t="shared" si="58"/>
        <v>0</v>
      </c>
      <c r="P42" s="43">
        <f>SUM(P43:P44)</f>
        <v>0</v>
      </c>
      <c r="Q42" s="45">
        <f>SUM(Q43:Q44)</f>
        <v>0</v>
      </c>
      <c r="R42" s="9"/>
      <c r="S42" s="366"/>
      <c r="T42" s="677"/>
      <c r="U42" s="161"/>
      <c r="V42" s="161"/>
      <c r="W42" s="161"/>
      <c r="X42" s="166"/>
      <c r="Y42" s="367"/>
      <c r="Z42" s="161"/>
      <c r="AA42" s="166"/>
      <c r="AB42" s="367"/>
      <c r="AC42" s="161"/>
      <c r="AD42" s="161"/>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c r="BB42" s="422"/>
      <c r="BC42" s="422"/>
      <c r="BD42" s="422"/>
      <c r="BE42" s="422"/>
    </row>
    <row r="43" spans="1:70" s="422" customFormat="1" ht="24.95" customHeight="1">
      <c r="A43" s="611" t="s">
        <v>159</v>
      </c>
      <c r="B43" s="646" t="str">
        <f>+CONCATENATE("Vigencia ",INSTRUCCIONES!$F$3)</f>
        <v>Vigencia 2017</v>
      </c>
      <c r="C43" s="372">
        <v>0</v>
      </c>
      <c r="D43" s="373">
        <f>P43</f>
        <v>0</v>
      </c>
      <c r="E43" s="373">
        <f>Q43</f>
        <v>0</v>
      </c>
      <c r="F43" s="373">
        <f>SUM(C43:E43)</f>
        <v>0</v>
      </c>
      <c r="G43" s="373">
        <v>0</v>
      </c>
      <c r="H43" s="374">
        <v>0</v>
      </c>
      <c r="I43" s="373">
        <f>SUM(G43:H43)</f>
        <v>0</v>
      </c>
      <c r="J43" s="373">
        <v>0</v>
      </c>
      <c r="K43" s="374">
        <v>0</v>
      </c>
      <c r="L43" s="373">
        <f>SUM(J43:K43)</f>
        <v>0</v>
      </c>
      <c r="M43" s="373">
        <f>F43-I43</f>
        <v>0</v>
      </c>
      <c r="N43" s="143">
        <f>F43-L43</f>
        <v>0</v>
      </c>
      <c r="O43" s="382"/>
      <c r="P43" s="372">
        <v>0</v>
      </c>
      <c r="Q43" s="375">
        <v>0</v>
      </c>
      <c r="R43" s="9"/>
      <c r="S43" s="704">
        <v>1010300</v>
      </c>
      <c r="T43" s="680" t="s">
        <v>158</v>
      </c>
      <c r="U43" s="132">
        <f t="shared" ref="U43:AJ43" si="59">U44+U49+U55</f>
        <v>182861553</v>
      </c>
      <c r="V43" s="122">
        <f t="shared" si="59"/>
        <v>0</v>
      </c>
      <c r="W43" s="122">
        <f t="shared" si="59"/>
        <v>0</v>
      </c>
      <c r="X43" s="130">
        <f t="shared" si="59"/>
        <v>182861553</v>
      </c>
      <c r="Y43" s="128">
        <f t="shared" si="59"/>
        <v>0</v>
      </c>
      <c r="Z43" s="122">
        <f t="shared" si="59"/>
        <v>9543165</v>
      </c>
      <c r="AA43" s="130">
        <f t="shared" si="59"/>
        <v>9543165</v>
      </c>
      <c r="AB43" s="128">
        <f t="shared" si="59"/>
        <v>0</v>
      </c>
      <c r="AC43" s="122">
        <f t="shared" si="59"/>
        <v>9543165</v>
      </c>
      <c r="AD43" s="129">
        <f t="shared" si="59"/>
        <v>9543165</v>
      </c>
      <c r="AE43" s="128">
        <f t="shared" si="59"/>
        <v>0</v>
      </c>
      <c r="AF43" s="122">
        <f t="shared" si="59"/>
        <v>9543165</v>
      </c>
      <c r="AG43" s="130">
        <f t="shared" si="59"/>
        <v>9543165</v>
      </c>
      <c r="AH43" s="128">
        <f t="shared" si="59"/>
        <v>173318388</v>
      </c>
      <c r="AI43" s="122">
        <f t="shared" si="59"/>
        <v>173318388</v>
      </c>
      <c r="AJ43" s="130">
        <f t="shared" si="59"/>
        <v>173318388</v>
      </c>
      <c r="AK43" s="9"/>
      <c r="AL43" s="128">
        <f>AL44+AL49+AL55</f>
        <v>0</v>
      </c>
      <c r="AM43" s="130">
        <f>AM44+AM49+AM55</f>
        <v>0</v>
      </c>
      <c r="AN43" s="9"/>
      <c r="AO43" s="382"/>
      <c r="AP43" s="457"/>
      <c r="AQ43" s="294"/>
      <c r="AR43" s="294"/>
      <c r="AS43" s="294"/>
      <c r="AT43" s="294"/>
      <c r="AU43" s="294"/>
      <c r="AV43" s="294"/>
      <c r="AW43" s="294"/>
      <c r="AX43" s="294"/>
      <c r="AY43" s="294"/>
      <c r="AZ43" s="294"/>
      <c r="BA43" s="382"/>
      <c r="BB43" s="382"/>
      <c r="BC43" s="382"/>
      <c r="BD43" s="382"/>
      <c r="BE43" s="382"/>
      <c r="BF43" s="382"/>
      <c r="BG43" s="382"/>
      <c r="BH43" s="382"/>
      <c r="BI43" s="382"/>
      <c r="BJ43" s="382"/>
      <c r="BK43" s="382"/>
      <c r="BL43" s="382"/>
      <c r="BM43" s="382"/>
      <c r="BN43" s="382"/>
      <c r="BO43" s="382"/>
      <c r="BP43" s="382"/>
      <c r="BQ43" s="382"/>
      <c r="BR43" s="382"/>
    </row>
    <row r="44" spans="1:70" s="422" customFormat="1" ht="24.95" customHeight="1">
      <c r="A44" s="611" t="s">
        <v>160</v>
      </c>
      <c r="B44" s="646" t="s">
        <v>566</v>
      </c>
      <c r="C44" s="372">
        <v>0</v>
      </c>
      <c r="D44" s="373">
        <f>P44</f>
        <v>0</v>
      </c>
      <c r="E44" s="373">
        <f>Q44</f>
        <v>0</v>
      </c>
      <c r="F44" s="373">
        <f>SUM(C44:E44)</f>
        <v>0</v>
      </c>
      <c r="G44" s="373">
        <v>0</v>
      </c>
      <c r="H44" s="374">
        <v>0</v>
      </c>
      <c r="I44" s="373">
        <f>SUM(G44:H44)</f>
        <v>0</v>
      </c>
      <c r="J44" s="373">
        <v>0</v>
      </c>
      <c r="K44" s="374">
        <v>0</v>
      </c>
      <c r="L44" s="373">
        <f>SUM(J44:K44)</f>
        <v>0</v>
      </c>
      <c r="M44" s="373">
        <f>F44-I44</f>
        <v>0</v>
      </c>
      <c r="N44" s="143">
        <f>F44-L44</f>
        <v>0</v>
      </c>
      <c r="O44" s="382"/>
      <c r="P44" s="372">
        <v>0</v>
      </c>
      <c r="Q44" s="375">
        <v>0</v>
      </c>
      <c r="R44" s="9"/>
      <c r="S44" s="705">
        <v>1010301</v>
      </c>
      <c r="T44" s="681" t="s">
        <v>610</v>
      </c>
      <c r="U44" s="27">
        <f t="shared" ref="U44:AJ44" si="60">SUM(U45:U48)</f>
        <v>0</v>
      </c>
      <c r="V44" s="25">
        <f t="shared" si="60"/>
        <v>0</v>
      </c>
      <c r="W44" s="25">
        <f t="shared" si="60"/>
        <v>0</v>
      </c>
      <c r="X44" s="26">
        <f t="shared" si="60"/>
        <v>0</v>
      </c>
      <c r="Y44" s="29">
        <f t="shared" si="60"/>
        <v>0</v>
      </c>
      <c r="Z44" s="25">
        <f t="shared" si="60"/>
        <v>0</v>
      </c>
      <c r="AA44" s="26">
        <f t="shared" si="60"/>
        <v>0</v>
      </c>
      <c r="AB44" s="29">
        <f t="shared" si="60"/>
        <v>0</v>
      </c>
      <c r="AC44" s="25">
        <f t="shared" si="60"/>
        <v>0</v>
      </c>
      <c r="AD44" s="28">
        <f t="shared" si="60"/>
        <v>0</v>
      </c>
      <c r="AE44" s="29">
        <f t="shared" si="60"/>
        <v>0</v>
      </c>
      <c r="AF44" s="25">
        <f t="shared" si="60"/>
        <v>0</v>
      </c>
      <c r="AG44" s="26">
        <f t="shared" si="60"/>
        <v>0</v>
      </c>
      <c r="AH44" s="19">
        <f t="shared" si="60"/>
        <v>0</v>
      </c>
      <c r="AI44" s="15">
        <f t="shared" si="60"/>
        <v>0</v>
      </c>
      <c r="AJ44" s="16">
        <f t="shared" si="60"/>
        <v>0</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3">
        <v>1130107</v>
      </c>
      <c r="B45" s="645" t="s">
        <v>162</v>
      </c>
      <c r="C45" s="43">
        <f t="shared" ref="C45:N45" si="61">SUM(C46:C47)</f>
        <v>375197511</v>
      </c>
      <c r="D45" s="44">
        <f t="shared" si="61"/>
        <v>0</v>
      </c>
      <c r="E45" s="44">
        <f t="shared" si="61"/>
        <v>0</v>
      </c>
      <c r="F45" s="44">
        <f t="shared" si="61"/>
        <v>375197511</v>
      </c>
      <c r="G45" s="44">
        <f t="shared" si="61"/>
        <v>0</v>
      </c>
      <c r="H45" s="44">
        <f t="shared" si="61"/>
        <v>0</v>
      </c>
      <c r="I45" s="44">
        <f t="shared" si="61"/>
        <v>0</v>
      </c>
      <c r="J45" s="44">
        <f t="shared" si="61"/>
        <v>0</v>
      </c>
      <c r="K45" s="44">
        <f t="shared" si="61"/>
        <v>0</v>
      </c>
      <c r="L45" s="44">
        <f t="shared" si="61"/>
        <v>0</v>
      </c>
      <c r="M45" s="44">
        <f t="shared" si="61"/>
        <v>375197511</v>
      </c>
      <c r="N45" s="45">
        <f t="shared" si="61"/>
        <v>375197511</v>
      </c>
      <c r="P45" s="43">
        <f>SUM(P46:P47)</f>
        <v>0</v>
      </c>
      <c r="Q45" s="45">
        <f>SUM(Q46:Q47)</f>
        <v>0</v>
      </c>
      <c r="R45" s="9"/>
      <c r="S45" s="706" t="s">
        <v>161</v>
      </c>
      <c r="T45" s="682" t="s">
        <v>611</v>
      </c>
      <c r="U45" s="398">
        <v>0</v>
      </c>
      <c r="V45" s="15">
        <f t="shared" ref="V45:W48" si="62">AL45</f>
        <v>0</v>
      </c>
      <c r="W45" s="15">
        <f t="shared" si="62"/>
        <v>0</v>
      </c>
      <c r="X45" s="16">
        <f>SUM(U45:W45)</f>
        <v>0</v>
      </c>
      <c r="Y45" s="19">
        <v>0</v>
      </c>
      <c r="Z45" s="374">
        <v>0</v>
      </c>
      <c r="AA45" s="16">
        <f>SUM(Y45:Z45)</f>
        <v>0</v>
      </c>
      <c r="AB45" s="19">
        <v>0</v>
      </c>
      <c r="AC45" s="374">
        <v>0</v>
      </c>
      <c r="AD45" s="18">
        <f>SUM(AB45:AC45)</f>
        <v>0</v>
      </c>
      <c r="AE45" s="19">
        <v>0</v>
      </c>
      <c r="AF45" s="374">
        <v>0</v>
      </c>
      <c r="AG45" s="16">
        <f>SUM(AE45:AF45)</f>
        <v>0</v>
      </c>
      <c r="AH45" s="19">
        <f>X45-AA45</f>
        <v>0</v>
      </c>
      <c r="AI45" s="15">
        <f>X45-AD45</f>
        <v>0</v>
      </c>
      <c r="AJ45" s="16">
        <f>X45-AG45</f>
        <v>0</v>
      </c>
      <c r="AK45" s="9"/>
      <c r="AL45" s="372">
        <v>0</v>
      </c>
      <c r="AM45" s="375">
        <v>0</v>
      </c>
      <c r="AN45" s="9"/>
      <c r="AO45" s="294"/>
      <c r="AP45" s="294"/>
      <c r="AQ45" s="294"/>
      <c r="AR45" s="294"/>
      <c r="AS45" s="294"/>
      <c r="AT45" s="294"/>
      <c r="AU45" s="294"/>
      <c r="AV45" s="294"/>
      <c r="AW45" s="294"/>
      <c r="AX45" s="294"/>
      <c r="AY45" s="294"/>
      <c r="AZ45" s="294"/>
      <c r="BB45" s="422"/>
      <c r="BC45" s="422"/>
      <c r="BD45" s="422"/>
      <c r="BE45" s="422"/>
    </row>
    <row r="46" spans="1:70" s="422" customFormat="1" ht="24.95" customHeight="1">
      <c r="A46" s="611" t="s">
        <v>164</v>
      </c>
      <c r="B46" s="646" t="str">
        <f>+CONCATENATE("Vigencia ",INSTRUCCIONES!$F$3)</f>
        <v>Vigencia 2017</v>
      </c>
      <c r="C46" s="372">
        <v>375197511</v>
      </c>
      <c r="D46" s="373">
        <f>P46</f>
        <v>0</v>
      </c>
      <c r="E46" s="373">
        <f>Q46</f>
        <v>0</v>
      </c>
      <c r="F46" s="373">
        <f>SUM(C46:E46)</f>
        <v>375197511</v>
      </c>
      <c r="G46" s="373">
        <v>0</v>
      </c>
      <c r="H46" s="374">
        <v>0</v>
      </c>
      <c r="I46" s="373">
        <f>SUM(G46:H46)</f>
        <v>0</v>
      </c>
      <c r="J46" s="373">
        <v>0</v>
      </c>
      <c r="K46" s="374">
        <v>0</v>
      </c>
      <c r="L46" s="373">
        <f>SUM(J46:K46)</f>
        <v>0</v>
      </c>
      <c r="M46" s="373">
        <f>F46-I46</f>
        <v>375197511</v>
      </c>
      <c r="N46" s="143">
        <f>F46-L46</f>
        <v>375197511</v>
      </c>
      <c r="O46" s="382"/>
      <c r="P46" s="372">
        <v>0</v>
      </c>
      <c r="Q46" s="375">
        <v>0</v>
      </c>
      <c r="R46" s="9"/>
      <c r="S46" s="706" t="s">
        <v>163</v>
      </c>
      <c r="T46" s="682" t="s">
        <v>612</v>
      </c>
      <c r="U46" s="398">
        <v>0</v>
      </c>
      <c r="V46" s="15">
        <f t="shared" si="62"/>
        <v>0</v>
      </c>
      <c r="W46" s="15">
        <f t="shared" si="62"/>
        <v>0</v>
      </c>
      <c r="X46" s="16">
        <f>SUM(U46:W46)</f>
        <v>0</v>
      </c>
      <c r="Y46" s="19">
        <v>0</v>
      </c>
      <c r="Z46" s="374">
        <v>0</v>
      </c>
      <c r="AA46" s="16">
        <f>SUM(Y46:Z46)</f>
        <v>0</v>
      </c>
      <c r="AB46" s="19">
        <v>0</v>
      </c>
      <c r="AC46" s="374">
        <v>0</v>
      </c>
      <c r="AD46" s="18">
        <f>SUM(AB46:AC46)</f>
        <v>0</v>
      </c>
      <c r="AE46" s="19">
        <v>0</v>
      </c>
      <c r="AF46" s="374">
        <v>0</v>
      </c>
      <c r="AG46" s="16">
        <f>SUM(AE46:AF46)</f>
        <v>0</v>
      </c>
      <c r="AH46" s="19">
        <f>X46-AA46</f>
        <v>0</v>
      </c>
      <c r="AI46" s="15">
        <f>X46-AD46</f>
        <v>0</v>
      </c>
      <c r="AJ46" s="16">
        <f>X46-AG46</f>
        <v>0</v>
      </c>
      <c r="AK46" s="9"/>
      <c r="AL46" s="372">
        <v>0</v>
      </c>
      <c r="AM46" s="375">
        <v>0</v>
      </c>
      <c r="AN46" s="9"/>
      <c r="AO46" s="458"/>
      <c r="AP46" s="457"/>
      <c r="AQ46" s="294"/>
      <c r="AR46" s="294"/>
      <c r="AS46" s="294"/>
      <c r="AT46" s="294"/>
      <c r="AU46" s="294"/>
      <c r="AV46" s="294"/>
      <c r="AW46" s="294"/>
      <c r="AX46" s="294"/>
      <c r="AY46" s="294"/>
      <c r="AZ46" s="294"/>
      <c r="BA46" s="382"/>
      <c r="BB46" s="382"/>
      <c r="BC46" s="382"/>
      <c r="BD46" s="382"/>
      <c r="BE46" s="382"/>
      <c r="BF46" s="382"/>
      <c r="BG46" s="382"/>
      <c r="BH46" s="382"/>
      <c r="BI46" s="382"/>
      <c r="BJ46" s="382"/>
      <c r="BK46" s="382"/>
      <c r="BL46" s="382"/>
    </row>
    <row r="47" spans="1:70" s="422" customFormat="1" ht="24.95" customHeight="1">
      <c r="A47" s="611" t="s">
        <v>166</v>
      </c>
      <c r="B47" s="646" t="s">
        <v>566</v>
      </c>
      <c r="C47" s="372">
        <v>0</v>
      </c>
      <c r="D47" s="373">
        <f>P47</f>
        <v>0</v>
      </c>
      <c r="E47" s="373">
        <f>Q47</f>
        <v>0</v>
      </c>
      <c r="F47" s="373">
        <f>SUM(C47:E47)</f>
        <v>0</v>
      </c>
      <c r="G47" s="373">
        <v>0</v>
      </c>
      <c r="H47" s="374">
        <v>0</v>
      </c>
      <c r="I47" s="373">
        <f>SUM(G47:H47)</f>
        <v>0</v>
      </c>
      <c r="J47" s="373">
        <v>0</v>
      </c>
      <c r="K47" s="374">
        <v>0</v>
      </c>
      <c r="L47" s="373">
        <f>SUM(J47:K47)</f>
        <v>0</v>
      </c>
      <c r="M47" s="373">
        <f>F47-I47</f>
        <v>0</v>
      </c>
      <c r="N47" s="143">
        <f>F47-L47</f>
        <v>0</v>
      </c>
      <c r="O47" s="382"/>
      <c r="P47" s="372">
        <v>0</v>
      </c>
      <c r="Q47" s="375">
        <v>0</v>
      </c>
      <c r="R47" s="9"/>
      <c r="S47" s="706" t="s">
        <v>165</v>
      </c>
      <c r="T47" s="682" t="s">
        <v>613</v>
      </c>
      <c r="U47" s="398">
        <v>0</v>
      </c>
      <c r="V47" s="15">
        <f t="shared" si="62"/>
        <v>0</v>
      </c>
      <c r="W47" s="15">
        <f t="shared" si="62"/>
        <v>0</v>
      </c>
      <c r="X47" s="16">
        <f>SUM(U47:W47)</f>
        <v>0</v>
      </c>
      <c r="Y47" s="19">
        <v>0</v>
      </c>
      <c r="Z47" s="374">
        <v>0</v>
      </c>
      <c r="AA47" s="16">
        <f>SUM(Y47:Z47)</f>
        <v>0</v>
      </c>
      <c r="AB47" s="19">
        <v>0</v>
      </c>
      <c r="AC47" s="374">
        <v>0</v>
      </c>
      <c r="AD47" s="18">
        <f>SUM(AB47:AC47)</f>
        <v>0</v>
      </c>
      <c r="AE47" s="19">
        <v>0</v>
      </c>
      <c r="AF47" s="374">
        <v>0</v>
      </c>
      <c r="AG47" s="16">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3">
        <v>1130108</v>
      </c>
      <c r="B48" s="645" t="s">
        <v>168</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706" t="s">
        <v>167</v>
      </c>
      <c r="T48" s="682" t="s">
        <v>614</v>
      </c>
      <c r="U48" s="398">
        <v>0</v>
      </c>
      <c r="V48" s="15">
        <f t="shared" si="62"/>
        <v>0</v>
      </c>
      <c r="W48" s="15">
        <f t="shared" si="62"/>
        <v>0</v>
      </c>
      <c r="X48" s="16">
        <f>SUM(U48:W48)</f>
        <v>0</v>
      </c>
      <c r="Y48" s="19">
        <v>0</v>
      </c>
      <c r="Z48" s="374">
        <v>0</v>
      </c>
      <c r="AA48" s="16">
        <f>SUM(Y48:Z48)</f>
        <v>0</v>
      </c>
      <c r="AB48" s="19">
        <v>0</v>
      </c>
      <c r="AC48" s="374">
        <v>0</v>
      </c>
      <c r="AD48" s="18">
        <f>SUM(AB48:AC48)</f>
        <v>0</v>
      </c>
      <c r="AE48" s="19">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B48" s="422"/>
      <c r="BC48" s="422"/>
      <c r="BD48" s="422"/>
      <c r="BE48" s="422"/>
    </row>
    <row r="49" spans="1:70" s="422" customFormat="1" ht="24.95" customHeight="1">
      <c r="A49" s="611" t="s">
        <v>386</v>
      </c>
      <c r="B49" s="646" t="str">
        <f>+CONCATENATE("Vigencia ",INSTRUCCIONES!$F$3)</f>
        <v>Vigencia 2017</v>
      </c>
      <c r="C49" s="372">
        <v>0</v>
      </c>
      <c r="D49" s="373">
        <f>P49</f>
        <v>0</v>
      </c>
      <c r="E49" s="373">
        <f>Q49</f>
        <v>0</v>
      </c>
      <c r="F49" s="373">
        <f>SUM(C49:E49)</f>
        <v>0</v>
      </c>
      <c r="G49" s="373">
        <v>0</v>
      </c>
      <c r="H49" s="374">
        <v>0</v>
      </c>
      <c r="I49" s="373">
        <f>SUM(G49:H49)</f>
        <v>0</v>
      </c>
      <c r="J49" s="373">
        <v>0</v>
      </c>
      <c r="K49" s="374">
        <v>0</v>
      </c>
      <c r="L49" s="373">
        <f>SUM(J49:K49)</f>
        <v>0</v>
      </c>
      <c r="M49" s="373">
        <f>F49-I49</f>
        <v>0</v>
      </c>
      <c r="N49" s="143">
        <f>F49-L49</f>
        <v>0</v>
      </c>
      <c r="O49" s="382"/>
      <c r="P49" s="372">
        <v>0</v>
      </c>
      <c r="Q49" s="375">
        <v>0</v>
      </c>
      <c r="R49" s="9"/>
      <c r="S49" s="705">
        <v>1010302</v>
      </c>
      <c r="T49" s="681" t="s">
        <v>169</v>
      </c>
      <c r="U49" s="17">
        <f t="shared" ref="U49:AJ49" si="64">SUM(U50:U54)</f>
        <v>182861553</v>
      </c>
      <c r="V49" s="15">
        <f t="shared" si="64"/>
        <v>0</v>
      </c>
      <c r="W49" s="15">
        <f t="shared" si="64"/>
        <v>0</v>
      </c>
      <c r="X49" s="16">
        <f t="shared" si="64"/>
        <v>182861553</v>
      </c>
      <c r="Y49" s="19">
        <f t="shared" si="64"/>
        <v>0</v>
      </c>
      <c r="Z49" s="142">
        <f t="shared" si="64"/>
        <v>9543165</v>
      </c>
      <c r="AA49" s="16">
        <f t="shared" si="64"/>
        <v>9543165</v>
      </c>
      <c r="AB49" s="19">
        <f t="shared" si="64"/>
        <v>0</v>
      </c>
      <c r="AC49" s="142">
        <f t="shared" si="64"/>
        <v>9543165</v>
      </c>
      <c r="AD49" s="18">
        <f t="shared" si="64"/>
        <v>9543165</v>
      </c>
      <c r="AE49" s="19">
        <f t="shared" si="64"/>
        <v>0</v>
      </c>
      <c r="AF49" s="142">
        <f t="shared" si="64"/>
        <v>9543165</v>
      </c>
      <c r="AG49" s="16">
        <f t="shared" si="64"/>
        <v>9543165</v>
      </c>
      <c r="AH49" s="19">
        <f t="shared" si="64"/>
        <v>173318388</v>
      </c>
      <c r="AI49" s="15">
        <f t="shared" si="64"/>
        <v>173318388</v>
      </c>
      <c r="AJ49" s="16">
        <f t="shared" si="64"/>
        <v>173318388</v>
      </c>
      <c r="AK49" s="9"/>
      <c r="AL49" s="29">
        <f>SUM(AL50:AL54)</f>
        <v>0</v>
      </c>
      <c r="AM49" s="26">
        <f>SUM(AM50:AM54)</f>
        <v>0</v>
      </c>
      <c r="AN49" s="9"/>
      <c r="AO49" s="458"/>
      <c r="AP49" s="457"/>
      <c r="AQ49" s="294"/>
      <c r="AR49" s="294"/>
      <c r="AS49" s="294"/>
      <c r="AT49" s="294"/>
      <c r="AU49" s="294"/>
      <c r="AV49" s="294"/>
      <c r="AW49" s="294"/>
      <c r="AX49" s="294"/>
      <c r="AY49" s="294"/>
      <c r="AZ49" s="294"/>
      <c r="BA49" s="382"/>
      <c r="BB49" s="382"/>
      <c r="BC49" s="382"/>
      <c r="BD49" s="382"/>
      <c r="BE49" s="382"/>
      <c r="BF49" s="382"/>
      <c r="BG49" s="382"/>
      <c r="BH49" s="382"/>
      <c r="BI49" s="382"/>
      <c r="BJ49" s="382"/>
      <c r="BK49" s="382"/>
      <c r="BL49" s="382"/>
      <c r="BM49" s="382"/>
      <c r="BN49" s="382"/>
      <c r="BO49" s="382"/>
      <c r="BP49" s="382"/>
      <c r="BQ49" s="382"/>
      <c r="BR49" s="382"/>
    </row>
    <row r="50" spans="1:70" s="422" customFormat="1" ht="24.95" customHeight="1">
      <c r="A50" s="611" t="s">
        <v>387</v>
      </c>
      <c r="B50" s="646" t="s">
        <v>566</v>
      </c>
      <c r="C50" s="372">
        <v>0</v>
      </c>
      <c r="D50" s="373">
        <f>P50</f>
        <v>0</v>
      </c>
      <c r="E50" s="373">
        <f>Q50</f>
        <v>0</v>
      </c>
      <c r="F50" s="373">
        <f>SUM(C50:E50)</f>
        <v>0</v>
      </c>
      <c r="G50" s="373">
        <v>0</v>
      </c>
      <c r="H50" s="374">
        <v>0</v>
      </c>
      <c r="I50" s="373">
        <f>SUM(G50:H50)</f>
        <v>0</v>
      </c>
      <c r="J50" s="373">
        <v>0</v>
      </c>
      <c r="K50" s="374">
        <v>0</v>
      </c>
      <c r="L50" s="373">
        <f>SUM(J50:K50)</f>
        <v>0</v>
      </c>
      <c r="M50" s="373">
        <f>F50-I50</f>
        <v>0</v>
      </c>
      <c r="N50" s="143">
        <f>F50-L50</f>
        <v>0</v>
      </c>
      <c r="O50" s="382"/>
      <c r="P50" s="372">
        <v>0</v>
      </c>
      <c r="Q50" s="375">
        <v>0</v>
      </c>
      <c r="R50" s="9"/>
      <c r="S50" s="706" t="s">
        <v>170</v>
      </c>
      <c r="T50" s="682" t="s">
        <v>409</v>
      </c>
      <c r="U50" s="398">
        <v>72876516</v>
      </c>
      <c r="V50" s="15">
        <f t="shared" ref="V50:W55" si="65">AL50</f>
        <v>0</v>
      </c>
      <c r="W50" s="15">
        <f t="shared" si="65"/>
        <v>0</v>
      </c>
      <c r="X50" s="16">
        <f t="shared" ref="X50:X55" si="66">SUM(U50:W50)</f>
        <v>72876516</v>
      </c>
      <c r="Y50" s="19">
        <v>0</v>
      </c>
      <c r="Z50" s="374">
        <v>3245800</v>
      </c>
      <c r="AA50" s="16">
        <f t="shared" ref="AA50:AA55" si="67">SUM(Y50:Z50)</f>
        <v>3245800</v>
      </c>
      <c r="AB50" s="19">
        <v>0</v>
      </c>
      <c r="AC50" s="374">
        <v>3245800</v>
      </c>
      <c r="AD50" s="18">
        <f t="shared" ref="AD50:AD55" si="68">SUM(AB50:AC50)</f>
        <v>3245800</v>
      </c>
      <c r="AE50" s="19">
        <v>0</v>
      </c>
      <c r="AF50" s="374">
        <v>3245800</v>
      </c>
      <c r="AG50" s="16">
        <f t="shared" ref="AG50:AG55" si="69">SUM(AE50:AF50)</f>
        <v>3245800</v>
      </c>
      <c r="AH50" s="19">
        <f t="shared" ref="AH50:AH55" si="70">X50-AA50</f>
        <v>69630716</v>
      </c>
      <c r="AI50" s="15">
        <f t="shared" ref="AI50:AI55" si="71">X50-AD50</f>
        <v>69630716</v>
      </c>
      <c r="AJ50" s="16">
        <f t="shared" ref="AJ50:AJ55" si="72">X50-AG50</f>
        <v>69630716</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3">
        <v>1130109</v>
      </c>
      <c r="B51" s="645" t="s">
        <v>172</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706" t="s">
        <v>171</v>
      </c>
      <c r="T51" s="682" t="s">
        <v>410</v>
      </c>
      <c r="U51" s="398">
        <v>75101971</v>
      </c>
      <c r="V51" s="15">
        <f t="shared" si="65"/>
        <v>0</v>
      </c>
      <c r="W51" s="15">
        <f t="shared" si="65"/>
        <v>0</v>
      </c>
      <c r="X51" s="16">
        <f t="shared" si="66"/>
        <v>75101971</v>
      </c>
      <c r="Y51" s="19">
        <v>0</v>
      </c>
      <c r="Z51" s="374">
        <v>4584890</v>
      </c>
      <c r="AA51" s="16">
        <f t="shared" si="67"/>
        <v>4584890</v>
      </c>
      <c r="AB51" s="19">
        <v>0</v>
      </c>
      <c r="AC51" s="374">
        <v>4584890</v>
      </c>
      <c r="AD51" s="18">
        <f t="shared" si="68"/>
        <v>4584890</v>
      </c>
      <c r="AE51" s="19">
        <v>0</v>
      </c>
      <c r="AF51" s="374">
        <v>4584890</v>
      </c>
      <c r="AG51" s="16">
        <f t="shared" si="69"/>
        <v>4584890</v>
      </c>
      <c r="AH51" s="19">
        <f t="shared" si="70"/>
        <v>70517081</v>
      </c>
      <c r="AI51" s="15">
        <f t="shared" si="71"/>
        <v>70517081</v>
      </c>
      <c r="AJ51" s="16">
        <f t="shared" si="72"/>
        <v>70517081</v>
      </c>
      <c r="AK51" s="9"/>
      <c r="AL51" s="372">
        <v>0</v>
      </c>
      <c r="AM51" s="375">
        <v>0</v>
      </c>
      <c r="AN51" s="9"/>
      <c r="AO51" s="294"/>
      <c r="AP51" s="294"/>
      <c r="AQ51" s="294"/>
      <c r="AR51" s="294"/>
      <c r="AS51" s="294"/>
      <c r="AT51" s="294"/>
      <c r="AU51" s="294"/>
      <c r="AV51" s="294"/>
      <c r="AW51" s="294"/>
      <c r="AX51" s="294"/>
      <c r="AY51" s="294"/>
      <c r="AZ51" s="294"/>
      <c r="BB51" s="422"/>
      <c r="BC51" s="422"/>
      <c r="BD51" s="422"/>
      <c r="BE51" s="422"/>
    </row>
    <row r="52" spans="1:70" s="422" customFormat="1" ht="24.95" customHeight="1">
      <c r="A52" s="611" t="s">
        <v>174</v>
      </c>
      <c r="B52" s="646" t="str">
        <f>+CONCATENATE("Vigencia ",INSTRUCCIONES!$F$3)</f>
        <v>Vigencia 2017</v>
      </c>
      <c r="C52" s="372">
        <v>0</v>
      </c>
      <c r="D52" s="373">
        <f>P52</f>
        <v>0</v>
      </c>
      <c r="E52" s="373">
        <f>Q52</f>
        <v>0</v>
      </c>
      <c r="F52" s="373">
        <f>SUM(C52:E52)</f>
        <v>0</v>
      </c>
      <c r="G52" s="373">
        <v>0</v>
      </c>
      <c r="H52" s="374">
        <v>0</v>
      </c>
      <c r="I52" s="373">
        <f>SUM(G52:H52)</f>
        <v>0</v>
      </c>
      <c r="J52" s="373">
        <v>0</v>
      </c>
      <c r="K52" s="374">
        <v>0</v>
      </c>
      <c r="L52" s="373">
        <f>SUM(J52:K52)</f>
        <v>0</v>
      </c>
      <c r="M52" s="373">
        <f>F52-I52</f>
        <v>0</v>
      </c>
      <c r="N52" s="143">
        <f>F52-L52</f>
        <v>0</v>
      </c>
      <c r="O52" s="382"/>
      <c r="P52" s="372">
        <v>0</v>
      </c>
      <c r="Q52" s="375">
        <v>0</v>
      </c>
      <c r="R52" s="9"/>
      <c r="S52" s="706" t="s">
        <v>173</v>
      </c>
      <c r="T52" s="682" t="s">
        <v>411</v>
      </c>
      <c r="U52" s="398">
        <v>12471386</v>
      </c>
      <c r="V52" s="15">
        <f t="shared" si="65"/>
        <v>0</v>
      </c>
      <c r="W52" s="15">
        <f t="shared" si="65"/>
        <v>0</v>
      </c>
      <c r="X52" s="16">
        <f t="shared" si="66"/>
        <v>12471386</v>
      </c>
      <c r="Y52" s="19">
        <v>0</v>
      </c>
      <c r="Z52" s="374">
        <v>0</v>
      </c>
      <c r="AA52" s="16">
        <f t="shared" si="67"/>
        <v>0</v>
      </c>
      <c r="AB52" s="19">
        <v>0</v>
      </c>
      <c r="AC52" s="374">
        <v>0</v>
      </c>
      <c r="AD52" s="18">
        <f t="shared" si="68"/>
        <v>0</v>
      </c>
      <c r="AE52" s="19">
        <v>0</v>
      </c>
      <c r="AF52" s="374">
        <v>0</v>
      </c>
      <c r="AG52" s="16">
        <f t="shared" si="69"/>
        <v>0</v>
      </c>
      <c r="AH52" s="19">
        <f t="shared" si="70"/>
        <v>12471386</v>
      </c>
      <c r="AI52" s="15">
        <f t="shared" si="71"/>
        <v>12471386</v>
      </c>
      <c r="AJ52" s="16">
        <f t="shared" si="72"/>
        <v>12471386</v>
      </c>
      <c r="AK52" s="9"/>
      <c r="AL52" s="372">
        <v>0</v>
      </c>
      <c r="AM52" s="375">
        <v>0</v>
      </c>
      <c r="AN52" s="9"/>
      <c r="AO52" s="459"/>
      <c r="AP52" s="459"/>
      <c r="AQ52" s="459"/>
      <c r="AR52" s="294"/>
      <c r="AS52" s="458"/>
      <c r="AT52" s="458"/>
      <c r="AU52" s="458"/>
      <c r="AV52" s="458"/>
      <c r="AW52" s="458"/>
      <c r="AX52" s="458"/>
      <c r="AY52" s="458"/>
      <c r="AZ52" s="458"/>
      <c r="BA52" s="382"/>
      <c r="BB52" s="382"/>
      <c r="BC52" s="382"/>
      <c r="BD52" s="382"/>
      <c r="BE52" s="382"/>
      <c r="BF52" s="382"/>
      <c r="BG52" s="382"/>
      <c r="BH52" s="382"/>
      <c r="BI52" s="382"/>
      <c r="BJ52" s="382"/>
      <c r="BK52" s="382"/>
      <c r="BL52" s="382"/>
      <c r="BM52" s="382"/>
      <c r="BN52" s="382"/>
      <c r="BO52" s="382"/>
      <c r="BP52" s="382"/>
      <c r="BQ52" s="382"/>
      <c r="BR52" s="382"/>
    </row>
    <row r="53" spans="1:70" s="422" customFormat="1" ht="24.95" customHeight="1">
      <c r="A53" s="611" t="s">
        <v>176</v>
      </c>
      <c r="B53" s="646" t="s">
        <v>566</v>
      </c>
      <c r="C53" s="372">
        <v>0</v>
      </c>
      <c r="D53" s="373">
        <f>P53</f>
        <v>0</v>
      </c>
      <c r="E53" s="373">
        <f>Q53</f>
        <v>0</v>
      </c>
      <c r="F53" s="373">
        <f>SUM(C53:E53)</f>
        <v>0</v>
      </c>
      <c r="G53" s="373">
        <v>0</v>
      </c>
      <c r="H53" s="374">
        <v>0</v>
      </c>
      <c r="I53" s="373">
        <f>SUM(G53:H53)</f>
        <v>0</v>
      </c>
      <c r="J53" s="373">
        <v>0</v>
      </c>
      <c r="K53" s="374">
        <v>0</v>
      </c>
      <c r="L53" s="373">
        <f>SUM(J53:K53)</f>
        <v>0</v>
      </c>
      <c r="M53" s="373">
        <f>F53-I53</f>
        <v>0</v>
      </c>
      <c r="N53" s="143">
        <f>F53-L53</f>
        <v>0</v>
      </c>
      <c r="O53" s="382"/>
      <c r="P53" s="372">
        <v>0</v>
      </c>
      <c r="Q53" s="375">
        <v>0</v>
      </c>
      <c r="R53" s="9"/>
      <c r="S53" s="706" t="s">
        <v>175</v>
      </c>
      <c r="T53" s="682" t="s">
        <v>537</v>
      </c>
      <c r="U53" s="398">
        <v>15124020</v>
      </c>
      <c r="V53" s="15">
        <f t="shared" si="65"/>
        <v>0</v>
      </c>
      <c r="W53" s="15">
        <f t="shared" si="65"/>
        <v>0</v>
      </c>
      <c r="X53" s="16">
        <f t="shared" si="66"/>
        <v>15124020</v>
      </c>
      <c r="Y53" s="19">
        <v>0</v>
      </c>
      <c r="Z53" s="374">
        <v>193350</v>
      </c>
      <c r="AA53" s="16">
        <f t="shared" si="67"/>
        <v>193350</v>
      </c>
      <c r="AB53" s="19">
        <v>0</v>
      </c>
      <c r="AC53" s="374">
        <v>193350</v>
      </c>
      <c r="AD53" s="18">
        <f t="shared" si="68"/>
        <v>193350</v>
      </c>
      <c r="AE53" s="19">
        <v>0</v>
      </c>
      <c r="AF53" s="374">
        <v>193350</v>
      </c>
      <c r="AG53" s="16">
        <f t="shared" si="69"/>
        <v>193350</v>
      </c>
      <c r="AH53" s="19">
        <f t="shared" si="70"/>
        <v>14930670</v>
      </c>
      <c r="AI53" s="15">
        <f t="shared" si="71"/>
        <v>14930670</v>
      </c>
      <c r="AJ53" s="16">
        <f t="shared" si="72"/>
        <v>14930670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3">
        <v>1130110</v>
      </c>
      <c r="B54" s="645" t="s">
        <v>178</v>
      </c>
      <c r="C54" s="43">
        <f t="shared" ref="C54:N54" si="74">SUM(C55:C56)</f>
        <v>0</v>
      </c>
      <c r="D54" s="44">
        <f t="shared" si="74"/>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706" t="s">
        <v>177</v>
      </c>
      <c r="T54" s="682" t="s">
        <v>412</v>
      </c>
      <c r="U54" s="398">
        <v>7287660</v>
      </c>
      <c r="V54" s="15">
        <f t="shared" si="65"/>
        <v>0</v>
      </c>
      <c r="W54" s="15">
        <f t="shared" si="65"/>
        <v>0</v>
      </c>
      <c r="X54" s="16">
        <f t="shared" si="66"/>
        <v>7287660</v>
      </c>
      <c r="Y54" s="19">
        <v>0</v>
      </c>
      <c r="Z54" s="374">
        <v>1519125</v>
      </c>
      <c r="AA54" s="16">
        <f t="shared" si="67"/>
        <v>1519125</v>
      </c>
      <c r="AB54" s="19">
        <v>0</v>
      </c>
      <c r="AC54" s="374">
        <v>1519125</v>
      </c>
      <c r="AD54" s="18">
        <f t="shared" si="68"/>
        <v>1519125</v>
      </c>
      <c r="AE54" s="19">
        <v>0</v>
      </c>
      <c r="AF54" s="374">
        <v>1519125</v>
      </c>
      <c r="AG54" s="16">
        <f t="shared" si="69"/>
        <v>1519125</v>
      </c>
      <c r="AH54" s="19">
        <f t="shared" si="70"/>
        <v>5768535</v>
      </c>
      <c r="AI54" s="15">
        <f t="shared" si="71"/>
        <v>5768535</v>
      </c>
      <c r="AJ54" s="16">
        <f t="shared" si="72"/>
        <v>5768535</v>
      </c>
      <c r="AK54" s="9"/>
      <c r="AL54" s="372">
        <v>0</v>
      </c>
      <c r="AM54" s="375">
        <v>0</v>
      </c>
      <c r="AN54" s="9"/>
      <c r="AO54" s="294"/>
      <c r="AP54" s="294"/>
      <c r="AQ54" s="294"/>
      <c r="AR54" s="294"/>
      <c r="AS54" s="294"/>
      <c r="AT54" s="294"/>
      <c r="AU54" s="294"/>
      <c r="AV54" s="294"/>
      <c r="AW54" s="294"/>
      <c r="AX54" s="294"/>
      <c r="AY54" s="294"/>
      <c r="AZ54" s="294"/>
      <c r="BB54" s="422"/>
      <c r="BC54" s="422"/>
      <c r="BD54" s="422"/>
      <c r="BE54" s="422"/>
    </row>
    <row r="55" spans="1:70" s="422" customFormat="1" ht="24.95" customHeight="1">
      <c r="A55" s="611" t="s">
        <v>179</v>
      </c>
      <c r="B55" s="646" t="str">
        <f>+CONCATENATE("Vigencia ",INSTRUCCIONES!$F$3)</f>
        <v>Vigencia 2017</v>
      </c>
      <c r="C55" s="372">
        <v>0</v>
      </c>
      <c r="D55" s="373">
        <f>P55</f>
        <v>0</v>
      </c>
      <c r="E55" s="373">
        <f>Q55</f>
        <v>0</v>
      </c>
      <c r="F55" s="373">
        <f>SUM(C55:E55)</f>
        <v>0</v>
      </c>
      <c r="G55" s="373">
        <v>0</v>
      </c>
      <c r="H55" s="374">
        <v>0</v>
      </c>
      <c r="I55" s="373">
        <f>SUM(G55:H55)</f>
        <v>0</v>
      </c>
      <c r="J55" s="373">
        <v>0</v>
      </c>
      <c r="K55" s="374">
        <v>0</v>
      </c>
      <c r="L55" s="373">
        <f>SUM(J55:K55)</f>
        <v>0</v>
      </c>
      <c r="M55" s="373">
        <f>F55-I55</f>
        <v>0</v>
      </c>
      <c r="N55" s="143">
        <f>F55-L55</f>
        <v>0</v>
      </c>
      <c r="O55" s="382"/>
      <c r="P55" s="372">
        <v>0</v>
      </c>
      <c r="Q55" s="375">
        <v>0</v>
      </c>
      <c r="R55" s="9"/>
      <c r="S55" s="705">
        <v>1010399</v>
      </c>
      <c r="T55" s="681" t="s">
        <v>129</v>
      </c>
      <c r="U55" s="398">
        <v>0</v>
      </c>
      <c r="V55" s="15">
        <f t="shared" si="65"/>
        <v>0</v>
      </c>
      <c r="W55" s="15">
        <f t="shared" si="65"/>
        <v>0</v>
      </c>
      <c r="X55" s="16">
        <f t="shared" si="66"/>
        <v>0</v>
      </c>
      <c r="Y55" s="19">
        <v>0</v>
      </c>
      <c r="Z55" s="374">
        <v>0</v>
      </c>
      <c r="AA55" s="16">
        <f t="shared" si="67"/>
        <v>0</v>
      </c>
      <c r="AB55" s="19">
        <v>0</v>
      </c>
      <c r="AC55" s="374">
        <v>0</v>
      </c>
      <c r="AD55" s="18">
        <f t="shared" si="68"/>
        <v>0</v>
      </c>
      <c r="AE55" s="19">
        <v>0</v>
      </c>
      <c r="AF55" s="374">
        <v>0</v>
      </c>
      <c r="AG55" s="16">
        <f t="shared" si="69"/>
        <v>0</v>
      </c>
      <c r="AH55" s="19">
        <f t="shared" si="70"/>
        <v>0</v>
      </c>
      <c r="AI55" s="15">
        <f t="shared" si="71"/>
        <v>0</v>
      </c>
      <c r="AJ55" s="16">
        <f t="shared" si="72"/>
        <v>0</v>
      </c>
      <c r="AK55" s="9"/>
      <c r="AL55" s="372">
        <v>0</v>
      </c>
      <c r="AM55" s="375">
        <v>0</v>
      </c>
      <c r="AN55" s="9"/>
      <c r="AO55" s="294"/>
      <c r="AP55" s="457"/>
      <c r="AQ55" s="294"/>
      <c r="AR55" s="294"/>
      <c r="AS55" s="294"/>
      <c r="AT55" s="294"/>
      <c r="AU55" s="294"/>
      <c r="AV55" s="294"/>
      <c r="AW55" s="294"/>
      <c r="AX55" s="294"/>
      <c r="AY55" s="294"/>
      <c r="AZ55" s="294"/>
      <c r="BA55" s="382"/>
      <c r="BB55" s="382"/>
      <c r="BC55" s="382"/>
      <c r="BD55" s="382"/>
      <c r="BE55" s="382"/>
      <c r="BF55" s="382"/>
      <c r="BG55" s="382"/>
      <c r="BH55" s="382"/>
      <c r="BI55" s="382"/>
      <c r="BJ55" s="382"/>
      <c r="BK55" s="382"/>
      <c r="BL55" s="382"/>
      <c r="BM55" s="382"/>
      <c r="BN55" s="382"/>
      <c r="BO55" s="382"/>
      <c r="BP55" s="382"/>
      <c r="BQ55" s="382"/>
      <c r="BR55" s="382"/>
    </row>
    <row r="56" spans="1:70" s="422" customFormat="1" ht="24.95" customHeight="1">
      <c r="A56" s="611" t="s">
        <v>180</v>
      </c>
      <c r="B56" s="646" t="s">
        <v>566</v>
      </c>
      <c r="C56" s="372">
        <v>0</v>
      </c>
      <c r="D56" s="373">
        <f>P56</f>
        <v>0</v>
      </c>
      <c r="E56" s="373">
        <f>Q56</f>
        <v>0</v>
      </c>
      <c r="F56" s="373">
        <f>SUM(C56:E56)</f>
        <v>0</v>
      </c>
      <c r="G56" s="373">
        <v>0</v>
      </c>
      <c r="H56" s="374">
        <v>0</v>
      </c>
      <c r="I56" s="373">
        <f>SUM(G56:H56)</f>
        <v>0</v>
      </c>
      <c r="J56" s="373">
        <v>0</v>
      </c>
      <c r="K56" s="374">
        <v>0</v>
      </c>
      <c r="L56" s="373">
        <f>SUM(J56:K56)</f>
        <v>0</v>
      </c>
      <c r="M56" s="373">
        <f>F56-I56</f>
        <v>0</v>
      </c>
      <c r="N56" s="143">
        <f>F56-L56</f>
        <v>0</v>
      </c>
      <c r="O56" s="382"/>
      <c r="P56" s="372">
        <v>0</v>
      </c>
      <c r="Q56" s="375">
        <v>0</v>
      </c>
      <c r="R56" s="9"/>
      <c r="S56" s="366"/>
      <c r="T56" s="677"/>
      <c r="U56" s="200"/>
      <c r="V56" s="161"/>
      <c r="W56" s="161"/>
      <c r="X56" s="166"/>
      <c r="Y56" s="367"/>
      <c r="Z56" s="161"/>
      <c r="AA56" s="166"/>
      <c r="AB56" s="367"/>
      <c r="AC56" s="161"/>
      <c r="AD56" s="161"/>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3">
        <v>1130111</v>
      </c>
      <c r="B57" s="645" t="s">
        <v>182</v>
      </c>
      <c r="C57" s="43">
        <f t="shared" ref="C57:N57" si="75">SUM(C58:C59)</f>
        <v>133639169</v>
      </c>
      <c r="D57" s="44">
        <f t="shared" si="75"/>
        <v>0</v>
      </c>
      <c r="E57" s="44">
        <f t="shared" si="75"/>
        <v>0</v>
      </c>
      <c r="F57" s="44">
        <f t="shared" si="75"/>
        <v>133639169</v>
      </c>
      <c r="G57" s="44">
        <f t="shared" si="75"/>
        <v>0</v>
      </c>
      <c r="H57" s="44">
        <f t="shared" si="75"/>
        <v>0</v>
      </c>
      <c r="I57" s="44">
        <f t="shared" si="75"/>
        <v>0</v>
      </c>
      <c r="J57" s="44">
        <f t="shared" si="75"/>
        <v>0</v>
      </c>
      <c r="K57" s="44">
        <f t="shared" si="75"/>
        <v>0</v>
      </c>
      <c r="L57" s="44">
        <f t="shared" si="75"/>
        <v>0</v>
      </c>
      <c r="M57" s="44">
        <f t="shared" si="75"/>
        <v>133639169</v>
      </c>
      <c r="N57" s="45">
        <f t="shared" si="75"/>
        <v>133639169</v>
      </c>
      <c r="P57" s="43">
        <f>SUM(P58:P59)</f>
        <v>0</v>
      </c>
      <c r="Q57" s="45">
        <f>SUM(Q58:Q59)</f>
        <v>0</v>
      </c>
      <c r="R57" s="9"/>
      <c r="S57" s="704">
        <v>1010400</v>
      </c>
      <c r="T57" s="680" t="s">
        <v>181</v>
      </c>
      <c r="U57" s="132">
        <f t="shared" ref="U57:AJ57" si="76">U58+U61</f>
        <v>31192586</v>
      </c>
      <c r="V57" s="122">
        <f t="shared" si="76"/>
        <v>0</v>
      </c>
      <c r="W57" s="122">
        <f t="shared" si="76"/>
        <v>0</v>
      </c>
      <c r="X57" s="130">
        <f t="shared" si="76"/>
        <v>31192586</v>
      </c>
      <c r="Y57" s="128">
        <f t="shared" si="76"/>
        <v>0</v>
      </c>
      <c r="Z57" s="122">
        <f t="shared" si="76"/>
        <v>1901241</v>
      </c>
      <c r="AA57" s="130">
        <f t="shared" si="76"/>
        <v>1901241</v>
      </c>
      <c r="AB57" s="128">
        <f t="shared" si="76"/>
        <v>0</v>
      </c>
      <c r="AC57" s="122">
        <f t="shared" si="76"/>
        <v>1901241</v>
      </c>
      <c r="AD57" s="129">
        <f t="shared" si="76"/>
        <v>1901241</v>
      </c>
      <c r="AE57" s="128">
        <f t="shared" si="76"/>
        <v>0</v>
      </c>
      <c r="AF57" s="122">
        <f t="shared" si="76"/>
        <v>1901241</v>
      </c>
      <c r="AG57" s="130">
        <f t="shared" si="76"/>
        <v>1901241</v>
      </c>
      <c r="AH57" s="128">
        <f t="shared" si="76"/>
        <v>29291345</v>
      </c>
      <c r="AI57" s="122">
        <f t="shared" si="76"/>
        <v>29291345</v>
      </c>
      <c r="AJ57" s="130">
        <f t="shared" si="76"/>
        <v>29291345</v>
      </c>
      <c r="AK57" s="9"/>
      <c r="AL57" s="128">
        <f>AL58+AL61</f>
        <v>0</v>
      </c>
      <c r="AM57" s="130">
        <f>AM58+AM61</f>
        <v>0</v>
      </c>
      <c r="AN57" s="9"/>
      <c r="AO57" s="294"/>
      <c r="AP57" s="294"/>
      <c r="AQ57" s="294"/>
      <c r="AR57" s="294"/>
      <c r="AS57" s="294"/>
      <c r="AT57" s="294"/>
      <c r="AU57" s="294"/>
      <c r="AV57" s="294"/>
      <c r="AW57" s="294"/>
      <c r="AX57" s="294"/>
      <c r="AY57" s="294"/>
      <c r="AZ57" s="294"/>
      <c r="BB57" s="422"/>
      <c r="BC57" s="422"/>
      <c r="BD57" s="422"/>
      <c r="BE57" s="422"/>
    </row>
    <row r="58" spans="1:70" s="422" customFormat="1" ht="24.95" customHeight="1">
      <c r="A58" s="611" t="s">
        <v>183</v>
      </c>
      <c r="B58" s="646" t="str">
        <f>+CONCATENATE("Vigencia ",INSTRUCCIONES!$F$3)</f>
        <v>Vigencia 2017</v>
      </c>
      <c r="C58" s="372">
        <v>133639169</v>
      </c>
      <c r="D58" s="373">
        <f>P58</f>
        <v>0</v>
      </c>
      <c r="E58" s="373">
        <f>Q58</f>
        <v>0</v>
      </c>
      <c r="F58" s="373">
        <f>SUM(C58:E58)</f>
        <v>133639169</v>
      </c>
      <c r="G58" s="373">
        <v>0</v>
      </c>
      <c r="H58" s="374">
        <v>0</v>
      </c>
      <c r="I58" s="373">
        <f>SUM(G58:H58)</f>
        <v>0</v>
      </c>
      <c r="J58" s="373">
        <v>0</v>
      </c>
      <c r="K58" s="374">
        <v>0</v>
      </c>
      <c r="L58" s="373">
        <f>SUM(J58:K58)</f>
        <v>0</v>
      </c>
      <c r="M58" s="373">
        <f>F58-I58</f>
        <v>133639169</v>
      </c>
      <c r="N58" s="143">
        <f>F58-L58</f>
        <v>133639169</v>
      </c>
      <c r="O58" s="382"/>
      <c r="P58" s="372">
        <v>0</v>
      </c>
      <c r="Q58" s="375">
        <v>0</v>
      </c>
      <c r="R58" s="9"/>
      <c r="S58" s="705">
        <v>1010402</v>
      </c>
      <c r="T58" s="681" t="s">
        <v>169</v>
      </c>
      <c r="U58" s="17">
        <f t="shared" ref="U58:AJ58" si="77">SUM(U59:U60)</f>
        <v>31192586</v>
      </c>
      <c r="V58" s="15">
        <f t="shared" si="77"/>
        <v>0</v>
      </c>
      <c r="W58" s="15">
        <f t="shared" si="77"/>
        <v>0</v>
      </c>
      <c r="X58" s="16">
        <f t="shared" si="77"/>
        <v>31192586</v>
      </c>
      <c r="Y58" s="19">
        <f t="shared" si="77"/>
        <v>0</v>
      </c>
      <c r="Z58" s="142">
        <f t="shared" si="77"/>
        <v>1901241</v>
      </c>
      <c r="AA58" s="16">
        <f t="shared" si="77"/>
        <v>1901241</v>
      </c>
      <c r="AB58" s="19">
        <f t="shared" si="77"/>
        <v>0</v>
      </c>
      <c r="AC58" s="142">
        <f t="shared" si="77"/>
        <v>1901241</v>
      </c>
      <c r="AD58" s="18">
        <f t="shared" si="77"/>
        <v>1901241</v>
      </c>
      <c r="AE58" s="19">
        <f t="shared" si="77"/>
        <v>0</v>
      </c>
      <c r="AF58" s="142">
        <f t="shared" si="77"/>
        <v>1901241</v>
      </c>
      <c r="AG58" s="16">
        <f t="shared" si="77"/>
        <v>1901241</v>
      </c>
      <c r="AH58" s="19">
        <f t="shared" si="77"/>
        <v>29291345</v>
      </c>
      <c r="AI58" s="15">
        <f t="shared" si="77"/>
        <v>29291345</v>
      </c>
      <c r="AJ58" s="16">
        <f t="shared" si="77"/>
        <v>29291345</v>
      </c>
      <c r="AK58" s="9"/>
      <c r="AL58" s="29">
        <f>SUM(AL59:AL60)</f>
        <v>0</v>
      </c>
      <c r="AM58" s="26">
        <f>SUM(AM59:AM60)</f>
        <v>0</v>
      </c>
      <c r="AN58" s="9"/>
      <c r="AO58" s="458"/>
      <c r="AP58" s="457"/>
      <c r="AQ58" s="294"/>
      <c r="AR58" s="294"/>
      <c r="AS58" s="294"/>
      <c r="AT58" s="294"/>
      <c r="AU58" s="294"/>
      <c r="AV58" s="294"/>
      <c r="AW58" s="294"/>
      <c r="AX58" s="294"/>
      <c r="AY58" s="294"/>
      <c r="AZ58" s="294"/>
      <c r="BA58" s="382"/>
      <c r="BB58" s="382"/>
      <c r="BC58" s="382"/>
      <c r="BD58" s="382"/>
      <c r="BE58" s="382"/>
      <c r="BF58" s="382"/>
      <c r="BG58" s="382"/>
      <c r="BH58" s="382"/>
      <c r="BI58" s="382"/>
      <c r="BJ58" s="382"/>
      <c r="BK58" s="382"/>
      <c r="BL58" s="382"/>
      <c r="BM58" s="382"/>
      <c r="BN58" s="382"/>
      <c r="BO58" s="382"/>
      <c r="BP58" s="382"/>
      <c r="BQ58" s="382"/>
      <c r="BR58" s="382"/>
    </row>
    <row r="59" spans="1:70" s="422" customFormat="1" ht="24.95" customHeight="1">
      <c r="A59" s="611" t="s">
        <v>185</v>
      </c>
      <c r="B59" s="646" t="s">
        <v>566</v>
      </c>
      <c r="C59" s="372">
        <v>0</v>
      </c>
      <c r="D59" s="373">
        <f>P59</f>
        <v>0</v>
      </c>
      <c r="E59" s="373">
        <f>Q59</f>
        <v>0</v>
      </c>
      <c r="F59" s="373">
        <f>SUM(C59:E59)</f>
        <v>0</v>
      </c>
      <c r="G59" s="373">
        <v>0</v>
      </c>
      <c r="H59" s="374">
        <v>0</v>
      </c>
      <c r="I59" s="373">
        <f>SUM(G59:H59)</f>
        <v>0</v>
      </c>
      <c r="J59" s="373">
        <v>0</v>
      </c>
      <c r="K59" s="374">
        <v>0</v>
      </c>
      <c r="L59" s="373">
        <f>SUM(J59:K59)</f>
        <v>0</v>
      </c>
      <c r="M59" s="373">
        <f>F59-I59</f>
        <v>0</v>
      </c>
      <c r="N59" s="143">
        <f>F59-L59</f>
        <v>0</v>
      </c>
      <c r="O59" s="382"/>
      <c r="P59" s="372">
        <v>0</v>
      </c>
      <c r="Q59" s="375">
        <v>0</v>
      </c>
      <c r="R59" s="9"/>
      <c r="S59" s="706" t="s">
        <v>184</v>
      </c>
      <c r="T59" s="682" t="s">
        <v>413</v>
      </c>
      <c r="U59" s="398">
        <v>18775492</v>
      </c>
      <c r="V59" s="15">
        <f t="shared" ref="V59:W61" si="78">AL59</f>
        <v>0</v>
      </c>
      <c r="W59" s="15">
        <f t="shared" si="78"/>
        <v>0</v>
      </c>
      <c r="X59" s="16">
        <f>SUM(U59:W59)</f>
        <v>18775492</v>
      </c>
      <c r="Y59" s="19">
        <v>0</v>
      </c>
      <c r="Z59" s="374">
        <v>760140</v>
      </c>
      <c r="AA59" s="16">
        <f>SUM(Y59:Z59)</f>
        <v>760140</v>
      </c>
      <c r="AB59" s="19">
        <v>0</v>
      </c>
      <c r="AC59" s="374">
        <v>760140</v>
      </c>
      <c r="AD59" s="18">
        <f>SUM(AB59:AC59)</f>
        <v>760140</v>
      </c>
      <c r="AE59" s="19">
        <v>0</v>
      </c>
      <c r="AF59" s="374">
        <v>760140</v>
      </c>
      <c r="AG59" s="16">
        <f>SUM(AE59:AF59)</f>
        <v>760140</v>
      </c>
      <c r="AH59" s="19">
        <f>X59-AA59</f>
        <v>18015352</v>
      </c>
      <c r="AI59" s="15">
        <f>X59-AD59</f>
        <v>18015352</v>
      </c>
      <c r="AJ59" s="16">
        <f>X59-AG59</f>
        <v>18015352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3">
        <v>1130112</v>
      </c>
      <c r="B60" s="645" t="s">
        <v>187</v>
      </c>
      <c r="C60" s="43">
        <f t="shared" ref="C60:N60" si="79">SUM(C61:C62)</f>
        <v>45194994</v>
      </c>
      <c r="D60" s="44">
        <f t="shared" si="79"/>
        <v>0</v>
      </c>
      <c r="E60" s="44">
        <f t="shared" si="79"/>
        <v>0</v>
      </c>
      <c r="F60" s="44">
        <f t="shared" si="79"/>
        <v>45194994</v>
      </c>
      <c r="G60" s="44">
        <f t="shared" si="79"/>
        <v>0</v>
      </c>
      <c r="H60" s="44">
        <f t="shared" si="79"/>
        <v>229102295</v>
      </c>
      <c r="I60" s="44">
        <f t="shared" si="79"/>
        <v>229102295</v>
      </c>
      <c r="J60" s="44">
        <f t="shared" si="79"/>
        <v>0</v>
      </c>
      <c r="K60" s="44">
        <f t="shared" si="79"/>
        <v>95525</v>
      </c>
      <c r="L60" s="44">
        <f t="shared" si="79"/>
        <v>95525</v>
      </c>
      <c r="M60" s="44">
        <f t="shared" si="79"/>
        <v>-183907301</v>
      </c>
      <c r="N60" s="45">
        <f t="shared" si="79"/>
        <v>45099469</v>
      </c>
      <c r="P60" s="43">
        <f>SUM(P61:P62)</f>
        <v>0</v>
      </c>
      <c r="Q60" s="45">
        <f>SUM(Q61:Q62)</f>
        <v>0</v>
      </c>
      <c r="R60" s="9"/>
      <c r="S60" s="706" t="s">
        <v>186</v>
      </c>
      <c r="T60" s="682" t="s">
        <v>414</v>
      </c>
      <c r="U60" s="398">
        <v>12417094</v>
      </c>
      <c r="V60" s="15">
        <f t="shared" si="78"/>
        <v>0</v>
      </c>
      <c r="W60" s="15">
        <f t="shared" si="78"/>
        <v>0</v>
      </c>
      <c r="X60" s="16">
        <f>SUM(U60:W60)</f>
        <v>12417094</v>
      </c>
      <c r="Y60" s="19">
        <v>0</v>
      </c>
      <c r="Z60" s="374">
        <v>1141101</v>
      </c>
      <c r="AA60" s="16">
        <f>SUM(Y60:Z60)</f>
        <v>1141101</v>
      </c>
      <c r="AB60" s="19">
        <v>0</v>
      </c>
      <c r="AC60" s="374">
        <v>1141101</v>
      </c>
      <c r="AD60" s="18">
        <f>SUM(AB60:AC60)</f>
        <v>1141101</v>
      </c>
      <c r="AE60" s="19">
        <v>0</v>
      </c>
      <c r="AF60" s="374">
        <v>1141101</v>
      </c>
      <c r="AG60" s="16">
        <f>SUM(AE60:AF60)</f>
        <v>1141101</v>
      </c>
      <c r="AH60" s="19">
        <f>X60-AA60</f>
        <v>11275993</v>
      </c>
      <c r="AI60" s="15">
        <f>X60-AD60</f>
        <v>11275993</v>
      </c>
      <c r="AJ60" s="16">
        <f>X60-AG60</f>
        <v>11275993</v>
      </c>
      <c r="AK60" s="9"/>
      <c r="AL60" s="372">
        <v>0</v>
      </c>
      <c r="AM60" s="375">
        <v>0</v>
      </c>
      <c r="AN60" s="9"/>
      <c r="AO60" s="294"/>
      <c r="AP60" s="294"/>
      <c r="AQ60" s="294"/>
      <c r="AR60" s="294"/>
      <c r="AS60" s="294"/>
      <c r="AT60" s="294"/>
      <c r="AU60" s="294"/>
      <c r="AV60" s="294"/>
      <c r="AW60" s="294"/>
      <c r="AX60" s="294"/>
      <c r="AY60" s="294"/>
      <c r="AZ60" s="294"/>
      <c r="BB60" s="422"/>
      <c r="BC60" s="422"/>
      <c r="BD60" s="422"/>
      <c r="BE60" s="422"/>
    </row>
    <row r="61" spans="1:70" s="422" customFormat="1" ht="24.95" customHeight="1">
      <c r="A61" s="611" t="s">
        <v>188</v>
      </c>
      <c r="B61" s="646" t="str">
        <f>+CONCATENATE("Vigencia ",INSTRUCCIONES!$F$3)</f>
        <v>Vigencia 2017</v>
      </c>
      <c r="C61" s="372">
        <v>45194994</v>
      </c>
      <c r="D61" s="373">
        <f>P61</f>
        <v>0</v>
      </c>
      <c r="E61" s="373">
        <f>Q61</f>
        <v>0</v>
      </c>
      <c r="F61" s="373">
        <f>SUM(C61:E61)</f>
        <v>45194994</v>
      </c>
      <c r="G61" s="373">
        <v>0</v>
      </c>
      <c r="H61" s="813">
        <v>229006770</v>
      </c>
      <c r="I61" s="373">
        <f>SUM(G61:H61)</f>
        <v>229006770</v>
      </c>
      <c r="J61" s="373">
        <v>0</v>
      </c>
      <c r="K61" s="374">
        <v>0</v>
      </c>
      <c r="L61" s="373">
        <f>SUM(J61:K61)</f>
        <v>0</v>
      </c>
      <c r="M61" s="373">
        <f>F61-I61</f>
        <v>-183811776</v>
      </c>
      <c r="N61" s="143">
        <f>F61-L61</f>
        <v>45194994</v>
      </c>
      <c r="O61" s="382"/>
      <c r="P61" s="372">
        <v>0</v>
      </c>
      <c r="Q61" s="375">
        <v>0</v>
      </c>
      <c r="R61" s="9"/>
      <c r="S61" s="705">
        <v>1010499</v>
      </c>
      <c r="T61" s="681" t="s">
        <v>129</v>
      </c>
      <c r="U61" s="398">
        <v>0</v>
      </c>
      <c r="V61" s="15">
        <f t="shared" si="78"/>
        <v>0</v>
      </c>
      <c r="W61" s="15">
        <f t="shared" si="78"/>
        <v>0</v>
      </c>
      <c r="X61" s="16">
        <f>SUM(U61:W61)</f>
        <v>0</v>
      </c>
      <c r="Y61" s="19">
        <v>0</v>
      </c>
      <c r="Z61" s="374">
        <v>0</v>
      </c>
      <c r="AA61" s="16">
        <f>SUM(Y61:Z61)</f>
        <v>0</v>
      </c>
      <c r="AB61" s="19">
        <v>0</v>
      </c>
      <c r="AC61" s="374">
        <v>0</v>
      </c>
      <c r="AD61" s="18">
        <f>SUM(AB61:AC61)</f>
        <v>0</v>
      </c>
      <c r="AE61" s="19">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B61" s="382"/>
      <c r="BC61" s="382"/>
      <c r="BD61" s="382"/>
      <c r="BE61" s="382"/>
      <c r="BF61" s="382"/>
      <c r="BG61" s="382"/>
      <c r="BH61" s="382"/>
      <c r="BI61" s="382"/>
      <c r="BJ61" s="382"/>
      <c r="BK61" s="382"/>
      <c r="BL61" s="382"/>
      <c r="BM61" s="382"/>
      <c r="BN61" s="382"/>
      <c r="BO61" s="382"/>
      <c r="BP61" s="382"/>
      <c r="BQ61" s="382"/>
      <c r="BR61" s="382"/>
    </row>
    <row r="62" spans="1:70" s="422" customFormat="1" ht="24.95" customHeight="1">
      <c r="A62" s="611" t="s">
        <v>189</v>
      </c>
      <c r="B62" s="646" t="s">
        <v>566</v>
      </c>
      <c r="C62" s="372">
        <v>0</v>
      </c>
      <c r="D62" s="373">
        <f>P62</f>
        <v>0</v>
      </c>
      <c r="E62" s="373">
        <f>Q62</f>
        <v>0</v>
      </c>
      <c r="F62" s="373">
        <f>SUM(C62:E62)</f>
        <v>0</v>
      </c>
      <c r="G62" s="373">
        <v>0</v>
      </c>
      <c r="H62" s="374">
        <v>95525</v>
      </c>
      <c r="I62" s="373">
        <f>SUM(G62:H62)</f>
        <v>95525</v>
      </c>
      <c r="J62" s="373">
        <v>0</v>
      </c>
      <c r="K62" s="374">
        <v>95525</v>
      </c>
      <c r="L62" s="373">
        <f>SUM(J62:K62)</f>
        <v>95525</v>
      </c>
      <c r="M62" s="373">
        <f>F62-I62</f>
        <v>-95525</v>
      </c>
      <c r="N62" s="143">
        <f>F62-L62</f>
        <v>-95525</v>
      </c>
      <c r="O62" s="382"/>
      <c r="P62" s="372">
        <v>0</v>
      </c>
      <c r="Q62" s="375">
        <v>0</v>
      </c>
      <c r="R62" s="9"/>
      <c r="S62" s="366"/>
      <c r="T62" s="677"/>
      <c r="U62" s="161"/>
      <c r="V62" s="161"/>
      <c r="W62" s="161"/>
      <c r="X62" s="166"/>
      <c r="Y62" s="367"/>
      <c r="Z62" s="161"/>
      <c r="AA62" s="166"/>
      <c r="AB62" s="367"/>
      <c r="AC62" s="161"/>
      <c r="AD62" s="161"/>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3">
        <v>1130113</v>
      </c>
      <c r="B63" s="645" t="s">
        <v>191</v>
      </c>
      <c r="C63" s="43">
        <f t="shared" ref="C63:N63" si="80">SUM(C64:C65)</f>
        <v>5110724757</v>
      </c>
      <c r="D63" s="44">
        <f t="shared" si="80"/>
        <v>0</v>
      </c>
      <c r="E63" s="44">
        <f t="shared" si="80"/>
        <v>21044349</v>
      </c>
      <c r="F63" s="44">
        <f t="shared" si="80"/>
        <v>5131769106</v>
      </c>
      <c r="G63" s="44">
        <f t="shared" si="80"/>
        <v>0</v>
      </c>
      <c r="H63" s="44">
        <f t="shared" si="80"/>
        <v>432001607</v>
      </c>
      <c r="I63" s="44">
        <f t="shared" si="80"/>
        <v>432001607</v>
      </c>
      <c r="J63" s="44">
        <f t="shared" si="80"/>
        <v>0</v>
      </c>
      <c r="K63" s="44">
        <f t="shared" si="80"/>
        <v>161649672</v>
      </c>
      <c r="L63" s="44">
        <f t="shared" si="80"/>
        <v>161649672</v>
      </c>
      <c r="M63" s="44">
        <f t="shared" si="80"/>
        <v>4699767499</v>
      </c>
      <c r="N63" s="45">
        <f t="shared" si="80"/>
        <v>4970119434</v>
      </c>
      <c r="P63" s="43">
        <f>SUM(P64:P65)</f>
        <v>0</v>
      </c>
      <c r="Q63" s="45">
        <f>SUM(Q64:Q65)</f>
        <v>21044349</v>
      </c>
      <c r="R63" s="9"/>
      <c r="S63" s="703">
        <v>1020010</v>
      </c>
      <c r="T63" s="679" t="s">
        <v>190</v>
      </c>
      <c r="U63" s="132">
        <f t="shared" ref="U63:AJ63" si="81">U65+U83+U90+U104</f>
        <v>23745928633</v>
      </c>
      <c r="V63" s="122">
        <f t="shared" si="81"/>
        <v>0</v>
      </c>
      <c r="W63" s="122">
        <f t="shared" si="81"/>
        <v>0</v>
      </c>
      <c r="X63" s="130">
        <f t="shared" si="81"/>
        <v>23745928633</v>
      </c>
      <c r="Y63" s="128">
        <f t="shared" si="81"/>
        <v>0</v>
      </c>
      <c r="Z63" s="122">
        <f t="shared" si="81"/>
        <v>9930851751</v>
      </c>
      <c r="AA63" s="130">
        <f t="shared" si="81"/>
        <v>9930851751</v>
      </c>
      <c r="AB63" s="128">
        <f t="shared" si="81"/>
        <v>0</v>
      </c>
      <c r="AC63" s="122">
        <f t="shared" si="81"/>
        <v>2098336468</v>
      </c>
      <c r="AD63" s="129">
        <f t="shared" si="81"/>
        <v>2098336468</v>
      </c>
      <c r="AE63" s="128">
        <f t="shared" si="81"/>
        <v>0</v>
      </c>
      <c r="AF63" s="122">
        <f t="shared" si="81"/>
        <v>1303531805</v>
      </c>
      <c r="AG63" s="130">
        <f t="shared" si="81"/>
        <v>1303531805</v>
      </c>
      <c r="AH63" s="128">
        <f t="shared" si="81"/>
        <v>13815076882</v>
      </c>
      <c r="AI63" s="122">
        <f t="shared" si="81"/>
        <v>21647592165</v>
      </c>
      <c r="AJ63" s="130">
        <f t="shared" si="81"/>
        <v>22442396828</v>
      </c>
      <c r="AK63" s="9"/>
      <c r="AL63" s="128">
        <f>AL65+AL83+AL90+AL104</f>
        <v>0</v>
      </c>
      <c r="AM63" s="130">
        <f>AM65+AM83+AM90+AM104</f>
        <v>0</v>
      </c>
      <c r="AN63" s="9"/>
      <c r="AO63" s="294"/>
      <c r="AP63" s="294"/>
      <c r="AQ63" s="294"/>
      <c r="AR63" s="294"/>
      <c r="AS63" s="294"/>
      <c r="AT63" s="294"/>
      <c r="AU63" s="294"/>
      <c r="AV63" s="294"/>
      <c r="AW63" s="294"/>
      <c r="AX63" s="294"/>
      <c r="AY63" s="294"/>
      <c r="AZ63" s="294"/>
      <c r="BB63" s="422"/>
      <c r="BC63" s="422"/>
      <c r="BD63" s="422"/>
      <c r="BE63" s="422"/>
    </row>
    <row r="64" spans="1:70" s="422" customFormat="1" ht="24.95" customHeight="1">
      <c r="A64" s="611" t="s">
        <v>192</v>
      </c>
      <c r="B64" s="646" t="str">
        <f>+CONCATENATE("Vigencia ",INSTRUCCIONES!$F$3)</f>
        <v>Vigencia 2017</v>
      </c>
      <c r="C64" s="372">
        <v>5110724757</v>
      </c>
      <c r="D64" s="373">
        <f>P64</f>
        <v>0</v>
      </c>
      <c r="E64" s="373">
        <f>Q64</f>
        <v>0</v>
      </c>
      <c r="F64" s="373">
        <f>SUM(C64:E64)</f>
        <v>5110724757</v>
      </c>
      <c r="G64" s="373">
        <v>0</v>
      </c>
      <c r="H64" s="374">
        <v>270351935</v>
      </c>
      <c r="I64" s="373">
        <f>SUM(G64:H64)</f>
        <v>270351935</v>
      </c>
      <c r="J64" s="373">
        <v>0</v>
      </c>
      <c r="K64" s="374">
        <v>0</v>
      </c>
      <c r="L64" s="373">
        <f>SUM(J64:K64)</f>
        <v>0</v>
      </c>
      <c r="M64" s="373">
        <f>F64-I64</f>
        <v>4840372822</v>
      </c>
      <c r="N64" s="143">
        <f>F64-L64</f>
        <v>5110724757</v>
      </c>
      <c r="O64" s="382"/>
      <c r="P64" s="372">
        <v>0</v>
      </c>
      <c r="Q64" s="375">
        <v>0</v>
      </c>
      <c r="R64" s="9"/>
      <c r="S64" s="366"/>
      <c r="T64" s="677"/>
      <c r="U64" s="161"/>
      <c r="V64" s="161"/>
      <c r="W64" s="161"/>
      <c r="X64" s="166"/>
      <c r="Y64" s="367"/>
      <c r="Z64" s="161"/>
      <c r="AA64" s="166"/>
      <c r="AB64" s="367"/>
      <c r="AC64" s="161"/>
      <c r="AD64" s="161"/>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
        <v>193</v>
      </c>
      <c r="B65" s="646" t="s">
        <v>566</v>
      </c>
      <c r="C65" s="372">
        <v>0</v>
      </c>
      <c r="D65" s="373">
        <f>P65</f>
        <v>0</v>
      </c>
      <c r="E65" s="373">
        <f>Q65</f>
        <v>21044349</v>
      </c>
      <c r="F65" s="373">
        <f>SUM(C65:E65)</f>
        <v>21044349</v>
      </c>
      <c r="G65" s="373">
        <v>0</v>
      </c>
      <c r="H65" s="374">
        <v>161649672</v>
      </c>
      <c r="I65" s="373">
        <f>SUM(G65:H65)</f>
        <v>161649672</v>
      </c>
      <c r="J65" s="373">
        <v>0</v>
      </c>
      <c r="K65" s="374">
        <v>161649672</v>
      </c>
      <c r="L65" s="373">
        <f>SUM(J65:K65)</f>
        <v>161649672</v>
      </c>
      <c r="M65" s="373">
        <f>F65-I65</f>
        <v>-140605323</v>
      </c>
      <c r="N65" s="143">
        <f>F65-L65</f>
        <v>-140605323</v>
      </c>
      <c r="O65" s="382"/>
      <c r="P65" s="372">
        <v>0</v>
      </c>
      <c r="Q65" s="375">
        <v>21044349</v>
      </c>
      <c r="R65" s="9"/>
      <c r="S65" s="704">
        <v>1020100</v>
      </c>
      <c r="T65" s="680" t="s">
        <v>68</v>
      </c>
      <c r="U65" s="132">
        <f t="shared" ref="U65:AJ65" si="82">SUM(U66:U69)+U81</f>
        <v>1210753694</v>
      </c>
      <c r="V65" s="122">
        <f t="shared" si="82"/>
        <v>0</v>
      </c>
      <c r="W65" s="122">
        <f t="shared" si="82"/>
        <v>0</v>
      </c>
      <c r="X65" s="130">
        <f t="shared" si="82"/>
        <v>1210753694</v>
      </c>
      <c r="Y65" s="128">
        <f t="shared" si="82"/>
        <v>0</v>
      </c>
      <c r="Z65" s="122">
        <f t="shared" si="82"/>
        <v>82527238</v>
      </c>
      <c r="AA65" s="130">
        <f t="shared" si="82"/>
        <v>82527238</v>
      </c>
      <c r="AB65" s="128">
        <f t="shared" si="82"/>
        <v>0</v>
      </c>
      <c r="AC65" s="122">
        <f t="shared" si="82"/>
        <v>82527238</v>
      </c>
      <c r="AD65" s="129">
        <f t="shared" si="82"/>
        <v>82527238</v>
      </c>
      <c r="AE65" s="128">
        <f t="shared" si="82"/>
        <v>0</v>
      </c>
      <c r="AF65" s="122">
        <f t="shared" si="82"/>
        <v>82527238</v>
      </c>
      <c r="AG65" s="130">
        <f t="shared" si="82"/>
        <v>82527238</v>
      </c>
      <c r="AH65" s="128">
        <f t="shared" si="82"/>
        <v>1128226456</v>
      </c>
      <c r="AI65" s="122">
        <f t="shared" si="82"/>
        <v>1128226456</v>
      </c>
      <c r="AJ65" s="130">
        <f t="shared" si="82"/>
        <v>1128226456</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3">
        <v>1130114</v>
      </c>
      <c r="B66" s="645" t="s">
        <v>194</v>
      </c>
      <c r="C66" s="43">
        <f t="shared" ref="C66:N66" si="83">SUM(C67:C68)</f>
        <v>0</v>
      </c>
      <c r="D66" s="44">
        <f t="shared" si="83"/>
        <v>0</v>
      </c>
      <c r="E66" s="44">
        <f t="shared" si="83"/>
        <v>0</v>
      </c>
      <c r="F66" s="44">
        <f t="shared" si="83"/>
        <v>0</v>
      </c>
      <c r="G66" s="44">
        <f t="shared" si="83"/>
        <v>0</v>
      </c>
      <c r="H66" s="44">
        <f t="shared" si="83"/>
        <v>71783512</v>
      </c>
      <c r="I66" s="44">
        <f t="shared" si="83"/>
        <v>71783512</v>
      </c>
      <c r="J66" s="44">
        <f t="shared" si="83"/>
        <v>0</v>
      </c>
      <c r="K66" s="44">
        <f t="shared" si="83"/>
        <v>2889705</v>
      </c>
      <c r="L66" s="44">
        <f t="shared" si="83"/>
        <v>2889705</v>
      </c>
      <c r="M66" s="44">
        <f t="shared" si="83"/>
        <v>-71783512</v>
      </c>
      <c r="N66" s="45">
        <f t="shared" si="83"/>
        <v>-2889705</v>
      </c>
      <c r="P66" s="43">
        <f>SUM(P67:P68)</f>
        <v>0</v>
      </c>
      <c r="Q66" s="45">
        <f>SUM(Q67:Q68)</f>
        <v>0</v>
      </c>
      <c r="R66" s="9"/>
      <c r="S66" s="705">
        <v>1020101</v>
      </c>
      <c r="T66" s="681" t="s">
        <v>69</v>
      </c>
      <c r="U66" s="398">
        <v>893219355</v>
      </c>
      <c r="V66" s="15">
        <f t="shared" ref="V66:W68" si="84">AL66</f>
        <v>0</v>
      </c>
      <c r="W66" s="15">
        <f t="shared" si="84"/>
        <v>0</v>
      </c>
      <c r="X66" s="16">
        <f>SUM(U66:W66)</f>
        <v>893219355</v>
      </c>
      <c r="Y66" s="19">
        <v>0</v>
      </c>
      <c r="Z66" s="374">
        <v>63309395</v>
      </c>
      <c r="AA66" s="16">
        <f>SUM(Y66:Z66)</f>
        <v>63309395</v>
      </c>
      <c r="AB66" s="19">
        <v>0</v>
      </c>
      <c r="AC66" s="374">
        <v>63309395</v>
      </c>
      <c r="AD66" s="18">
        <f>SUM(AB66:AC66)</f>
        <v>63309395</v>
      </c>
      <c r="AE66" s="19">
        <v>0</v>
      </c>
      <c r="AF66" s="374">
        <v>63309395</v>
      </c>
      <c r="AG66" s="16">
        <f>SUM(AE66:AF66)</f>
        <v>63309395</v>
      </c>
      <c r="AH66" s="19">
        <f>X66-AA66</f>
        <v>829909960</v>
      </c>
      <c r="AI66" s="15">
        <f>X66-AD66</f>
        <v>829909960</v>
      </c>
      <c r="AJ66" s="16">
        <f>X66-AG66</f>
        <v>829909960</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
        <v>195</v>
      </c>
      <c r="B67" s="646" t="str">
        <f>+CONCATENATE("Vigencia ",INSTRUCCIONES!$F$3)</f>
        <v>Vigencia 2017</v>
      </c>
      <c r="C67" s="372">
        <v>0</v>
      </c>
      <c r="D67" s="373">
        <f>P67</f>
        <v>0</v>
      </c>
      <c r="E67" s="373">
        <f>Q67</f>
        <v>0</v>
      </c>
      <c r="F67" s="373">
        <f>SUM(C67:E67)</f>
        <v>0</v>
      </c>
      <c r="G67" s="373">
        <v>0</v>
      </c>
      <c r="H67" s="813">
        <v>68893807</v>
      </c>
      <c r="I67" s="373">
        <f>SUM(G67:H67)</f>
        <v>68893807</v>
      </c>
      <c r="J67" s="373">
        <v>0</v>
      </c>
      <c r="K67" s="374">
        <v>0</v>
      </c>
      <c r="L67" s="373">
        <f>SUM(J67:K67)</f>
        <v>0</v>
      </c>
      <c r="M67" s="373">
        <f>F67-I67</f>
        <v>-68893807</v>
      </c>
      <c r="N67" s="143">
        <f>F67-L67</f>
        <v>0</v>
      </c>
      <c r="O67" s="382"/>
      <c r="P67" s="372">
        <v>0</v>
      </c>
      <c r="Q67" s="375">
        <v>0</v>
      </c>
      <c r="R67" s="9"/>
      <c r="S67" s="705">
        <v>1020102</v>
      </c>
      <c r="T67" s="681" t="s">
        <v>72</v>
      </c>
      <c r="U67" s="398">
        <v>36988810</v>
      </c>
      <c r="V67" s="15">
        <f t="shared" si="84"/>
        <v>0</v>
      </c>
      <c r="W67" s="15">
        <f t="shared" si="84"/>
        <v>0</v>
      </c>
      <c r="X67" s="16">
        <f>SUM(U67:W67)</f>
        <v>36988810</v>
      </c>
      <c r="Y67" s="19">
        <v>0</v>
      </c>
      <c r="Z67" s="374">
        <v>6841937</v>
      </c>
      <c r="AA67" s="16">
        <f>SUM(Y67:Z67)</f>
        <v>6841937</v>
      </c>
      <c r="AB67" s="19">
        <v>0</v>
      </c>
      <c r="AC67" s="374">
        <v>6841937</v>
      </c>
      <c r="AD67" s="18">
        <f>SUM(AB67:AC67)</f>
        <v>6841937</v>
      </c>
      <c r="AE67" s="19">
        <v>0</v>
      </c>
      <c r="AF67" s="374">
        <v>6841937</v>
      </c>
      <c r="AG67" s="16">
        <f>SUM(AE67:AF67)</f>
        <v>6841937</v>
      </c>
      <c r="AH67" s="19">
        <f>X67-AA67</f>
        <v>30146873</v>
      </c>
      <c r="AI67" s="15">
        <f>X67-AD67</f>
        <v>30146873</v>
      </c>
      <c r="AJ67" s="16">
        <f>X67-AG67</f>
        <v>30146873</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
        <v>196</v>
      </c>
      <c r="B68" s="646" t="s">
        <v>566</v>
      </c>
      <c r="C68" s="372">
        <v>0</v>
      </c>
      <c r="D68" s="373">
        <f>P68</f>
        <v>0</v>
      </c>
      <c r="E68" s="373">
        <f>Q68</f>
        <v>0</v>
      </c>
      <c r="F68" s="373">
        <f>SUM(C68:E68)</f>
        <v>0</v>
      </c>
      <c r="G68" s="373">
        <v>0</v>
      </c>
      <c r="H68" s="374">
        <v>2889705</v>
      </c>
      <c r="I68" s="373">
        <f>SUM(G68:H68)</f>
        <v>2889705</v>
      </c>
      <c r="J68" s="373">
        <v>0</v>
      </c>
      <c r="K68" s="374">
        <v>2889705</v>
      </c>
      <c r="L68" s="373">
        <f>SUM(J68:K68)</f>
        <v>2889705</v>
      </c>
      <c r="M68" s="373">
        <f>F68-I68</f>
        <v>-2889705</v>
      </c>
      <c r="N68" s="143">
        <f>F68-L68</f>
        <v>-2889705</v>
      </c>
      <c r="O68" s="382"/>
      <c r="P68" s="372">
        <v>0</v>
      </c>
      <c r="Q68" s="375">
        <v>0</v>
      </c>
      <c r="R68" s="9"/>
      <c r="S68" s="705">
        <v>1020103</v>
      </c>
      <c r="T68" s="681" t="s">
        <v>75</v>
      </c>
      <c r="U68" s="398">
        <v>0</v>
      </c>
      <c r="V68" s="15">
        <f t="shared" si="84"/>
        <v>0</v>
      </c>
      <c r="W68" s="15">
        <f t="shared" si="84"/>
        <v>0</v>
      </c>
      <c r="X68" s="16">
        <f>SUM(U68:W68)</f>
        <v>0</v>
      </c>
      <c r="Y68" s="19">
        <v>0</v>
      </c>
      <c r="Z68" s="374">
        <v>0</v>
      </c>
      <c r="AA68" s="16">
        <f>SUM(Y68:Z68)</f>
        <v>0</v>
      </c>
      <c r="AB68" s="19">
        <v>0</v>
      </c>
      <c r="AC68" s="374">
        <v>0</v>
      </c>
      <c r="AD68" s="18">
        <f>SUM(AB68:AC68)</f>
        <v>0</v>
      </c>
      <c r="AE68" s="19">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3">
        <v>1130115</v>
      </c>
      <c r="B69" s="645" t="s">
        <v>197</v>
      </c>
      <c r="C69" s="43">
        <f t="shared" ref="C69:N69" si="85">SUM(C70:C71)</f>
        <v>1373481412</v>
      </c>
      <c r="D69" s="44">
        <f t="shared" si="85"/>
        <v>0</v>
      </c>
      <c r="E69" s="44">
        <f t="shared" si="85"/>
        <v>117256520</v>
      </c>
      <c r="F69" s="44">
        <f t="shared" si="85"/>
        <v>1490737932</v>
      </c>
      <c r="G69" s="44">
        <f t="shared" si="85"/>
        <v>0</v>
      </c>
      <c r="H69" s="44">
        <f t="shared" si="85"/>
        <v>433673164</v>
      </c>
      <c r="I69" s="44">
        <f t="shared" si="85"/>
        <v>433673164</v>
      </c>
      <c r="J69" s="44">
        <f t="shared" si="85"/>
        <v>0</v>
      </c>
      <c r="K69" s="44">
        <f t="shared" si="85"/>
        <v>121657583</v>
      </c>
      <c r="L69" s="44">
        <f t="shared" si="85"/>
        <v>121657583</v>
      </c>
      <c r="M69" s="44">
        <f t="shared" si="85"/>
        <v>1057064768</v>
      </c>
      <c r="N69" s="45">
        <f t="shared" si="85"/>
        <v>1369080349</v>
      </c>
      <c r="P69" s="43">
        <f>SUM(P70:P71)</f>
        <v>0</v>
      </c>
      <c r="Q69" s="45">
        <f>SUM(Q70:Q71)</f>
        <v>117256520</v>
      </c>
      <c r="R69" s="9"/>
      <c r="S69" s="705">
        <v>1020104</v>
      </c>
      <c r="T69" s="681" t="s">
        <v>80</v>
      </c>
      <c r="U69" s="17">
        <f t="shared" ref="U69:AJ69" si="86">SUM(U70:U80)</f>
        <v>280545529</v>
      </c>
      <c r="V69" s="15">
        <f t="shared" si="86"/>
        <v>0</v>
      </c>
      <c r="W69" s="15">
        <f t="shared" si="86"/>
        <v>0</v>
      </c>
      <c r="X69" s="16">
        <f t="shared" si="86"/>
        <v>280545529</v>
      </c>
      <c r="Y69" s="19">
        <f t="shared" si="86"/>
        <v>0</v>
      </c>
      <c r="Z69" s="142">
        <f t="shared" si="86"/>
        <v>12375906</v>
      </c>
      <c r="AA69" s="16">
        <f t="shared" si="86"/>
        <v>12375906</v>
      </c>
      <c r="AB69" s="19">
        <f t="shared" si="86"/>
        <v>0</v>
      </c>
      <c r="AC69" s="142">
        <f t="shared" si="86"/>
        <v>12375906</v>
      </c>
      <c r="AD69" s="18">
        <f t="shared" si="86"/>
        <v>12375906</v>
      </c>
      <c r="AE69" s="19">
        <f t="shared" si="86"/>
        <v>0</v>
      </c>
      <c r="AF69" s="142">
        <f t="shared" si="86"/>
        <v>12375906</v>
      </c>
      <c r="AG69" s="16">
        <f t="shared" si="86"/>
        <v>12375906</v>
      </c>
      <c r="AH69" s="19">
        <f t="shared" si="86"/>
        <v>268169623</v>
      </c>
      <c r="AI69" s="15">
        <f t="shared" si="86"/>
        <v>268169623</v>
      </c>
      <c r="AJ69" s="16">
        <f t="shared" si="86"/>
        <v>268169623</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
        <v>199</v>
      </c>
      <c r="B70" s="646" t="str">
        <f>+CONCATENATE("Vigencia ",INSTRUCCIONES!$F$3)</f>
        <v>Vigencia 2017</v>
      </c>
      <c r="C70" s="372">
        <v>1373481412</v>
      </c>
      <c r="D70" s="373">
        <f>P70</f>
        <v>0</v>
      </c>
      <c r="E70" s="373">
        <f>Q70</f>
        <v>0</v>
      </c>
      <c r="F70" s="373">
        <f>SUM(C70:E70)</f>
        <v>1373481412</v>
      </c>
      <c r="G70" s="373">
        <v>0</v>
      </c>
      <c r="H70" s="374">
        <v>312015581</v>
      </c>
      <c r="I70" s="373">
        <f>SUM(G70:H70)</f>
        <v>312015581</v>
      </c>
      <c r="J70" s="373">
        <v>0</v>
      </c>
      <c r="K70" s="374">
        <v>0</v>
      </c>
      <c r="L70" s="373">
        <f>SUM(J70:K70)</f>
        <v>0</v>
      </c>
      <c r="M70" s="373">
        <f>F70-I70</f>
        <v>1061465831</v>
      </c>
      <c r="N70" s="143">
        <f>F70-L70</f>
        <v>1373481412</v>
      </c>
      <c r="O70" s="382"/>
      <c r="P70" s="372">
        <v>0</v>
      </c>
      <c r="Q70" s="375">
        <v>0</v>
      </c>
      <c r="R70" s="9"/>
      <c r="S70" s="706" t="s">
        <v>198</v>
      </c>
      <c r="T70" s="682" t="s">
        <v>400</v>
      </c>
      <c r="U70" s="398">
        <v>72165521</v>
      </c>
      <c r="V70" s="15">
        <f t="shared" ref="V70:V81" si="87">AL70</f>
        <v>0</v>
      </c>
      <c r="W70" s="15">
        <f t="shared" ref="W70:W81" si="88">AM70</f>
        <v>0</v>
      </c>
      <c r="X70" s="16">
        <f t="shared" ref="X70:X81" si="89">SUM(U70:W70)</f>
        <v>72165521</v>
      </c>
      <c r="Y70" s="19">
        <v>0</v>
      </c>
      <c r="Z70" s="374">
        <v>0</v>
      </c>
      <c r="AA70" s="16">
        <f t="shared" ref="AA70:AA81" si="90">SUM(Y70:Z70)</f>
        <v>0</v>
      </c>
      <c r="AB70" s="19">
        <v>0</v>
      </c>
      <c r="AC70" s="374">
        <v>0</v>
      </c>
      <c r="AD70" s="18">
        <f t="shared" ref="AD70:AD81" si="91">SUM(AB70:AC70)</f>
        <v>0</v>
      </c>
      <c r="AE70" s="19">
        <v>0</v>
      </c>
      <c r="AF70" s="374">
        <v>0</v>
      </c>
      <c r="AG70" s="16">
        <f t="shared" ref="AG70:AG81" si="92">SUM(AE70:AF70)</f>
        <v>0</v>
      </c>
      <c r="AH70" s="19">
        <f t="shared" ref="AH70:AH81" si="93">X70-AA70</f>
        <v>72165521</v>
      </c>
      <c r="AI70" s="15">
        <f t="shared" ref="AI70:AI81" si="94">X70-AD70</f>
        <v>72165521</v>
      </c>
      <c r="AJ70" s="16">
        <f t="shared" ref="AJ70:AJ81" si="95">X70-AG70</f>
        <v>72165521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
        <v>201</v>
      </c>
      <c r="B71" s="646" t="s">
        <v>566</v>
      </c>
      <c r="C71" s="372">
        <v>0</v>
      </c>
      <c r="D71" s="373">
        <f>P71</f>
        <v>0</v>
      </c>
      <c r="E71" s="373">
        <f>Q71</f>
        <v>117256520</v>
      </c>
      <c r="F71" s="373">
        <f>SUM(C71:E71)</f>
        <v>117256520</v>
      </c>
      <c r="G71" s="373">
        <v>0</v>
      </c>
      <c r="H71" s="374">
        <v>121657583</v>
      </c>
      <c r="I71" s="373">
        <f>SUM(G71:H71)</f>
        <v>121657583</v>
      </c>
      <c r="J71" s="373">
        <v>0</v>
      </c>
      <c r="K71" s="374">
        <v>121657583</v>
      </c>
      <c r="L71" s="373">
        <f>SUM(J71:K71)</f>
        <v>121657583</v>
      </c>
      <c r="M71" s="373">
        <f>F71-I71</f>
        <v>-4401063</v>
      </c>
      <c r="N71" s="143">
        <f>F71-L71</f>
        <v>-4401063</v>
      </c>
      <c r="O71" s="382"/>
      <c r="P71" s="372">
        <v>0</v>
      </c>
      <c r="Q71" s="375">
        <v>117256520</v>
      </c>
      <c r="R71" s="9"/>
      <c r="S71" s="706" t="s">
        <v>200</v>
      </c>
      <c r="T71" s="682" t="s">
        <v>401</v>
      </c>
      <c r="U71" s="398">
        <v>65329386</v>
      </c>
      <c r="V71" s="15">
        <f t="shared" si="87"/>
        <v>0</v>
      </c>
      <c r="W71" s="15">
        <f t="shared" si="88"/>
        <v>0</v>
      </c>
      <c r="X71" s="16">
        <f t="shared" si="89"/>
        <v>65329386</v>
      </c>
      <c r="Y71" s="19">
        <v>0</v>
      </c>
      <c r="Z71" s="374">
        <v>0</v>
      </c>
      <c r="AA71" s="16">
        <f t="shared" si="90"/>
        <v>0</v>
      </c>
      <c r="AB71" s="19">
        <v>0</v>
      </c>
      <c r="AC71" s="374">
        <v>0</v>
      </c>
      <c r="AD71" s="18">
        <f t="shared" si="91"/>
        <v>0</v>
      </c>
      <c r="AE71" s="19">
        <v>0</v>
      </c>
      <c r="AF71" s="374">
        <v>0</v>
      </c>
      <c r="AG71" s="16">
        <f t="shared" si="92"/>
        <v>0</v>
      </c>
      <c r="AH71" s="19">
        <f t="shared" si="93"/>
        <v>65329386</v>
      </c>
      <c r="AI71" s="15">
        <f t="shared" si="94"/>
        <v>65329386</v>
      </c>
      <c r="AJ71" s="16">
        <f t="shared" si="95"/>
        <v>65329386</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3">
        <v>1130116</v>
      </c>
      <c r="B72" s="645" t="s">
        <v>203</v>
      </c>
      <c r="C72" s="43">
        <f t="shared" ref="C72:N72" si="96">SUM(C73:C74)</f>
        <v>474083630</v>
      </c>
      <c r="D72" s="44">
        <f t="shared" si="96"/>
        <v>0</v>
      </c>
      <c r="E72" s="44">
        <f t="shared" si="96"/>
        <v>2426919</v>
      </c>
      <c r="F72" s="44">
        <f t="shared" si="96"/>
        <v>476510549</v>
      </c>
      <c r="G72" s="44">
        <f t="shared" si="96"/>
        <v>0</v>
      </c>
      <c r="H72" s="44">
        <f t="shared" si="96"/>
        <v>34773759</v>
      </c>
      <c r="I72" s="44">
        <f t="shared" si="96"/>
        <v>34773759</v>
      </c>
      <c r="J72" s="44">
        <f t="shared" si="96"/>
        <v>0</v>
      </c>
      <c r="K72" s="44">
        <f t="shared" si="96"/>
        <v>25024641</v>
      </c>
      <c r="L72" s="44">
        <f t="shared" si="96"/>
        <v>25024641</v>
      </c>
      <c r="M72" s="44">
        <f t="shared" si="96"/>
        <v>441736790</v>
      </c>
      <c r="N72" s="45">
        <f t="shared" si="96"/>
        <v>451485908</v>
      </c>
      <c r="P72" s="43">
        <f>SUM(P73:P74)</f>
        <v>0</v>
      </c>
      <c r="Q72" s="45">
        <f>SUM(Q73:Q74)</f>
        <v>2426919</v>
      </c>
      <c r="R72" s="9"/>
      <c r="S72" s="706" t="s">
        <v>202</v>
      </c>
      <c r="T72" s="682" t="s">
        <v>402</v>
      </c>
      <c r="U72" s="398">
        <v>34829886</v>
      </c>
      <c r="V72" s="15">
        <f t="shared" si="87"/>
        <v>0</v>
      </c>
      <c r="W72" s="15">
        <f t="shared" si="88"/>
        <v>0</v>
      </c>
      <c r="X72" s="16">
        <f t="shared" si="89"/>
        <v>34829886</v>
      </c>
      <c r="Y72" s="19">
        <v>0</v>
      </c>
      <c r="Z72" s="374">
        <v>4228052</v>
      </c>
      <c r="AA72" s="16">
        <f t="shared" si="90"/>
        <v>4228052</v>
      </c>
      <c r="AB72" s="19">
        <v>0</v>
      </c>
      <c r="AC72" s="374">
        <v>4228052</v>
      </c>
      <c r="AD72" s="18">
        <f t="shared" si="91"/>
        <v>4228052</v>
      </c>
      <c r="AE72" s="19">
        <v>0</v>
      </c>
      <c r="AF72" s="374">
        <v>4228052</v>
      </c>
      <c r="AG72" s="16">
        <f t="shared" si="92"/>
        <v>4228052</v>
      </c>
      <c r="AH72" s="19">
        <f t="shared" si="93"/>
        <v>30601834</v>
      </c>
      <c r="AI72" s="15">
        <f t="shared" si="94"/>
        <v>30601834</v>
      </c>
      <c r="AJ72" s="16">
        <f t="shared" si="95"/>
        <v>30601834</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
        <v>205</v>
      </c>
      <c r="B73" s="646" t="str">
        <f>+CONCATENATE("Vigencia ",INSTRUCCIONES!$F$3)</f>
        <v>Vigencia 2017</v>
      </c>
      <c r="C73" s="372">
        <v>474083630</v>
      </c>
      <c r="D73" s="373">
        <f>P73</f>
        <v>0</v>
      </c>
      <c r="E73" s="373">
        <f>Q73</f>
        <v>0</v>
      </c>
      <c r="F73" s="373">
        <f>SUM(C73:E73)</f>
        <v>474083630</v>
      </c>
      <c r="G73" s="373">
        <v>0</v>
      </c>
      <c r="H73" s="813">
        <v>9749118</v>
      </c>
      <c r="I73" s="373">
        <f>SUM(G73:H73)</f>
        <v>9749118</v>
      </c>
      <c r="J73" s="373">
        <v>0</v>
      </c>
      <c r="K73" s="374">
        <v>0</v>
      </c>
      <c r="L73" s="373">
        <f>SUM(J73:K73)</f>
        <v>0</v>
      </c>
      <c r="M73" s="373">
        <f>F73-I73</f>
        <v>464334512</v>
      </c>
      <c r="N73" s="143">
        <f>F73-L73</f>
        <v>474083630</v>
      </c>
      <c r="O73" s="382"/>
      <c r="P73" s="372">
        <v>0</v>
      </c>
      <c r="Q73" s="375">
        <v>0</v>
      </c>
      <c r="R73" s="9"/>
      <c r="S73" s="706" t="s">
        <v>204</v>
      </c>
      <c r="T73" s="682" t="s">
        <v>403</v>
      </c>
      <c r="U73" s="398">
        <v>0</v>
      </c>
      <c r="V73" s="15">
        <f t="shared" si="87"/>
        <v>0</v>
      </c>
      <c r="W73" s="15">
        <f t="shared" si="88"/>
        <v>0</v>
      </c>
      <c r="X73" s="16">
        <f t="shared" si="89"/>
        <v>0</v>
      </c>
      <c r="Y73" s="19">
        <v>0</v>
      </c>
      <c r="Z73" s="374">
        <v>0</v>
      </c>
      <c r="AA73" s="16">
        <f t="shared" si="90"/>
        <v>0</v>
      </c>
      <c r="AB73" s="19">
        <v>0</v>
      </c>
      <c r="AC73" s="374">
        <v>0</v>
      </c>
      <c r="AD73" s="18">
        <f t="shared" si="91"/>
        <v>0</v>
      </c>
      <c r="AE73" s="19">
        <v>0</v>
      </c>
      <c r="AF73" s="374">
        <v>0</v>
      </c>
      <c r="AG73" s="16">
        <f t="shared" si="92"/>
        <v>0</v>
      </c>
      <c r="AH73" s="19">
        <f t="shared" si="93"/>
        <v>0</v>
      </c>
      <c r="AI73" s="15">
        <f t="shared" si="94"/>
        <v>0</v>
      </c>
      <c r="AJ73" s="16">
        <f t="shared" si="95"/>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
        <v>207</v>
      </c>
      <c r="B74" s="646" t="s">
        <v>566</v>
      </c>
      <c r="C74" s="372">
        <v>0</v>
      </c>
      <c r="D74" s="373">
        <f>P74</f>
        <v>0</v>
      </c>
      <c r="E74" s="373">
        <f>Q74</f>
        <v>2426919</v>
      </c>
      <c r="F74" s="373">
        <f>SUM(C74:E74)</f>
        <v>2426919</v>
      </c>
      <c r="G74" s="373">
        <v>0</v>
      </c>
      <c r="H74" s="374">
        <v>25024641</v>
      </c>
      <c r="I74" s="373">
        <f>SUM(G74:H74)</f>
        <v>25024641</v>
      </c>
      <c r="J74" s="373">
        <v>0</v>
      </c>
      <c r="K74" s="374">
        <v>25024641</v>
      </c>
      <c r="L74" s="373">
        <f>SUM(J74:K74)</f>
        <v>25024641</v>
      </c>
      <c r="M74" s="373">
        <f>F74-I74</f>
        <v>-22597722</v>
      </c>
      <c r="N74" s="143">
        <f>F74-L74</f>
        <v>-22597722</v>
      </c>
      <c r="O74" s="382"/>
      <c r="P74" s="372">
        <v>0</v>
      </c>
      <c r="Q74" s="375">
        <v>2426919</v>
      </c>
      <c r="R74" s="9"/>
      <c r="S74" s="706" t="s">
        <v>206</v>
      </c>
      <c r="T74" s="682" t="s">
        <v>404</v>
      </c>
      <c r="U74" s="398">
        <v>36082760</v>
      </c>
      <c r="V74" s="15">
        <f t="shared" si="87"/>
        <v>0</v>
      </c>
      <c r="W74" s="15">
        <f t="shared" si="88"/>
        <v>0</v>
      </c>
      <c r="X74" s="16">
        <f t="shared" si="89"/>
        <v>36082760</v>
      </c>
      <c r="Y74" s="19">
        <v>0</v>
      </c>
      <c r="Z74" s="374">
        <v>0</v>
      </c>
      <c r="AA74" s="16">
        <f t="shared" si="90"/>
        <v>0</v>
      </c>
      <c r="AB74" s="19">
        <v>0</v>
      </c>
      <c r="AC74" s="374">
        <v>0</v>
      </c>
      <c r="AD74" s="18">
        <f t="shared" si="91"/>
        <v>0</v>
      </c>
      <c r="AE74" s="19">
        <v>0</v>
      </c>
      <c r="AF74" s="374">
        <v>0</v>
      </c>
      <c r="AG74" s="16">
        <f t="shared" si="92"/>
        <v>0</v>
      </c>
      <c r="AH74" s="19">
        <f t="shared" si="93"/>
        <v>36082760</v>
      </c>
      <c r="AI74" s="15">
        <f t="shared" si="94"/>
        <v>36082760</v>
      </c>
      <c r="AJ74" s="16">
        <f t="shared" si="95"/>
        <v>36082760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3">
        <v>1130117</v>
      </c>
      <c r="B75" s="645" t="s">
        <v>209</v>
      </c>
      <c r="C75" s="43">
        <f t="shared" ref="C75:N75" si="97">SUM(C76:C77)</f>
        <v>52000000</v>
      </c>
      <c r="D75" s="44">
        <f t="shared" si="97"/>
        <v>0</v>
      </c>
      <c r="E75" s="44">
        <f t="shared" si="97"/>
        <v>0</v>
      </c>
      <c r="F75" s="44">
        <f t="shared" si="97"/>
        <v>52000000</v>
      </c>
      <c r="G75" s="44">
        <f t="shared" si="97"/>
        <v>0</v>
      </c>
      <c r="H75" s="44">
        <f t="shared" si="97"/>
        <v>0</v>
      </c>
      <c r="I75" s="44">
        <f t="shared" si="97"/>
        <v>0</v>
      </c>
      <c r="J75" s="44">
        <f t="shared" si="97"/>
        <v>0</v>
      </c>
      <c r="K75" s="44">
        <f t="shared" si="97"/>
        <v>0</v>
      </c>
      <c r="L75" s="44">
        <f t="shared" si="97"/>
        <v>0</v>
      </c>
      <c r="M75" s="44">
        <f t="shared" si="97"/>
        <v>52000000</v>
      </c>
      <c r="N75" s="45">
        <f t="shared" si="97"/>
        <v>52000000</v>
      </c>
      <c r="P75" s="43">
        <f>SUM(P76:P77)</f>
        <v>0</v>
      </c>
      <c r="Q75" s="45">
        <f>SUM(Q76:Q77)</f>
        <v>0</v>
      </c>
      <c r="R75" s="9"/>
      <c r="S75" s="706" t="s">
        <v>208</v>
      </c>
      <c r="T75" s="682" t="s">
        <v>587</v>
      </c>
      <c r="U75" s="398">
        <v>17770724</v>
      </c>
      <c r="V75" s="15">
        <f t="shared" si="87"/>
        <v>0</v>
      </c>
      <c r="W75" s="15">
        <f t="shared" si="88"/>
        <v>0</v>
      </c>
      <c r="X75" s="16">
        <f t="shared" si="89"/>
        <v>17770724</v>
      </c>
      <c r="Y75" s="19">
        <v>0</v>
      </c>
      <c r="Z75" s="374">
        <v>1158866</v>
      </c>
      <c r="AA75" s="16">
        <f t="shared" si="90"/>
        <v>1158866</v>
      </c>
      <c r="AB75" s="19">
        <v>0</v>
      </c>
      <c r="AC75" s="374">
        <v>1158866</v>
      </c>
      <c r="AD75" s="18">
        <f t="shared" si="91"/>
        <v>1158866</v>
      </c>
      <c r="AE75" s="19">
        <v>0</v>
      </c>
      <c r="AF75" s="374">
        <v>1158866</v>
      </c>
      <c r="AG75" s="16">
        <f t="shared" si="92"/>
        <v>1158866</v>
      </c>
      <c r="AH75" s="19">
        <f t="shared" si="93"/>
        <v>16611858</v>
      </c>
      <c r="AI75" s="15">
        <f t="shared" si="94"/>
        <v>16611858</v>
      </c>
      <c r="AJ75" s="16">
        <f t="shared" si="95"/>
        <v>16611858</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
        <v>211</v>
      </c>
      <c r="B76" s="646" t="str">
        <f>+CONCATENATE("Vigencia ",INSTRUCCIONES!$F$3)</f>
        <v>Vigencia 2017</v>
      </c>
      <c r="C76" s="372">
        <v>52000000</v>
      </c>
      <c r="D76" s="373">
        <f>P76</f>
        <v>0</v>
      </c>
      <c r="E76" s="373">
        <f>Q76</f>
        <v>0</v>
      </c>
      <c r="F76" s="373">
        <f t="shared" ref="F76:F83" si="98">SUM(C76:E76)</f>
        <v>52000000</v>
      </c>
      <c r="G76" s="373">
        <v>0</v>
      </c>
      <c r="H76" s="374">
        <v>0</v>
      </c>
      <c r="I76" s="373">
        <f t="shared" ref="I76:I83" si="99">SUM(G76:H76)</f>
        <v>0</v>
      </c>
      <c r="J76" s="373">
        <v>0</v>
      </c>
      <c r="K76" s="374">
        <v>0</v>
      </c>
      <c r="L76" s="373">
        <f t="shared" ref="L76:L83" si="100">SUM(J76:K76)</f>
        <v>0</v>
      </c>
      <c r="M76" s="373">
        <f t="shared" ref="M76:M83" si="101">F76-I76</f>
        <v>52000000</v>
      </c>
      <c r="N76" s="143">
        <f t="shared" ref="N76:N83" si="102">F76-L76</f>
        <v>52000000</v>
      </c>
      <c r="O76" s="382"/>
      <c r="P76" s="372">
        <v>0</v>
      </c>
      <c r="Q76" s="375">
        <v>0</v>
      </c>
      <c r="R76" s="9"/>
      <c r="S76" s="706" t="s">
        <v>210</v>
      </c>
      <c r="T76" s="682" t="s">
        <v>405</v>
      </c>
      <c r="U76" s="398">
        <v>1703268</v>
      </c>
      <c r="V76" s="15">
        <f t="shared" si="87"/>
        <v>0</v>
      </c>
      <c r="W76" s="15">
        <f t="shared" si="88"/>
        <v>0</v>
      </c>
      <c r="X76" s="16">
        <f t="shared" si="89"/>
        <v>1703268</v>
      </c>
      <c r="Y76" s="19">
        <v>0</v>
      </c>
      <c r="Z76" s="374">
        <v>182878</v>
      </c>
      <c r="AA76" s="16">
        <f t="shared" si="90"/>
        <v>182878</v>
      </c>
      <c r="AB76" s="19">
        <v>0</v>
      </c>
      <c r="AC76" s="374">
        <v>182878</v>
      </c>
      <c r="AD76" s="18">
        <f t="shared" si="91"/>
        <v>182878</v>
      </c>
      <c r="AE76" s="19">
        <v>0</v>
      </c>
      <c r="AF76" s="374">
        <v>182878</v>
      </c>
      <c r="AG76" s="16">
        <f t="shared" si="92"/>
        <v>182878</v>
      </c>
      <c r="AH76" s="19">
        <f t="shared" si="93"/>
        <v>1520390</v>
      </c>
      <c r="AI76" s="15">
        <f t="shared" si="94"/>
        <v>1520390</v>
      </c>
      <c r="AJ76" s="16">
        <f t="shared" si="95"/>
        <v>1520390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
        <v>213</v>
      </c>
      <c r="B77" s="646" t="s">
        <v>566</v>
      </c>
      <c r="C77" s="372">
        <v>0</v>
      </c>
      <c r="D77" s="373">
        <f>P77</f>
        <v>0</v>
      </c>
      <c r="E77" s="373">
        <f>Q77</f>
        <v>0</v>
      </c>
      <c r="F77" s="373">
        <f t="shared" si="98"/>
        <v>0</v>
      </c>
      <c r="G77" s="373">
        <v>0</v>
      </c>
      <c r="H77" s="374">
        <v>0</v>
      </c>
      <c r="I77" s="373">
        <f t="shared" si="99"/>
        <v>0</v>
      </c>
      <c r="J77" s="373">
        <v>0</v>
      </c>
      <c r="K77" s="374">
        <v>0</v>
      </c>
      <c r="L77" s="373">
        <f t="shared" si="100"/>
        <v>0</v>
      </c>
      <c r="M77" s="373">
        <f t="shared" si="101"/>
        <v>0</v>
      </c>
      <c r="N77" s="143">
        <f t="shared" si="102"/>
        <v>0</v>
      </c>
      <c r="O77" s="382"/>
      <c r="P77" s="372">
        <v>0</v>
      </c>
      <c r="Q77" s="375">
        <v>0</v>
      </c>
      <c r="R77" s="9"/>
      <c r="S77" s="706" t="s">
        <v>212</v>
      </c>
      <c r="T77" s="682" t="s">
        <v>406</v>
      </c>
      <c r="U77" s="398">
        <v>1200000</v>
      </c>
      <c r="V77" s="15">
        <f t="shared" si="87"/>
        <v>0</v>
      </c>
      <c r="W77" s="15">
        <f t="shared" si="88"/>
        <v>0</v>
      </c>
      <c r="X77" s="16">
        <f t="shared" si="89"/>
        <v>1200000</v>
      </c>
      <c r="Y77" s="19">
        <v>0</v>
      </c>
      <c r="Z77" s="374">
        <v>91178</v>
      </c>
      <c r="AA77" s="16">
        <f t="shared" si="90"/>
        <v>91178</v>
      </c>
      <c r="AB77" s="19">
        <v>0</v>
      </c>
      <c r="AC77" s="374">
        <v>91178</v>
      </c>
      <c r="AD77" s="18">
        <f t="shared" si="91"/>
        <v>91178</v>
      </c>
      <c r="AE77" s="19">
        <v>0</v>
      </c>
      <c r="AF77" s="374">
        <v>91178</v>
      </c>
      <c r="AG77" s="16">
        <f t="shared" si="92"/>
        <v>91178</v>
      </c>
      <c r="AH77" s="19">
        <f t="shared" si="93"/>
        <v>1108822</v>
      </c>
      <c r="AI77" s="15">
        <f t="shared" si="94"/>
        <v>1108822</v>
      </c>
      <c r="AJ77" s="16">
        <f t="shared" si="95"/>
        <v>1108822</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3">
        <v>1130118</v>
      </c>
      <c r="B78" s="645" t="s">
        <v>215</v>
      </c>
      <c r="C78" s="43">
        <f>SUM(C79:C80)</f>
        <v>435000000</v>
      </c>
      <c r="D78" s="44">
        <f>SUM(D79:D80)</f>
        <v>0</v>
      </c>
      <c r="E78" s="44">
        <f>SUM(E79:E80)</f>
        <v>246500</v>
      </c>
      <c r="F78" s="44">
        <f t="shared" si="98"/>
        <v>435246500</v>
      </c>
      <c r="G78" s="44">
        <f>SUM(G79:G80)</f>
        <v>0</v>
      </c>
      <c r="H78" s="44">
        <f>SUM(H79:H80)</f>
        <v>68084919</v>
      </c>
      <c r="I78" s="44">
        <f t="shared" si="99"/>
        <v>68084919</v>
      </c>
      <c r="J78" s="44">
        <f>SUM(J79:J80)</f>
        <v>0</v>
      </c>
      <c r="K78" s="44">
        <f>SUM(K79:K80)</f>
        <v>68084919</v>
      </c>
      <c r="L78" s="44">
        <f t="shared" si="100"/>
        <v>68084919</v>
      </c>
      <c r="M78" s="44">
        <f t="shared" si="101"/>
        <v>367161581</v>
      </c>
      <c r="N78" s="45">
        <f t="shared" si="102"/>
        <v>367161581</v>
      </c>
      <c r="O78" s="382"/>
      <c r="P78" s="43">
        <f>SUM(P79:P80)</f>
        <v>0</v>
      </c>
      <c r="Q78" s="45">
        <f>SUM(Q79:Q80)</f>
        <v>246500</v>
      </c>
      <c r="R78" s="9"/>
      <c r="S78" s="706" t="s">
        <v>214</v>
      </c>
      <c r="T78" s="682" t="s">
        <v>415</v>
      </c>
      <c r="U78" s="398">
        <v>0</v>
      </c>
      <c r="V78" s="15">
        <f t="shared" si="87"/>
        <v>0</v>
      </c>
      <c r="W78" s="15">
        <f t="shared" si="88"/>
        <v>0</v>
      </c>
      <c r="X78" s="16">
        <f t="shared" si="89"/>
        <v>0</v>
      </c>
      <c r="Y78" s="19">
        <v>0</v>
      </c>
      <c r="Z78" s="374">
        <v>0</v>
      </c>
      <c r="AA78" s="16">
        <f t="shared" si="90"/>
        <v>0</v>
      </c>
      <c r="AB78" s="19">
        <v>0</v>
      </c>
      <c r="AC78" s="374">
        <v>0</v>
      </c>
      <c r="AD78" s="18">
        <f t="shared" si="91"/>
        <v>0</v>
      </c>
      <c r="AE78" s="19">
        <v>0</v>
      </c>
      <c r="AF78" s="374">
        <v>0</v>
      </c>
      <c r="AG78" s="16">
        <f t="shared" si="92"/>
        <v>0</v>
      </c>
      <c r="AH78" s="19">
        <f t="shared" si="93"/>
        <v>0</v>
      </c>
      <c r="AI78" s="15">
        <f t="shared" si="94"/>
        <v>0</v>
      </c>
      <c r="AJ78" s="16">
        <f t="shared" si="95"/>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
        <v>217</v>
      </c>
      <c r="B79" s="646" t="str">
        <f>+CONCATENATE("Vigencia ",INSTRUCCIONES!$F$3)</f>
        <v>Vigencia 2017</v>
      </c>
      <c r="C79" s="372">
        <v>435000000</v>
      </c>
      <c r="D79" s="373">
        <f t="shared" ref="D79:E83" si="103">P79</f>
        <v>0</v>
      </c>
      <c r="E79" s="373">
        <f t="shared" si="103"/>
        <v>0</v>
      </c>
      <c r="F79" s="373">
        <f t="shared" si="98"/>
        <v>435000000</v>
      </c>
      <c r="G79" s="373">
        <v>0</v>
      </c>
      <c r="H79" s="813">
        <v>68084919</v>
      </c>
      <c r="I79" s="373">
        <f t="shared" si="99"/>
        <v>68084919</v>
      </c>
      <c r="J79" s="373">
        <v>0</v>
      </c>
      <c r="K79" s="374">
        <v>68084919</v>
      </c>
      <c r="L79" s="373">
        <f t="shared" si="100"/>
        <v>68084919</v>
      </c>
      <c r="M79" s="373">
        <f t="shared" si="101"/>
        <v>366915081</v>
      </c>
      <c r="N79" s="143">
        <f t="shared" si="102"/>
        <v>366915081</v>
      </c>
      <c r="P79" s="372">
        <v>0</v>
      </c>
      <c r="Q79" s="375">
        <v>0</v>
      </c>
      <c r="R79" s="9"/>
      <c r="S79" s="706" t="s">
        <v>216</v>
      </c>
      <c r="T79" s="682" t="s">
        <v>123</v>
      </c>
      <c r="U79" s="398">
        <v>2582164</v>
      </c>
      <c r="V79" s="15">
        <f t="shared" si="87"/>
        <v>0</v>
      </c>
      <c r="W79" s="15">
        <f t="shared" si="88"/>
        <v>0</v>
      </c>
      <c r="X79" s="16">
        <f t="shared" si="89"/>
        <v>2582164</v>
      </c>
      <c r="Y79" s="19">
        <v>0</v>
      </c>
      <c r="Z79" s="374">
        <v>563740</v>
      </c>
      <c r="AA79" s="16">
        <f t="shared" si="90"/>
        <v>563740</v>
      </c>
      <c r="AB79" s="19">
        <v>0</v>
      </c>
      <c r="AC79" s="374">
        <v>563740</v>
      </c>
      <c r="AD79" s="18">
        <f t="shared" si="91"/>
        <v>563740</v>
      </c>
      <c r="AE79" s="19">
        <v>0</v>
      </c>
      <c r="AF79" s="374">
        <v>563740</v>
      </c>
      <c r="AG79" s="16">
        <f t="shared" si="92"/>
        <v>563740</v>
      </c>
      <c r="AH79" s="19">
        <f t="shared" si="93"/>
        <v>2018424</v>
      </c>
      <c r="AI79" s="15">
        <f t="shared" si="94"/>
        <v>2018424</v>
      </c>
      <c r="AJ79" s="16">
        <f t="shared" si="95"/>
        <v>2018424</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
        <v>219</v>
      </c>
      <c r="B80" s="646" t="s">
        <v>566</v>
      </c>
      <c r="C80" s="372">
        <v>0</v>
      </c>
      <c r="D80" s="373">
        <f t="shared" si="103"/>
        <v>0</v>
      </c>
      <c r="E80" s="373">
        <f t="shared" si="103"/>
        <v>246500</v>
      </c>
      <c r="F80" s="373">
        <f t="shared" si="98"/>
        <v>246500</v>
      </c>
      <c r="G80" s="373">
        <v>0</v>
      </c>
      <c r="H80" s="374">
        <v>0</v>
      </c>
      <c r="I80" s="373">
        <f t="shared" si="99"/>
        <v>0</v>
      </c>
      <c r="J80" s="373">
        <v>0</v>
      </c>
      <c r="K80" s="374">
        <v>0</v>
      </c>
      <c r="L80" s="373">
        <f t="shared" si="100"/>
        <v>0</v>
      </c>
      <c r="M80" s="373">
        <f t="shared" si="101"/>
        <v>246500</v>
      </c>
      <c r="N80" s="143">
        <f t="shared" si="102"/>
        <v>246500</v>
      </c>
      <c r="O80" s="382"/>
      <c r="P80" s="372">
        <v>0</v>
      </c>
      <c r="Q80" s="375">
        <v>246500</v>
      </c>
      <c r="S80" s="706" t="s">
        <v>218</v>
      </c>
      <c r="T80" s="683"/>
      <c r="U80" s="398">
        <v>48881820</v>
      </c>
      <c r="V80" s="15">
        <f t="shared" si="87"/>
        <v>0</v>
      </c>
      <c r="W80" s="15">
        <f t="shared" si="88"/>
        <v>0</v>
      </c>
      <c r="X80" s="16">
        <f t="shared" si="89"/>
        <v>48881820</v>
      </c>
      <c r="Y80" s="19">
        <v>0</v>
      </c>
      <c r="Z80" s="374">
        <v>6151192</v>
      </c>
      <c r="AA80" s="16">
        <f t="shared" si="90"/>
        <v>6151192</v>
      </c>
      <c r="AB80" s="19">
        <v>0</v>
      </c>
      <c r="AC80" s="374">
        <v>6151192</v>
      </c>
      <c r="AD80" s="18">
        <f t="shared" si="91"/>
        <v>6151192</v>
      </c>
      <c r="AE80" s="19">
        <v>0</v>
      </c>
      <c r="AF80" s="374">
        <v>6151192</v>
      </c>
      <c r="AG80" s="16">
        <f t="shared" si="92"/>
        <v>6151192</v>
      </c>
      <c r="AH80" s="19">
        <f t="shared" si="93"/>
        <v>42730628</v>
      </c>
      <c r="AI80" s="15">
        <f t="shared" si="94"/>
        <v>42730628</v>
      </c>
      <c r="AJ80" s="16">
        <f t="shared" si="95"/>
        <v>42730628</v>
      </c>
      <c r="AL80" s="372">
        <v>0</v>
      </c>
      <c r="AM80" s="375">
        <v>0</v>
      </c>
      <c r="AO80" s="294"/>
      <c r="AP80" s="294"/>
      <c r="AQ80" s="294"/>
      <c r="AR80" s="294"/>
      <c r="AS80" s="294"/>
      <c r="AT80" s="294"/>
      <c r="AU80" s="294"/>
      <c r="AV80" s="294"/>
      <c r="AW80" s="294"/>
      <c r="AX80" s="294"/>
      <c r="AY80" s="294"/>
      <c r="AZ80" s="294"/>
      <c r="BA80" s="382"/>
      <c r="BB80" s="382"/>
      <c r="BC80" s="382"/>
      <c r="BD80" s="382"/>
      <c r="BE80" s="382"/>
      <c r="BL80" s="382"/>
      <c r="BM80" s="382"/>
      <c r="BN80" s="382"/>
      <c r="BO80" s="382"/>
      <c r="BP80" s="382"/>
      <c r="BQ80" s="382"/>
      <c r="BR80" s="382"/>
    </row>
    <row r="81" spans="1:70" s="382" customFormat="1" ht="24.95" customHeight="1">
      <c r="A81" s="733">
        <v>1130119</v>
      </c>
      <c r="B81" s="649" t="s">
        <v>220</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705">
        <v>1020199</v>
      </c>
      <c r="T81" s="681" t="s">
        <v>129</v>
      </c>
      <c r="U81" s="398">
        <v>0</v>
      </c>
      <c r="V81" s="15">
        <f t="shared" si="87"/>
        <v>0</v>
      </c>
      <c r="W81" s="15">
        <f t="shared" si="88"/>
        <v>0</v>
      </c>
      <c r="X81" s="16">
        <f t="shared" si="89"/>
        <v>0</v>
      </c>
      <c r="Y81" s="19">
        <v>0</v>
      </c>
      <c r="Z81" s="374">
        <v>0</v>
      </c>
      <c r="AA81" s="16">
        <f t="shared" si="90"/>
        <v>0</v>
      </c>
      <c r="AB81" s="19">
        <v>0</v>
      </c>
      <c r="AC81" s="374">
        <v>0</v>
      </c>
      <c r="AD81" s="18">
        <f t="shared" si="91"/>
        <v>0</v>
      </c>
      <c r="AE81" s="19">
        <v>0</v>
      </c>
      <c r="AF81" s="374">
        <v>0</v>
      </c>
      <c r="AG81" s="16">
        <f t="shared" si="92"/>
        <v>0</v>
      </c>
      <c r="AH81" s="19">
        <f t="shared" si="93"/>
        <v>0</v>
      </c>
      <c r="AI81" s="15">
        <f t="shared" si="94"/>
        <v>0</v>
      </c>
      <c r="AJ81" s="16">
        <f t="shared" si="95"/>
        <v>0</v>
      </c>
      <c r="AK81" s="9"/>
      <c r="AL81" s="372">
        <v>0</v>
      </c>
      <c r="AM81" s="375">
        <v>0</v>
      </c>
      <c r="AN81" s="9"/>
      <c r="AO81" s="294"/>
      <c r="AP81" s="294"/>
      <c r="AQ81" s="294"/>
      <c r="AR81" s="294"/>
      <c r="AS81" s="294"/>
      <c r="AT81" s="294"/>
      <c r="AU81" s="294"/>
      <c r="AV81" s="294"/>
      <c r="AW81" s="294"/>
      <c r="AX81" s="294"/>
      <c r="AY81" s="294"/>
      <c r="AZ81" s="294"/>
      <c r="BA81" s="9"/>
      <c r="BB81" s="9"/>
    </row>
    <row r="82" spans="1:70" s="382" customFormat="1" ht="24.95" customHeight="1">
      <c r="A82" s="611" t="s">
        <v>398</v>
      </c>
      <c r="B82" s="646" t="str">
        <f>+CONCATENATE("Vigencia ",INSTRUCCIONES!$F$3)</f>
        <v>Vigencia 2017</v>
      </c>
      <c r="C82" s="372">
        <v>0</v>
      </c>
      <c r="D82" s="373">
        <f t="shared" si="103"/>
        <v>0</v>
      </c>
      <c r="E82" s="373">
        <f t="shared" si="103"/>
        <v>0</v>
      </c>
      <c r="F82" s="373">
        <f t="shared" si="98"/>
        <v>0</v>
      </c>
      <c r="G82" s="373">
        <v>0</v>
      </c>
      <c r="H82" s="374">
        <v>0</v>
      </c>
      <c r="I82" s="373">
        <f t="shared" si="99"/>
        <v>0</v>
      </c>
      <c r="J82" s="373">
        <v>0</v>
      </c>
      <c r="K82" s="374">
        <v>0</v>
      </c>
      <c r="L82" s="373">
        <f t="shared" si="100"/>
        <v>0</v>
      </c>
      <c r="M82" s="373">
        <f t="shared" si="101"/>
        <v>0</v>
      </c>
      <c r="N82" s="143">
        <f t="shared" si="102"/>
        <v>0</v>
      </c>
      <c r="P82" s="372">
        <v>0</v>
      </c>
      <c r="Q82" s="375">
        <v>0</v>
      </c>
      <c r="R82" s="9"/>
      <c r="S82" s="366"/>
      <c r="T82" s="677"/>
      <c r="U82" s="161"/>
      <c r="V82" s="161"/>
      <c r="W82" s="161"/>
      <c r="X82" s="166"/>
      <c r="Y82" s="367"/>
      <c r="Z82" s="161"/>
      <c r="AA82" s="166"/>
      <c r="AB82" s="367"/>
      <c r="AC82" s="161"/>
      <c r="AD82" s="161"/>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C82" s="9"/>
      <c r="BD82" s="9"/>
      <c r="BE82" s="9"/>
      <c r="BN82" s="9"/>
      <c r="BO82" s="9"/>
      <c r="BP82" s="9"/>
      <c r="BQ82" s="9"/>
      <c r="BR82" s="9"/>
    </row>
    <row r="83" spans="1:70" s="382" customFormat="1" ht="24.95" customHeight="1" thickBot="1">
      <c r="A83" s="611" t="s">
        <v>399</v>
      </c>
      <c r="B83" s="650" t="s">
        <v>566</v>
      </c>
      <c r="C83" s="384">
        <v>0</v>
      </c>
      <c r="D83" s="385">
        <f t="shared" si="103"/>
        <v>0</v>
      </c>
      <c r="E83" s="385">
        <f t="shared" si="103"/>
        <v>0</v>
      </c>
      <c r="F83" s="385">
        <f t="shared" si="98"/>
        <v>0</v>
      </c>
      <c r="G83" s="385">
        <v>0</v>
      </c>
      <c r="H83" s="388">
        <v>0</v>
      </c>
      <c r="I83" s="385">
        <f t="shared" si="99"/>
        <v>0</v>
      </c>
      <c r="J83" s="385">
        <v>0</v>
      </c>
      <c r="K83" s="388">
        <v>0</v>
      </c>
      <c r="L83" s="385">
        <f t="shared" si="100"/>
        <v>0</v>
      </c>
      <c r="M83" s="385">
        <f t="shared" si="101"/>
        <v>0</v>
      </c>
      <c r="N83" s="386">
        <f t="shared" si="102"/>
        <v>0</v>
      </c>
      <c r="P83" s="372">
        <v>0</v>
      </c>
      <c r="Q83" s="375">
        <v>0</v>
      </c>
      <c r="R83" s="9"/>
      <c r="S83" s="704">
        <v>1020200</v>
      </c>
      <c r="T83" s="680" t="s">
        <v>113</v>
      </c>
      <c r="U83" s="132">
        <f t="shared" ref="U83:AJ83" si="105">SUM(U84:U88)</f>
        <v>22232471701</v>
      </c>
      <c r="V83" s="122">
        <f t="shared" si="105"/>
        <v>0</v>
      </c>
      <c r="W83" s="122">
        <f t="shared" si="105"/>
        <v>0</v>
      </c>
      <c r="X83" s="130">
        <f t="shared" si="105"/>
        <v>22232471701</v>
      </c>
      <c r="Y83" s="128">
        <f t="shared" si="105"/>
        <v>0</v>
      </c>
      <c r="Z83" s="122">
        <f t="shared" si="105"/>
        <v>9825618109</v>
      </c>
      <c r="AA83" s="130">
        <f t="shared" si="105"/>
        <v>9825618109</v>
      </c>
      <c r="AB83" s="128">
        <f t="shared" si="105"/>
        <v>0</v>
      </c>
      <c r="AC83" s="122">
        <f t="shared" si="105"/>
        <v>1993102826</v>
      </c>
      <c r="AD83" s="129">
        <f t="shared" si="105"/>
        <v>1993102826</v>
      </c>
      <c r="AE83" s="128">
        <f t="shared" si="105"/>
        <v>0</v>
      </c>
      <c r="AF83" s="122">
        <f t="shared" si="105"/>
        <v>1198298163</v>
      </c>
      <c r="AG83" s="130">
        <f t="shared" si="105"/>
        <v>1198298163</v>
      </c>
      <c r="AH83" s="128">
        <f t="shared" si="105"/>
        <v>12406853592</v>
      </c>
      <c r="AI83" s="122">
        <f t="shared" si="105"/>
        <v>20239368875</v>
      </c>
      <c r="AJ83" s="130">
        <f t="shared" si="105"/>
        <v>21034173538</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6"/>
      <c r="B84" s="651"/>
      <c r="C84" s="294"/>
      <c r="D84" s="294"/>
      <c r="E84" s="294"/>
      <c r="F84" s="294"/>
      <c r="G84" s="294"/>
      <c r="H84" s="294"/>
      <c r="I84" s="294"/>
      <c r="J84" s="294"/>
      <c r="K84" s="294"/>
      <c r="L84" s="294"/>
      <c r="M84" s="294"/>
      <c r="N84" s="463"/>
      <c r="O84" s="461"/>
      <c r="P84" s="467"/>
      <c r="Q84" s="391"/>
      <c r="R84" s="9"/>
      <c r="S84" s="705" t="s">
        <v>221</v>
      </c>
      <c r="T84" s="681" t="s">
        <v>451</v>
      </c>
      <c r="U84" s="398">
        <v>1000000000</v>
      </c>
      <c r="V84" s="15">
        <f t="shared" ref="V84:W88" si="106">AL84</f>
        <v>0</v>
      </c>
      <c r="W84" s="15">
        <f t="shared" si="106"/>
        <v>0</v>
      </c>
      <c r="X84" s="16">
        <f>SUM(U84:W84)</f>
        <v>1000000000</v>
      </c>
      <c r="Y84" s="19">
        <v>0</v>
      </c>
      <c r="Z84" s="374">
        <v>806325800</v>
      </c>
      <c r="AA84" s="16">
        <f>SUM(Y84:Z84)</f>
        <v>806325800</v>
      </c>
      <c r="AB84" s="19">
        <v>0</v>
      </c>
      <c r="AC84" s="374">
        <v>276784000</v>
      </c>
      <c r="AD84" s="18">
        <f>SUM(AB84:AC84)</f>
        <v>276784000</v>
      </c>
      <c r="AE84" s="19">
        <v>0</v>
      </c>
      <c r="AF84" s="374">
        <v>0</v>
      </c>
      <c r="AG84" s="16">
        <f>SUM(AE84:AF84)</f>
        <v>0</v>
      </c>
      <c r="AH84" s="19">
        <f>X84-AA84</f>
        <v>193674200</v>
      </c>
      <c r="AI84" s="15">
        <f>X84-AD84</f>
        <v>723216000</v>
      </c>
      <c r="AJ84" s="16">
        <f>X84-AG84</f>
        <v>1000000000</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7">
        <v>11302</v>
      </c>
      <c r="B85" s="652" t="s">
        <v>577</v>
      </c>
      <c r="C85" s="617">
        <f t="shared" ref="C85:N85" si="107">SUM(C86:C92)</f>
        <v>0</v>
      </c>
      <c r="D85" s="615">
        <f t="shared" si="107"/>
        <v>0</v>
      </c>
      <c r="E85" s="615">
        <f t="shared" si="107"/>
        <v>0</v>
      </c>
      <c r="F85" s="615">
        <f t="shared" si="107"/>
        <v>0</v>
      </c>
      <c r="G85" s="615">
        <f t="shared" si="107"/>
        <v>0</v>
      </c>
      <c r="H85" s="615">
        <f t="shared" si="107"/>
        <v>0</v>
      </c>
      <c r="I85" s="615">
        <f t="shared" si="107"/>
        <v>0</v>
      </c>
      <c r="J85" s="615">
        <f t="shared" si="107"/>
        <v>0</v>
      </c>
      <c r="K85" s="615">
        <f t="shared" si="107"/>
        <v>0</v>
      </c>
      <c r="L85" s="615">
        <f t="shared" si="107"/>
        <v>0</v>
      </c>
      <c r="M85" s="615">
        <f t="shared" si="107"/>
        <v>0</v>
      </c>
      <c r="N85" s="616">
        <f t="shared" si="107"/>
        <v>0</v>
      </c>
      <c r="P85" s="43">
        <f>SUM(P86:P92)</f>
        <v>0</v>
      </c>
      <c r="Q85" s="45">
        <f>SUM(Q86:Q92)</f>
        <v>0</v>
      </c>
      <c r="R85" s="9"/>
      <c r="S85" s="705" t="s">
        <v>222</v>
      </c>
      <c r="T85" s="681" t="s">
        <v>143</v>
      </c>
      <c r="U85" s="398">
        <v>0</v>
      </c>
      <c r="V85" s="15">
        <f t="shared" si="106"/>
        <v>0</v>
      </c>
      <c r="W85" s="15">
        <f t="shared" si="106"/>
        <v>0</v>
      </c>
      <c r="X85" s="16">
        <f>SUM(U85:W85)</f>
        <v>0</v>
      </c>
      <c r="Y85" s="19">
        <v>0</v>
      </c>
      <c r="Z85" s="374">
        <v>0</v>
      </c>
      <c r="AA85" s="16">
        <f>SUM(Y85:Z85)</f>
        <v>0</v>
      </c>
      <c r="AB85" s="19">
        <v>0</v>
      </c>
      <c r="AC85" s="374">
        <v>0</v>
      </c>
      <c r="AD85" s="18">
        <f>SUM(AB85:AC85)</f>
        <v>0</v>
      </c>
      <c r="AE85" s="19">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8">
        <v>1130201</v>
      </c>
      <c r="B86" s="764"/>
      <c r="C86" s="398">
        <v>0</v>
      </c>
      <c r="D86" s="373">
        <f t="shared" ref="D86:E92" si="108">P86</f>
        <v>0</v>
      </c>
      <c r="E86" s="373">
        <f t="shared" si="108"/>
        <v>0</v>
      </c>
      <c r="F86" s="373">
        <f t="shared" ref="F86:F92" si="109">SUM(C86:E86)</f>
        <v>0</v>
      </c>
      <c r="G86" s="373">
        <v>0</v>
      </c>
      <c r="H86" s="374">
        <v>0</v>
      </c>
      <c r="I86" s="373">
        <f t="shared" ref="I86:I92" si="110">SUM(G86:H86)</f>
        <v>0</v>
      </c>
      <c r="J86" s="373">
        <v>0</v>
      </c>
      <c r="K86" s="374">
        <v>0</v>
      </c>
      <c r="L86" s="373">
        <f t="shared" ref="L86:L92" si="111">SUM(J86:K86)</f>
        <v>0</v>
      </c>
      <c r="M86" s="373">
        <f t="shared" ref="M86:M92" si="112">F86-I86</f>
        <v>0</v>
      </c>
      <c r="N86" s="143">
        <f t="shared" ref="N86:N92" si="113">F86-L86</f>
        <v>0</v>
      </c>
      <c r="O86" s="382"/>
      <c r="P86" s="372">
        <v>0</v>
      </c>
      <c r="Q86" s="375">
        <v>0</v>
      </c>
      <c r="S86" s="705" t="s">
        <v>223</v>
      </c>
      <c r="T86" s="681" t="s">
        <v>603</v>
      </c>
      <c r="U86" s="398">
        <v>19000000000</v>
      </c>
      <c r="V86" s="15">
        <f t="shared" si="106"/>
        <v>0</v>
      </c>
      <c r="W86" s="15">
        <f t="shared" si="106"/>
        <v>0</v>
      </c>
      <c r="X86" s="16">
        <f>SUM(U86:W86)</f>
        <v>19000000000</v>
      </c>
      <c r="Y86" s="19">
        <v>0</v>
      </c>
      <c r="Z86" s="374">
        <v>7820994146</v>
      </c>
      <c r="AA86" s="16">
        <f>SUM(Y86:Z86)</f>
        <v>7820994146</v>
      </c>
      <c r="AB86" s="19">
        <v>0</v>
      </c>
      <c r="AC86" s="374">
        <v>518020663</v>
      </c>
      <c r="AD86" s="18">
        <f>SUM(AB86:AC86)</f>
        <v>518020663</v>
      </c>
      <c r="AE86" s="19">
        <v>0</v>
      </c>
      <c r="AF86" s="374">
        <v>0</v>
      </c>
      <c r="AG86" s="16">
        <f>SUM(AE86:AF86)</f>
        <v>0</v>
      </c>
      <c r="AH86" s="19">
        <f>X86-AA86</f>
        <v>11179005854</v>
      </c>
      <c r="AI86" s="15">
        <f>X86-AD86</f>
        <v>18481979337</v>
      </c>
      <c r="AJ86" s="16">
        <f>X86-AG86</f>
        <v>19000000000</v>
      </c>
      <c r="AL86" s="372">
        <v>0</v>
      </c>
      <c r="AM86" s="375">
        <v>0</v>
      </c>
      <c r="AO86" s="294"/>
      <c r="AP86" s="294"/>
      <c r="AQ86" s="294"/>
      <c r="AR86" s="294"/>
      <c r="AS86" s="294"/>
      <c r="AT86" s="294"/>
      <c r="AU86" s="294"/>
      <c r="AV86" s="294"/>
      <c r="AW86" s="294"/>
      <c r="AX86" s="294"/>
      <c r="AY86" s="294"/>
      <c r="AZ86" s="294"/>
      <c r="BA86" s="382"/>
      <c r="BB86" s="382"/>
      <c r="BC86" s="382"/>
      <c r="BD86" s="382"/>
      <c r="BE86" s="382"/>
      <c r="BL86" s="382"/>
      <c r="BM86" s="382"/>
      <c r="BN86" s="382"/>
      <c r="BO86" s="382"/>
      <c r="BP86" s="382"/>
      <c r="BQ86" s="382"/>
      <c r="BR86" s="382"/>
    </row>
    <row r="87" spans="1:70" s="382" customFormat="1" ht="24.95" customHeight="1">
      <c r="A87" s="738">
        <v>1130202</v>
      </c>
      <c r="B87" s="764"/>
      <c r="C87" s="398">
        <v>0</v>
      </c>
      <c r="D87" s="373">
        <f t="shared" si="108"/>
        <v>0</v>
      </c>
      <c r="E87" s="373">
        <f t="shared" si="108"/>
        <v>0</v>
      </c>
      <c r="F87" s="373">
        <f t="shared" si="109"/>
        <v>0</v>
      </c>
      <c r="G87" s="373">
        <v>0</v>
      </c>
      <c r="H87" s="374">
        <v>0</v>
      </c>
      <c r="I87" s="373">
        <f t="shared" si="110"/>
        <v>0</v>
      </c>
      <c r="J87" s="373">
        <v>0</v>
      </c>
      <c r="K87" s="374">
        <v>0</v>
      </c>
      <c r="L87" s="373">
        <f t="shared" si="111"/>
        <v>0</v>
      </c>
      <c r="M87" s="373">
        <f t="shared" si="112"/>
        <v>0</v>
      </c>
      <c r="N87" s="143">
        <f t="shared" si="113"/>
        <v>0</v>
      </c>
      <c r="P87" s="372">
        <v>0</v>
      </c>
      <c r="Q87" s="375">
        <v>0</v>
      </c>
      <c r="R87" s="9"/>
      <c r="S87" s="707"/>
      <c r="T87" s="684"/>
      <c r="U87" s="398"/>
      <c r="V87" s="15">
        <f>AL87</f>
        <v>0</v>
      </c>
      <c r="W87" s="15">
        <f>AM87</f>
        <v>0</v>
      </c>
      <c r="X87" s="16">
        <f>SUM(U87:W87)</f>
        <v>0</v>
      </c>
      <c r="Y87" s="19">
        <v>0</v>
      </c>
      <c r="Z87" s="374">
        <v>0</v>
      </c>
      <c r="AA87" s="16">
        <f>SUM(Y87:Z87)</f>
        <v>0</v>
      </c>
      <c r="AB87" s="19">
        <v>0</v>
      </c>
      <c r="AC87" s="374">
        <v>0</v>
      </c>
      <c r="AD87" s="18">
        <f>SUM(AB87:AC87)</f>
        <v>0</v>
      </c>
      <c r="AE87" s="19">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B87" s="9"/>
    </row>
    <row r="88" spans="1:70" s="382" customFormat="1" ht="32.25" customHeight="1">
      <c r="A88" s="738">
        <v>1130203</v>
      </c>
      <c r="B88" s="627" t="s">
        <v>559</v>
      </c>
      <c r="C88" s="398">
        <v>0</v>
      </c>
      <c r="D88" s="373">
        <f t="shared" si="108"/>
        <v>0</v>
      </c>
      <c r="E88" s="373">
        <f t="shared" si="108"/>
        <v>0</v>
      </c>
      <c r="F88" s="373">
        <f t="shared" si="109"/>
        <v>0</v>
      </c>
      <c r="G88" s="373">
        <v>0</v>
      </c>
      <c r="H88" s="374">
        <v>0</v>
      </c>
      <c r="I88" s="373">
        <f t="shared" si="110"/>
        <v>0</v>
      </c>
      <c r="J88" s="373">
        <v>0</v>
      </c>
      <c r="K88" s="374">
        <v>0</v>
      </c>
      <c r="L88" s="373">
        <f t="shared" si="111"/>
        <v>0</v>
      </c>
      <c r="M88" s="373">
        <f t="shared" si="112"/>
        <v>0</v>
      </c>
      <c r="N88" s="143">
        <f t="shared" si="113"/>
        <v>0</v>
      </c>
      <c r="P88" s="372">
        <v>0</v>
      </c>
      <c r="Q88" s="375">
        <v>0</v>
      </c>
      <c r="R88" s="9"/>
      <c r="S88" s="705">
        <v>1020299</v>
      </c>
      <c r="T88" s="681" t="s">
        <v>129</v>
      </c>
      <c r="U88" s="398">
        <v>2232471701</v>
      </c>
      <c r="V88" s="15">
        <f t="shared" si="106"/>
        <v>0</v>
      </c>
      <c r="W88" s="15">
        <f t="shared" si="106"/>
        <v>0</v>
      </c>
      <c r="X88" s="16">
        <f>SUM(U88:W88)</f>
        <v>2232471701</v>
      </c>
      <c r="Y88" s="19">
        <v>0</v>
      </c>
      <c r="Z88" s="374">
        <v>1198298163</v>
      </c>
      <c r="AA88" s="16">
        <f>SUM(Y88:Z88)</f>
        <v>1198298163</v>
      </c>
      <c r="AB88" s="19">
        <v>0</v>
      </c>
      <c r="AC88" s="374">
        <v>1198298163</v>
      </c>
      <c r="AD88" s="18">
        <f>SUM(AB88:AC88)</f>
        <v>1198298163</v>
      </c>
      <c r="AE88" s="19">
        <v>0</v>
      </c>
      <c r="AF88" s="374">
        <v>1198298163</v>
      </c>
      <c r="AG88" s="16">
        <f>SUM(AE88:AF88)</f>
        <v>1198298163</v>
      </c>
      <c r="AH88" s="19">
        <f>X88-AA88</f>
        <v>1034173538</v>
      </c>
      <c r="AI88" s="15">
        <f>X88-AD88</f>
        <v>1034173538</v>
      </c>
      <c r="AJ88" s="16">
        <f>X88-AG88</f>
        <v>1034173538</v>
      </c>
      <c r="AK88" s="9"/>
      <c r="AL88" s="372">
        <v>0</v>
      </c>
      <c r="AM88" s="375">
        <v>0</v>
      </c>
      <c r="AN88" s="9"/>
      <c r="AO88" s="294"/>
      <c r="AP88" s="294"/>
      <c r="AQ88" s="294"/>
      <c r="AR88" s="294"/>
      <c r="AS88" s="294"/>
      <c r="AT88" s="294"/>
      <c r="AU88" s="294"/>
      <c r="AV88" s="294"/>
      <c r="AW88" s="294"/>
      <c r="AX88" s="294"/>
      <c r="AY88" s="294"/>
      <c r="AZ88" s="294"/>
      <c r="BC88" s="9"/>
      <c r="BD88" s="9"/>
      <c r="BE88" s="9"/>
      <c r="BN88" s="9"/>
      <c r="BO88" s="9"/>
      <c r="BP88" s="9"/>
      <c r="BQ88" s="9"/>
      <c r="BR88" s="9"/>
    </row>
    <row r="89" spans="1:70" s="382" customFormat="1" ht="28.5" customHeight="1">
      <c r="A89" s="738">
        <v>1130204</v>
      </c>
      <c r="B89" s="627" t="s">
        <v>560</v>
      </c>
      <c r="C89" s="398">
        <v>0</v>
      </c>
      <c r="D89" s="373">
        <f t="shared" si="108"/>
        <v>0</v>
      </c>
      <c r="E89" s="373">
        <f t="shared" si="108"/>
        <v>0</v>
      </c>
      <c r="F89" s="373">
        <f t="shared" si="109"/>
        <v>0</v>
      </c>
      <c r="G89" s="373">
        <v>0</v>
      </c>
      <c r="H89" s="374">
        <v>0</v>
      </c>
      <c r="I89" s="373">
        <f t="shared" si="110"/>
        <v>0</v>
      </c>
      <c r="J89" s="373">
        <v>0</v>
      </c>
      <c r="K89" s="374">
        <v>0</v>
      </c>
      <c r="L89" s="373">
        <f t="shared" si="111"/>
        <v>0</v>
      </c>
      <c r="M89" s="373">
        <f t="shared" si="112"/>
        <v>0</v>
      </c>
      <c r="N89" s="143">
        <f t="shared" si="113"/>
        <v>0</v>
      </c>
      <c r="P89" s="372">
        <v>0</v>
      </c>
      <c r="Q89" s="375">
        <v>0</v>
      </c>
      <c r="R89" s="9"/>
      <c r="S89" s="366"/>
      <c r="T89" s="677"/>
      <c r="U89" s="161"/>
      <c r="V89" s="161"/>
      <c r="W89" s="161"/>
      <c r="X89" s="166"/>
      <c r="Y89" s="367"/>
      <c r="Z89" s="161"/>
      <c r="AA89" s="166"/>
      <c r="AB89" s="367"/>
      <c r="AC89" s="161"/>
      <c r="AD89" s="161"/>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0.75" customHeight="1">
      <c r="A90" s="738">
        <v>1130205</v>
      </c>
      <c r="B90" s="627" t="s">
        <v>561</v>
      </c>
      <c r="C90" s="398">
        <v>0</v>
      </c>
      <c r="D90" s="373">
        <f t="shared" si="108"/>
        <v>0</v>
      </c>
      <c r="E90" s="373">
        <f t="shared" si="108"/>
        <v>0</v>
      </c>
      <c r="F90" s="373">
        <f t="shared" si="109"/>
        <v>0</v>
      </c>
      <c r="G90" s="373">
        <v>0</v>
      </c>
      <c r="H90" s="374">
        <v>0</v>
      </c>
      <c r="I90" s="373">
        <f t="shared" si="110"/>
        <v>0</v>
      </c>
      <c r="J90" s="373">
        <v>0</v>
      </c>
      <c r="K90" s="374">
        <v>0</v>
      </c>
      <c r="L90" s="373">
        <f t="shared" si="111"/>
        <v>0</v>
      </c>
      <c r="M90" s="373">
        <f t="shared" si="112"/>
        <v>0</v>
      </c>
      <c r="N90" s="143">
        <f t="shared" si="113"/>
        <v>0</v>
      </c>
      <c r="O90" s="382"/>
      <c r="P90" s="372">
        <v>0</v>
      </c>
      <c r="Q90" s="375">
        <v>0</v>
      </c>
      <c r="R90" s="30"/>
      <c r="S90" s="704">
        <v>1020300</v>
      </c>
      <c r="T90" s="680" t="s">
        <v>158</v>
      </c>
      <c r="U90" s="132">
        <f t="shared" ref="U90:AJ90" si="114">U91+U96+U102</f>
        <v>259627762</v>
      </c>
      <c r="V90" s="122">
        <f t="shared" si="114"/>
        <v>0</v>
      </c>
      <c r="W90" s="122">
        <f t="shared" si="114"/>
        <v>0</v>
      </c>
      <c r="X90" s="130">
        <f t="shared" si="114"/>
        <v>259627762</v>
      </c>
      <c r="Y90" s="128">
        <f t="shared" si="114"/>
        <v>0</v>
      </c>
      <c r="Z90" s="122">
        <f t="shared" si="114"/>
        <v>19106182</v>
      </c>
      <c r="AA90" s="130">
        <f t="shared" si="114"/>
        <v>19106182</v>
      </c>
      <c r="AB90" s="128">
        <f t="shared" si="114"/>
        <v>0</v>
      </c>
      <c r="AC90" s="122">
        <f t="shared" si="114"/>
        <v>19106182</v>
      </c>
      <c r="AD90" s="129">
        <f t="shared" si="114"/>
        <v>19106182</v>
      </c>
      <c r="AE90" s="128">
        <f t="shared" si="114"/>
        <v>0</v>
      </c>
      <c r="AF90" s="122">
        <f t="shared" si="114"/>
        <v>19106182</v>
      </c>
      <c r="AG90" s="130">
        <f t="shared" si="114"/>
        <v>19106182</v>
      </c>
      <c r="AH90" s="128">
        <f t="shared" si="114"/>
        <v>240521580</v>
      </c>
      <c r="AI90" s="122">
        <f t="shared" si="114"/>
        <v>240521580</v>
      </c>
      <c r="AJ90" s="130">
        <f t="shared" si="114"/>
        <v>240521580</v>
      </c>
      <c r="AK90" s="9"/>
      <c r="AL90" s="128">
        <f>AL91+AL96+AL102</f>
        <v>0</v>
      </c>
      <c r="AM90" s="130">
        <f>AM91+AM96+AM102</f>
        <v>0</v>
      </c>
      <c r="AN90" s="30"/>
      <c r="AO90" s="460"/>
      <c r="AP90" s="460"/>
      <c r="AQ90" s="460"/>
      <c r="AR90" s="460"/>
      <c r="AS90" s="460"/>
      <c r="AT90" s="460"/>
      <c r="AU90" s="460"/>
      <c r="AV90" s="460"/>
      <c r="AW90" s="460"/>
      <c r="AX90" s="460"/>
      <c r="AY90" s="460"/>
      <c r="AZ90" s="460"/>
      <c r="BB90" s="382"/>
      <c r="BC90" s="382"/>
      <c r="BD90" s="382"/>
      <c r="BE90" s="382"/>
      <c r="BM90" s="382"/>
      <c r="BN90" s="382"/>
      <c r="BO90" s="382"/>
      <c r="BP90" s="382"/>
      <c r="BQ90" s="382"/>
      <c r="BR90" s="382"/>
    </row>
    <row r="91" spans="1:70" s="461" customFormat="1" ht="32.25" customHeight="1">
      <c r="A91" s="738">
        <v>1130206</v>
      </c>
      <c r="B91" s="627" t="s">
        <v>562</v>
      </c>
      <c r="C91" s="398">
        <v>0</v>
      </c>
      <c r="D91" s="373">
        <f t="shared" si="108"/>
        <v>0</v>
      </c>
      <c r="E91" s="373">
        <f t="shared" si="108"/>
        <v>0</v>
      </c>
      <c r="F91" s="373">
        <f t="shared" si="109"/>
        <v>0</v>
      </c>
      <c r="G91" s="373">
        <v>0</v>
      </c>
      <c r="H91" s="374">
        <v>0</v>
      </c>
      <c r="I91" s="373">
        <f t="shared" si="110"/>
        <v>0</v>
      </c>
      <c r="J91" s="373">
        <v>0</v>
      </c>
      <c r="K91" s="374">
        <v>0</v>
      </c>
      <c r="L91" s="373">
        <f t="shared" si="111"/>
        <v>0</v>
      </c>
      <c r="M91" s="373">
        <f t="shared" si="112"/>
        <v>0</v>
      </c>
      <c r="N91" s="143">
        <f t="shared" si="113"/>
        <v>0</v>
      </c>
      <c r="O91" s="382"/>
      <c r="P91" s="372">
        <v>0</v>
      </c>
      <c r="Q91" s="375">
        <v>0</v>
      </c>
      <c r="R91" s="30"/>
      <c r="S91" s="705">
        <v>1020301</v>
      </c>
      <c r="T91" s="681" t="s">
        <v>610</v>
      </c>
      <c r="U91" s="27">
        <f t="shared" ref="U91:AJ91" si="115">SUM(U92:U95)</f>
        <v>0</v>
      </c>
      <c r="V91" s="25">
        <f t="shared" si="115"/>
        <v>0</v>
      </c>
      <c r="W91" s="25">
        <f t="shared" si="115"/>
        <v>0</v>
      </c>
      <c r="X91" s="26">
        <f t="shared" si="115"/>
        <v>0</v>
      </c>
      <c r="Y91" s="29">
        <f t="shared" si="115"/>
        <v>0</v>
      </c>
      <c r="Z91" s="25">
        <f t="shared" si="115"/>
        <v>0</v>
      </c>
      <c r="AA91" s="26">
        <f t="shared" si="115"/>
        <v>0</v>
      </c>
      <c r="AB91" s="29">
        <f t="shared" si="115"/>
        <v>0</v>
      </c>
      <c r="AC91" s="25">
        <f t="shared" si="115"/>
        <v>0</v>
      </c>
      <c r="AD91" s="28">
        <f t="shared" si="115"/>
        <v>0</v>
      </c>
      <c r="AE91" s="29">
        <f t="shared" si="115"/>
        <v>0</v>
      </c>
      <c r="AF91" s="25">
        <f t="shared" si="115"/>
        <v>0</v>
      </c>
      <c r="AG91" s="26">
        <f t="shared" si="115"/>
        <v>0</v>
      </c>
      <c r="AH91" s="19">
        <f t="shared" si="115"/>
        <v>0</v>
      </c>
      <c r="AI91" s="15">
        <f t="shared" si="115"/>
        <v>0</v>
      </c>
      <c r="AJ91" s="16">
        <f t="shared" si="115"/>
        <v>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8">
        <v>1130207</v>
      </c>
      <c r="B92" s="628" t="s">
        <v>566</v>
      </c>
      <c r="C92" s="488">
        <v>0</v>
      </c>
      <c r="D92" s="385">
        <f t="shared" si="108"/>
        <v>0</v>
      </c>
      <c r="E92" s="385">
        <f t="shared" si="108"/>
        <v>0</v>
      </c>
      <c r="F92" s="385">
        <f t="shared" si="109"/>
        <v>0</v>
      </c>
      <c r="G92" s="385">
        <v>0</v>
      </c>
      <c r="H92" s="388">
        <v>0</v>
      </c>
      <c r="I92" s="385">
        <f t="shared" si="110"/>
        <v>0</v>
      </c>
      <c r="J92" s="385">
        <v>0</v>
      </c>
      <c r="K92" s="388">
        <v>0</v>
      </c>
      <c r="L92" s="385">
        <f t="shared" si="111"/>
        <v>0</v>
      </c>
      <c r="M92" s="385">
        <f t="shared" si="112"/>
        <v>0</v>
      </c>
      <c r="N92" s="386">
        <f t="shared" si="113"/>
        <v>0</v>
      </c>
      <c r="O92" s="382"/>
      <c r="P92" s="372">
        <v>0</v>
      </c>
      <c r="Q92" s="375">
        <v>0</v>
      </c>
      <c r="R92" s="30"/>
      <c r="S92" s="706" t="s">
        <v>224</v>
      </c>
      <c r="T92" s="682" t="s">
        <v>611</v>
      </c>
      <c r="U92" s="398">
        <v>0</v>
      </c>
      <c r="V92" s="15">
        <f t="shared" ref="V92:W95" si="116">AL92</f>
        <v>0</v>
      </c>
      <c r="W92" s="15">
        <f t="shared" si="116"/>
        <v>0</v>
      </c>
      <c r="X92" s="16">
        <f>SUM(U92:W92)</f>
        <v>0</v>
      </c>
      <c r="Y92" s="19">
        <v>0</v>
      </c>
      <c r="Z92" s="374">
        <v>0</v>
      </c>
      <c r="AA92" s="16">
        <f>SUM(Y92:Z92)</f>
        <v>0</v>
      </c>
      <c r="AB92" s="19">
        <v>0</v>
      </c>
      <c r="AC92" s="374">
        <v>0</v>
      </c>
      <c r="AD92" s="18">
        <f>SUM(AB92:AC92)</f>
        <v>0</v>
      </c>
      <c r="AE92" s="19">
        <v>0</v>
      </c>
      <c r="AF92" s="374">
        <v>0</v>
      </c>
      <c r="AG92" s="16">
        <f>SUM(AE92:AF92)</f>
        <v>0</v>
      </c>
      <c r="AH92" s="19">
        <f>X92-AA92</f>
        <v>0</v>
      </c>
      <c r="AI92" s="15">
        <f>X92-AD92</f>
        <v>0</v>
      </c>
      <c r="AJ92" s="16">
        <f>X92-AG92</f>
        <v>0</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6"/>
      <c r="B93" s="651"/>
      <c r="C93" s="294"/>
      <c r="D93" s="294"/>
      <c r="E93" s="294"/>
      <c r="F93" s="294"/>
      <c r="G93" s="294"/>
      <c r="H93" s="294"/>
      <c r="I93" s="294"/>
      <c r="J93" s="294"/>
      <c r="K93" s="294"/>
      <c r="L93" s="294"/>
      <c r="M93" s="294"/>
      <c r="N93" s="463"/>
      <c r="P93" s="467"/>
      <c r="Q93" s="391"/>
      <c r="R93" s="30"/>
      <c r="S93" s="706" t="s">
        <v>225</v>
      </c>
      <c r="T93" s="682" t="s">
        <v>612</v>
      </c>
      <c r="U93" s="398">
        <v>0</v>
      </c>
      <c r="V93" s="15">
        <f t="shared" si="116"/>
        <v>0</v>
      </c>
      <c r="W93" s="15">
        <f t="shared" si="116"/>
        <v>0</v>
      </c>
      <c r="X93" s="16">
        <f>SUM(U93:W93)</f>
        <v>0</v>
      </c>
      <c r="Y93" s="19">
        <v>0</v>
      </c>
      <c r="Z93" s="374">
        <v>0</v>
      </c>
      <c r="AA93" s="16">
        <f>SUM(Y93:Z93)</f>
        <v>0</v>
      </c>
      <c r="AB93" s="19">
        <v>0</v>
      </c>
      <c r="AC93" s="374">
        <v>0</v>
      </c>
      <c r="AD93" s="18">
        <f>SUM(AB93:AC93)</f>
        <v>0</v>
      </c>
      <c r="AE93" s="19">
        <v>0</v>
      </c>
      <c r="AF93" s="374">
        <v>0</v>
      </c>
      <c r="AG93" s="16">
        <f>SUM(AE93:AF93)</f>
        <v>0</v>
      </c>
      <c r="AH93" s="19">
        <f>X93-AA93</f>
        <v>0</v>
      </c>
      <c r="AI93" s="15">
        <f>X93-AD93</f>
        <v>0</v>
      </c>
      <c r="AJ93" s="16">
        <f>X93-AG93</f>
        <v>0</v>
      </c>
      <c r="AK93" s="9"/>
      <c r="AL93" s="372">
        <v>0</v>
      </c>
      <c r="AM93" s="375">
        <v>0</v>
      </c>
      <c r="AN93" s="30"/>
      <c r="AO93" s="460"/>
      <c r="AP93" s="460"/>
      <c r="AQ93" s="460"/>
      <c r="AR93" s="460"/>
      <c r="AS93" s="460"/>
      <c r="AT93" s="460"/>
      <c r="AU93" s="460"/>
      <c r="AV93" s="460"/>
      <c r="AW93" s="460"/>
      <c r="AX93" s="460"/>
      <c r="AY93" s="460"/>
      <c r="AZ93" s="460"/>
      <c r="BL93" s="30"/>
    </row>
    <row r="94" spans="1:70" s="461" customFormat="1" ht="39.75" customHeight="1">
      <c r="A94" s="739">
        <v>11303</v>
      </c>
      <c r="B94" s="618" t="s">
        <v>578</v>
      </c>
      <c r="C94" s="617">
        <f>SUM(C95:C102)</f>
        <v>0</v>
      </c>
      <c r="D94" s="615">
        <f t="shared" ref="D94:N94" si="117">SUM(D95:D102)</f>
        <v>0</v>
      </c>
      <c r="E94" s="615">
        <f t="shared" si="117"/>
        <v>0</v>
      </c>
      <c r="F94" s="615">
        <f t="shared" si="117"/>
        <v>0</v>
      </c>
      <c r="G94" s="615">
        <f t="shared" si="117"/>
        <v>0</v>
      </c>
      <c r="H94" s="615">
        <f t="shared" si="117"/>
        <v>0</v>
      </c>
      <c r="I94" s="615">
        <f t="shared" si="117"/>
        <v>0</v>
      </c>
      <c r="J94" s="615">
        <f t="shared" si="117"/>
        <v>0</v>
      </c>
      <c r="K94" s="615">
        <f t="shared" si="117"/>
        <v>0</v>
      </c>
      <c r="L94" s="615">
        <f t="shared" si="117"/>
        <v>0</v>
      </c>
      <c r="M94" s="615">
        <f t="shared" si="117"/>
        <v>0</v>
      </c>
      <c r="N94" s="616">
        <f t="shared" si="117"/>
        <v>0</v>
      </c>
      <c r="O94" s="382"/>
      <c r="P94" s="43">
        <f>SUM(P95:P102)</f>
        <v>0</v>
      </c>
      <c r="Q94" s="45">
        <f>SUM(Q95:Q102)</f>
        <v>0</v>
      </c>
      <c r="R94" s="30"/>
      <c r="S94" s="706" t="s">
        <v>226</v>
      </c>
      <c r="T94" s="682" t="s">
        <v>613</v>
      </c>
      <c r="U94" s="398">
        <v>0</v>
      </c>
      <c r="V94" s="15">
        <f t="shared" si="116"/>
        <v>0</v>
      </c>
      <c r="W94" s="15">
        <f t="shared" si="116"/>
        <v>0</v>
      </c>
      <c r="X94" s="16">
        <f>SUM(U94:W94)</f>
        <v>0</v>
      </c>
      <c r="Y94" s="19">
        <v>0</v>
      </c>
      <c r="Z94" s="374">
        <v>0</v>
      </c>
      <c r="AA94" s="16">
        <f>SUM(Y94:Z94)</f>
        <v>0</v>
      </c>
      <c r="AB94" s="19">
        <v>0</v>
      </c>
      <c r="AC94" s="374">
        <v>0</v>
      </c>
      <c r="AD94" s="18">
        <f>SUM(AB94:AC94)</f>
        <v>0</v>
      </c>
      <c r="AE94" s="19">
        <v>0</v>
      </c>
      <c r="AF94" s="374">
        <v>0</v>
      </c>
      <c r="AG94" s="16">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32.25" customHeight="1">
      <c r="A95" s="740" t="s">
        <v>232</v>
      </c>
      <c r="B95" s="627" t="s">
        <v>605</v>
      </c>
      <c r="C95" s="398">
        <v>0</v>
      </c>
      <c r="D95" s="373">
        <f t="shared" ref="D95:D102" si="118">P95</f>
        <v>0</v>
      </c>
      <c r="E95" s="373">
        <f t="shared" ref="E95:E102" si="119">Q95</f>
        <v>0</v>
      </c>
      <c r="F95" s="373">
        <f t="shared" ref="F95:F102" si="120">SUM(C95:E95)</f>
        <v>0</v>
      </c>
      <c r="G95" s="373">
        <v>0</v>
      </c>
      <c r="H95" s="374">
        <v>0</v>
      </c>
      <c r="I95" s="373">
        <f t="shared" ref="I95:I102" si="121">SUM(G95:H95)</f>
        <v>0</v>
      </c>
      <c r="J95" s="373">
        <v>0</v>
      </c>
      <c r="K95" s="374">
        <v>0</v>
      </c>
      <c r="L95" s="373">
        <f t="shared" ref="L95:L102" si="122">SUM(J95:K95)</f>
        <v>0</v>
      </c>
      <c r="M95" s="373">
        <f t="shared" ref="M95:M102" si="123">F95-I95</f>
        <v>0</v>
      </c>
      <c r="N95" s="143">
        <f t="shared" ref="N95:N102" si="124">F95-L95</f>
        <v>0</v>
      </c>
      <c r="O95" s="382"/>
      <c r="P95" s="372">
        <v>0</v>
      </c>
      <c r="Q95" s="375">
        <v>0</v>
      </c>
      <c r="R95" s="30"/>
      <c r="S95" s="706" t="s">
        <v>227</v>
      </c>
      <c r="T95" s="682" t="s">
        <v>614</v>
      </c>
      <c r="U95" s="398">
        <v>0</v>
      </c>
      <c r="V95" s="15">
        <f t="shared" si="116"/>
        <v>0</v>
      </c>
      <c r="W95" s="15">
        <f t="shared" si="116"/>
        <v>0</v>
      </c>
      <c r="X95" s="16">
        <f>SUM(U95:W95)</f>
        <v>0</v>
      </c>
      <c r="Y95" s="19">
        <v>0</v>
      </c>
      <c r="Z95" s="374">
        <v>0</v>
      </c>
      <c r="AA95" s="16">
        <f>SUM(Y95:Z95)</f>
        <v>0</v>
      </c>
      <c r="AB95" s="19">
        <v>0</v>
      </c>
      <c r="AC95" s="374">
        <v>0</v>
      </c>
      <c r="AD95" s="18">
        <f>SUM(AB95:AC95)</f>
        <v>0</v>
      </c>
      <c r="AE95" s="19">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30.75" customHeight="1">
      <c r="A96" s="740" t="s">
        <v>234</v>
      </c>
      <c r="B96" s="627" t="s">
        <v>606</v>
      </c>
      <c r="C96" s="398">
        <v>0</v>
      </c>
      <c r="D96" s="373">
        <f t="shared" si="118"/>
        <v>0</v>
      </c>
      <c r="E96" s="373">
        <f t="shared" si="119"/>
        <v>0</v>
      </c>
      <c r="F96" s="373">
        <f t="shared" si="120"/>
        <v>0</v>
      </c>
      <c r="G96" s="373">
        <v>0</v>
      </c>
      <c r="H96" s="374">
        <v>0</v>
      </c>
      <c r="I96" s="373">
        <f t="shared" si="121"/>
        <v>0</v>
      </c>
      <c r="J96" s="373">
        <v>0</v>
      </c>
      <c r="K96" s="374">
        <v>0</v>
      </c>
      <c r="L96" s="373">
        <f t="shared" si="122"/>
        <v>0</v>
      </c>
      <c r="M96" s="373">
        <f t="shared" si="123"/>
        <v>0</v>
      </c>
      <c r="N96" s="143">
        <f t="shared" si="124"/>
        <v>0</v>
      </c>
      <c r="O96" s="382"/>
      <c r="P96" s="372">
        <v>0</v>
      </c>
      <c r="Q96" s="375">
        <v>0</v>
      </c>
      <c r="S96" s="705">
        <v>1020302</v>
      </c>
      <c r="T96" s="681" t="s">
        <v>169</v>
      </c>
      <c r="U96" s="17">
        <f t="shared" ref="U96:AJ96" si="125">SUM(U97:U101)</f>
        <v>259627762</v>
      </c>
      <c r="V96" s="15">
        <f t="shared" si="125"/>
        <v>0</v>
      </c>
      <c r="W96" s="15">
        <f t="shared" si="125"/>
        <v>0</v>
      </c>
      <c r="X96" s="16">
        <f t="shared" si="125"/>
        <v>259627762</v>
      </c>
      <c r="Y96" s="19">
        <f t="shared" si="125"/>
        <v>0</v>
      </c>
      <c r="Z96" s="142">
        <f t="shared" si="125"/>
        <v>19106182</v>
      </c>
      <c r="AA96" s="16">
        <f t="shared" si="125"/>
        <v>19106182</v>
      </c>
      <c r="AB96" s="19">
        <f t="shared" si="125"/>
        <v>0</v>
      </c>
      <c r="AC96" s="142">
        <f t="shared" si="125"/>
        <v>19106182</v>
      </c>
      <c r="AD96" s="18">
        <f t="shared" si="125"/>
        <v>19106182</v>
      </c>
      <c r="AE96" s="19">
        <f t="shared" si="125"/>
        <v>0</v>
      </c>
      <c r="AF96" s="142">
        <f t="shared" si="125"/>
        <v>19106182</v>
      </c>
      <c r="AG96" s="16">
        <f t="shared" si="125"/>
        <v>19106182</v>
      </c>
      <c r="AH96" s="19">
        <f t="shared" si="125"/>
        <v>240521580</v>
      </c>
      <c r="AI96" s="15">
        <f t="shared" si="125"/>
        <v>240521580</v>
      </c>
      <c r="AJ96" s="16">
        <f t="shared" si="125"/>
        <v>240521580</v>
      </c>
      <c r="AL96" s="32">
        <f>SUM(AL97:AL101)</f>
        <v>0</v>
      </c>
      <c r="AM96" s="33">
        <f>SUM(AM97:AM101)</f>
        <v>0</v>
      </c>
      <c r="AO96" s="460"/>
      <c r="AP96" s="460"/>
      <c r="AQ96" s="460"/>
      <c r="AR96" s="460"/>
      <c r="AS96" s="460"/>
      <c r="AT96" s="460"/>
      <c r="AU96" s="460"/>
      <c r="AV96" s="460"/>
      <c r="AW96" s="460"/>
      <c r="AX96" s="460"/>
      <c r="AY96" s="460"/>
      <c r="AZ96" s="460"/>
      <c r="BA96" s="461"/>
      <c r="BB96" s="461"/>
      <c r="BC96" s="461"/>
      <c r="BD96" s="461"/>
      <c r="BE96" s="461"/>
      <c r="BL96" s="461"/>
      <c r="BM96" s="461"/>
      <c r="BN96" s="461"/>
      <c r="BO96" s="461"/>
      <c r="BP96" s="461"/>
      <c r="BQ96" s="461"/>
      <c r="BR96" s="461"/>
    </row>
    <row r="97" spans="1:70" s="461" customFormat="1" ht="31.5" customHeight="1">
      <c r="A97" s="740" t="s">
        <v>235</v>
      </c>
      <c r="B97" s="627" t="s">
        <v>607</v>
      </c>
      <c r="C97" s="398">
        <v>0</v>
      </c>
      <c r="D97" s="373">
        <f t="shared" si="118"/>
        <v>0</v>
      </c>
      <c r="E97" s="373">
        <f t="shared" si="119"/>
        <v>0</v>
      </c>
      <c r="F97" s="373">
        <f t="shared" si="120"/>
        <v>0</v>
      </c>
      <c r="G97" s="373">
        <v>0</v>
      </c>
      <c r="H97" s="374">
        <v>0</v>
      </c>
      <c r="I97" s="373">
        <f t="shared" si="121"/>
        <v>0</v>
      </c>
      <c r="J97" s="373">
        <v>0</v>
      </c>
      <c r="K97" s="374">
        <v>0</v>
      </c>
      <c r="L97" s="373">
        <f t="shared" si="122"/>
        <v>0</v>
      </c>
      <c r="M97" s="373">
        <f t="shared" si="123"/>
        <v>0</v>
      </c>
      <c r="N97" s="143">
        <f t="shared" si="124"/>
        <v>0</v>
      </c>
      <c r="O97" s="382"/>
      <c r="P97" s="372">
        <v>0</v>
      </c>
      <c r="Q97" s="375">
        <v>0</v>
      </c>
      <c r="R97" s="30"/>
      <c r="S97" s="706" t="s">
        <v>228</v>
      </c>
      <c r="T97" s="682" t="s">
        <v>409</v>
      </c>
      <c r="U97" s="398">
        <v>52772649</v>
      </c>
      <c r="V97" s="15">
        <f t="shared" ref="V97:W102" si="126">AL97</f>
        <v>0</v>
      </c>
      <c r="W97" s="15">
        <f t="shared" si="126"/>
        <v>0</v>
      </c>
      <c r="X97" s="16">
        <f t="shared" ref="X97:X102" si="127">SUM(U97:W97)</f>
        <v>52772649</v>
      </c>
      <c r="Y97" s="19">
        <v>0</v>
      </c>
      <c r="Z97" s="374">
        <v>6120421</v>
      </c>
      <c r="AA97" s="16">
        <f t="shared" ref="AA97:AA102" si="128">SUM(Y97:Z97)</f>
        <v>6120421</v>
      </c>
      <c r="AB97" s="19">
        <v>0</v>
      </c>
      <c r="AC97" s="374">
        <v>6120421</v>
      </c>
      <c r="AD97" s="18">
        <f t="shared" ref="AD97:AD102" si="129">SUM(AB97:AC97)</f>
        <v>6120421</v>
      </c>
      <c r="AE97" s="19">
        <v>0</v>
      </c>
      <c r="AF97" s="374">
        <v>6120421</v>
      </c>
      <c r="AG97" s="16">
        <f t="shared" ref="AG97:AG102" si="130">SUM(AE97:AF97)</f>
        <v>6120421</v>
      </c>
      <c r="AH97" s="19">
        <f t="shared" ref="AH97:AH102" si="131">X97-AA97</f>
        <v>46652228</v>
      </c>
      <c r="AI97" s="15">
        <f t="shared" ref="AI97:AI102" si="132">X97-AD97</f>
        <v>46652228</v>
      </c>
      <c r="AJ97" s="16">
        <f t="shared" ref="AJ97:AJ102" si="133">X97-AG97</f>
        <v>46652228</v>
      </c>
      <c r="AK97" s="30"/>
      <c r="AL97" s="372">
        <v>0</v>
      </c>
      <c r="AM97" s="375">
        <v>0</v>
      </c>
      <c r="AN97" s="30"/>
      <c r="AO97" s="460"/>
      <c r="AP97" s="460"/>
      <c r="AQ97" s="460"/>
      <c r="AR97" s="460"/>
      <c r="AS97" s="460"/>
      <c r="AT97" s="460"/>
      <c r="AU97" s="460"/>
      <c r="AV97" s="460"/>
      <c r="AW97" s="460"/>
      <c r="AX97" s="460"/>
      <c r="AY97" s="460"/>
      <c r="AZ97" s="460"/>
      <c r="BB97" s="30"/>
    </row>
    <row r="98" spans="1:70" s="461" customFormat="1" ht="32.25" customHeight="1">
      <c r="A98" s="740" t="s">
        <v>236</v>
      </c>
      <c r="B98" s="627" t="s">
        <v>608</v>
      </c>
      <c r="C98" s="398">
        <v>0</v>
      </c>
      <c r="D98" s="373">
        <f t="shared" si="118"/>
        <v>0</v>
      </c>
      <c r="E98" s="373">
        <f t="shared" si="119"/>
        <v>0</v>
      </c>
      <c r="F98" s="373">
        <f t="shared" si="120"/>
        <v>0</v>
      </c>
      <c r="G98" s="373">
        <v>0</v>
      </c>
      <c r="H98" s="374">
        <v>0</v>
      </c>
      <c r="I98" s="373">
        <f t="shared" si="121"/>
        <v>0</v>
      </c>
      <c r="J98" s="373">
        <v>0</v>
      </c>
      <c r="K98" s="374">
        <v>0</v>
      </c>
      <c r="L98" s="373">
        <f t="shared" si="122"/>
        <v>0</v>
      </c>
      <c r="M98" s="373">
        <f t="shared" si="123"/>
        <v>0</v>
      </c>
      <c r="N98" s="143">
        <f t="shared" si="124"/>
        <v>0</v>
      </c>
      <c r="O98" s="382"/>
      <c r="P98" s="372">
        <v>0</v>
      </c>
      <c r="Q98" s="375">
        <v>0</v>
      </c>
      <c r="R98" s="30"/>
      <c r="S98" s="706" t="s">
        <v>229</v>
      </c>
      <c r="T98" s="682" t="s">
        <v>410</v>
      </c>
      <c r="U98" s="398">
        <v>103712246</v>
      </c>
      <c r="V98" s="15">
        <f t="shared" si="126"/>
        <v>0</v>
      </c>
      <c r="W98" s="15">
        <f t="shared" si="126"/>
        <v>0</v>
      </c>
      <c r="X98" s="16">
        <f t="shared" si="127"/>
        <v>103712246</v>
      </c>
      <c r="Y98" s="19">
        <v>0</v>
      </c>
      <c r="Z98" s="374">
        <v>8640761</v>
      </c>
      <c r="AA98" s="16">
        <f t="shared" si="128"/>
        <v>8640761</v>
      </c>
      <c r="AB98" s="19">
        <v>0</v>
      </c>
      <c r="AC98" s="374">
        <v>8640761</v>
      </c>
      <c r="AD98" s="18">
        <f t="shared" si="129"/>
        <v>8640761</v>
      </c>
      <c r="AE98" s="19">
        <v>0</v>
      </c>
      <c r="AF98" s="374">
        <v>8640761</v>
      </c>
      <c r="AG98" s="16">
        <f t="shared" si="130"/>
        <v>8640761</v>
      </c>
      <c r="AH98" s="19">
        <f t="shared" si="131"/>
        <v>95071485</v>
      </c>
      <c r="AI98" s="15">
        <f t="shared" si="132"/>
        <v>95071485</v>
      </c>
      <c r="AJ98" s="16">
        <f t="shared" si="133"/>
        <v>95071485</v>
      </c>
      <c r="AK98" s="30"/>
      <c r="AL98" s="372">
        <v>0</v>
      </c>
      <c r="AM98" s="375">
        <v>0</v>
      </c>
      <c r="AN98" s="30"/>
      <c r="AO98" s="460"/>
      <c r="AP98" s="460"/>
      <c r="AQ98" s="460"/>
      <c r="AR98" s="460"/>
      <c r="AS98" s="460"/>
      <c r="AT98" s="460"/>
      <c r="AU98" s="460"/>
      <c r="AV98" s="460"/>
      <c r="AW98" s="460"/>
      <c r="AX98" s="460"/>
      <c r="AY98" s="460"/>
      <c r="AZ98" s="460"/>
      <c r="BC98" s="30"/>
      <c r="BD98" s="30"/>
      <c r="BE98" s="30"/>
      <c r="BN98" s="30"/>
      <c r="BO98" s="30"/>
      <c r="BP98" s="30"/>
      <c r="BQ98" s="30"/>
      <c r="BR98" s="30"/>
    </row>
    <row r="99" spans="1:70" s="461" customFormat="1" ht="32.25" customHeight="1">
      <c r="A99" s="740" t="s">
        <v>237</v>
      </c>
      <c r="B99" s="619" t="s">
        <v>576</v>
      </c>
      <c r="C99" s="669">
        <v>0</v>
      </c>
      <c r="D99" s="373">
        <f t="shared" si="118"/>
        <v>0</v>
      </c>
      <c r="E99" s="373">
        <f t="shared" si="119"/>
        <v>0</v>
      </c>
      <c r="F99" s="373">
        <f t="shared" si="120"/>
        <v>0</v>
      </c>
      <c r="G99" s="373">
        <v>0</v>
      </c>
      <c r="H99" s="670">
        <v>0</v>
      </c>
      <c r="I99" s="373">
        <f t="shared" si="121"/>
        <v>0</v>
      </c>
      <c r="J99" s="373">
        <v>0</v>
      </c>
      <c r="K99" s="670">
        <v>0</v>
      </c>
      <c r="L99" s="373">
        <f t="shared" si="122"/>
        <v>0</v>
      </c>
      <c r="M99" s="373">
        <f t="shared" si="123"/>
        <v>0</v>
      </c>
      <c r="N99" s="143">
        <f t="shared" si="124"/>
        <v>0</v>
      </c>
      <c r="O99" s="382"/>
      <c r="P99" s="671">
        <v>0</v>
      </c>
      <c r="Q99" s="672">
        <v>0</v>
      </c>
      <c r="R99" s="30"/>
      <c r="S99" s="706" t="s">
        <v>230</v>
      </c>
      <c r="T99" s="682" t="s">
        <v>411</v>
      </c>
      <c r="U99" s="398">
        <v>72193404</v>
      </c>
      <c r="V99" s="15">
        <f t="shared" si="126"/>
        <v>0</v>
      </c>
      <c r="W99" s="15">
        <f t="shared" si="126"/>
        <v>0</v>
      </c>
      <c r="X99" s="16">
        <f t="shared" si="127"/>
        <v>72193404</v>
      </c>
      <c r="Y99" s="19">
        <v>0</v>
      </c>
      <c r="Z99" s="374">
        <v>0</v>
      </c>
      <c r="AA99" s="16">
        <f t="shared" si="128"/>
        <v>0</v>
      </c>
      <c r="AB99" s="19">
        <v>0</v>
      </c>
      <c r="AC99" s="374">
        <v>0</v>
      </c>
      <c r="AD99" s="18">
        <f t="shared" si="129"/>
        <v>0</v>
      </c>
      <c r="AE99" s="19">
        <v>0</v>
      </c>
      <c r="AF99" s="374">
        <v>0</v>
      </c>
      <c r="AG99" s="16">
        <f t="shared" si="130"/>
        <v>0</v>
      </c>
      <c r="AH99" s="19">
        <f t="shared" si="131"/>
        <v>72193404</v>
      </c>
      <c r="AI99" s="15">
        <f t="shared" si="132"/>
        <v>72193404</v>
      </c>
      <c r="AJ99" s="16">
        <f t="shared" si="133"/>
        <v>72193404</v>
      </c>
      <c r="AK99" s="30"/>
      <c r="AL99" s="372">
        <v>0</v>
      </c>
      <c r="AM99" s="375">
        <v>0</v>
      </c>
      <c r="AN99" s="30"/>
      <c r="AO99" s="460"/>
      <c r="AP99" s="460"/>
      <c r="AQ99" s="460"/>
      <c r="AR99" s="460"/>
      <c r="AS99" s="460"/>
      <c r="AT99" s="460"/>
      <c r="AU99" s="460"/>
      <c r="AV99" s="460"/>
      <c r="AW99" s="460"/>
      <c r="AX99" s="460"/>
      <c r="AY99" s="460"/>
      <c r="AZ99" s="460"/>
      <c r="BM99" s="30"/>
    </row>
    <row r="100" spans="1:70" s="382" customFormat="1" ht="31.5" customHeight="1">
      <c r="A100" s="740" t="s">
        <v>465</v>
      </c>
      <c r="B100" s="619" t="s">
        <v>563</v>
      </c>
      <c r="C100" s="398">
        <v>0</v>
      </c>
      <c r="D100" s="373">
        <f t="shared" si="118"/>
        <v>0</v>
      </c>
      <c r="E100" s="373">
        <f t="shared" si="119"/>
        <v>0</v>
      </c>
      <c r="F100" s="373">
        <f t="shared" si="120"/>
        <v>0</v>
      </c>
      <c r="G100" s="373">
        <v>0</v>
      </c>
      <c r="H100" s="374">
        <v>0</v>
      </c>
      <c r="I100" s="373">
        <f t="shared" si="121"/>
        <v>0</v>
      </c>
      <c r="J100" s="373">
        <v>0</v>
      </c>
      <c r="K100" s="374">
        <v>0</v>
      </c>
      <c r="L100" s="373">
        <f t="shared" si="122"/>
        <v>0</v>
      </c>
      <c r="M100" s="373">
        <f t="shared" si="123"/>
        <v>0</v>
      </c>
      <c r="N100" s="143">
        <f t="shared" si="124"/>
        <v>0</v>
      </c>
      <c r="P100" s="372">
        <v>0</v>
      </c>
      <c r="Q100" s="375">
        <v>0</v>
      </c>
      <c r="R100" s="9"/>
      <c r="S100" s="706" t="s">
        <v>231</v>
      </c>
      <c r="T100" s="682" t="s">
        <v>537</v>
      </c>
      <c r="U100" s="398">
        <v>20885552</v>
      </c>
      <c r="V100" s="15">
        <f t="shared" si="126"/>
        <v>0</v>
      </c>
      <c r="W100" s="15">
        <f t="shared" si="126"/>
        <v>0</v>
      </c>
      <c r="X100" s="16">
        <f t="shared" si="127"/>
        <v>20885552</v>
      </c>
      <c r="Y100" s="19">
        <v>0</v>
      </c>
      <c r="Z100" s="374">
        <v>1465850</v>
      </c>
      <c r="AA100" s="16">
        <f t="shared" si="128"/>
        <v>1465850</v>
      </c>
      <c r="AB100" s="19">
        <v>0</v>
      </c>
      <c r="AC100" s="374">
        <v>1465850</v>
      </c>
      <c r="AD100" s="18">
        <f t="shared" si="129"/>
        <v>1465850</v>
      </c>
      <c r="AE100" s="19">
        <v>0</v>
      </c>
      <c r="AF100" s="374">
        <v>1465850</v>
      </c>
      <c r="AG100" s="16">
        <f t="shared" si="130"/>
        <v>1465850</v>
      </c>
      <c r="AH100" s="19">
        <f t="shared" si="131"/>
        <v>19419702</v>
      </c>
      <c r="AI100" s="15">
        <f t="shared" si="132"/>
        <v>19419702</v>
      </c>
      <c r="AJ100" s="16">
        <f t="shared" si="133"/>
        <v>19419702</v>
      </c>
      <c r="AK100" s="30"/>
      <c r="AL100" s="372">
        <v>0</v>
      </c>
      <c r="AM100" s="375">
        <v>0</v>
      </c>
      <c r="AN100" s="9"/>
      <c r="AO100" s="294"/>
      <c r="AP100" s="294"/>
      <c r="AQ100" s="294"/>
      <c r="AR100" s="294"/>
      <c r="AS100" s="294"/>
      <c r="AT100" s="294"/>
      <c r="AU100" s="294"/>
      <c r="AV100" s="294"/>
      <c r="AW100" s="294"/>
      <c r="AX100" s="294"/>
      <c r="AY100" s="294"/>
      <c r="AZ100" s="294"/>
      <c r="BB100" s="461"/>
      <c r="BC100" s="461"/>
      <c r="BD100" s="461"/>
      <c r="BE100" s="461"/>
      <c r="BM100" s="461"/>
      <c r="BN100" s="461"/>
      <c r="BO100" s="461"/>
      <c r="BP100" s="461"/>
      <c r="BQ100" s="461"/>
      <c r="BR100" s="461"/>
    </row>
    <row r="101" spans="1:70" s="382" customFormat="1" ht="24.95" customHeight="1">
      <c r="A101" s="740" t="s">
        <v>564</v>
      </c>
      <c r="B101" s="763"/>
      <c r="C101" s="398">
        <v>0</v>
      </c>
      <c r="D101" s="373">
        <f t="shared" si="118"/>
        <v>0</v>
      </c>
      <c r="E101" s="373">
        <f t="shared" si="119"/>
        <v>0</v>
      </c>
      <c r="F101" s="373">
        <f t="shared" si="120"/>
        <v>0</v>
      </c>
      <c r="G101" s="373">
        <v>0</v>
      </c>
      <c r="H101" s="374">
        <v>0</v>
      </c>
      <c r="I101" s="373">
        <f t="shared" si="121"/>
        <v>0</v>
      </c>
      <c r="J101" s="373">
        <v>0</v>
      </c>
      <c r="K101" s="374">
        <v>0</v>
      </c>
      <c r="L101" s="373">
        <f t="shared" si="122"/>
        <v>0</v>
      </c>
      <c r="M101" s="373">
        <f t="shared" si="123"/>
        <v>0</v>
      </c>
      <c r="N101" s="143">
        <f t="shared" si="124"/>
        <v>0</v>
      </c>
      <c r="P101" s="372">
        <v>0</v>
      </c>
      <c r="Q101" s="375">
        <v>0</v>
      </c>
      <c r="R101" s="9"/>
      <c r="S101" s="706" t="s">
        <v>233</v>
      </c>
      <c r="T101" s="682" t="s">
        <v>412</v>
      </c>
      <c r="U101" s="398">
        <v>10063911</v>
      </c>
      <c r="V101" s="15">
        <f t="shared" si="126"/>
        <v>0</v>
      </c>
      <c r="W101" s="15">
        <f t="shared" si="126"/>
        <v>0</v>
      </c>
      <c r="X101" s="16">
        <f t="shared" si="127"/>
        <v>10063911</v>
      </c>
      <c r="Y101" s="19">
        <v>0</v>
      </c>
      <c r="Z101" s="374">
        <v>2879150</v>
      </c>
      <c r="AA101" s="16">
        <f t="shared" si="128"/>
        <v>2879150</v>
      </c>
      <c r="AB101" s="19">
        <v>0</v>
      </c>
      <c r="AC101" s="374">
        <v>2879150</v>
      </c>
      <c r="AD101" s="18">
        <f t="shared" si="129"/>
        <v>2879150</v>
      </c>
      <c r="AE101" s="19">
        <v>0</v>
      </c>
      <c r="AF101" s="374">
        <v>2879150</v>
      </c>
      <c r="AG101" s="16">
        <f t="shared" si="130"/>
        <v>2879150</v>
      </c>
      <c r="AH101" s="19">
        <f t="shared" si="131"/>
        <v>7184761</v>
      </c>
      <c r="AI101" s="15">
        <f t="shared" si="132"/>
        <v>7184761</v>
      </c>
      <c r="AJ101" s="16">
        <f t="shared" si="133"/>
        <v>7184761</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
        <v>565</v>
      </c>
      <c r="B102" s="628" t="s">
        <v>566</v>
      </c>
      <c r="C102" s="488">
        <v>0</v>
      </c>
      <c r="D102" s="385">
        <f t="shared" si="118"/>
        <v>0</v>
      </c>
      <c r="E102" s="385">
        <f t="shared" si="119"/>
        <v>0</v>
      </c>
      <c r="F102" s="385">
        <f t="shared" si="120"/>
        <v>0</v>
      </c>
      <c r="G102" s="385">
        <v>0</v>
      </c>
      <c r="H102" s="388">
        <v>0</v>
      </c>
      <c r="I102" s="385">
        <f t="shared" si="121"/>
        <v>0</v>
      </c>
      <c r="J102" s="385">
        <v>0</v>
      </c>
      <c r="K102" s="388">
        <v>0</v>
      </c>
      <c r="L102" s="385">
        <f t="shared" si="122"/>
        <v>0</v>
      </c>
      <c r="M102" s="385">
        <f t="shared" si="123"/>
        <v>0</v>
      </c>
      <c r="N102" s="386">
        <f t="shared" si="124"/>
        <v>0</v>
      </c>
      <c r="P102" s="372">
        <v>0</v>
      </c>
      <c r="Q102" s="375">
        <v>0</v>
      </c>
      <c r="R102" s="9"/>
      <c r="S102" s="705">
        <v>1020399</v>
      </c>
      <c r="T102" s="681" t="s">
        <v>129</v>
      </c>
      <c r="U102" s="398">
        <v>0</v>
      </c>
      <c r="V102" s="15">
        <f t="shared" si="126"/>
        <v>0</v>
      </c>
      <c r="W102" s="15">
        <f t="shared" si="126"/>
        <v>0</v>
      </c>
      <c r="X102" s="16">
        <f t="shared" si="127"/>
        <v>0</v>
      </c>
      <c r="Y102" s="19">
        <v>0</v>
      </c>
      <c r="Z102" s="374">
        <v>0</v>
      </c>
      <c r="AA102" s="16">
        <f t="shared" si="128"/>
        <v>0</v>
      </c>
      <c r="AB102" s="19">
        <v>0</v>
      </c>
      <c r="AC102" s="374">
        <v>0</v>
      </c>
      <c r="AD102" s="18">
        <f t="shared" si="129"/>
        <v>0</v>
      </c>
      <c r="AE102" s="19">
        <v>0</v>
      </c>
      <c r="AF102" s="374">
        <v>0</v>
      </c>
      <c r="AG102" s="16">
        <f t="shared" si="130"/>
        <v>0</v>
      </c>
      <c r="AH102" s="19">
        <f t="shared" si="131"/>
        <v>0</v>
      </c>
      <c r="AI102" s="15">
        <f t="shared" si="132"/>
        <v>0</v>
      </c>
      <c r="AJ102" s="16">
        <f t="shared" si="133"/>
        <v>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1"/>
      <c r="B103" s="653"/>
      <c r="C103" s="480"/>
      <c r="D103" s="480"/>
      <c r="E103" s="480"/>
      <c r="F103" s="480"/>
      <c r="G103" s="480"/>
      <c r="H103" s="480"/>
      <c r="I103" s="480"/>
      <c r="J103" s="480"/>
      <c r="K103" s="480"/>
      <c r="L103" s="480"/>
      <c r="M103" s="480"/>
      <c r="N103" s="481"/>
      <c r="P103" s="482"/>
      <c r="Q103" s="481"/>
      <c r="R103" s="9"/>
      <c r="S103" s="366"/>
      <c r="T103" s="677"/>
      <c r="U103" s="161"/>
      <c r="V103" s="161"/>
      <c r="W103" s="161"/>
      <c r="X103" s="166"/>
      <c r="Y103" s="367"/>
      <c r="Z103" s="161"/>
      <c r="AA103" s="166"/>
      <c r="AB103" s="367"/>
      <c r="AC103" s="161"/>
      <c r="AD103" s="161"/>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39">
        <v>11304</v>
      </c>
      <c r="B104" s="618" t="s">
        <v>93</v>
      </c>
      <c r="C104" s="617">
        <f>SUM(C105:C111)</f>
        <v>667440000</v>
      </c>
      <c r="D104" s="615">
        <f t="shared" ref="D104:N104" si="134">SUM(D105:D111)</f>
        <v>0</v>
      </c>
      <c r="E104" s="615">
        <f t="shared" si="134"/>
        <v>0</v>
      </c>
      <c r="F104" s="615">
        <f t="shared" si="134"/>
        <v>667440000</v>
      </c>
      <c r="G104" s="615">
        <f t="shared" si="134"/>
        <v>0</v>
      </c>
      <c r="H104" s="615">
        <f t="shared" si="134"/>
        <v>147492645</v>
      </c>
      <c r="I104" s="615">
        <f t="shared" si="134"/>
        <v>147492645</v>
      </c>
      <c r="J104" s="615">
        <f t="shared" si="134"/>
        <v>0</v>
      </c>
      <c r="K104" s="615">
        <f t="shared" si="134"/>
        <v>85344903</v>
      </c>
      <c r="L104" s="615">
        <f t="shared" si="134"/>
        <v>85344903</v>
      </c>
      <c r="M104" s="615">
        <f t="shared" si="134"/>
        <v>519947355</v>
      </c>
      <c r="N104" s="616">
        <f t="shared" si="134"/>
        <v>582095097</v>
      </c>
      <c r="P104" s="43">
        <f>SUM(P105:P111)</f>
        <v>0</v>
      </c>
      <c r="Q104" s="45">
        <f>SUM(Q105:Q111)</f>
        <v>0</v>
      </c>
      <c r="R104" s="9"/>
      <c r="S104" s="704">
        <v>1020400</v>
      </c>
      <c r="T104" s="680" t="s">
        <v>181</v>
      </c>
      <c r="U104" s="132">
        <f t="shared" ref="U104:AJ104" si="135">U105+U108</f>
        <v>43075476</v>
      </c>
      <c r="V104" s="122">
        <f t="shared" si="135"/>
        <v>0</v>
      </c>
      <c r="W104" s="122">
        <f t="shared" si="135"/>
        <v>0</v>
      </c>
      <c r="X104" s="130">
        <f t="shared" si="135"/>
        <v>43075476</v>
      </c>
      <c r="Y104" s="128">
        <f t="shared" si="135"/>
        <v>0</v>
      </c>
      <c r="Z104" s="122">
        <f t="shared" si="135"/>
        <v>3600222</v>
      </c>
      <c r="AA104" s="130">
        <f t="shared" si="135"/>
        <v>3600222</v>
      </c>
      <c r="AB104" s="128">
        <f t="shared" si="135"/>
        <v>0</v>
      </c>
      <c r="AC104" s="122">
        <f t="shared" si="135"/>
        <v>3600222</v>
      </c>
      <c r="AD104" s="129">
        <f t="shared" si="135"/>
        <v>3600222</v>
      </c>
      <c r="AE104" s="128">
        <f t="shared" si="135"/>
        <v>0</v>
      </c>
      <c r="AF104" s="122">
        <f t="shared" si="135"/>
        <v>3600222</v>
      </c>
      <c r="AG104" s="130">
        <f t="shared" si="135"/>
        <v>3600222</v>
      </c>
      <c r="AH104" s="128">
        <f t="shared" si="135"/>
        <v>39475254</v>
      </c>
      <c r="AI104" s="122">
        <f t="shared" si="135"/>
        <v>39475254</v>
      </c>
      <c r="AJ104" s="130">
        <f t="shared" si="135"/>
        <v>39475254</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0" t="s">
        <v>567</v>
      </c>
      <c r="B105" s="619" t="s">
        <v>568</v>
      </c>
      <c r="C105" s="398">
        <v>667440000</v>
      </c>
      <c r="D105" s="373">
        <f t="shared" ref="D105:D111" si="136">P105</f>
        <v>0</v>
      </c>
      <c r="E105" s="373">
        <f t="shared" ref="E105:E111" si="137">Q105</f>
        <v>0</v>
      </c>
      <c r="F105" s="373">
        <f t="shared" ref="F105:F111" si="138">SUM(C105:E105)</f>
        <v>667440000</v>
      </c>
      <c r="G105" s="373">
        <v>0</v>
      </c>
      <c r="H105" s="374">
        <v>147492645</v>
      </c>
      <c r="I105" s="373">
        <f t="shared" ref="I105:I111" si="139">SUM(G105:H105)</f>
        <v>147492645</v>
      </c>
      <c r="J105" s="373">
        <v>0</v>
      </c>
      <c r="K105" s="374">
        <v>85344903</v>
      </c>
      <c r="L105" s="373">
        <f t="shared" ref="L105:L111" si="140">SUM(J105:K105)</f>
        <v>85344903</v>
      </c>
      <c r="M105" s="373">
        <f t="shared" ref="M105:M111" si="141">F105-I105</f>
        <v>519947355</v>
      </c>
      <c r="N105" s="143">
        <f t="shared" ref="N105:N111" si="142">F105-L105</f>
        <v>582095097</v>
      </c>
      <c r="P105" s="372">
        <v>0</v>
      </c>
      <c r="Q105" s="375">
        <v>0</v>
      </c>
      <c r="R105" s="9"/>
      <c r="S105" s="705">
        <v>1020402</v>
      </c>
      <c r="T105" s="681" t="s">
        <v>169</v>
      </c>
      <c r="U105" s="17">
        <f t="shared" ref="U105:AJ105" si="143">SUM(U106:U107)</f>
        <v>43075476</v>
      </c>
      <c r="V105" s="15">
        <f t="shared" si="143"/>
        <v>0</v>
      </c>
      <c r="W105" s="15">
        <f t="shared" si="143"/>
        <v>0</v>
      </c>
      <c r="X105" s="16">
        <f t="shared" si="143"/>
        <v>43075476</v>
      </c>
      <c r="Y105" s="19">
        <f t="shared" si="143"/>
        <v>0</v>
      </c>
      <c r="Z105" s="142">
        <f t="shared" si="143"/>
        <v>3600222</v>
      </c>
      <c r="AA105" s="16">
        <f t="shared" si="143"/>
        <v>3600222</v>
      </c>
      <c r="AB105" s="19">
        <f t="shared" si="143"/>
        <v>0</v>
      </c>
      <c r="AC105" s="142">
        <f t="shared" si="143"/>
        <v>3600222</v>
      </c>
      <c r="AD105" s="18">
        <f t="shared" si="143"/>
        <v>3600222</v>
      </c>
      <c r="AE105" s="19">
        <f t="shared" si="143"/>
        <v>0</v>
      </c>
      <c r="AF105" s="142">
        <f t="shared" si="143"/>
        <v>3600222</v>
      </c>
      <c r="AG105" s="16">
        <f t="shared" si="143"/>
        <v>3600222</v>
      </c>
      <c r="AH105" s="19">
        <f t="shared" si="143"/>
        <v>39475254</v>
      </c>
      <c r="AI105" s="15">
        <f t="shared" si="143"/>
        <v>39475254</v>
      </c>
      <c r="AJ105" s="16">
        <f t="shared" si="143"/>
        <v>39475254</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0" t="s">
        <v>569</v>
      </c>
      <c r="B106" s="620" t="s">
        <v>570</v>
      </c>
      <c r="C106" s="398">
        <v>0</v>
      </c>
      <c r="D106" s="373">
        <f t="shared" si="136"/>
        <v>0</v>
      </c>
      <c r="E106" s="373">
        <f t="shared" si="137"/>
        <v>0</v>
      </c>
      <c r="F106" s="373">
        <f t="shared" si="138"/>
        <v>0</v>
      </c>
      <c r="G106" s="373">
        <v>0</v>
      </c>
      <c r="H106" s="374">
        <v>0</v>
      </c>
      <c r="I106" s="373">
        <f t="shared" si="139"/>
        <v>0</v>
      </c>
      <c r="J106" s="373">
        <v>0</v>
      </c>
      <c r="K106" s="374">
        <v>0</v>
      </c>
      <c r="L106" s="373">
        <f t="shared" si="140"/>
        <v>0</v>
      </c>
      <c r="M106" s="373">
        <f t="shared" si="141"/>
        <v>0</v>
      </c>
      <c r="N106" s="143">
        <f t="shared" si="142"/>
        <v>0</v>
      </c>
      <c r="P106" s="372">
        <v>0</v>
      </c>
      <c r="Q106" s="375">
        <v>0</v>
      </c>
      <c r="R106" s="9"/>
      <c r="S106" s="706" t="s">
        <v>238</v>
      </c>
      <c r="T106" s="682" t="s">
        <v>413</v>
      </c>
      <c r="U106" s="398">
        <v>25928061</v>
      </c>
      <c r="V106" s="15">
        <f t="shared" ref="V106:W108" si="144">AL106</f>
        <v>0</v>
      </c>
      <c r="W106" s="15">
        <f t="shared" si="144"/>
        <v>0</v>
      </c>
      <c r="X106" s="16">
        <f>SUM(U106:W106)</f>
        <v>25928061</v>
      </c>
      <c r="Y106" s="19">
        <v>0</v>
      </c>
      <c r="Z106" s="374">
        <v>1440120</v>
      </c>
      <c r="AA106" s="16">
        <f>SUM(Y106:Z106)</f>
        <v>1440120</v>
      </c>
      <c r="AB106" s="19">
        <v>0</v>
      </c>
      <c r="AC106" s="374">
        <v>1440120</v>
      </c>
      <c r="AD106" s="18">
        <f>SUM(AB106:AC106)</f>
        <v>1440120</v>
      </c>
      <c r="AE106" s="19">
        <v>0</v>
      </c>
      <c r="AF106" s="374">
        <v>1440120</v>
      </c>
      <c r="AG106" s="16">
        <f>SUM(AE106:AF106)</f>
        <v>1440120</v>
      </c>
      <c r="AH106" s="19">
        <f>X106-AA106</f>
        <v>24487941</v>
      </c>
      <c r="AI106" s="15">
        <f>X106-AD106</f>
        <v>24487941</v>
      </c>
      <c r="AJ106" s="16">
        <f>X106-AG106</f>
        <v>24487941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0" t="s">
        <v>571</v>
      </c>
      <c r="B107" s="619" t="s">
        <v>272</v>
      </c>
      <c r="C107" s="398">
        <v>0</v>
      </c>
      <c r="D107" s="373">
        <f t="shared" si="136"/>
        <v>0</v>
      </c>
      <c r="E107" s="373">
        <f t="shared" si="137"/>
        <v>0</v>
      </c>
      <c r="F107" s="373">
        <f t="shared" si="138"/>
        <v>0</v>
      </c>
      <c r="G107" s="373">
        <v>0</v>
      </c>
      <c r="H107" s="374">
        <v>0</v>
      </c>
      <c r="I107" s="373">
        <f t="shared" si="139"/>
        <v>0</v>
      </c>
      <c r="J107" s="373">
        <v>0</v>
      </c>
      <c r="K107" s="374">
        <v>0</v>
      </c>
      <c r="L107" s="373">
        <f t="shared" si="140"/>
        <v>0</v>
      </c>
      <c r="M107" s="373">
        <f t="shared" si="141"/>
        <v>0</v>
      </c>
      <c r="N107" s="143">
        <f t="shared" si="142"/>
        <v>0</v>
      </c>
      <c r="P107" s="372">
        <v>0</v>
      </c>
      <c r="Q107" s="375">
        <v>0</v>
      </c>
      <c r="R107" s="9"/>
      <c r="S107" s="706" t="s">
        <v>239</v>
      </c>
      <c r="T107" s="682" t="s">
        <v>414</v>
      </c>
      <c r="U107" s="398">
        <v>17147415</v>
      </c>
      <c r="V107" s="15">
        <f t="shared" si="144"/>
        <v>0</v>
      </c>
      <c r="W107" s="15">
        <f t="shared" si="144"/>
        <v>0</v>
      </c>
      <c r="X107" s="16">
        <f>SUM(U107:W107)</f>
        <v>17147415</v>
      </c>
      <c r="Y107" s="19">
        <v>0</v>
      </c>
      <c r="Z107" s="374">
        <v>2160102</v>
      </c>
      <c r="AA107" s="16">
        <f>SUM(Y107:Z107)</f>
        <v>2160102</v>
      </c>
      <c r="AB107" s="19">
        <v>0</v>
      </c>
      <c r="AC107" s="374">
        <v>2160102</v>
      </c>
      <c r="AD107" s="18">
        <f>SUM(AB107:AC107)</f>
        <v>2160102</v>
      </c>
      <c r="AE107" s="19">
        <v>0</v>
      </c>
      <c r="AF107" s="374">
        <v>2160102</v>
      </c>
      <c r="AG107" s="16">
        <f>SUM(AE107:AF107)</f>
        <v>2160102</v>
      </c>
      <c r="AH107" s="19">
        <f>X107-AA107</f>
        <v>14987313</v>
      </c>
      <c r="AI107" s="15">
        <f>X107-AD107</f>
        <v>14987313</v>
      </c>
      <c r="AJ107" s="16">
        <f>X107-AG107</f>
        <v>14987313</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0" t="s">
        <v>572</v>
      </c>
      <c r="B108" s="619" t="s">
        <v>356</v>
      </c>
      <c r="C108" s="398">
        <v>0</v>
      </c>
      <c r="D108" s="373">
        <f t="shared" si="136"/>
        <v>0</v>
      </c>
      <c r="E108" s="373">
        <f t="shared" si="137"/>
        <v>0</v>
      </c>
      <c r="F108" s="373">
        <f t="shared" si="138"/>
        <v>0</v>
      </c>
      <c r="G108" s="373">
        <v>0</v>
      </c>
      <c r="H108" s="374">
        <v>0</v>
      </c>
      <c r="I108" s="373">
        <f t="shared" si="139"/>
        <v>0</v>
      </c>
      <c r="J108" s="373">
        <v>0</v>
      </c>
      <c r="K108" s="374">
        <v>0</v>
      </c>
      <c r="L108" s="373">
        <f t="shared" si="140"/>
        <v>0</v>
      </c>
      <c r="M108" s="373">
        <f t="shared" si="141"/>
        <v>0</v>
      </c>
      <c r="N108" s="143">
        <f t="shared" si="142"/>
        <v>0</v>
      </c>
      <c r="P108" s="372">
        <v>0</v>
      </c>
      <c r="Q108" s="375">
        <v>0</v>
      </c>
      <c r="R108" s="9"/>
      <c r="S108" s="705">
        <v>1020499</v>
      </c>
      <c r="T108" s="681" t="s">
        <v>129</v>
      </c>
      <c r="U108" s="398">
        <v>0</v>
      </c>
      <c r="V108" s="15">
        <f t="shared" si="144"/>
        <v>0</v>
      </c>
      <c r="W108" s="15">
        <f t="shared" si="144"/>
        <v>0</v>
      </c>
      <c r="X108" s="16">
        <f>SUM(U108:W108)</f>
        <v>0</v>
      </c>
      <c r="Y108" s="19">
        <v>0</v>
      </c>
      <c r="Z108" s="374">
        <v>0</v>
      </c>
      <c r="AA108" s="16">
        <f>SUM(Y108:Z108)</f>
        <v>0</v>
      </c>
      <c r="AB108" s="19">
        <v>0</v>
      </c>
      <c r="AC108" s="374">
        <v>0</v>
      </c>
      <c r="AD108" s="18">
        <f>SUM(AB108:AC108)</f>
        <v>0</v>
      </c>
      <c r="AE108" s="19">
        <v>0</v>
      </c>
      <c r="AF108" s="374">
        <v>0</v>
      </c>
      <c r="AG108" s="16">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0" t="s">
        <v>573</v>
      </c>
      <c r="B109" s="619" t="s">
        <v>392</v>
      </c>
      <c r="C109" s="398">
        <v>0</v>
      </c>
      <c r="D109" s="373">
        <f t="shared" si="136"/>
        <v>0</v>
      </c>
      <c r="E109" s="373">
        <f t="shared" si="137"/>
        <v>0</v>
      </c>
      <c r="F109" s="373">
        <f t="shared" si="138"/>
        <v>0</v>
      </c>
      <c r="G109" s="373">
        <v>0</v>
      </c>
      <c r="H109" s="374">
        <v>0</v>
      </c>
      <c r="I109" s="373">
        <f t="shared" si="139"/>
        <v>0</v>
      </c>
      <c r="J109" s="373">
        <v>0</v>
      </c>
      <c r="K109" s="374">
        <v>0</v>
      </c>
      <c r="L109" s="373">
        <f t="shared" si="140"/>
        <v>0</v>
      </c>
      <c r="M109" s="373">
        <f t="shared" si="141"/>
        <v>0</v>
      </c>
      <c r="N109" s="143">
        <f t="shared" si="142"/>
        <v>0</v>
      </c>
      <c r="P109" s="372">
        <v>0</v>
      </c>
      <c r="Q109" s="375">
        <v>0</v>
      </c>
      <c r="R109" s="9"/>
      <c r="S109" s="366"/>
      <c r="T109" s="677"/>
      <c r="U109" s="161"/>
      <c r="V109" s="161"/>
      <c r="W109" s="161"/>
      <c r="X109" s="166"/>
      <c r="Y109" s="367"/>
      <c r="Z109" s="161"/>
      <c r="AA109" s="166"/>
      <c r="AB109" s="367"/>
      <c r="AC109" s="161"/>
      <c r="AD109" s="161"/>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0" t="s">
        <v>574</v>
      </c>
      <c r="B110" s="619" t="s">
        <v>80</v>
      </c>
      <c r="C110" s="398">
        <v>0</v>
      </c>
      <c r="D110" s="373">
        <f t="shared" si="136"/>
        <v>0</v>
      </c>
      <c r="E110" s="373">
        <f t="shared" si="137"/>
        <v>0</v>
      </c>
      <c r="F110" s="373">
        <f t="shared" si="138"/>
        <v>0</v>
      </c>
      <c r="G110" s="373">
        <v>0</v>
      </c>
      <c r="H110" s="374">
        <v>0</v>
      </c>
      <c r="I110" s="373">
        <f t="shared" si="139"/>
        <v>0</v>
      </c>
      <c r="J110" s="373">
        <v>0</v>
      </c>
      <c r="K110" s="374">
        <v>0</v>
      </c>
      <c r="L110" s="373">
        <f t="shared" si="140"/>
        <v>0</v>
      </c>
      <c r="M110" s="373">
        <f t="shared" si="141"/>
        <v>0</v>
      </c>
      <c r="N110" s="143">
        <f t="shared" si="142"/>
        <v>0</v>
      </c>
      <c r="P110" s="372">
        <v>0</v>
      </c>
      <c r="Q110" s="375">
        <v>0</v>
      </c>
      <c r="R110" s="9"/>
      <c r="S110" s="703">
        <v>2000000</v>
      </c>
      <c r="T110" s="685" t="s">
        <v>242</v>
      </c>
      <c r="U110" s="470">
        <f t="shared" ref="U110:AJ110" si="145">U112+U145</f>
        <v>7574161274</v>
      </c>
      <c r="V110" s="471">
        <f t="shared" si="145"/>
        <v>0</v>
      </c>
      <c r="W110" s="471">
        <f t="shared" si="145"/>
        <v>370000000</v>
      </c>
      <c r="X110" s="380">
        <f t="shared" si="145"/>
        <v>7944161274</v>
      </c>
      <c r="Y110" s="379">
        <f t="shared" si="145"/>
        <v>0</v>
      </c>
      <c r="Z110" s="471">
        <f t="shared" si="145"/>
        <v>3539513997</v>
      </c>
      <c r="AA110" s="380">
        <f t="shared" si="145"/>
        <v>3539513997</v>
      </c>
      <c r="AB110" s="379">
        <f t="shared" si="145"/>
        <v>0</v>
      </c>
      <c r="AC110" s="471">
        <f t="shared" si="145"/>
        <v>554512473</v>
      </c>
      <c r="AD110" s="472">
        <f t="shared" si="145"/>
        <v>554512473</v>
      </c>
      <c r="AE110" s="379">
        <f t="shared" si="145"/>
        <v>0</v>
      </c>
      <c r="AF110" s="471">
        <f t="shared" si="145"/>
        <v>328132038</v>
      </c>
      <c r="AG110" s="380">
        <f t="shared" si="145"/>
        <v>328132038</v>
      </c>
      <c r="AH110" s="379">
        <f t="shared" si="145"/>
        <v>4404647277</v>
      </c>
      <c r="AI110" s="471">
        <f t="shared" si="145"/>
        <v>7389648801</v>
      </c>
      <c r="AJ110" s="380">
        <f t="shared" si="145"/>
        <v>7616029236</v>
      </c>
      <c r="AK110" s="10"/>
      <c r="AL110" s="128">
        <f>AL112+AL145</f>
        <v>0</v>
      </c>
      <c r="AM110" s="130">
        <f>AM112+AM145</f>
        <v>370000000</v>
      </c>
      <c r="AN110" s="9"/>
      <c r="AO110" s="294"/>
      <c r="AP110" s="294"/>
      <c r="AQ110" s="294"/>
      <c r="AR110" s="294"/>
      <c r="AS110" s="294"/>
      <c r="AT110" s="294"/>
      <c r="AU110" s="294"/>
      <c r="AV110" s="294"/>
      <c r="AW110" s="294"/>
      <c r="AX110" s="294"/>
      <c r="AY110" s="294"/>
      <c r="AZ110" s="294"/>
    </row>
    <row r="111" spans="1:70" s="382" customFormat="1" ht="24.95" customHeight="1" thickBot="1">
      <c r="A111" s="740" t="s">
        <v>575</v>
      </c>
      <c r="B111" s="654" t="s">
        <v>566</v>
      </c>
      <c r="C111" s="488">
        <v>0</v>
      </c>
      <c r="D111" s="385">
        <f t="shared" si="136"/>
        <v>0</v>
      </c>
      <c r="E111" s="385">
        <f t="shared" si="137"/>
        <v>0</v>
      </c>
      <c r="F111" s="385">
        <f t="shared" si="138"/>
        <v>0</v>
      </c>
      <c r="G111" s="385">
        <v>0</v>
      </c>
      <c r="H111" s="388">
        <v>0</v>
      </c>
      <c r="I111" s="385">
        <f t="shared" si="139"/>
        <v>0</v>
      </c>
      <c r="J111" s="385">
        <v>0</v>
      </c>
      <c r="K111" s="388">
        <v>0</v>
      </c>
      <c r="L111" s="385">
        <f t="shared" si="140"/>
        <v>0</v>
      </c>
      <c r="M111" s="385">
        <f t="shared" si="141"/>
        <v>0</v>
      </c>
      <c r="N111" s="386">
        <f t="shared" si="142"/>
        <v>0</v>
      </c>
      <c r="P111" s="372">
        <v>0</v>
      </c>
      <c r="Q111" s="375">
        <v>0</v>
      </c>
      <c r="R111" s="9"/>
      <c r="S111" s="366"/>
      <c r="T111" s="677"/>
      <c r="U111" s="161"/>
      <c r="V111" s="161"/>
      <c r="W111" s="161"/>
      <c r="X111" s="166"/>
      <c r="Y111" s="367"/>
      <c r="Z111" s="161"/>
      <c r="AA111" s="166"/>
      <c r="AB111" s="367"/>
      <c r="AC111" s="161"/>
      <c r="AD111" s="161"/>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1"/>
      <c r="B112" s="653"/>
      <c r="C112" s="480"/>
      <c r="D112" s="480"/>
      <c r="E112" s="480"/>
      <c r="F112" s="480"/>
      <c r="G112" s="480"/>
      <c r="H112" s="480"/>
      <c r="I112" s="480"/>
      <c r="J112" s="480"/>
      <c r="K112" s="480"/>
      <c r="L112" s="480"/>
      <c r="M112" s="480"/>
      <c r="N112" s="481"/>
      <c r="P112" s="482"/>
      <c r="Q112" s="481"/>
      <c r="R112" s="9"/>
      <c r="S112" s="703">
        <v>2010000</v>
      </c>
      <c r="T112" s="679" t="s">
        <v>64</v>
      </c>
      <c r="U112" s="132">
        <f t="shared" ref="U112:AJ112" si="146">U114+U123+U141</f>
        <v>4915028612</v>
      </c>
      <c r="V112" s="122">
        <f t="shared" si="146"/>
        <v>0</v>
      </c>
      <c r="W112" s="122">
        <f t="shared" si="146"/>
        <v>320000000</v>
      </c>
      <c r="X112" s="130">
        <f t="shared" si="146"/>
        <v>5235028612</v>
      </c>
      <c r="Y112" s="128">
        <f t="shared" si="146"/>
        <v>0</v>
      </c>
      <c r="Z112" s="122">
        <f t="shared" si="146"/>
        <v>3043878539</v>
      </c>
      <c r="AA112" s="130">
        <f t="shared" si="146"/>
        <v>3043878539</v>
      </c>
      <c r="AB112" s="128">
        <f t="shared" si="146"/>
        <v>0</v>
      </c>
      <c r="AC112" s="122">
        <f t="shared" si="146"/>
        <v>451518699</v>
      </c>
      <c r="AD112" s="129">
        <f t="shared" si="146"/>
        <v>451518699</v>
      </c>
      <c r="AE112" s="128">
        <f t="shared" si="146"/>
        <v>0</v>
      </c>
      <c r="AF112" s="122">
        <f t="shared" si="146"/>
        <v>264617528</v>
      </c>
      <c r="AG112" s="130">
        <f t="shared" si="146"/>
        <v>264617528</v>
      </c>
      <c r="AH112" s="128">
        <f t="shared" si="146"/>
        <v>2191150073</v>
      </c>
      <c r="AI112" s="122">
        <f t="shared" si="146"/>
        <v>4783509913</v>
      </c>
      <c r="AJ112" s="130">
        <f t="shared" si="146"/>
        <v>4970411084</v>
      </c>
      <c r="AK112" s="9"/>
      <c r="AL112" s="128">
        <f>AL114+AL123+AL141</f>
        <v>0</v>
      </c>
      <c r="AM112" s="130">
        <f>AM114+AM123+AM141</f>
        <v>320000000</v>
      </c>
      <c r="AN112" s="9"/>
      <c r="AO112" s="294"/>
      <c r="AP112" s="294"/>
      <c r="AQ112" s="294"/>
      <c r="AR112" s="294"/>
      <c r="AS112" s="294"/>
      <c r="AT112" s="294"/>
      <c r="AU112" s="294"/>
      <c r="AV112" s="294"/>
      <c r="AW112" s="294"/>
      <c r="AX112" s="294"/>
      <c r="AY112" s="294"/>
      <c r="AZ112" s="294"/>
    </row>
    <row r="113" spans="1:52" s="382" customFormat="1" ht="24.95" customHeight="1" thickBot="1">
      <c r="A113" s="730">
        <v>2000</v>
      </c>
      <c r="B113" s="640" t="s">
        <v>98</v>
      </c>
      <c r="C113" s="623">
        <f>SUM(C115:C124)</f>
        <v>9052927194</v>
      </c>
      <c r="D113" s="624">
        <f>SUM(D115:D124)</f>
        <v>0</v>
      </c>
      <c r="E113" s="624">
        <f t="shared" ref="E113:N113" si="147">SUM(E115:E124)</f>
        <v>0</v>
      </c>
      <c r="F113" s="624">
        <f t="shared" si="147"/>
        <v>9052927194</v>
      </c>
      <c r="G113" s="624">
        <f t="shared" si="147"/>
        <v>0</v>
      </c>
      <c r="H113" s="624">
        <f t="shared" si="147"/>
        <v>0</v>
      </c>
      <c r="I113" s="624">
        <f t="shared" si="147"/>
        <v>0</v>
      </c>
      <c r="J113" s="624">
        <f t="shared" si="147"/>
        <v>0</v>
      </c>
      <c r="K113" s="624">
        <f t="shared" si="147"/>
        <v>0</v>
      </c>
      <c r="L113" s="624">
        <f t="shared" si="147"/>
        <v>0</v>
      </c>
      <c r="M113" s="624">
        <f t="shared" si="147"/>
        <v>9052927194</v>
      </c>
      <c r="N113" s="625">
        <f t="shared" si="147"/>
        <v>9052927194</v>
      </c>
      <c r="O113" s="461"/>
      <c r="P113" s="174">
        <f>SUM(P115:P124)</f>
        <v>0</v>
      </c>
      <c r="Q113" s="175">
        <f>SUM(Q115:Q124)</f>
        <v>0</v>
      </c>
      <c r="R113" s="9"/>
      <c r="S113" s="366"/>
      <c r="T113" s="677"/>
      <c r="U113" s="161"/>
      <c r="V113" s="161"/>
      <c r="W113" s="161"/>
      <c r="X113" s="166"/>
      <c r="Y113" s="367"/>
      <c r="Z113" s="161"/>
      <c r="AA113" s="166"/>
      <c r="AB113" s="367"/>
      <c r="AC113" s="161"/>
      <c r="AD113" s="161"/>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1"/>
      <c r="B114" s="653"/>
      <c r="C114" s="480"/>
      <c r="D114" s="480"/>
      <c r="E114" s="480"/>
      <c r="F114" s="480"/>
      <c r="G114" s="480"/>
      <c r="H114" s="480"/>
      <c r="I114" s="480"/>
      <c r="J114" s="480"/>
      <c r="K114" s="480"/>
      <c r="L114" s="480"/>
      <c r="M114" s="480"/>
      <c r="N114" s="481"/>
      <c r="P114" s="482"/>
      <c r="Q114" s="481"/>
      <c r="R114" s="9"/>
      <c r="S114" s="704">
        <v>2010100</v>
      </c>
      <c r="T114" s="680" t="s">
        <v>243</v>
      </c>
      <c r="U114" s="132">
        <f t="shared" ref="U114:AJ114" si="148">SUM(U115:U121)</f>
        <v>256200000</v>
      </c>
      <c r="V114" s="122">
        <f t="shared" si="148"/>
        <v>0</v>
      </c>
      <c r="W114" s="122">
        <f t="shared" si="148"/>
        <v>100000000</v>
      </c>
      <c r="X114" s="130">
        <f t="shared" si="148"/>
        <v>356200000</v>
      </c>
      <c r="Y114" s="128">
        <f t="shared" si="148"/>
        <v>0</v>
      </c>
      <c r="Z114" s="122">
        <f t="shared" si="148"/>
        <v>138361697</v>
      </c>
      <c r="AA114" s="130">
        <f t="shared" si="148"/>
        <v>138361697</v>
      </c>
      <c r="AB114" s="128">
        <f t="shared" si="148"/>
        <v>0</v>
      </c>
      <c r="AC114" s="122">
        <f t="shared" si="148"/>
        <v>120683633</v>
      </c>
      <c r="AD114" s="129">
        <f t="shared" si="148"/>
        <v>120683633</v>
      </c>
      <c r="AE114" s="128">
        <f t="shared" si="148"/>
        <v>0</v>
      </c>
      <c r="AF114" s="122">
        <f t="shared" si="148"/>
        <v>94623107</v>
      </c>
      <c r="AG114" s="130">
        <f t="shared" si="148"/>
        <v>94623107</v>
      </c>
      <c r="AH114" s="128">
        <f t="shared" si="148"/>
        <v>217838303</v>
      </c>
      <c r="AI114" s="122">
        <f t="shared" si="148"/>
        <v>235516367</v>
      </c>
      <c r="AJ114" s="130">
        <f t="shared" si="148"/>
        <v>261576893</v>
      </c>
      <c r="AK114" s="9"/>
      <c r="AL114" s="128">
        <f>SUM(AL115:AL121)</f>
        <v>0</v>
      </c>
      <c r="AM114" s="130">
        <f>SUM(AM115:AM121)</f>
        <v>100000000</v>
      </c>
      <c r="AN114" s="9"/>
      <c r="AO114" s="294"/>
      <c r="AP114" s="294"/>
      <c r="AQ114" s="294"/>
      <c r="AR114" s="294"/>
      <c r="AS114" s="294"/>
      <c r="AT114" s="294"/>
      <c r="AU114" s="294"/>
      <c r="AV114" s="294"/>
      <c r="AW114" s="294"/>
      <c r="AX114" s="294"/>
      <c r="AY114" s="294"/>
      <c r="AZ114" s="294"/>
    </row>
    <row r="115" spans="1:52" s="382" customFormat="1" ht="24.95" customHeight="1">
      <c r="A115" s="742">
        <v>2100</v>
      </c>
      <c r="B115" s="626" t="s">
        <v>393</v>
      </c>
      <c r="C115" s="372">
        <v>0</v>
      </c>
      <c r="D115" s="464">
        <f t="shared" ref="D115:D122" si="149">P115</f>
        <v>0</v>
      </c>
      <c r="E115" s="464">
        <f t="shared" ref="E115:E122" si="150">Q115</f>
        <v>0</v>
      </c>
      <c r="F115" s="468">
        <f t="shared" ref="F115:F122" si="151">SUM(C115:E115)</f>
        <v>0</v>
      </c>
      <c r="G115" s="466">
        <v>0</v>
      </c>
      <c r="H115" s="374">
        <v>0</v>
      </c>
      <c r="I115" s="468">
        <f t="shared" ref="I115:I122" si="152">SUM(G115:H115)</f>
        <v>0</v>
      </c>
      <c r="J115" s="466">
        <v>0</v>
      </c>
      <c r="K115" s="374">
        <v>0</v>
      </c>
      <c r="L115" s="465">
        <f t="shared" ref="L115:L122" si="153">SUM(J115:K115)</f>
        <v>0</v>
      </c>
      <c r="M115" s="469">
        <f t="shared" ref="M115:M122" si="154">F115-I115</f>
        <v>0</v>
      </c>
      <c r="N115" s="465">
        <f t="shared" ref="N115:N122" si="155">F115-L115</f>
        <v>0</v>
      </c>
      <c r="O115" s="461"/>
      <c r="P115" s="372">
        <v>0</v>
      </c>
      <c r="Q115" s="375">
        <v>0</v>
      </c>
      <c r="R115" s="9"/>
      <c r="S115" s="705" t="s">
        <v>244</v>
      </c>
      <c r="T115" s="681" t="s">
        <v>245</v>
      </c>
      <c r="U115" s="398">
        <v>175000000</v>
      </c>
      <c r="V115" s="15">
        <f t="shared" ref="V115:W121" si="156">AL115</f>
        <v>0</v>
      </c>
      <c r="W115" s="15">
        <f t="shared" si="156"/>
        <v>0</v>
      </c>
      <c r="X115" s="16">
        <f t="shared" ref="X115:X121" si="157">SUM(U115:W115)</f>
        <v>175000000</v>
      </c>
      <c r="Y115" s="19">
        <v>0</v>
      </c>
      <c r="Z115" s="374">
        <v>2284205</v>
      </c>
      <c r="AA115" s="16">
        <f t="shared" ref="AA115:AA121" si="158">SUM(Y115:Z115)</f>
        <v>2284205</v>
      </c>
      <c r="AB115" s="19">
        <v>0</v>
      </c>
      <c r="AC115" s="374">
        <v>0</v>
      </c>
      <c r="AD115" s="18">
        <f t="shared" ref="AD115:AD121" si="159">SUM(AB115:AC115)</f>
        <v>0</v>
      </c>
      <c r="AE115" s="19">
        <v>0</v>
      </c>
      <c r="AF115" s="374">
        <v>0</v>
      </c>
      <c r="AG115" s="16">
        <f t="shared" ref="AG115:AG121" si="160">SUM(AE115:AF115)</f>
        <v>0</v>
      </c>
      <c r="AH115" s="19">
        <f t="shared" ref="AH115:AH121" si="161">X115-AA115</f>
        <v>172715795</v>
      </c>
      <c r="AI115" s="15">
        <f t="shared" ref="AI115:AI121" si="162">X115-AD115</f>
        <v>175000000</v>
      </c>
      <c r="AJ115" s="16">
        <f t="shared" ref="AJ115:AJ121" si="163">X115-AG115</f>
        <v>175000000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2" t="s">
        <v>240</v>
      </c>
      <c r="B116" s="627" t="s">
        <v>566</v>
      </c>
      <c r="C116" s="372">
        <v>0</v>
      </c>
      <c r="D116" s="464">
        <f t="shared" si="149"/>
        <v>0</v>
      </c>
      <c r="E116" s="464">
        <f t="shared" si="150"/>
        <v>0</v>
      </c>
      <c r="F116" s="468">
        <f t="shared" si="151"/>
        <v>0</v>
      </c>
      <c r="G116" s="466">
        <v>0</v>
      </c>
      <c r="H116" s="374">
        <v>0</v>
      </c>
      <c r="I116" s="468">
        <f t="shared" si="152"/>
        <v>0</v>
      </c>
      <c r="J116" s="466">
        <v>0</v>
      </c>
      <c r="K116" s="374">
        <v>0</v>
      </c>
      <c r="L116" s="465">
        <f t="shared" si="153"/>
        <v>0</v>
      </c>
      <c r="M116" s="469">
        <f t="shared" si="154"/>
        <v>0</v>
      </c>
      <c r="N116" s="465">
        <f t="shared" si="155"/>
        <v>0</v>
      </c>
      <c r="O116" s="461"/>
      <c r="P116" s="372">
        <v>0</v>
      </c>
      <c r="Q116" s="375">
        <v>0</v>
      </c>
      <c r="R116" s="9"/>
      <c r="S116" s="705" t="s">
        <v>247</v>
      </c>
      <c r="T116" s="681" t="s">
        <v>248</v>
      </c>
      <c r="U116" s="398">
        <v>76200000</v>
      </c>
      <c r="V116" s="15">
        <f t="shared" si="156"/>
        <v>0</v>
      </c>
      <c r="W116" s="15">
        <f t="shared" si="156"/>
        <v>0</v>
      </c>
      <c r="X116" s="16">
        <f t="shared" si="157"/>
        <v>76200000</v>
      </c>
      <c r="Y116" s="19">
        <v>0</v>
      </c>
      <c r="Z116" s="374">
        <v>43277922</v>
      </c>
      <c r="AA116" s="16">
        <f t="shared" si="158"/>
        <v>43277922</v>
      </c>
      <c r="AB116" s="19">
        <v>0</v>
      </c>
      <c r="AC116" s="374">
        <v>27884063</v>
      </c>
      <c r="AD116" s="18">
        <f t="shared" si="159"/>
        <v>27884063</v>
      </c>
      <c r="AE116" s="19">
        <v>0</v>
      </c>
      <c r="AF116" s="374">
        <v>1823537</v>
      </c>
      <c r="AG116" s="16">
        <f t="shared" si="160"/>
        <v>1823537</v>
      </c>
      <c r="AH116" s="19">
        <f t="shared" si="161"/>
        <v>32922078</v>
      </c>
      <c r="AI116" s="15">
        <f t="shared" si="162"/>
        <v>48315937</v>
      </c>
      <c r="AJ116" s="16">
        <f t="shared" si="163"/>
        <v>74376463</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2">
        <v>2200</v>
      </c>
      <c r="B117" s="626" t="s">
        <v>394</v>
      </c>
      <c r="C117" s="372">
        <v>0</v>
      </c>
      <c r="D117" s="464">
        <f t="shared" si="149"/>
        <v>0</v>
      </c>
      <c r="E117" s="464">
        <f t="shared" si="150"/>
        <v>0</v>
      </c>
      <c r="F117" s="468">
        <f t="shared" si="151"/>
        <v>0</v>
      </c>
      <c r="G117" s="466">
        <v>0</v>
      </c>
      <c r="H117" s="374">
        <v>0</v>
      </c>
      <c r="I117" s="468">
        <f t="shared" si="152"/>
        <v>0</v>
      </c>
      <c r="J117" s="466">
        <v>0</v>
      </c>
      <c r="K117" s="374">
        <v>0</v>
      </c>
      <c r="L117" s="465">
        <f t="shared" si="153"/>
        <v>0</v>
      </c>
      <c r="M117" s="469">
        <f t="shared" si="154"/>
        <v>0</v>
      </c>
      <c r="N117" s="465">
        <f t="shared" si="155"/>
        <v>0</v>
      </c>
      <c r="O117" s="461"/>
      <c r="P117" s="372">
        <v>0</v>
      </c>
      <c r="Q117" s="375">
        <v>0</v>
      </c>
      <c r="R117" s="9"/>
      <c r="S117" s="705" t="s">
        <v>250</v>
      </c>
      <c r="T117" s="681" t="s">
        <v>251</v>
      </c>
      <c r="U117" s="398">
        <v>5000000</v>
      </c>
      <c r="V117" s="15">
        <f t="shared" si="156"/>
        <v>0</v>
      </c>
      <c r="W117" s="15">
        <f t="shared" si="156"/>
        <v>0</v>
      </c>
      <c r="X117" s="16">
        <f t="shared" si="157"/>
        <v>5000000</v>
      </c>
      <c r="Y117" s="19">
        <v>0</v>
      </c>
      <c r="Z117" s="374">
        <v>0</v>
      </c>
      <c r="AA117" s="16">
        <f t="shared" si="158"/>
        <v>0</v>
      </c>
      <c r="AB117" s="19">
        <v>0</v>
      </c>
      <c r="AC117" s="374">
        <v>0</v>
      </c>
      <c r="AD117" s="18">
        <f t="shared" si="159"/>
        <v>0</v>
      </c>
      <c r="AE117" s="19">
        <v>0</v>
      </c>
      <c r="AF117" s="374">
        <v>0</v>
      </c>
      <c r="AG117" s="16">
        <f t="shared" si="160"/>
        <v>0</v>
      </c>
      <c r="AH117" s="19">
        <f t="shared" si="161"/>
        <v>5000000</v>
      </c>
      <c r="AI117" s="15">
        <f t="shared" si="162"/>
        <v>5000000</v>
      </c>
      <c r="AJ117" s="16">
        <f t="shared" si="163"/>
        <v>5000000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3" t="s">
        <v>241</v>
      </c>
      <c r="B118" s="627" t="s">
        <v>566</v>
      </c>
      <c r="C118" s="372">
        <v>0</v>
      </c>
      <c r="D118" s="464">
        <f t="shared" si="149"/>
        <v>0</v>
      </c>
      <c r="E118" s="464">
        <f t="shared" si="150"/>
        <v>0</v>
      </c>
      <c r="F118" s="468">
        <f t="shared" si="151"/>
        <v>0</v>
      </c>
      <c r="G118" s="466">
        <v>0</v>
      </c>
      <c r="H118" s="374">
        <v>0</v>
      </c>
      <c r="I118" s="468">
        <f t="shared" si="152"/>
        <v>0</v>
      </c>
      <c r="J118" s="466">
        <v>0</v>
      </c>
      <c r="K118" s="374">
        <v>0</v>
      </c>
      <c r="L118" s="465">
        <f t="shared" si="153"/>
        <v>0</v>
      </c>
      <c r="M118" s="469">
        <f t="shared" si="154"/>
        <v>0</v>
      </c>
      <c r="N118" s="465">
        <f t="shared" si="155"/>
        <v>0</v>
      </c>
      <c r="O118" s="461"/>
      <c r="P118" s="372">
        <v>0</v>
      </c>
      <c r="Q118" s="375">
        <v>0</v>
      </c>
      <c r="R118" s="9"/>
      <c r="S118" s="705" t="s">
        <v>253</v>
      </c>
      <c r="T118" s="684"/>
      <c r="U118" s="398">
        <v>0</v>
      </c>
      <c r="V118" s="15">
        <f t="shared" si="156"/>
        <v>0</v>
      </c>
      <c r="W118" s="15">
        <f t="shared" si="156"/>
        <v>0</v>
      </c>
      <c r="X118" s="16">
        <f t="shared" si="157"/>
        <v>0</v>
      </c>
      <c r="Y118" s="19">
        <v>0</v>
      </c>
      <c r="Z118" s="374">
        <v>0</v>
      </c>
      <c r="AA118" s="16">
        <f t="shared" si="158"/>
        <v>0</v>
      </c>
      <c r="AB118" s="19">
        <v>0</v>
      </c>
      <c r="AC118" s="374">
        <v>0</v>
      </c>
      <c r="AD118" s="18">
        <f t="shared" si="159"/>
        <v>0</v>
      </c>
      <c r="AE118" s="19">
        <v>0</v>
      </c>
      <c r="AF118" s="374">
        <v>0</v>
      </c>
      <c r="AG118" s="16">
        <f t="shared" si="160"/>
        <v>0</v>
      </c>
      <c r="AH118" s="19">
        <f t="shared" si="161"/>
        <v>0</v>
      </c>
      <c r="AI118" s="15">
        <f t="shared" si="162"/>
        <v>0</v>
      </c>
      <c r="AJ118" s="16">
        <f t="shared" si="163"/>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2">
        <v>2300</v>
      </c>
      <c r="B119" s="626" t="s">
        <v>395</v>
      </c>
      <c r="C119" s="372">
        <v>0</v>
      </c>
      <c r="D119" s="464">
        <f t="shared" si="149"/>
        <v>0</v>
      </c>
      <c r="E119" s="464">
        <f t="shared" si="150"/>
        <v>0</v>
      </c>
      <c r="F119" s="468">
        <f t="shared" si="151"/>
        <v>0</v>
      </c>
      <c r="G119" s="219">
        <v>0</v>
      </c>
      <c r="H119" s="374">
        <v>0</v>
      </c>
      <c r="I119" s="473">
        <f t="shared" si="152"/>
        <v>0</v>
      </c>
      <c r="J119" s="219">
        <v>0</v>
      </c>
      <c r="K119" s="374">
        <v>0</v>
      </c>
      <c r="L119" s="143">
        <f t="shared" si="153"/>
        <v>0</v>
      </c>
      <c r="M119" s="438">
        <f t="shared" si="154"/>
        <v>0</v>
      </c>
      <c r="N119" s="143">
        <f t="shared" si="155"/>
        <v>0</v>
      </c>
      <c r="O119" s="461"/>
      <c r="P119" s="372">
        <v>0</v>
      </c>
      <c r="Q119" s="375">
        <v>0</v>
      </c>
      <c r="R119" s="9"/>
      <c r="S119" s="705" t="s">
        <v>254</v>
      </c>
      <c r="T119" s="684"/>
      <c r="U119" s="398">
        <v>0</v>
      </c>
      <c r="V119" s="15">
        <f t="shared" si="156"/>
        <v>0</v>
      </c>
      <c r="W119" s="15">
        <f t="shared" si="156"/>
        <v>0</v>
      </c>
      <c r="X119" s="16">
        <f t="shared" si="157"/>
        <v>0</v>
      </c>
      <c r="Y119" s="19">
        <v>0</v>
      </c>
      <c r="Z119" s="374">
        <v>0</v>
      </c>
      <c r="AA119" s="16">
        <f t="shared" si="158"/>
        <v>0</v>
      </c>
      <c r="AB119" s="19">
        <v>0</v>
      </c>
      <c r="AC119" s="374">
        <v>0</v>
      </c>
      <c r="AD119" s="18">
        <f t="shared" si="159"/>
        <v>0</v>
      </c>
      <c r="AE119" s="19">
        <v>0</v>
      </c>
      <c r="AF119" s="374">
        <v>0</v>
      </c>
      <c r="AG119" s="16">
        <f t="shared" si="160"/>
        <v>0</v>
      </c>
      <c r="AH119" s="19">
        <f t="shared" si="161"/>
        <v>0</v>
      </c>
      <c r="AI119" s="15">
        <f t="shared" si="162"/>
        <v>0</v>
      </c>
      <c r="AJ119" s="16">
        <f t="shared" si="163"/>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4">
        <v>2400</v>
      </c>
      <c r="B120" s="627" t="s">
        <v>396</v>
      </c>
      <c r="C120" s="372">
        <v>0</v>
      </c>
      <c r="D120" s="464">
        <f t="shared" si="149"/>
        <v>0</v>
      </c>
      <c r="E120" s="464">
        <f t="shared" si="150"/>
        <v>0</v>
      </c>
      <c r="F120" s="468">
        <f t="shared" si="151"/>
        <v>0</v>
      </c>
      <c r="G120" s="219">
        <v>0</v>
      </c>
      <c r="H120" s="374">
        <v>0</v>
      </c>
      <c r="I120" s="473">
        <f t="shared" si="152"/>
        <v>0</v>
      </c>
      <c r="J120" s="219">
        <v>0</v>
      </c>
      <c r="K120" s="374">
        <v>0</v>
      </c>
      <c r="L120" s="143">
        <f t="shared" si="153"/>
        <v>0</v>
      </c>
      <c r="M120" s="438">
        <f t="shared" si="154"/>
        <v>0</v>
      </c>
      <c r="N120" s="143">
        <f t="shared" si="155"/>
        <v>0</v>
      </c>
      <c r="P120" s="372">
        <v>0</v>
      </c>
      <c r="Q120" s="375">
        <v>0</v>
      </c>
      <c r="R120" s="9"/>
      <c r="S120" s="705" t="s">
        <v>255</v>
      </c>
      <c r="T120" s="684"/>
      <c r="U120" s="398">
        <v>0</v>
      </c>
      <c r="V120" s="15">
        <f t="shared" si="156"/>
        <v>0</v>
      </c>
      <c r="W120" s="15">
        <f t="shared" si="156"/>
        <v>0</v>
      </c>
      <c r="X120" s="16">
        <f t="shared" si="157"/>
        <v>0</v>
      </c>
      <c r="Y120" s="19">
        <v>0</v>
      </c>
      <c r="Z120" s="374">
        <v>0</v>
      </c>
      <c r="AA120" s="16">
        <f t="shared" si="158"/>
        <v>0</v>
      </c>
      <c r="AB120" s="19">
        <v>0</v>
      </c>
      <c r="AC120" s="374">
        <v>0</v>
      </c>
      <c r="AD120" s="18">
        <f t="shared" si="159"/>
        <v>0</v>
      </c>
      <c r="AE120" s="19">
        <v>0</v>
      </c>
      <c r="AF120" s="374">
        <v>0</v>
      </c>
      <c r="AG120" s="16">
        <f t="shared" si="160"/>
        <v>0</v>
      </c>
      <c r="AH120" s="19">
        <f t="shared" si="161"/>
        <v>0</v>
      </c>
      <c r="AI120" s="15">
        <f t="shared" si="162"/>
        <v>0</v>
      </c>
      <c r="AJ120" s="16">
        <f t="shared" si="163"/>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4">
        <v>2500</v>
      </c>
      <c r="B121" s="627" t="s">
        <v>397</v>
      </c>
      <c r="C121" s="372">
        <v>0</v>
      </c>
      <c r="D121" s="464">
        <f t="shared" si="149"/>
        <v>0</v>
      </c>
      <c r="E121" s="464">
        <f t="shared" si="150"/>
        <v>0</v>
      </c>
      <c r="F121" s="468">
        <f t="shared" si="151"/>
        <v>0</v>
      </c>
      <c r="G121" s="219">
        <v>0</v>
      </c>
      <c r="H121" s="374">
        <v>0</v>
      </c>
      <c r="I121" s="473">
        <f t="shared" si="152"/>
        <v>0</v>
      </c>
      <c r="J121" s="219">
        <v>0</v>
      </c>
      <c r="K121" s="374">
        <v>0</v>
      </c>
      <c r="L121" s="143">
        <f t="shared" si="153"/>
        <v>0</v>
      </c>
      <c r="M121" s="438">
        <f t="shared" si="154"/>
        <v>0</v>
      </c>
      <c r="N121" s="143">
        <f t="shared" si="155"/>
        <v>0</v>
      </c>
      <c r="P121" s="372">
        <v>0</v>
      </c>
      <c r="Q121" s="375">
        <v>0</v>
      </c>
      <c r="R121" s="9"/>
      <c r="S121" s="705">
        <v>2010199</v>
      </c>
      <c r="T121" s="681" t="s">
        <v>129</v>
      </c>
      <c r="U121" s="398">
        <v>0</v>
      </c>
      <c r="V121" s="15">
        <f t="shared" si="156"/>
        <v>0</v>
      </c>
      <c r="W121" s="15">
        <f t="shared" si="156"/>
        <v>100000000</v>
      </c>
      <c r="X121" s="16">
        <f t="shared" si="157"/>
        <v>100000000</v>
      </c>
      <c r="Y121" s="19">
        <v>0</v>
      </c>
      <c r="Z121" s="374">
        <v>92799570</v>
      </c>
      <c r="AA121" s="16">
        <f t="shared" si="158"/>
        <v>92799570</v>
      </c>
      <c r="AB121" s="19">
        <v>0</v>
      </c>
      <c r="AC121" s="374">
        <v>92799570</v>
      </c>
      <c r="AD121" s="18">
        <f t="shared" si="159"/>
        <v>92799570</v>
      </c>
      <c r="AE121" s="19">
        <v>0</v>
      </c>
      <c r="AF121" s="374">
        <v>92799570</v>
      </c>
      <c r="AG121" s="16">
        <f t="shared" si="160"/>
        <v>92799570</v>
      </c>
      <c r="AH121" s="19">
        <f t="shared" si="161"/>
        <v>7200430</v>
      </c>
      <c r="AI121" s="15">
        <f t="shared" si="162"/>
        <v>7200430</v>
      </c>
      <c r="AJ121" s="16">
        <f t="shared" si="163"/>
        <v>7200430</v>
      </c>
      <c r="AK121" s="9"/>
      <c r="AL121" s="372">
        <v>0</v>
      </c>
      <c r="AM121" s="375">
        <v>100000000</v>
      </c>
      <c r="AN121" s="9"/>
      <c r="AO121" s="294"/>
      <c r="AP121" s="294"/>
      <c r="AQ121" s="294"/>
      <c r="AR121" s="294"/>
      <c r="AS121" s="294"/>
      <c r="AT121" s="294"/>
      <c r="AU121" s="294"/>
      <c r="AV121" s="294"/>
      <c r="AW121" s="294"/>
      <c r="AX121" s="294"/>
      <c r="AY121" s="294"/>
      <c r="AZ121" s="294"/>
    </row>
    <row r="122" spans="1:52" s="382" customFormat="1" ht="24.95" customHeight="1">
      <c r="A122" s="744">
        <v>2600</v>
      </c>
      <c r="B122" s="627" t="str">
        <f>+CONCATENATE("RECUPERACIÓN DE CARTERA (AÑO ",INSTRUCCIONES!F3-2," Y ANTERIORES)")</f>
        <v>RECUPERACIÓN DE CARTERA (AÑO 2015 Y ANTERIORES)</v>
      </c>
      <c r="C122" s="372">
        <v>9052927194</v>
      </c>
      <c r="D122" s="464">
        <f t="shared" si="149"/>
        <v>0</v>
      </c>
      <c r="E122" s="464">
        <f t="shared" si="150"/>
        <v>0</v>
      </c>
      <c r="F122" s="468">
        <f t="shared" si="151"/>
        <v>9052927194</v>
      </c>
      <c r="G122" s="219">
        <v>0</v>
      </c>
      <c r="H122" s="374">
        <v>0</v>
      </c>
      <c r="I122" s="473">
        <f t="shared" si="152"/>
        <v>0</v>
      </c>
      <c r="J122" s="219">
        <v>0</v>
      </c>
      <c r="K122" s="374">
        <v>0</v>
      </c>
      <c r="L122" s="143">
        <f t="shared" si="153"/>
        <v>0</v>
      </c>
      <c r="M122" s="438">
        <f t="shared" si="154"/>
        <v>9052927194</v>
      </c>
      <c r="N122" s="143">
        <f t="shared" si="155"/>
        <v>9052927194</v>
      </c>
      <c r="P122" s="372">
        <v>0</v>
      </c>
      <c r="Q122" s="375">
        <v>0</v>
      </c>
      <c r="R122" s="9"/>
      <c r="S122" s="366"/>
      <c r="T122" s="677"/>
      <c r="U122" s="161"/>
      <c r="V122" s="161"/>
      <c r="W122" s="161"/>
      <c r="X122" s="166"/>
      <c r="Y122" s="367"/>
      <c r="Z122" s="161"/>
      <c r="AA122" s="166"/>
      <c r="AB122" s="367"/>
      <c r="AC122" s="161"/>
      <c r="AD122" s="161"/>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461" customFormat="1" ht="24.95" customHeight="1">
      <c r="A123" s="745">
        <v>2700</v>
      </c>
      <c r="B123" s="627" t="s">
        <v>580</v>
      </c>
      <c r="C123" s="372">
        <v>0</v>
      </c>
      <c r="D123" s="464">
        <f t="shared" ref="D123:D124" si="164">P123</f>
        <v>0</v>
      </c>
      <c r="E123" s="464">
        <f t="shared" ref="E123:E124" si="165">Q123</f>
        <v>0</v>
      </c>
      <c r="F123" s="468">
        <f t="shared" ref="F123:F124" si="166">SUM(C123:E123)</f>
        <v>0</v>
      </c>
      <c r="G123" s="219">
        <v>0</v>
      </c>
      <c r="H123" s="374">
        <v>0</v>
      </c>
      <c r="I123" s="473">
        <f t="shared" ref="I123:I124" si="167">SUM(G123:H123)</f>
        <v>0</v>
      </c>
      <c r="J123" s="219">
        <v>0</v>
      </c>
      <c r="K123" s="374">
        <v>0</v>
      </c>
      <c r="L123" s="143">
        <f t="shared" ref="L123:L124" si="168">SUM(J123:K123)</f>
        <v>0</v>
      </c>
      <c r="M123" s="438">
        <f t="shared" ref="M123:M124" si="169">F123-I123</f>
        <v>0</v>
      </c>
      <c r="N123" s="143">
        <f t="shared" ref="N123:N124" si="170">F123-L123</f>
        <v>0</v>
      </c>
      <c r="O123" s="382"/>
      <c r="P123" s="372">
        <v>0</v>
      </c>
      <c r="Q123" s="375">
        <v>0</v>
      </c>
      <c r="R123" s="30"/>
      <c r="S123" s="708">
        <v>2010200</v>
      </c>
      <c r="T123" s="686" t="s">
        <v>256</v>
      </c>
      <c r="U123" s="215">
        <f t="shared" ref="U123:AJ123" si="171">SUM(U124:U139)</f>
        <v>4658828612</v>
      </c>
      <c r="V123" s="131">
        <f t="shared" si="171"/>
        <v>0</v>
      </c>
      <c r="W123" s="131">
        <f t="shared" si="171"/>
        <v>220000000</v>
      </c>
      <c r="X123" s="216">
        <f t="shared" si="171"/>
        <v>4878828612</v>
      </c>
      <c r="Y123" s="217">
        <f t="shared" si="171"/>
        <v>0</v>
      </c>
      <c r="Z123" s="131">
        <f t="shared" si="171"/>
        <v>2905516842</v>
      </c>
      <c r="AA123" s="216">
        <f t="shared" si="171"/>
        <v>2905516842</v>
      </c>
      <c r="AB123" s="217">
        <f t="shared" si="171"/>
        <v>0</v>
      </c>
      <c r="AC123" s="131">
        <f t="shared" si="171"/>
        <v>330835066</v>
      </c>
      <c r="AD123" s="218">
        <f t="shared" si="171"/>
        <v>330835066</v>
      </c>
      <c r="AE123" s="217">
        <f t="shared" si="171"/>
        <v>0</v>
      </c>
      <c r="AF123" s="131">
        <f t="shared" si="171"/>
        <v>169994421</v>
      </c>
      <c r="AG123" s="216">
        <f t="shared" si="171"/>
        <v>169994421</v>
      </c>
      <c r="AH123" s="217">
        <f t="shared" si="171"/>
        <v>1973311770</v>
      </c>
      <c r="AI123" s="131">
        <f t="shared" si="171"/>
        <v>4547993546</v>
      </c>
      <c r="AJ123" s="216">
        <f t="shared" si="171"/>
        <v>4708834191</v>
      </c>
      <c r="AK123" s="30"/>
      <c r="AL123" s="217">
        <f>SUM(AL124:AL139)</f>
        <v>0</v>
      </c>
      <c r="AM123" s="216">
        <f>SUM(AM124:AM139)</f>
        <v>220000000</v>
      </c>
      <c r="AN123" s="30"/>
      <c r="AO123" s="460"/>
      <c r="AP123" s="460"/>
      <c r="AQ123" s="460"/>
      <c r="AR123" s="460"/>
      <c r="AS123" s="460"/>
      <c r="AT123" s="460"/>
      <c r="AU123" s="460"/>
      <c r="AV123" s="460"/>
      <c r="AW123" s="460"/>
      <c r="AX123" s="460"/>
      <c r="AY123" s="460"/>
      <c r="AZ123" s="460"/>
    </row>
    <row r="124" spans="1:52" s="382" customFormat="1" ht="24.95" customHeight="1" thickBot="1">
      <c r="A124" s="746">
        <v>2800</v>
      </c>
      <c r="B124" s="655"/>
      <c r="C124" s="384">
        <v>0</v>
      </c>
      <c r="D124" s="462">
        <f t="shared" si="164"/>
        <v>0</v>
      </c>
      <c r="E124" s="462">
        <f t="shared" si="165"/>
        <v>0</v>
      </c>
      <c r="F124" s="474">
        <f t="shared" si="166"/>
        <v>0</v>
      </c>
      <c r="G124" s="387">
        <v>0</v>
      </c>
      <c r="H124" s="388">
        <v>0</v>
      </c>
      <c r="I124" s="475">
        <f t="shared" si="167"/>
        <v>0</v>
      </c>
      <c r="J124" s="387">
        <v>0</v>
      </c>
      <c r="K124" s="388">
        <v>0</v>
      </c>
      <c r="L124" s="386">
        <f t="shared" si="168"/>
        <v>0</v>
      </c>
      <c r="M124" s="476">
        <f t="shared" si="169"/>
        <v>0</v>
      </c>
      <c r="N124" s="386">
        <f t="shared" si="170"/>
        <v>0</v>
      </c>
      <c r="P124" s="384">
        <v>0</v>
      </c>
      <c r="Q124" s="389">
        <v>0</v>
      </c>
      <c r="R124" s="9"/>
      <c r="S124" s="705" t="s">
        <v>257</v>
      </c>
      <c r="T124" s="681" t="s">
        <v>258</v>
      </c>
      <c r="U124" s="398">
        <v>350000000</v>
      </c>
      <c r="V124" s="15">
        <f t="shared" ref="V124:V139" si="172">AL124</f>
        <v>0</v>
      </c>
      <c r="W124" s="15">
        <f t="shared" ref="W124:W139" si="173">AM124</f>
        <v>0</v>
      </c>
      <c r="X124" s="16">
        <f t="shared" ref="X124:X139" si="174">SUM(U124:W124)</f>
        <v>350000000</v>
      </c>
      <c r="Y124" s="19">
        <v>0</v>
      </c>
      <c r="Z124" s="374">
        <v>350000000</v>
      </c>
      <c r="AA124" s="16">
        <f t="shared" ref="AA124:AA139" si="175">SUM(Y124:Z124)</f>
        <v>350000000</v>
      </c>
      <c r="AB124" s="19">
        <v>0</v>
      </c>
      <c r="AC124" s="374">
        <v>0</v>
      </c>
      <c r="AD124" s="18">
        <f t="shared" ref="AD124:AD139" si="176">SUM(AB124:AC124)</f>
        <v>0</v>
      </c>
      <c r="AE124" s="19">
        <v>0</v>
      </c>
      <c r="AF124" s="374">
        <v>0</v>
      </c>
      <c r="AG124" s="16">
        <f t="shared" ref="AG124:AG139" si="177">SUM(AE124:AF124)</f>
        <v>0</v>
      </c>
      <c r="AH124" s="19">
        <f t="shared" ref="AH124:AH139" si="178">X124-AA124</f>
        <v>0</v>
      </c>
      <c r="AI124" s="15">
        <f t="shared" ref="AI124:AI139" si="179">X124-AD124</f>
        <v>350000000</v>
      </c>
      <c r="AJ124" s="16">
        <f t="shared" ref="AJ124:AJ139" si="180">X124-AG124</f>
        <v>350000000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
        <v>259</v>
      </c>
      <c r="T125" s="681" t="s">
        <v>260</v>
      </c>
      <c r="U125" s="398">
        <v>60000000</v>
      </c>
      <c r="V125" s="15">
        <f t="shared" si="172"/>
        <v>0</v>
      </c>
      <c r="W125" s="15">
        <f t="shared" si="173"/>
        <v>0</v>
      </c>
      <c r="X125" s="16">
        <f t="shared" si="174"/>
        <v>60000000</v>
      </c>
      <c r="Y125" s="19">
        <v>0</v>
      </c>
      <c r="Z125" s="374">
        <v>2450000</v>
      </c>
      <c r="AA125" s="16">
        <f t="shared" si="175"/>
        <v>2450000</v>
      </c>
      <c r="AB125" s="19">
        <v>0</v>
      </c>
      <c r="AC125" s="374">
        <v>2450000</v>
      </c>
      <c r="AD125" s="18">
        <f t="shared" si="176"/>
        <v>2450000</v>
      </c>
      <c r="AE125" s="19">
        <v>0</v>
      </c>
      <c r="AF125" s="374">
        <v>0</v>
      </c>
      <c r="AG125" s="16">
        <f t="shared" si="177"/>
        <v>0</v>
      </c>
      <c r="AH125" s="19">
        <f t="shared" si="178"/>
        <v>57550000</v>
      </c>
      <c r="AI125" s="15">
        <f t="shared" si="179"/>
        <v>57550000</v>
      </c>
      <c r="AJ125" s="16">
        <f t="shared" si="180"/>
        <v>60000000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34.5" customHeight="1" thickBot="1">
      <c r="A126" s="765" t="s">
        <v>246</v>
      </c>
      <c r="B126" s="656"/>
      <c r="C126" s="477">
        <f t="shared" ref="C126:N126" si="181">C8-C128</f>
        <v>41169250887</v>
      </c>
      <c r="D126" s="477">
        <f t="shared" si="181"/>
        <v>0</v>
      </c>
      <c r="E126" s="477">
        <f t="shared" si="181"/>
        <v>0</v>
      </c>
      <c r="F126" s="477">
        <f t="shared" si="181"/>
        <v>41169250887</v>
      </c>
      <c r="G126" s="477">
        <f t="shared" si="181"/>
        <v>0</v>
      </c>
      <c r="H126" s="477">
        <f t="shared" si="181"/>
        <v>4488453019</v>
      </c>
      <c r="I126" s="477">
        <f t="shared" si="181"/>
        <v>4488453019</v>
      </c>
      <c r="J126" s="477">
        <f t="shared" si="181"/>
        <v>0</v>
      </c>
      <c r="K126" s="477">
        <f t="shared" si="181"/>
        <v>153429822</v>
      </c>
      <c r="L126" s="477">
        <f t="shared" si="181"/>
        <v>153429822</v>
      </c>
      <c r="M126" s="477">
        <f t="shared" si="181"/>
        <v>45733725062</v>
      </c>
      <c r="N126" s="613">
        <f t="shared" si="181"/>
        <v>41015821065</v>
      </c>
      <c r="P126" s="478">
        <f>P8-P128</f>
        <v>0</v>
      </c>
      <c r="Q126" s="479">
        <f>Q8-Q128</f>
        <v>0</v>
      </c>
      <c r="R126" s="9"/>
      <c r="S126" s="705" t="s">
        <v>261</v>
      </c>
      <c r="T126" s="681" t="s">
        <v>262</v>
      </c>
      <c r="U126" s="398">
        <v>904500000</v>
      </c>
      <c r="V126" s="15">
        <f t="shared" si="172"/>
        <v>0</v>
      </c>
      <c r="W126" s="15">
        <f t="shared" si="173"/>
        <v>0</v>
      </c>
      <c r="X126" s="16">
        <f t="shared" si="174"/>
        <v>904500000</v>
      </c>
      <c r="Y126" s="19">
        <v>0</v>
      </c>
      <c r="Z126" s="374">
        <v>125432021</v>
      </c>
      <c r="AA126" s="16">
        <f t="shared" si="175"/>
        <v>125432021</v>
      </c>
      <c r="AB126" s="19">
        <v>0</v>
      </c>
      <c r="AC126" s="374">
        <v>125432021</v>
      </c>
      <c r="AD126" s="18">
        <f t="shared" si="176"/>
        <v>125432021</v>
      </c>
      <c r="AE126" s="19">
        <v>0</v>
      </c>
      <c r="AF126" s="374">
        <v>124979682</v>
      </c>
      <c r="AG126" s="16">
        <f t="shared" si="177"/>
        <v>124979682</v>
      </c>
      <c r="AH126" s="19">
        <f t="shared" si="178"/>
        <v>779067979</v>
      </c>
      <c r="AI126" s="15">
        <f t="shared" si="179"/>
        <v>779067979</v>
      </c>
      <c r="AJ126" s="16">
        <f t="shared" si="180"/>
        <v>779520318</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41"/>
      <c r="B127" s="653"/>
      <c r="C127" s="480"/>
      <c r="D127" s="480"/>
      <c r="E127" s="480"/>
      <c r="F127" s="480"/>
      <c r="G127" s="480"/>
      <c r="H127" s="480"/>
      <c r="I127" s="480"/>
      <c r="J127" s="480"/>
      <c r="K127" s="480"/>
      <c r="L127" s="480"/>
      <c r="M127" s="480"/>
      <c r="N127" s="481"/>
      <c r="P127" s="482"/>
      <c r="Q127" s="481"/>
      <c r="R127" s="9"/>
      <c r="S127" s="705" t="s">
        <v>263</v>
      </c>
      <c r="T127" s="681" t="s">
        <v>264</v>
      </c>
      <c r="U127" s="398">
        <v>35257108</v>
      </c>
      <c r="V127" s="15">
        <f t="shared" si="172"/>
        <v>0</v>
      </c>
      <c r="W127" s="15">
        <f t="shared" si="173"/>
        <v>0</v>
      </c>
      <c r="X127" s="16">
        <f t="shared" si="174"/>
        <v>35257108</v>
      </c>
      <c r="Y127" s="19">
        <v>0</v>
      </c>
      <c r="Z127" s="374">
        <v>666460</v>
      </c>
      <c r="AA127" s="16">
        <f t="shared" si="175"/>
        <v>666460</v>
      </c>
      <c r="AB127" s="19">
        <v>0</v>
      </c>
      <c r="AC127" s="374">
        <v>666460</v>
      </c>
      <c r="AD127" s="18">
        <f t="shared" si="176"/>
        <v>666460</v>
      </c>
      <c r="AE127" s="19">
        <v>0</v>
      </c>
      <c r="AF127" s="374">
        <v>666460</v>
      </c>
      <c r="AG127" s="16">
        <f t="shared" si="177"/>
        <v>666460</v>
      </c>
      <c r="AH127" s="19">
        <f t="shared" si="178"/>
        <v>34590648</v>
      </c>
      <c r="AI127" s="15">
        <f t="shared" si="179"/>
        <v>34590648</v>
      </c>
      <c r="AJ127" s="16">
        <f t="shared" si="180"/>
        <v>34590648</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6" t="s">
        <v>249</v>
      </c>
      <c r="B128" s="657"/>
      <c r="C128" s="483">
        <f>SUMIF($B8:$B$122,$B$24,C8:C122)+C122</f>
        <v>9052927194</v>
      </c>
      <c r="D128" s="483">
        <f>SUMIF($B8:$B$122,$B$24,D8:D122)+D122</f>
        <v>0</v>
      </c>
      <c r="E128" s="483">
        <f>SUMIF($B8:$B$122,$B$24,E8:E122)+E122</f>
        <v>836836965</v>
      </c>
      <c r="F128" s="483">
        <f>SUMIF($B8:$B$122,$B$24,F8:F122)+F122</f>
        <v>9889764159</v>
      </c>
      <c r="G128" s="483">
        <f>SUMIF($B8:$B$122,$B$24,G8:G122)+G122</f>
        <v>0</v>
      </c>
      <c r="H128" s="483">
        <f>SUMIF($B8:$B$122,$B$24,H8:H122)+H122</f>
        <v>1781366139</v>
      </c>
      <c r="I128" s="483">
        <f>SUMIF($B8:$B$122,$B$24,I8:I122)+I122</f>
        <v>1781366139</v>
      </c>
      <c r="J128" s="483">
        <f>SUMIF($B8:$B$122,$B$24,J8:J122)+J1212</f>
        <v>0</v>
      </c>
      <c r="K128" s="483">
        <f>SUMIF($B8:$B$122,$B$24,K8:K122)+K122</f>
        <v>1781366139</v>
      </c>
      <c r="L128" s="483">
        <f>SUMIF($B8:$B$122,$B$24,L8:L122)+L122</f>
        <v>1781366139</v>
      </c>
      <c r="M128" s="483">
        <f>SUMIF($B8:$B$122,$B$24,M8:M122)+M12</f>
        <v>-944529174</v>
      </c>
      <c r="N128" s="614">
        <f>SUMIF($B8:$B$122,$B$24,N8:N122)+N122</f>
        <v>8108398020</v>
      </c>
      <c r="O128" s="461"/>
      <c r="P128" s="483">
        <f>SUMIF($B8:$B$122,$B$24,P8:P122)+P122</f>
        <v>0</v>
      </c>
      <c r="Q128" s="484">
        <f>SUMIF($B8:$B$122,$B$24,Q8:Q122)+Q122</f>
        <v>836836965</v>
      </c>
      <c r="R128" s="9"/>
      <c r="S128" s="705" t="s">
        <v>265</v>
      </c>
      <c r="T128" s="681" t="s">
        <v>266</v>
      </c>
      <c r="U128" s="398">
        <v>12609000</v>
      </c>
      <c r="V128" s="15">
        <f t="shared" si="172"/>
        <v>0</v>
      </c>
      <c r="W128" s="15">
        <f t="shared" si="173"/>
        <v>0</v>
      </c>
      <c r="X128" s="16">
        <f t="shared" si="174"/>
        <v>12609000</v>
      </c>
      <c r="Y128" s="19">
        <v>0</v>
      </c>
      <c r="Z128" s="374">
        <v>0</v>
      </c>
      <c r="AA128" s="16">
        <f t="shared" si="175"/>
        <v>0</v>
      </c>
      <c r="AB128" s="19">
        <v>0</v>
      </c>
      <c r="AC128" s="374">
        <v>0</v>
      </c>
      <c r="AD128" s="18">
        <f t="shared" si="176"/>
        <v>0</v>
      </c>
      <c r="AE128" s="19">
        <v>0</v>
      </c>
      <c r="AF128" s="374">
        <v>0</v>
      </c>
      <c r="AG128" s="16">
        <f t="shared" si="177"/>
        <v>0</v>
      </c>
      <c r="AH128" s="19">
        <f t="shared" si="178"/>
        <v>12609000</v>
      </c>
      <c r="AI128" s="15">
        <f t="shared" si="179"/>
        <v>12609000</v>
      </c>
      <c r="AJ128" s="16">
        <f t="shared" si="180"/>
        <v>12609000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41"/>
      <c r="B129" s="653"/>
      <c r="C129" s="480"/>
      <c r="D129" s="480"/>
      <c r="E129" s="480"/>
      <c r="F129" s="480"/>
      <c r="G129" s="480"/>
      <c r="H129" s="480"/>
      <c r="I129" s="480"/>
      <c r="J129" s="480"/>
      <c r="K129" s="480"/>
      <c r="L129" s="480"/>
      <c r="M129" s="480"/>
      <c r="N129" s="481"/>
      <c r="P129" s="482"/>
      <c r="Q129" s="481"/>
      <c r="R129" s="9"/>
      <c r="S129" s="705" t="s">
        <v>267</v>
      </c>
      <c r="T129" s="681" t="s">
        <v>268</v>
      </c>
      <c r="U129" s="398">
        <v>1100000000</v>
      </c>
      <c r="V129" s="15">
        <f t="shared" si="172"/>
        <v>0</v>
      </c>
      <c r="W129" s="15">
        <f t="shared" si="173"/>
        <v>0</v>
      </c>
      <c r="X129" s="16">
        <f t="shared" si="174"/>
        <v>1100000000</v>
      </c>
      <c r="Y129" s="19">
        <v>0</v>
      </c>
      <c r="Z129" s="374">
        <v>2264817483</v>
      </c>
      <c r="AA129" s="16">
        <f t="shared" si="175"/>
        <v>2264817483</v>
      </c>
      <c r="AB129" s="19">
        <v>0</v>
      </c>
      <c r="AC129" s="374">
        <v>164378387</v>
      </c>
      <c r="AD129" s="18">
        <f t="shared" si="176"/>
        <v>164378387</v>
      </c>
      <c r="AE129" s="19">
        <v>0</v>
      </c>
      <c r="AF129" s="374">
        <v>44348279</v>
      </c>
      <c r="AG129" s="16">
        <f t="shared" si="177"/>
        <v>44348279</v>
      </c>
      <c r="AH129" s="19">
        <f t="shared" si="178"/>
        <v>-1164817483</v>
      </c>
      <c r="AI129" s="15">
        <f t="shared" si="179"/>
        <v>935621613</v>
      </c>
      <c r="AJ129" s="16">
        <f t="shared" si="180"/>
        <v>1055651721</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7" t="s">
        <v>252</v>
      </c>
      <c r="B130" s="658"/>
      <c r="C130" s="485">
        <f t="shared" ref="C130:N130" si="182">C128+C126</f>
        <v>50222178081</v>
      </c>
      <c r="D130" s="486">
        <f t="shared" si="182"/>
        <v>0</v>
      </c>
      <c r="E130" s="486">
        <f t="shared" si="182"/>
        <v>836836965</v>
      </c>
      <c r="F130" s="487">
        <f t="shared" si="182"/>
        <v>51059015046</v>
      </c>
      <c r="G130" s="485">
        <f t="shared" si="182"/>
        <v>0</v>
      </c>
      <c r="H130" s="486">
        <f t="shared" si="182"/>
        <v>6269819158</v>
      </c>
      <c r="I130" s="487">
        <f t="shared" si="182"/>
        <v>6269819158</v>
      </c>
      <c r="J130" s="485">
        <f t="shared" si="182"/>
        <v>0</v>
      </c>
      <c r="K130" s="486">
        <f t="shared" si="182"/>
        <v>1934795961</v>
      </c>
      <c r="L130" s="487">
        <f t="shared" si="182"/>
        <v>1934795961</v>
      </c>
      <c r="M130" s="485">
        <f t="shared" si="182"/>
        <v>44789195888</v>
      </c>
      <c r="N130" s="487">
        <f t="shared" si="182"/>
        <v>49124219085</v>
      </c>
      <c r="P130" s="478">
        <f>P128+P126</f>
        <v>0</v>
      </c>
      <c r="Q130" s="479">
        <f>Q128+Q126</f>
        <v>836836965</v>
      </c>
      <c r="R130" s="9"/>
      <c r="S130" s="705" t="s">
        <v>269</v>
      </c>
      <c r="T130" s="681" t="s">
        <v>270</v>
      </c>
      <c r="U130" s="398">
        <v>2121073970</v>
      </c>
      <c r="V130" s="15">
        <f t="shared" si="172"/>
        <v>0</v>
      </c>
      <c r="W130" s="15">
        <f t="shared" si="173"/>
        <v>0</v>
      </c>
      <c r="X130" s="16">
        <f t="shared" si="174"/>
        <v>2121073970</v>
      </c>
      <c r="Y130" s="19">
        <v>0</v>
      </c>
      <c r="Z130" s="374">
        <v>162000000</v>
      </c>
      <c r="AA130" s="16">
        <f t="shared" si="175"/>
        <v>162000000</v>
      </c>
      <c r="AB130" s="19">
        <v>0</v>
      </c>
      <c r="AC130" s="374">
        <v>37757320</v>
      </c>
      <c r="AD130" s="18">
        <f t="shared" si="176"/>
        <v>37757320</v>
      </c>
      <c r="AE130" s="19">
        <v>0</v>
      </c>
      <c r="AF130" s="374">
        <v>0</v>
      </c>
      <c r="AG130" s="16">
        <f t="shared" si="177"/>
        <v>0</v>
      </c>
      <c r="AH130" s="19">
        <f t="shared" si="178"/>
        <v>1959073970</v>
      </c>
      <c r="AI130" s="15">
        <f t="shared" si="179"/>
        <v>2083316650</v>
      </c>
      <c r="AJ130" s="16">
        <f t="shared" si="180"/>
        <v>2121073970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47"/>
      <c r="B131" s="659"/>
      <c r="C131" s="610"/>
      <c r="D131" s="610"/>
      <c r="E131" s="610"/>
      <c r="F131" s="610"/>
      <c r="G131" s="610"/>
      <c r="H131" s="610"/>
      <c r="I131" s="610"/>
      <c r="J131" s="610"/>
      <c r="K131" s="610"/>
      <c r="L131" s="610"/>
      <c r="M131" s="610"/>
      <c r="N131" s="610"/>
      <c r="O131" s="294"/>
      <c r="P131" s="610"/>
      <c r="Q131" s="610"/>
      <c r="R131" s="9"/>
      <c r="S131" s="705" t="s">
        <v>271</v>
      </c>
      <c r="T131" s="681" t="s">
        <v>272</v>
      </c>
      <c r="U131" s="398">
        <v>45388534</v>
      </c>
      <c r="V131" s="15">
        <f t="shared" si="172"/>
        <v>0</v>
      </c>
      <c r="W131" s="15">
        <f t="shared" si="173"/>
        <v>0</v>
      </c>
      <c r="X131" s="16">
        <f t="shared" si="174"/>
        <v>45388534</v>
      </c>
      <c r="Y131" s="19">
        <v>0</v>
      </c>
      <c r="Z131" s="374">
        <v>0</v>
      </c>
      <c r="AA131" s="16">
        <f t="shared" si="175"/>
        <v>0</v>
      </c>
      <c r="AB131" s="19">
        <v>0</v>
      </c>
      <c r="AC131" s="374">
        <v>0</v>
      </c>
      <c r="AD131" s="18">
        <f t="shared" si="176"/>
        <v>0</v>
      </c>
      <c r="AE131" s="19">
        <v>0</v>
      </c>
      <c r="AF131" s="374">
        <v>0</v>
      </c>
      <c r="AG131" s="16">
        <f t="shared" si="177"/>
        <v>0</v>
      </c>
      <c r="AH131" s="19">
        <f t="shared" si="178"/>
        <v>45388534</v>
      </c>
      <c r="AI131" s="15">
        <f t="shared" si="179"/>
        <v>45388534</v>
      </c>
      <c r="AJ131" s="16">
        <f t="shared" si="180"/>
        <v>45388534</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48"/>
      <c r="B132" s="660"/>
      <c r="N132" s="9"/>
      <c r="R132" s="9"/>
      <c r="S132" s="705" t="s">
        <v>273</v>
      </c>
      <c r="T132" s="681" t="s">
        <v>274</v>
      </c>
      <c r="U132" s="398">
        <v>15000000</v>
      </c>
      <c r="V132" s="15">
        <f t="shared" si="172"/>
        <v>0</v>
      </c>
      <c r="W132" s="15">
        <f t="shared" si="173"/>
        <v>0</v>
      </c>
      <c r="X132" s="16">
        <f t="shared" si="174"/>
        <v>15000000</v>
      </c>
      <c r="Y132" s="19">
        <v>0</v>
      </c>
      <c r="Z132" s="374">
        <v>0</v>
      </c>
      <c r="AA132" s="16">
        <f t="shared" si="175"/>
        <v>0</v>
      </c>
      <c r="AB132" s="19">
        <v>0</v>
      </c>
      <c r="AC132" s="374">
        <v>0</v>
      </c>
      <c r="AD132" s="18">
        <f t="shared" si="176"/>
        <v>0</v>
      </c>
      <c r="AE132" s="19">
        <v>0</v>
      </c>
      <c r="AF132" s="374">
        <v>0</v>
      </c>
      <c r="AG132" s="16">
        <f t="shared" si="177"/>
        <v>0</v>
      </c>
      <c r="AH132" s="19">
        <f t="shared" si="178"/>
        <v>15000000</v>
      </c>
      <c r="AI132" s="15">
        <f t="shared" si="179"/>
        <v>15000000</v>
      </c>
      <c r="AJ132" s="16">
        <f t="shared" si="180"/>
        <v>15000000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48"/>
      <c r="B133" s="660"/>
      <c r="N133" s="9"/>
      <c r="R133" s="9"/>
      <c r="S133" s="705" t="s">
        <v>275</v>
      </c>
      <c r="T133" s="681" t="s">
        <v>478</v>
      </c>
      <c r="U133" s="398">
        <v>5000000</v>
      </c>
      <c r="V133" s="15">
        <f t="shared" si="172"/>
        <v>0</v>
      </c>
      <c r="W133" s="15">
        <f t="shared" si="173"/>
        <v>0</v>
      </c>
      <c r="X133" s="16">
        <f t="shared" si="174"/>
        <v>5000000</v>
      </c>
      <c r="Y133" s="19">
        <v>0</v>
      </c>
      <c r="Z133" s="374">
        <v>0</v>
      </c>
      <c r="AA133" s="16">
        <f t="shared" si="175"/>
        <v>0</v>
      </c>
      <c r="AB133" s="19">
        <v>0</v>
      </c>
      <c r="AC133" s="374">
        <v>0</v>
      </c>
      <c r="AD133" s="18">
        <f t="shared" si="176"/>
        <v>0</v>
      </c>
      <c r="AE133" s="19">
        <v>0</v>
      </c>
      <c r="AF133" s="374">
        <v>0</v>
      </c>
      <c r="AG133" s="16">
        <f t="shared" si="177"/>
        <v>0</v>
      </c>
      <c r="AH133" s="19">
        <f t="shared" si="178"/>
        <v>5000000</v>
      </c>
      <c r="AI133" s="15">
        <f t="shared" si="179"/>
        <v>5000000</v>
      </c>
      <c r="AJ133" s="16">
        <f t="shared" si="180"/>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48"/>
      <c r="B134" s="660"/>
      <c r="N134" s="9"/>
      <c r="R134" s="9"/>
      <c r="S134" s="705" t="s">
        <v>276</v>
      </c>
      <c r="T134" s="681" t="s">
        <v>277</v>
      </c>
      <c r="U134" s="398">
        <v>10000000</v>
      </c>
      <c r="V134" s="15">
        <f t="shared" si="172"/>
        <v>0</v>
      </c>
      <c r="W134" s="15">
        <f t="shared" si="173"/>
        <v>0</v>
      </c>
      <c r="X134" s="16">
        <f t="shared" si="174"/>
        <v>10000000</v>
      </c>
      <c r="Y134" s="19">
        <v>0</v>
      </c>
      <c r="Z134" s="374">
        <v>150878</v>
      </c>
      <c r="AA134" s="16">
        <f t="shared" si="175"/>
        <v>150878</v>
      </c>
      <c r="AB134" s="19">
        <v>0</v>
      </c>
      <c r="AC134" s="374">
        <v>150878</v>
      </c>
      <c r="AD134" s="18">
        <f t="shared" si="176"/>
        <v>150878</v>
      </c>
      <c r="AE134" s="19">
        <v>0</v>
      </c>
      <c r="AF134" s="374">
        <v>0</v>
      </c>
      <c r="AG134" s="16">
        <f t="shared" si="177"/>
        <v>0</v>
      </c>
      <c r="AH134" s="19">
        <f t="shared" si="178"/>
        <v>9849122</v>
      </c>
      <c r="AI134" s="15">
        <f t="shared" si="179"/>
        <v>9849122</v>
      </c>
      <c r="AJ134" s="16">
        <f t="shared" si="180"/>
        <v>10000000</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48"/>
      <c r="B135" s="660"/>
      <c r="N135" s="9"/>
      <c r="R135" s="9"/>
      <c r="S135" s="705" t="s">
        <v>278</v>
      </c>
      <c r="T135" s="684"/>
      <c r="U135" s="398">
        <v>0</v>
      </c>
      <c r="V135" s="15">
        <f t="shared" si="172"/>
        <v>0</v>
      </c>
      <c r="W135" s="15">
        <f t="shared" si="173"/>
        <v>0</v>
      </c>
      <c r="X135" s="16">
        <f t="shared" si="174"/>
        <v>0</v>
      </c>
      <c r="Y135" s="19">
        <v>0</v>
      </c>
      <c r="Z135" s="374">
        <v>0</v>
      </c>
      <c r="AA135" s="16">
        <f t="shared" si="175"/>
        <v>0</v>
      </c>
      <c r="AB135" s="19">
        <v>0</v>
      </c>
      <c r="AC135" s="374">
        <v>0</v>
      </c>
      <c r="AD135" s="18">
        <f t="shared" si="176"/>
        <v>0</v>
      </c>
      <c r="AE135" s="19">
        <v>0</v>
      </c>
      <c r="AF135" s="374">
        <v>0</v>
      </c>
      <c r="AG135" s="16">
        <f t="shared" si="177"/>
        <v>0</v>
      </c>
      <c r="AH135" s="19">
        <f t="shared" si="178"/>
        <v>0</v>
      </c>
      <c r="AI135" s="15">
        <f t="shared" si="179"/>
        <v>0</v>
      </c>
      <c r="AJ135" s="16">
        <f t="shared" si="180"/>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48"/>
      <c r="B136" s="660"/>
      <c r="N136" s="9"/>
      <c r="R136" s="9"/>
      <c r="S136" s="705" t="s">
        <v>279</v>
      </c>
      <c r="T136" s="684"/>
      <c r="U136" s="398">
        <v>0</v>
      </c>
      <c r="V136" s="15">
        <f t="shared" si="172"/>
        <v>0</v>
      </c>
      <c r="W136" s="15">
        <f t="shared" si="173"/>
        <v>0</v>
      </c>
      <c r="X136" s="16">
        <f t="shared" si="174"/>
        <v>0</v>
      </c>
      <c r="Y136" s="19">
        <v>0</v>
      </c>
      <c r="Z136" s="374">
        <v>0</v>
      </c>
      <c r="AA136" s="16">
        <f t="shared" si="175"/>
        <v>0</v>
      </c>
      <c r="AB136" s="19">
        <v>0</v>
      </c>
      <c r="AC136" s="374">
        <v>0</v>
      </c>
      <c r="AD136" s="18">
        <f t="shared" si="176"/>
        <v>0</v>
      </c>
      <c r="AE136" s="19">
        <v>0</v>
      </c>
      <c r="AF136" s="374">
        <v>0</v>
      </c>
      <c r="AG136" s="16">
        <f t="shared" si="177"/>
        <v>0</v>
      </c>
      <c r="AH136" s="19">
        <f t="shared" si="178"/>
        <v>0</v>
      </c>
      <c r="AI136" s="15">
        <f t="shared" si="179"/>
        <v>0</v>
      </c>
      <c r="AJ136" s="16">
        <f t="shared" si="180"/>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48"/>
      <c r="B137" s="660"/>
      <c r="N137" s="9"/>
      <c r="R137" s="9"/>
      <c r="S137" s="705" t="s">
        <v>280</v>
      </c>
      <c r="T137" s="684"/>
      <c r="U137" s="398">
        <v>0</v>
      </c>
      <c r="V137" s="15">
        <f t="shared" si="172"/>
        <v>0</v>
      </c>
      <c r="W137" s="15">
        <f t="shared" si="173"/>
        <v>0</v>
      </c>
      <c r="X137" s="16">
        <f t="shared" si="174"/>
        <v>0</v>
      </c>
      <c r="Y137" s="19">
        <v>0</v>
      </c>
      <c r="Z137" s="374">
        <v>0</v>
      </c>
      <c r="AA137" s="16">
        <f t="shared" si="175"/>
        <v>0</v>
      </c>
      <c r="AB137" s="19">
        <v>0</v>
      </c>
      <c r="AC137" s="374">
        <v>0</v>
      </c>
      <c r="AD137" s="18">
        <f t="shared" si="176"/>
        <v>0</v>
      </c>
      <c r="AE137" s="19">
        <v>0</v>
      </c>
      <c r="AF137" s="374">
        <v>0</v>
      </c>
      <c r="AG137" s="16">
        <f t="shared" si="177"/>
        <v>0</v>
      </c>
      <c r="AH137" s="19">
        <f t="shared" si="178"/>
        <v>0</v>
      </c>
      <c r="AI137" s="15">
        <f t="shared" si="179"/>
        <v>0</v>
      </c>
      <c r="AJ137" s="16">
        <f t="shared" si="180"/>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48"/>
      <c r="B138" s="660"/>
      <c r="N138" s="9"/>
      <c r="R138" s="9"/>
      <c r="S138" s="705" t="s">
        <v>281</v>
      </c>
      <c r="T138" s="684"/>
      <c r="U138" s="398">
        <v>0</v>
      </c>
      <c r="V138" s="15">
        <f t="shared" si="172"/>
        <v>0</v>
      </c>
      <c r="W138" s="15">
        <f t="shared" si="173"/>
        <v>0</v>
      </c>
      <c r="X138" s="16">
        <f t="shared" si="174"/>
        <v>0</v>
      </c>
      <c r="Y138" s="19">
        <v>0</v>
      </c>
      <c r="Z138" s="374">
        <v>0</v>
      </c>
      <c r="AA138" s="16">
        <f t="shared" si="175"/>
        <v>0</v>
      </c>
      <c r="AB138" s="19">
        <v>0</v>
      </c>
      <c r="AC138" s="374">
        <v>0</v>
      </c>
      <c r="AD138" s="18">
        <f t="shared" si="176"/>
        <v>0</v>
      </c>
      <c r="AE138" s="19">
        <v>0</v>
      </c>
      <c r="AF138" s="374">
        <v>0</v>
      </c>
      <c r="AG138" s="16">
        <f t="shared" si="177"/>
        <v>0</v>
      </c>
      <c r="AH138" s="19">
        <f t="shared" si="178"/>
        <v>0</v>
      </c>
      <c r="AI138" s="15">
        <f t="shared" si="179"/>
        <v>0</v>
      </c>
      <c r="AJ138" s="16">
        <f t="shared" si="180"/>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48"/>
      <c r="B139" s="660"/>
      <c r="N139" s="9"/>
      <c r="R139" s="9"/>
      <c r="S139" s="705">
        <v>2010299</v>
      </c>
      <c r="T139" s="681" t="s">
        <v>129</v>
      </c>
      <c r="U139" s="398">
        <v>0</v>
      </c>
      <c r="V139" s="15">
        <f t="shared" si="172"/>
        <v>0</v>
      </c>
      <c r="W139" s="15">
        <f t="shared" si="173"/>
        <v>220000000</v>
      </c>
      <c r="X139" s="16">
        <f t="shared" si="174"/>
        <v>220000000</v>
      </c>
      <c r="Y139" s="19">
        <v>0</v>
      </c>
      <c r="Z139" s="374">
        <v>0</v>
      </c>
      <c r="AA139" s="16">
        <f t="shared" si="175"/>
        <v>0</v>
      </c>
      <c r="AB139" s="19">
        <v>0</v>
      </c>
      <c r="AC139" s="374">
        <v>0</v>
      </c>
      <c r="AD139" s="18">
        <f t="shared" si="176"/>
        <v>0</v>
      </c>
      <c r="AE139" s="19">
        <v>0</v>
      </c>
      <c r="AF139" s="374">
        <v>0</v>
      </c>
      <c r="AG139" s="16">
        <f t="shared" si="177"/>
        <v>0</v>
      </c>
      <c r="AH139" s="19">
        <f t="shared" si="178"/>
        <v>220000000</v>
      </c>
      <c r="AI139" s="15">
        <f t="shared" si="179"/>
        <v>220000000</v>
      </c>
      <c r="AJ139" s="16">
        <f t="shared" si="180"/>
        <v>220000000</v>
      </c>
      <c r="AK139" s="9"/>
      <c r="AL139" s="372">
        <v>0</v>
      </c>
      <c r="AM139" s="375">
        <v>220000000</v>
      </c>
      <c r="AN139" s="9"/>
      <c r="AO139" s="294"/>
      <c r="AP139" s="294"/>
      <c r="AQ139" s="294"/>
    </row>
    <row r="140" spans="1:52" s="382" customFormat="1" ht="24.95" customHeight="1">
      <c r="A140" s="748"/>
      <c r="B140" s="660"/>
      <c r="N140" s="9"/>
      <c r="R140" s="9"/>
      <c r="S140" s="366"/>
      <c r="T140" s="677"/>
      <c r="U140" s="161"/>
      <c r="V140" s="161"/>
      <c r="W140" s="161"/>
      <c r="X140" s="166"/>
      <c r="Y140" s="367"/>
      <c r="Z140" s="161"/>
      <c r="AA140" s="166"/>
      <c r="AB140" s="367"/>
      <c r="AC140" s="161"/>
      <c r="AD140" s="161"/>
      <c r="AE140" s="367"/>
      <c r="AF140" s="161"/>
      <c r="AG140" s="166"/>
      <c r="AH140" s="367"/>
      <c r="AI140" s="161"/>
      <c r="AJ140" s="166"/>
      <c r="AK140" s="10"/>
      <c r="AL140" s="172"/>
      <c r="AM140" s="173"/>
      <c r="AN140" s="9"/>
    </row>
    <row r="141" spans="1:52" s="382" customFormat="1" ht="24.95" customHeight="1">
      <c r="A141" s="748"/>
      <c r="B141" s="660"/>
      <c r="N141" s="9"/>
      <c r="R141" s="9"/>
      <c r="S141" s="704">
        <v>2010300</v>
      </c>
      <c r="T141" s="680" t="s">
        <v>282</v>
      </c>
      <c r="U141" s="132">
        <f t="shared" ref="U141:AJ141" si="183">U142+U143</f>
        <v>0</v>
      </c>
      <c r="V141" s="122">
        <f t="shared" si="183"/>
        <v>0</v>
      </c>
      <c r="W141" s="122">
        <f t="shared" si="183"/>
        <v>0</v>
      </c>
      <c r="X141" s="130">
        <f t="shared" si="183"/>
        <v>0</v>
      </c>
      <c r="Y141" s="128">
        <f t="shared" si="183"/>
        <v>0</v>
      </c>
      <c r="Z141" s="122">
        <f t="shared" si="183"/>
        <v>0</v>
      </c>
      <c r="AA141" s="130">
        <f t="shared" si="183"/>
        <v>0</v>
      </c>
      <c r="AB141" s="128">
        <f t="shared" si="183"/>
        <v>0</v>
      </c>
      <c r="AC141" s="122">
        <f t="shared" si="183"/>
        <v>0</v>
      </c>
      <c r="AD141" s="129">
        <f t="shared" si="183"/>
        <v>0</v>
      </c>
      <c r="AE141" s="128">
        <f t="shared" si="183"/>
        <v>0</v>
      </c>
      <c r="AF141" s="122">
        <f t="shared" si="183"/>
        <v>0</v>
      </c>
      <c r="AG141" s="130">
        <f t="shared" si="183"/>
        <v>0</v>
      </c>
      <c r="AH141" s="128">
        <f t="shared" si="183"/>
        <v>0</v>
      </c>
      <c r="AI141" s="122">
        <f t="shared" si="183"/>
        <v>0</v>
      </c>
      <c r="AJ141" s="130">
        <f t="shared" si="183"/>
        <v>0</v>
      </c>
      <c r="AK141" s="10"/>
      <c r="AL141" s="128">
        <f>AL142+AL143</f>
        <v>0</v>
      </c>
      <c r="AM141" s="130">
        <f>AM142+AM143</f>
        <v>0</v>
      </c>
      <c r="AN141" s="9"/>
    </row>
    <row r="142" spans="1:52" s="382" customFormat="1" ht="24.95" customHeight="1">
      <c r="A142" s="748"/>
      <c r="B142" s="660"/>
      <c r="N142" s="9"/>
      <c r="R142" s="9"/>
      <c r="S142" s="705" t="s">
        <v>283</v>
      </c>
      <c r="T142" s="681" t="s">
        <v>284</v>
      </c>
      <c r="U142" s="398">
        <v>0</v>
      </c>
      <c r="V142" s="15">
        <f>AL142</f>
        <v>0</v>
      </c>
      <c r="W142" s="15">
        <f>AM142</f>
        <v>0</v>
      </c>
      <c r="X142" s="16">
        <f>SUM(U142:W142)</f>
        <v>0</v>
      </c>
      <c r="Y142" s="19">
        <v>0</v>
      </c>
      <c r="Z142" s="374">
        <v>0</v>
      </c>
      <c r="AA142" s="16">
        <f>SUM(Y142:Z142)</f>
        <v>0</v>
      </c>
      <c r="AB142" s="19">
        <v>0</v>
      </c>
      <c r="AC142" s="374">
        <v>0</v>
      </c>
      <c r="AD142" s="18">
        <f>SUM(AB142:AC142)</f>
        <v>0</v>
      </c>
      <c r="AE142" s="19">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48"/>
      <c r="B143" s="660"/>
      <c r="N143" s="9"/>
      <c r="R143" s="9"/>
      <c r="S143" s="705">
        <v>2010399</v>
      </c>
      <c r="T143" s="681" t="s">
        <v>129</v>
      </c>
      <c r="U143" s="398">
        <v>0</v>
      </c>
      <c r="V143" s="15">
        <f>AL143</f>
        <v>0</v>
      </c>
      <c r="W143" s="15">
        <f>AM143</f>
        <v>0</v>
      </c>
      <c r="X143" s="16">
        <f>SUM(U143:W143)</f>
        <v>0</v>
      </c>
      <c r="Y143" s="19">
        <v>0</v>
      </c>
      <c r="Z143" s="374">
        <v>0</v>
      </c>
      <c r="AA143" s="16">
        <f>SUM(Y143:Z143)</f>
        <v>0</v>
      </c>
      <c r="AB143" s="19">
        <v>0</v>
      </c>
      <c r="AC143" s="374">
        <v>0</v>
      </c>
      <c r="AD143" s="18">
        <f>SUM(AB143:AC143)</f>
        <v>0</v>
      </c>
      <c r="AE143" s="19">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48"/>
      <c r="B144" s="660"/>
      <c r="N144" s="9"/>
      <c r="R144" s="9"/>
      <c r="S144" s="366"/>
      <c r="T144" s="677"/>
      <c r="U144" s="161"/>
      <c r="V144" s="161"/>
      <c r="W144" s="161"/>
      <c r="X144" s="166"/>
      <c r="Y144" s="367"/>
      <c r="Z144" s="161"/>
      <c r="AA144" s="166"/>
      <c r="AB144" s="367"/>
      <c r="AC144" s="161"/>
      <c r="AD144" s="161"/>
      <c r="AE144" s="367"/>
      <c r="AF144" s="161"/>
      <c r="AG144" s="166"/>
      <c r="AH144" s="367"/>
      <c r="AI144" s="161"/>
      <c r="AJ144" s="166"/>
      <c r="AK144" s="9"/>
      <c r="AL144" s="172"/>
      <c r="AM144" s="173"/>
      <c r="AN144" s="9"/>
    </row>
    <row r="145" spans="1:40" s="382" customFormat="1" ht="24.95" customHeight="1">
      <c r="A145" s="748"/>
      <c r="B145" s="660"/>
      <c r="N145" s="9"/>
      <c r="R145" s="9"/>
      <c r="S145" s="703">
        <v>2020010</v>
      </c>
      <c r="T145" s="679" t="s">
        <v>190</v>
      </c>
      <c r="U145" s="132">
        <f t="shared" ref="U145:AJ145" si="184">U147+U155</f>
        <v>2659132662</v>
      </c>
      <c r="V145" s="122">
        <f t="shared" si="184"/>
        <v>0</v>
      </c>
      <c r="W145" s="122">
        <f t="shared" si="184"/>
        <v>50000000</v>
      </c>
      <c r="X145" s="130">
        <f t="shared" si="184"/>
        <v>2709132662</v>
      </c>
      <c r="Y145" s="128">
        <f t="shared" si="184"/>
        <v>0</v>
      </c>
      <c r="Z145" s="122">
        <f t="shared" si="184"/>
        <v>495635458</v>
      </c>
      <c r="AA145" s="130">
        <f t="shared" si="184"/>
        <v>495635458</v>
      </c>
      <c r="AB145" s="128">
        <f t="shared" si="184"/>
        <v>0</v>
      </c>
      <c r="AC145" s="122">
        <f t="shared" si="184"/>
        <v>102993774</v>
      </c>
      <c r="AD145" s="129">
        <f t="shared" si="184"/>
        <v>102993774</v>
      </c>
      <c r="AE145" s="128">
        <f t="shared" si="184"/>
        <v>0</v>
      </c>
      <c r="AF145" s="122">
        <f t="shared" si="184"/>
        <v>63514510</v>
      </c>
      <c r="AG145" s="130">
        <f t="shared" si="184"/>
        <v>63514510</v>
      </c>
      <c r="AH145" s="128">
        <f t="shared" si="184"/>
        <v>2213497204</v>
      </c>
      <c r="AI145" s="122">
        <f t="shared" si="184"/>
        <v>2606138888</v>
      </c>
      <c r="AJ145" s="130">
        <f t="shared" si="184"/>
        <v>2645618152</v>
      </c>
      <c r="AK145" s="10"/>
      <c r="AL145" s="128">
        <f>AL147+AL155</f>
        <v>0</v>
      </c>
      <c r="AM145" s="130">
        <f>AM147+AM155</f>
        <v>50000000</v>
      </c>
      <c r="AN145" s="9"/>
    </row>
    <row r="146" spans="1:40" s="382" customFormat="1" ht="24.95" customHeight="1">
      <c r="A146" s="748"/>
      <c r="B146" s="660"/>
      <c r="N146" s="9"/>
      <c r="R146" s="9"/>
      <c r="S146" s="706"/>
      <c r="T146" s="682"/>
      <c r="U146" s="17"/>
      <c r="V146" s="15"/>
      <c r="W146" s="15"/>
      <c r="X146" s="16"/>
      <c r="Y146" s="19"/>
      <c r="Z146" s="15"/>
      <c r="AA146" s="16"/>
      <c r="AB146" s="19"/>
      <c r="AC146" s="15"/>
      <c r="AD146" s="18"/>
      <c r="AE146" s="19"/>
      <c r="AF146" s="15"/>
      <c r="AG146" s="16"/>
      <c r="AH146" s="19"/>
      <c r="AI146" s="15"/>
      <c r="AJ146" s="16"/>
      <c r="AK146" s="9"/>
      <c r="AL146" s="172"/>
      <c r="AM146" s="173"/>
      <c r="AN146" s="9"/>
    </row>
    <row r="147" spans="1:40" s="382" customFormat="1" ht="24.95" customHeight="1">
      <c r="A147" s="748"/>
      <c r="B147" s="660"/>
      <c r="N147" s="9"/>
      <c r="R147" s="9"/>
      <c r="S147" s="704">
        <v>2020100</v>
      </c>
      <c r="T147" s="680" t="s">
        <v>243</v>
      </c>
      <c r="U147" s="132">
        <f t="shared" ref="U147:AJ147" si="185">SUM(U148:U149)+U153</f>
        <v>1878602056</v>
      </c>
      <c r="V147" s="122">
        <f t="shared" si="185"/>
        <v>0</v>
      </c>
      <c r="W147" s="122">
        <f t="shared" si="185"/>
        <v>50000000</v>
      </c>
      <c r="X147" s="130">
        <f t="shared" si="185"/>
        <v>1928602056</v>
      </c>
      <c r="Y147" s="128">
        <f t="shared" si="185"/>
        <v>0</v>
      </c>
      <c r="Z147" s="122">
        <f t="shared" si="185"/>
        <v>63260130</v>
      </c>
      <c r="AA147" s="130">
        <f t="shared" si="185"/>
        <v>63260130</v>
      </c>
      <c r="AB147" s="128">
        <f t="shared" si="185"/>
        <v>0</v>
      </c>
      <c r="AC147" s="122">
        <f t="shared" si="185"/>
        <v>60565609</v>
      </c>
      <c r="AD147" s="129">
        <f t="shared" si="185"/>
        <v>60565609</v>
      </c>
      <c r="AE147" s="128">
        <f t="shared" si="185"/>
        <v>0</v>
      </c>
      <c r="AF147" s="122">
        <f t="shared" si="185"/>
        <v>58554709</v>
      </c>
      <c r="AG147" s="130">
        <f t="shared" si="185"/>
        <v>58554709</v>
      </c>
      <c r="AH147" s="128">
        <f t="shared" si="185"/>
        <v>1865341926</v>
      </c>
      <c r="AI147" s="122">
        <f t="shared" si="185"/>
        <v>1868036447</v>
      </c>
      <c r="AJ147" s="130">
        <f t="shared" si="185"/>
        <v>1870047347</v>
      </c>
      <c r="AK147" s="9"/>
      <c r="AL147" s="128">
        <f>SUM(AL148:AL149)+AL153</f>
        <v>0</v>
      </c>
      <c r="AM147" s="130">
        <f>SUM(AM148:AM149)+AM153</f>
        <v>50000000</v>
      </c>
      <c r="AN147" s="9"/>
    </row>
    <row r="148" spans="1:40" s="382" customFormat="1" ht="24.95" customHeight="1">
      <c r="A148" s="748"/>
      <c r="B148" s="660"/>
      <c r="N148" s="9"/>
      <c r="R148" s="9"/>
      <c r="S148" s="705">
        <v>2020101</v>
      </c>
      <c r="T148" s="681" t="s">
        <v>285</v>
      </c>
      <c r="U148" s="398">
        <v>780530606</v>
      </c>
      <c r="V148" s="15">
        <f>AL148</f>
        <v>0</v>
      </c>
      <c r="W148" s="15">
        <f>AM148</f>
        <v>0</v>
      </c>
      <c r="X148" s="16">
        <f>SUM(U148:W148)</f>
        <v>780530606</v>
      </c>
      <c r="Y148" s="19">
        <v>0</v>
      </c>
      <c r="Z148" s="374">
        <v>2827446</v>
      </c>
      <c r="AA148" s="16">
        <f>SUM(Y148:Z148)</f>
        <v>2827446</v>
      </c>
      <c r="AB148" s="19">
        <v>0</v>
      </c>
      <c r="AC148" s="374">
        <v>2827446</v>
      </c>
      <c r="AD148" s="18">
        <f>SUM(AB148:AC148)</f>
        <v>2827446</v>
      </c>
      <c r="AE148" s="19">
        <v>0</v>
      </c>
      <c r="AF148" s="374">
        <v>1625546</v>
      </c>
      <c r="AG148" s="16">
        <f>SUM(AE148:AF148)</f>
        <v>1625546</v>
      </c>
      <c r="AH148" s="19">
        <f>X148-AA148</f>
        <v>777703160</v>
      </c>
      <c r="AI148" s="15">
        <f>X148-AD148</f>
        <v>777703160</v>
      </c>
      <c r="AJ148" s="16">
        <f>X148-AG148</f>
        <v>778905060</v>
      </c>
      <c r="AK148" s="9"/>
      <c r="AL148" s="372">
        <v>0</v>
      </c>
      <c r="AM148" s="375">
        <v>0</v>
      </c>
      <c r="AN148" s="9"/>
    </row>
    <row r="149" spans="1:40" s="382" customFormat="1" ht="24.95" customHeight="1">
      <c r="A149" s="748"/>
      <c r="B149" s="660"/>
      <c r="N149" s="9"/>
      <c r="R149" s="9"/>
      <c r="S149" s="705">
        <v>2020102</v>
      </c>
      <c r="T149" s="681" t="s">
        <v>80</v>
      </c>
      <c r="U149" s="17">
        <f t="shared" ref="U149:AJ149" si="186">SUM(U150:U152)</f>
        <v>1098071450</v>
      </c>
      <c r="V149" s="15">
        <f t="shared" si="186"/>
        <v>0</v>
      </c>
      <c r="W149" s="15">
        <f t="shared" si="186"/>
        <v>0</v>
      </c>
      <c r="X149" s="16">
        <f t="shared" si="186"/>
        <v>1098071450</v>
      </c>
      <c r="Y149" s="19">
        <f t="shared" si="186"/>
        <v>0</v>
      </c>
      <c r="Z149" s="142">
        <f t="shared" si="186"/>
        <v>3830034</v>
      </c>
      <c r="AA149" s="16">
        <f t="shared" si="186"/>
        <v>3830034</v>
      </c>
      <c r="AB149" s="19">
        <f t="shared" si="186"/>
        <v>0</v>
      </c>
      <c r="AC149" s="142">
        <f t="shared" si="186"/>
        <v>1135513</v>
      </c>
      <c r="AD149" s="18">
        <f t="shared" si="186"/>
        <v>1135513</v>
      </c>
      <c r="AE149" s="19">
        <f t="shared" si="186"/>
        <v>0</v>
      </c>
      <c r="AF149" s="142">
        <f t="shared" si="186"/>
        <v>326513</v>
      </c>
      <c r="AG149" s="16">
        <f t="shared" si="186"/>
        <v>326513</v>
      </c>
      <c r="AH149" s="19">
        <f t="shared" si="186"/>
        <v>1094241416</v>
      </c>
      <c r="AI149" s="15">
        <f t="shared" si="186"/>
        <v>1096935937</v>
      </c>
      <c r="AJ149" s="16">
        <f t="shared" si="186"/>
        <v>1097744937</v>
      </c>
      <c r="AK149" s="9"/>
      <c r="AL149" s="29">
        <f>SUM(AL150:AL152)</f>
        <v>0</v>
      </c>
      <c r="AM149" s="26">
        <f>SUM(AM150:AM152)</f>
        <v>0</v>
      </c>
      <c r="AN149" s="9"/>
    </row>
    <row r="150" spans="1:40" s="382" customFormat="1" ht="24.95" customHeight="1">
      <c r="A150" s="748"/>
      <c r="B150" s="660"/>
      <c r="N150" s="9"/>
      <c r="R150" s="9"/>
      <c r="S150" s="706" t="s">
        <v>286</v>
      </c>
      <c r="T150" s="682" t="s">
        <v>416</v>
      </c>
      <c r="U150" s="398">
        <v>514625084</v>
      </c>
      <c r="V150" s="15">
        <f t="shared" ref="V150:W153" si="187">AL150</f>
        <v>0</v>
      </c>
      <c r="W150" s="15">
        <f t="shared" si="187"/>
        <v>0</v>
      </c>
      <c r="X150" s="16">
        <f>SUM(U150:W150)</f>
        <v>514625084</v>
      </c>
      <c r="Y150" s="19">
        <v>0</v>
      </c>
      <c r="Z150" s="374">
        <v>3503521</v>
      </c>
      <c r="AA150" s="16">
        <f>SUM(Y150:Z150)</f>
        <v>3503521</v>
      </c>
      <c r="AB150" s="19">
        <v>0</v>
      </c>
      <c r="AC150" s="374">
        <v>809000</v>
      </c>
      <c r="AD150" s="18">
        <f>SUM(AB150:AC150)</f>
        <v>809000</v>
      </c>
      <c r="AE150" s="19">
        <v>0</v>
      </c>
      <c r="AF150" s="374">
        <v>0</v>
      </c>
      <c r="AG150" s="16">
        <f>SUM(AE150:AF150)</f>
        <v>0</v>
      </c>
      <c r="AH150" s="19">
        <f>X150-AA150</f>
        <v>511121563</v>
      </c>
      <c r="AI150" s="15">
        <f>X150-AD150</f>
        <v>513816084</v>
      </c>
      <c r="AJ150" s="16">
        <f>X150-AG150</f>
        <v>514625084</v>
      </c>
      <c r="AK150" s="9"/>
      <c r="AL150" s="372">
        <v>0</v>
      </c>
      <c r="AM150" s="375">
        <v>0</v>
      </c>
      <c r="AN150" s="9"/>
    </row>
    <row r="151" spans="1:40" s="382" customFormat="1" ht="24.95" customHeight="1">
      <c r="A151" s="748"/>
      <c r="B151" s="660"/>
      <c r="N151" s="9"/>
      <c r="R151" s="9"/>
      <c r="S151" s="706" t="s">
        <v>287</v>
      </c>
      <c r="T151" s="682" t="s">
        <v>248</v>
      </c>
      <c r="U151" s="398">
        <v>583446366</v>
      </c>
      <c r="V151" s="15">
        <f t="shared" si="187"/>
        <v>0</v>
      </c>
      <c r="W151" s="15">
        <f t="shared" si="187"/>
        <v>0</v>
      </c>
      <c r="X151" s="16">
        <f>SUM(U151:W151)</f>
        <v>583446366</v>
      </c>
      <c r="Y151" s="19">
        <v>0</v>
      </c>
      <c r="Z151" s="374">
        <v>326513</v>
      </c>
      <c r="AA151" s="16">
        <f>SUM(Y151:Z151)</f>
        <v>326513</v>
      </c>
      <c r="AB151" s="19">
        <v>0</v>
      </c>
      <c r="AC151" s="374">
        <v>326513</v>
      </c>
      <c r="AD151" s="18">
        <f>SUM(AB151:AC151)</f>
        <v>326513</v>
      </c>
      <c r="AE151" s="19">
        <v>0</v>
      </c>
      <c r="AF151" s="374">
        <v>326513</v>
      </c>
      <c r="AG151" s="16">
        <f>SUM(AE151:AF151)</f>
        <v>326513</v>
      </c>
      <c r="AH151" s="19">
        <f>X151-AA151</f>
        <v>583119853</v>
      </c>
      <c r="AI151" s="15">
        <f>X151-AD151</f>
        <v>583119853</v>
      </c>
      <c r="AJ151" s="16">
        <f>X151-AG151</f>
        <v>583119853</v>
      </c>
      <c r="AK151" s="9"/>
      <c r="AL151" s="372">
        <v>0</v>
      </c>
      <c r="AM151" s="375">
        <v>0</v>
      </c>
      <c r="AN151" s="9"/>
    </row>
    <row r="152" spans="1:40" s="382" customFormat="1" ht="24.95" customHeight="1">
      <c r="A152" s="748"/>
      <c r="B152" s="660"/>
      <c r="N152" s="9"/>
      <c r="R152" s="9"/>
      <c r="S152" s="706" t="s">
        <v>288</v>
      </c>
      <c r="T152" s="683"/>
      <c r="U152" s="398">
        <v>0</v>
      </c>
      <c r="V152" s="15">
        <f t="shared" si="187"/>
        <v>0</v>
      </c>
      <c r="W152" s="15">
        <f t="shared" si="187"/>
        <v>0</v>
      </c>
      <c r="X152" s="16">
        <f>SUM(U152:W152)</f>
        <v>0</v>
      </c>
      <c r="Y152" s="19">
        <v>0</v>
      </c>
      <c r="Z152" s="374">
        <v>0</v>
      </c>
      <c r="AA152" s="16">
        <f>SUM(Y152:Z152)</f>
        <v>0</v>
      </c>
      <c r="AB152" s="19">
        <v>0</v>
      </c>
      <c r="AC152" s="374">
        <v>0</v>
      </c>
      <c r="AD152" s="18">
        <f>SUM(AB152:AC152)</f>
        <v>0</v>
      </c>
      <c r="AE152" s="19">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c r="A153" s="748"/>
      <c r="B153" s="660"/>
      <c r="N153" s="9"/>
      <c r="R153" s="9"/>
      <c r="S153" s="705">
        <v>2020199</v>
      </c>
      <c r="T153" s="681" t="s">
        <v>129</v>
      </c>
      <c r="U153" s="398">
        <v>0</v>
      </c>
      <c r="V153" s="15">
        <f t="shared" si="187"/>
        <v>0</v>
      </c>
      <c r="W153" s="15">
        <f t="shared" si="187"/>
        <v>50000000</v>
      </c>
      <c r="X153" s="16">
        <f>SUM(U153:W153)</f>
        <v>50000000</v>
      </c>
      <c r="Y153" s="19">
        <v>0</v>
      </c>
      <c r="Z153" s="374">
        <v>56602650</v>
      </c>
      <c r="AA153" s="16">
        <f>SUM(Y153:Z153)</f>
        <v>56602650</v>
      </c>
      <c r="AB153" s="19">
        <v>0</v>
      </c>
      <c r="AC153" s="374">
        <v>56602650</v>
      </c>
      <c r="AD153" s="18">
        <f>SUM(AB153:AC153)</f>
        <v>56602650</v>
      </c>
      <c r="AE153" s="19">
        <v>0</v>
      </c>
      <c r="AF153" s="374">
        <v>56602650</v>
      </c>
      <c r="AG153" s="16">
        <f>SUM(AE153:AF153)</f>
        <v>56602650</v>
      </c>
      <c r="AH153" s="19">
        <f>X153-AA153</f>
        <v>-6602650</v>
      </c>
      <c r="AI153" s="15">
        <f>X153-AD153</f>
        <v>-6602650</v>
      </c>
      <c r="AJ153" s="16">
        <f>X153-AG153</f>
        <v>-6602650</v>
      </c>
      <c r="AK153" s="9"/>
      <c r="AL153" s="372">
        <v>0</v>
      </c>
      <c r="AM153" s="375">
        <v>50000000</v>
      </c>
      <c r="AN153" s="9"/>
    </row>
    <row r="154" spans="1:40" s="382" customFormat="1" ht="24.95" customHeight="1">
      <c r="A154" s="748"/>
      <c r="B154" s="660"/>
      <c r="N154" s="9"/>
      <c r="R154" s="9"/>
      <c r="S154" s="366"/>
      <c r="T154" s="677"/>
      <c r="U154" s="161"/>
      <c r="V154" s="161"/>
      <c r="W154" s="161"/>
      <c r="X154" s="166"/>
      <c r="Y154" s="367"/>
      <c r="Z154" s="161"/>
      <c r="AA154" s="166"/>
      <c r="AB154" s="367"/>
      <c r="AC154" s="161"/>
      <c r="AD154" s="161"/>
      <c r="AE154" s="367"/>
      <c r="AF154" s="161"/>
      <c r="AG154" s="166"/>
      <c r="AH154" s="367"/>
      <c r="AI154" s="161"/>
      <c r="AJ154" s="166"/>
      <c r="AK154" s="9"/>
      <c r="AL154" s="172"/>
      <c r="AM154" s="173"/>
      <c r="AN154" s="9"/>
    </row>
    <row r="155" spans="1:40" s="382" customFormat="1" ht="24.95" customHeight="1">
      <c r="A155" s="748"/>
      <c r="B155" s="660"/>
      <c r="N155" s="9"/>
      <c r="R155" s="9"/>
      <c r="S155" s="704">
        <v>2020200</v>
      </c>
      <c r="T155" s="680" t="s">
        <v>256</v>
      </c>
      <c r="U155" s="132">
        <f t="shared" ref="U155:AJ155" si="188">SUM(U156:U157)+U168</f>
        <v>780530606</v>
      </c>
      <c r="V155" s="122">
        <f t="shared" si="188"/>
        <v>0</v>
      </c>
      <c r="W155" s="122">
        <f t="shared" si="188"/>
        <v>0</v>
      </c>
      <c r="X155" s="130">
        <f t="shared" si="188"/>
        <v>780530606</v>
      </c>
      <c r="Y155" s="128">
        <f t="shared" si="188"/>
        <v>0</v>
      </c>
      <c r="Z155" s="122">
        <f t="shared" si="188"/>
        <v>432375328</v>
      </c>
      <c r="AA155" s="130">
        <f t="shared" si="188"/>
        <v>432375328</v>
      </c>
      <c r="AB155" s="128">
        <f t="shared" si="188"/>
        <v>0</v>
      </c>
      <c r="AC155" s="122">
        <f t="shared" si="188"/>
        <v>42428165</v>
      </c>
      <c r="AD155" s="129">
        <f t="shared" si="188"/>
        <v>42428165</v>
      </c>
      <c r="AE155" s="128">
        <f t="shared" si="188"/>
        <v>0</v>
      </c>
      <c r="AF155" s="122">
        <f t="shared" si="188"/>
        <v>4959801</v>
      </c>
      <c r="AG155" s="130">
        <f t="shared" si="188"/>
        <v>4959801</v>
      </c>
      <c r="AH155" s="128">
        <f t="shared" si="188"/>
        <v>348155278</v>
      </c>
      <c r="AI155" s="122">
        <f t="shared" si="188"/>
        <v>738102441</v>
      </c>
      <c r="AJ155" s="130">
        <f t="shared" si="188"/>
        <v>775570805</v>
      </c>
      <c r="AK155" s="9"/>
      <c r="AL155" s="128">
        <f>SUM(AL156:AL157)+AL168</f>
        <v>0</v>
      </c>
      <c r="AM155" s="130">
        <f>SUM(AM156:AM157)+AM168</f>
        <v>0</v>
      </c>
      <c r="AN155" s="9"/>
    </row>
    <row r="156" spans="1:40" s="382" customFormat="1" ht="24.95" customHeight="1">
      <c r="A156" s="748"/>
      <c r="B156" s="660"/>
      <c r="N156" s="9"/>
      <c r="P156" s="9"/>
      <c r="Q156" s="9"/>
      <c r="R156" s="9"/>
      <c r="S156" s="705">
        <v>2020201</v>
      </c>
      <c r="T156" s="681" t="s">
        <v>285</v>
      </c>
      <c r="U156" s="398">
        <v>780530606</v>
      </c>
      <c r="V156" s="15">
        <f>AL156</f>
        <v>0</v>
      </c>
      <c r="W156" s="15">
        <f>AM156</f>
        <v>0</v>
      </c>
      <c r="X156" s="16">
        <f>SUM(U156:W156)</f>
        <v>780530606</v>
      </c>
      <c r="Y156" s="19">
        <v>0</v>
      </c>
      <c r="Z156" s="374">
        <v>432375328</v>
      </c>
      <c r="AA156" s="16">
        <f>SUM(Y156:Z156)</f>
        <v>432375328</v>
      </c>
      <c r="AB156" s="19">
        <v>0</v>
      </c>
      <c r="AC156" s="374">
        <v>42428165</v>
      </c>
      <c r="AD156" s="18">
        <f>SUM(AB156:AC156)</f>
        <v>42428165</v>
      </c>
      <c r="AE156" s="19">
        <v>0</v>
      </c>
      <c r="AF156" s="374">
        <v>4959801</v>
      </c>
      <c r="AG156" s="16">
        <f>SUM(AE156:AF156)</f>
        <v>4959801</v>
      </c>
      <c r="AH156" s="19">
        <f>X156-AA156</f>
        <v>348155278</v>
      </c>
      <c r="AI156" s="15">
        <f>X156-AD156</f>
        <v>738102441</v>
      </c>
      <c r="AJ156" s="16">
        <f>X156-AG156</f>
        <v>775570805</v>
      </c>
      <c r="AK156" s="9"/>
      <c r="AL156" s="372">
        <v>0</v>
      </c>
      <c r="AM156" s="375">
        <v>0</v>
      </c>
      <c r="AN156" s="9"/>
    </row>
    <row r="157" spans="1:40" s="382" customFormat="1" ht="24.95" customHeight="1">
      <c r="A157" s="748"/>
      <c r="B157" s="660"/>
      <c r="N157" s="9"/>
      <c r="P157" s="9"/>
      <c r="Q157" s="9"/>
      <c r="R157" s="9"/>
      <c r="S157" s="705">
        <v>2020202</v>
      </c>
      <c r="T157" s="681" t="s">
        <v>80</v>
      </c>
      <c r="U157" s="27">
        <f>SUM(U158:U167)</f>
        <v>0</v>
      </c>
      <c r="V157" s="27">
        <f t="shared" ref="V157:AJ157" si="189">SUM(V158:V167)</f>
        <v>0</v>
      </c>
      <c r="W157" s="27">
        <f t="shared" si="189"/>
        <v>0</v>
      </c>
      <c r="X157" s="16">
        <f t="shared" si="189"/>
        <v>0</v>
      </c>
      <c r="Y157" s="29">
        <f t="shared" si="189"/>
        <v>0</v>
      </c>
      <c r="Z157" s="27">
        <f t="shared" si="189"/>
        <v>0</v>
      </c>
      <c r="AA157" s="171">
        <f t="shared" si="189"/>
        <v>0</v>
      </c>
      <c r="AB157" s="190">
        <f t="shared" si="189"/>
        <v>0</v>
      </c>
      <c r="AC157" s="206">
        <f t="shared" si="189"/>
        <v>0</v>
      </c>
      <c r="AD157" s="18">
        <f t="shared" si="189"/>
        <v>0</v>
      </c>
      <c r="AE157" s="29">
        <f t="shared" si="189"/>
        <v>0</v>
      </c>
      <c r="AF157" s="27">
        <f t="shared" si="189"/>
        <v>0</v>
      </c>
      <c r="AG157" s="171">
        <f t="shared" si="189"/>
        <v>0</v>
      </c>
      <c r="AH157" s="29">
        <f t="shared" si="189"/>
        <v>0</v>
      </c>
      <c r="AI157" s="27">
        <f t="shared" si="189"/>
        <v>0</v>
      </c>
      <c r="AJ157" s="171">
        <f t="shared" si="189"/>
        <v>0</v>
      </c>
      <c r="AK157" s="10"/>
      <c r="AL157" s="29">
        <f>SUM(AL158:AL167)</f>
        <v>0</v>
      </c>
      <c r="AM157" s="26">
        <f>SUM(AM158:AM167)</f>
        <v>0</v>
      </c>
      <c r="AN157" s="9"/>
    </row>
    <row r="158" spans="1:40" s="382" customFormat="1" ht="24.95" customHeight="1">
      <c r="A158" s="748"/>
      <c r="B158" s="660"/>
      <c r="N158" s="9"/>
      <c r="P158" s="9"/>
      <c r="Q158" s="9"/>
      <c r="R158" s="9"/>
      <c r="S158" s="706" t="s">
        <v>289</v>
      </c>
      <c r="T158" s="682" t="s">
        <v>258</v>
      </c>
      <c r="U158" s="398">
        <v>0</v>
      </c>
      <c r="V158" s="15">
        <f t="shared" ref="V158:V168" si="190">AL158</f>
        <v>0</v>
      </c>
      <c r="W158" s="15">
        <f t="shared" ref="W158:W168" si="191">AM158</f>
        <v>0</v>
      </c>
      <c r="X158" s="16">
        <f t="shared" ref="X158:X168" si="192">SUM(U158:W158)</f>
        <v>0</v>
      </c>
      <c r="Y158" s="19">
        <v>0</v>
      </c>
      <c r="Z158" s="374">
        <v>0</v>
      </c>
      <c r="AA158" s="16">
        <f t="shared" ref="AA158:AA168" si="193">SUM(Y158:Z158)</f>
        <v>0</v>
      </c>
      <c r="AB158" s="19">
        <v>0</v>
      </c>
      <c r="AC158" s="374">
        <v>0</v>
      </c>
      <c r="AD158" s="18">
        <f t="shared" ref="AD158:AD168" si="194">SUM(AB158:AC158)</f>
        <v>0</v>
      </c>
      <c r="AE158" s="19">
        <v>0</v>
      </c>
      <c r="AF158" s="374">
        <v>0</v>
      </c>
      <c r="AG158" s="16">
        <f t="shared" ref="AG158:AG168" si="195">SUM(AE158:AF158)</f>
        <v>0</v>
      </c>
      <c r="AH158" s="19">
        <f t="shared" ref="AH158:AH168" si="196">X158-AA158</f>
        <v>0</v>
      </c>
      <c r="AI158" s="15">
        <f t="shared" ref="AI158:AI168" si="197">X158-AD158</f>
        <v>0</v>
      </c>
      <c r="AJ158" s="16">
        <f t="shared" ref="AJ158:AJ168" si="198">X158-AG158</f>
        <v>0</v>
      </c>
      <c r="AK158" s="9"/>
      <c r="AL158" s="372">
        <v>0</v>
      </c>
      <c r="AM158" s="375">
        <v>0</v>
      </c>
      <c r="AN158" s="9"/>
    </row>
    <row r="159" spans="1:40" s="382" customFormat="1" ht="24.95" customHeight="1">
      <c r="A159" s="748"/>
      <c r="B159" s="660"/>
      <c r="N159" s="9"/>
      <c r="P159" s="9"/>
      <c r="Q159" s="9"/>
      <c r="R159" s="9"/>
      <c r="S159" s="706" t="s">
        <v>290</v>
      </c>
      <c r="T159" s="682" t="s">
        <v>260</v>
      </c>
      <c r="U159" s="398">
        <v>0</v>
      </c>
      <c r="V159" s="15">
        <f t="shared" si="190"/>
        <v>0</v>
      </c>
      <c r="W159" s="15">
        <f t="shared" si="191"/>
        <v>0</v>
      </c>
      <c r="X159" s="16">
        <f t="shared" si="192"/>
        <v>0</v>
      </c>
      <c r="Y159" s="19">
        <v>0</v>
      </c>
      <c r="Z159" s="374">
        <v>0</v>
      </c>
      <c r="AA159" s="16">
        <f t="shared" si="193"/>
        <v>0</v>
      </c>
      <c r="AB159" s="19">
        <v>0</v>
      </c>
      <c r="AC159" s="374">
        <v>0</v>
      </c>
      <c r="AD159" s="18">
        <f t="shared" si="194"/>
        <v>0</v>
      </c>
      <c r="AE159" s="19">
        <v>0</v>
      </c>
      <c r="AF159" s="374">
        <v>0</v>
      </c>
      <c r="AG159" s="16">
        <f t="shared" si="195"/>
        <v>0</v>
      </c>
      <c r="AH159" s="19">
        <f t="shared" si="196"/>
        <v>0</v>
      </c>
      <c r="AI159" s="15">
        <f t="shared" si="197"/>
        <v>0</v>
      </c>
      <c r="AJ159" s="16">
        <f t="shared" si="198"/>
        <v>0</v>
      </c>
      <c r="AK159" s="9"/>
      <c r="AL159" s="372">
        <v>0</v>
      </c>
      <c r="AM159" s="375">
        <v>0</v>
      </c>
      <c r="AN159" s="9"/>
    </row>
    <row r="160" spans="1:40" s="382" customFormat="1" ht="24.95" customHeight="1">
      <c r="A160" s="748"/>
      <c r="B160" s="660"/>
      <c r="N160" s="9"/>
      <c r="P160" s="9"/>
      <c r="Q160" s="9"/>
      <c r="R160" s="9"/>
      <c r="S160" s="706" t="s">
        <v>291</v>
      </c>
      <c r="T160" s="682" t="s">
        <v>459</v>
      </c>
      <c r="U160" s="398">
        <v>0</v>
      </c>
      <c r="V160" s="15">
        <f t="shared" si="190"/>
        <v>0</v>
      </c>
      <c r="W160" s="15">
        <f t="shared" si="191"/>
        <v>0</v>
      </c>
      <c r="X160" s="16">
        <f t="shared" si="192"/>
        <v>0</v>
      </c>
      <c r="Y160" s="19">
        <v>0</v>
      </c>
      <c r="Z160" s="374">
        <v>0</v>
      </c>
      <c r="AA160" s="16">
        <f t="shared" si="193"/>
        <v>0</v>
      </c>
      <c r="AB160" s="19">
        <v>0</v>
      </c>
      <c r="AC160" s="374">
        <v>0</v>
      </c>
      <c r="AD160" s="18">
        <f t="shared" si="194"/>
        <v>0</v>
      </c>
      <c r="AE160" s="19">
        <v>0</v>
      </c>
      <c r="AF160" s="374">
        <v>0</v>
      </c>
      <c r="AG160" s="16">
        <f t="shared" si="195"/>
        <v>0</v>
      </c>
      <c r="AH160" s="19">
        <f t="shared" si="196"/>
        <v>0</v>
      </c>
      <c r="AI160" s="15">
        <f t="shared" si="197"/>
        <v>0</v>
      </c>
      <c r="AJ160" s="16">
        <f t="shared" si="198"/>
        <v>0</v>
      </c>
      <c r="AK160" s="9"/>
      <c r="AL160" s="372">
        <v>0</v>
      </c>
      <c r="AM160" s="375">
        <v>0</v>
      </c>
      <c r="AN160" s="9"/>
    </row>
    <row r="161" spans="1:40" s="382" customFormat="1" ht="24.95" customHeight="1">
      <c r="A161" s="748"/>
      <c r="B161" s="660"/>
      <c r="N161" s="9"/>
      <c r="P161" s="9"/>
      <c r="Q161" s="9"/>
      <c r="R161" s="9"/>
      <c r="S161" s="706" t="s">
        <v>292</v>
      </c>
      <c r="T161" s="682" t="s">
        <v>264</v>
      </c>
      <c r="U161" s="398">
        <v>0</v>
      </c>
      <c r="V161" s="15">
        <f t="shared" si="190"/>
        <v>0</v>
      </c>
      <c r="W161" s="15">
        <f t="shared" si="191"/>
        <v>0</v>
      </c>
      <c r="X161" s="16">
        <f t="shared" si="192"/>
        <v>0</v>
      </c>
      <c r="Y161" s="19">
        <v>0</v>
      </c>
      <c r="Z161" s="374">
        <v>0</v>
      </c>
      <c r="AA161" s="16">
        <f t="shared" si="193"/>
        <v>0</v>
      </c>
      <c r="AB161" s="19">
        <v>0</v>
      </c>
      <c r="AC161" s="374">
        <v>0</v>
      </c>
      <c r="AD161" s="18">
        <f t="shared" si="194"/>
        <v>0</v>
      </c>
      <c r="AE161" s="19">
        <v>0</v>
      </c>
      <c r="AF161" s="374">
        <v>0</v>
      </c>
      <c r="AG161" s="16">
        <f t="shared" si="195"/>
        <v>0</v>
      </c>
      <c r="AH161" s="19">
        <f t="shared" si="196"/>
        <v>0</v>
      </c>
      <c r="AI161" s="15">
        <f t="shared" si="197"/>
        <v>0</v>
      </c>
      <c r="AJ161" s="16">
        <f t="shared" si="198"/>
        <v>0</v>
      </c>
      <c r="AK161" s="9"/>
      <c r="AL161" s="372">
        <v>0</v>
      </c>
      <c r="AM161" s="375">
        <v>0</v>
      </c>
      <c r="AN161" s="9"/>
    </row>
    <row r="162" spans="1:40" s="382" customFormat="1" ht="24.95" customHeight="1">
      <c r="A162" s="748"/>
      <c r="B162" s="660"/>
      <c r="N162" s="9"/>
      <c r="P162" s="9"/>
      <c r="Q162" s="9"/>
      <c r="R162" s="9"/>
      <c r="S162" s="706" t="s">
        <v>293</v>
      </c>
      <c r="T162" s="682" t="s">
        <v>266</v>
      </c>
      <c r="U162" s="398">
        <v>0</v>
      </c>
      <c r="V162" s="15">
        <f t="shared" si="190"/>
        <v>0</v>
      </c>
      <c r="W162" s="15">
        <f t="shared" si="191"/>
        <v>0</v>
      </c>
      <c r="X162" s="16">
        <f t="shared" si="192"/>
        <v>0</v>
      </c>
      <c r="Y162" s="19">
        <v>0</v>
      </c>
      <c r="Z162" s="374">
        <v>0</v>
      </c>
      <c r="AA162" s="16">
        <f t="shared" si="193"/>
        <v>0</v>
      </c>
      <c r="AB162" s="19">
        <v>0</v>
      </c>
      <c r="AC162" s="374">
        <v>0</v>
      </c>
      <c r="AD162" s="18">
        <f t="shared" si="194"/>
        <v>0</v>
      </c>
      <c r="AE162" s="19">
        <v>0</v>
      </c>
      <c r="AF162" s="374">
        <v>0</v>
      </c>
      <c r="AG162" s="16">
        <f t="shared" si="195"/>
        <v>0</v>
      </c>
      <c r="AH162" s="19">
        <f t="shared" si="196"/>
        <v>0</v>
      </c>
      <c r="AI162" s="15">
        <f t="shared" si="197"/>
        <v>0</v>
      </c>
      <c r="AJ162" s="16">
        <f t="shared" si="198"/>
        <v>0</v>
      </c>
      <c r="AK162" s="9"/>
      <c r="AL162" s="372">
        <v>0</v>
      </c>
      <c r="AM162" s="375">
        <v>0</v>
      </c>
      <c r="AN162" s="9"/>
    </row>
    <row r="163" spans="1:40" s="382" customFormat="1" ht="24.95" customHeight="1">
      <c r="A163" s="748"/>
      <c r="B163" s="660"/>
      <c r="N163" s="9"/>
      <c r="P163" s="9"/>
      <c r="Q163" s="9"/>
      <c r="R163" s="9"/>
      <c r="S163" s="706" t="s">
        <v>294</v>
      </c>
      <c r="T163" s="682" t="s">
        <v>295</v>
      </c>
      <c r="U163" s="398">
        <v>0</v>
      </c>
      <c r="V163" s="15">
        <f t="shared" si="190"/>
        <v>0</v>
      </c>
      <c r="W163" s="15">
        <f t="shared" si="191"/>
        <v>0</v>
      </c>
      <c r="X163" s="16">
        <f t="shared" si="192"/>
        <v>0</v>
      </c>
      <c r="Y163" s="19">
        <v>0</v>
      </c>
      <c r="Z163" s="374">
        <v>0</v>
      </c>
      <c r="AA163" s="16">
        <f t="shared" si="193"/>
        <v>0</v>
      </c>
      <c r="AB163" s="19">
        <v>0</v>
      </c>
      <c r="AC163" s="374">
        <v>0</v>
      </c>
      <c r="AD163" s="18">
        <f t="shared" si="194"/>
        <v>0</v>
      </c>
      <c r="AE163" s="19">
        <v>0</v>
      </c>
      <c r="AF163" s="374">
        <v>0</v>
      </c>
      <c r="AG163" s="16">
        <f t="shared" si="195"/>
        <v>0</v>
      </c>
      <c r="AH163" s="19">
        <f t="shared" si="196"/>
        <v>0</v>
      </c>
      <c r="AI163" s="15">
        <f t="shared" si="197"/>
        <v>0</v>
      </c>
      <c r="AJ163" s="16">
        <f t="shared" si="198"/>
        <v>0</v>
      </c>
      <c r="AK163" s="9"/>
      <c r="AL163" s="372">
        <v>0</v>
      </c>
      <c r="AM163" s="375">
        <v>0</v>
      </c>
      <c r="AN163" s="9"/>
    </row>
    <row r="164" spans="1:40" s="382" customFormat="1" ht="24.95" customHeight="1">
      <c r="A164" s="748"/>
      <c r="B164" s="660"/>
      <c r="N164" s="9"/>
      <c r="P164" s="9"/>
      <c r="Q164" s="9"/>
      <c r="R164" s="9"/>
      <c r="S164" s="706" t="s">
        <v>296</v>
      </c>
      <c r="T164" s="682" t="s">
        <v>297</v>
      </c>
      <c r="U164" s="398">
        <v>0</v>
      </c>
      <c r="V164" s="15">
        <f t="shared" si="190"/>
        <v>0</v>
      </c>
      <c r="W164" s="15">
        <f t="shared" si="191"/>
        <v>0</v>
      </c>
      <c r="X164" s="16">
        <f t="shared" si="192"/>
        <v>0</v>
      </c>
      <c r="Y164" s="19">
        <v>0</v>
      </c>
      <c r="Z164" s="374">
        <v>0</v>
      </c>
      <c r="AA164" s="16">
        <f t="shared" si="193"/>
        <v>0</v>
      </c>
      <c r="AB164" s="19">
        <v>0</v>
      </c>
      <c r="AC164" s="374">
        <v>0</v>
      </c>
      <c r="AD164" s="18">
        <f t="shared" si="194"/>
        <v>0</v>
      </c>
      <c r="AE164" s="19">
        <v>0</v>
      </c>
      <c r="AF164" s="374">
        <v>0</v>
      </c>
      <c r="AG164" s="16">
        <f t="shared" si="195"/>
        <v>0</v>
      </c>
      <c r="AH164" s="19">
        <f t="shared" si="196"/>
        <v>0</v>
      </c>
      <c r="AI164" s="15">
        <f t="shared" si="197"/>
        <v>0</v>
      </c>
      <c r="AJ164" s="16">
        <f t="shared" si="198"/>
        <v>0</v>
      </c>
      <c r="AK164" s="9"/>
      <c r="AL164" s="372">
        <v>0</v>
      </c>
      <c r="AM164" s="375">
        <v>0</v>
      </c>
      <c r="AN164" s="9"/>
    </row>
    <row r="165" spans="1:40" s="382" customFormat="1" ht="24.95" customHeight="1">
      <c r="A165" s="748"/>
      <c r="B165" s="660"/>
      <c r="N165" s="9"/>
      <c r="P165" s="9"/>
      <c r="Q165" s="9"/>
      <c r="R165" s="9"/>
      <c r="S165" s="706" t="s">
        <v>298</v>
      </c>
      <c r="T165" s="682" t="s">
        <v>299</v>
      </c>
      <c r="U165" s="398">
        <v>0</v>
      </c>
      <c r="V165" s="15">
        <f t="shared" si="190"/>
        <v>0</v>
      </c>
      <c r="W165" s="15">
        <f t="shared" si="191"/>
        <v>0</v>
      </c>
      <c r="X165" s="16">
        <f t="shared" si="192"/>
        <v>0</v>
      </c>
      <c r="Y165" s="19">
        <v>0</v>
      </c>
      <c r="Z165" s="374">
        <v>0</v>
      </c>
      <c r="AA165" s="16">
        <f t="shared" si="193"/>
        <v>0</v>
      </c>
      <c r="AB165" s="19">
        <v>0</v>
      </c>
      <c r="AC165" s="374">
        <v>0</v>
      </c>
      <c r="AD165" s="18">
        <f t="shared" si="194"/>
        <v>0</v>
      </c>
      <c r="AE165" s="19">
        <v>0</v>
      </c>
      <c r="AF165" s="374">
        <v>0</v>
      </c>
      <c r="AG165" s="16">
        <f t="shared" si="195"/>
        <v>0</v>
      </c>
      <c r="AH165" s="19">
        <f t="shared" si="196"/>
        <v>0</v>
      </c>
      <c r="AI165" s="15">
        <f t="shared" si="197"/>
        <v>0</v>
      </c>
      <c r="AJ165" s="16">
        <f t="shared" si="198"/>
        <v>0</v>
      </c>
      <c r="AK165" s="9"/>
      <c r="AL165" s="372">
        <v>0</v>
      </c>
      <c r="AM165" s="375">
        <v>0</v>
      </c>
      <c r="AN165" s="9"/>
    </row>
    <row r="166" spans="1:40" s="382" customFormat="1" ht="24.95" customHeight="1">
      <c r="A166" s="748"/>
      <c r="B166" s="660"/>
      <c r="N166" s="9"/>
      <c r="P166" s="9"/>
      <c r="Q166" s="9"/>
      <c r="R166" s="9"/>
      <c r="S166" s="706" t="s">
        <v>300</v>
      </c>
      <c r="T166" s="682" t="s">
        <v>268</v>
      </c>
      <c r="U166" s="398">
        <v>0</v>
      </c>
      <c r="V166" s="15">
        <f t="shared" si="190"/>
        <v>0</v>
      </c>
      <c r="W166" s="15">
        <f t="shared" si="191"/>
        <v>0</v>
      </c>
      <c r="X166" s="16">
        <f t="shared" si="192"/>
        <v>0</v>
      </c>
      <c r="Y166" s="19">
        <v>0</v>
      </c>
      <c r="Z166" s="374">
        <v>0</v>
      </c>
      <c r="AA166" s="16">
        <f t="shared" si="193"/>
        <v>0</v>
      </c>
      <c r="AB166" s="19">
        <v>0</v>
      </c>
      <c r="AC166" s="374">
        <v>0</v>
      </c>
      <c r="AD166" s="18">
        <f t="shared" si="194"/>
        <v>0</v>
      </c>
      <c r="AE166" s="19">
        <v>0</v>
      </c>
      <c r="AF166" s="374">
        <v>0</v>
      </c>
      <c r="AG166" s="16">
        <f t="shared" si="195"/>
        <v>0</v>
      </c>
      <c r="AH166" s="19">
        <f t="shared" si="196"/>
        <v>0</v>
      </c>
      <c r="AI166" s="15">
        <f t="shared" si="197"/>
        <v>0</v>
      </c>
      <c r="AJ166" s="16">
        <f t="shared" si="198"/>
        <v>0</v>
      </c>
      <c r="AK166" s="9"/>
      <c r="AL166" s="372">
        <v>0</v>
      </c>
      <c r="AM166" s="375">
        <v>0</v>
      </c>
      <c r="AN166" s="9"/>
    </row>
    <row r="167" spans="1:40" s="382" customFormat="1" ht="24.95" customHeight="1">
      <c r="A167" s="748"/>
      <c r="B167" s="660"/>
      <c r="N167" s="9"/>
      <c r="P167" s="9"/>
      <c r="Q167" s="9"/>
      <c r="R167" s="9"/>
      <c r="S167" s="706" t="s">
        <v>479</v>
      </c>
      <c r="T167" s="682" t="s">
        <v>480</v>
      </c>
      <c r="U167" s="398">
        <v>0</v>
      </c>
      <c r="V167" s="15">
        <f t="shared" si="190"/>
        <v>0</v>
      </c>
      <c r="W167" s="15">
        <f t="shared" si="191"/>
        <v>0</v>
      </c>
      <c r="X167" s="16">
        <f t="shared" si="192"/>
        <v>0</v>
      </c>
      <c r="Y167" s="19"/>
      <c r="Z167" s="374">
        <v>0</v>
      </c>
      <c r="AA167" s="16">
        <f t="shared" si="193"/>
        <v>0</v>
      </c>
      <c r="AB167" s="19">
        <v>0</v>
      </c>
      <c r="AC167" s="374">
        <v>0</v>
      </c>
      <c r="AD167" s="18">
        <f t="shared" si="194"/>
        <v>0</v>
      </c>
      <c r="AE167" s="19">
        <v>0</v>
      </c>
      <c r="AF167" s="374">
        <v>0</v>
      </c>
      <c r="AG167" s="16">
        <f t="shared" si="195"/>
        <v>0</v>
      </c>
      <c r="AH167" s="19">
        <f t="shared" si="196"/>
        <v>0</v>
      </c>
      <c r="AI167" s="15">
        <f t="shared" si="197"/>
        <v>0</v>
      </c>
      <c r="AJ167" s="16">
        <f t="shared" si="198"/>
        <v>0</v>
      </c>
      <c r="AK167" s="9"/>
      <c r="AL167" s="372">
        <v>0</v>
      </c>
      <c r="AM167" s="375">
        <v>0</v>
      </c>
      <c r="AN167" s="9"/>
    </row>
    <row r="168" spans="1:40" s="382" customFormat="1" ht="24.95" customHeight="1">
      <c r="A168" s="748"/>
      <c r="B168" s="660"/>
      <c r="N168" s="9"/>
      <c r="P168" s="9"/>
      <c r="Q168" s="9"/>
      <c r="R168" s="9"/>
      <c r="S168" s="705">
        <v>2020299</v>
      </c>
      <c r="T168" s="681" t="s">
        <v>129</v>
      </c>
      <c r="U168" s="398">
        <v>0</v>
      </c>
      <c r="V168" s="15">
        <f t="shared" si="190"/>
        <v>0</v>
      </c>
      <c r="W168" s="15">
        <f t="shared" si="191"/>
        <v>0</v>
      </c>
      <c r="X168" s="16">
        <f t="shared" si="192"/>
        <v>0</v>
      </c>
      <c r="Y168" s="19">
        <v>0</v>
      </c>
      <c r="Z168" s="374">
        <v>0</v>
      </c>
      <c r="AA168" s="16">
        <f t="shared" si="193"/>
        <v>0</v>
      </c>
      <c r="AB168" s="19">
        <v>0</v>
      </c>
      <c r="AC168" s="374">
        <v>0</v>
      </c>
      <c r="AD168" s="18">
        <f t="shared" si="194"/>
        <v>0</v>
      </c>
      <c r="AE168" s="19">
        <v>0</v>
      </c>
      <c r="AF168" s="374">
        <v>0</v>
      </c>
      <c r="AG168" s="16">
        <f t="shared" si="195"/>
        <v>0</v>
      </c>
      <c r="AH168" s="19">
        <f t="shared" si="196"/>
        <v>0</v>
      </c>
      <c r="AI168" s="15">
        <f t="shared" si="197"/>
        <v>0</v>
      </c>
      <c r="AJ168" s="16">
        <f t="shared" si="198"/>
        <v>0</v>
      </c>
      <c r="AK168" s="9"/>
      <c r="AL168" s="372">
        <v>0</v>
      </c>
      <c r="AM168" s="375">
        <v>0</v>
      </c>
      <c r="AN168" s="9"/>
    </row>
    <row r="169" spans="1:40" s="382" customFormat="1" ht="24.95" customHeight="1">
      <c r="A169" s="748"/>
      <c r="B169" s="660"/>
      <c r="N169" s="9"/>
      <c r="P169" s="9"/>
      <c r="Q169" s="9"/>
      <c r="R169" s="9"/>
      <c r="S169" s="366"/>
      <c r="T169" s="677"/>
      <c r="U169" s="161"/>
      <c r="V169" s="161"/>
      <c r="W169" s="161"/>
      <c r="X169" s="166"/>
      <c r="Y169" s="367"/>
      <c r="Z169" s="161"/>
      <c r="AA169" s="166"/>
      <c r="AB169" s="367"/>
      <c r="AC169" s="161"/>
      <c r="AD169" s="161"/>
      <c r="AE169" s="367"/>
      <c r="AF169" s="161">
        <v>0</v>
      </c>
      <c r="AG169" s="166"/>
      <c r="AH169" s="367"/>
      <c r="AI169" s="161"/>
      <c r="AJ169" s="166"/>
      <c r="AK169" s="9"/>
      <c r="AL169" s="172"/>
      <c r="AM169" s="173"/>
      <c r="AN169" s="9"/>
    </row>
    <row r="170" spans="1:40" s="382" customFormat="1" ht="24.95" customHeight="1">
      <c r="A170" s="748"/>
      <c r="B170" s="660"/>
      <c r="N170" s="9"/>
      <c r="P170" s="9"/>
      <c r="Q170" s="9"/>
      <c r="R170" s="9"/>
      <c r="S170" s="703">
        <v>3000000</v>
      </c>
      <c r="T170" s="685" t="s">
        <v>301</v>
      </c>
      <c r="U170" s="470">
        <f t="shared" ref="U170:AJ170" si="199">U172+U176+U185</f>
        <v>139736565</v>
      </c>
      <c r="V170" s="471">
        <f t="shared" si="199"/>
        <v>0</v>
      </c>
      <c r="W170" s="471">
        <f t="shared" si="199"/>
        <v>0</v>
      </c>
      <c r="X170" s="380">
        <f t="shared" si="199"/>
        <v>139736565</v>
      </c>
      <c r="Y170" s="379">
        <f t="shared" si="199"/>
        <v>0</v>
      </c>
      <c r="Z170" s="471">
        <f t="shared" si="199"/>
        <v>13194388</v>
      </c>
      <c r="AA170" s="380">
        <f t="shared" si="199"/>
        <v>13194388</v>
      </c>
      <c r="AB170" s="379">
        <f t="shared" si="199"/>
        <v>0</v>
      </c>
      <c r="AC170" s="471">
        <f t="shared" si="199"/>
        <v>13194388</v>
      </c>
      <c r="AD170" s="472">
        <f t="shared" si="199"/>
        <v>13194388</v>
      </c>
      <c r="AE170" s="379">
        <f t="shared" si="199"/>
        <v>0</v>
      </c>
      <c r="AF170" s="471">
        <f t="shared" si="199"/>
        <v>13194388</v>
      </c>
      <c r="AG170" s="380">
        <f t="shared" si="199"/>
        <v>13194388</v>
      </c>
      <c r="AH170" s="379">
        <f t="shared" si="199"/>
        <v>126542177</v>
      </c>
      <c r="AI170" s="471">
        <f t="shared" si="199"/>
        <v>126542177</v>
      </c>
      <c r="AJ170" s="380">
        <f t="shared" si="199"/>
        <v>126542177</v>
      </c>
      <c r="AK170" s="9"/>
      <c r="AL170" s="128">
        <f>AL172+AL176+AL185</f>
        <v>0</v>
      </c>
      <c r="AM170" s="130">
        <f>AM172+AM176+AM185</f>
        <v>0</v>
      </c>
      <c r="AN170" s="9"/>
    </row>
    <row r="171" spans="1:40" s="382" customFormat="1" ht="24.95" customHeight="1">
      <c r="A171" s="748"/>
      <c r="B171" s="660"/>
      <c r="N171" s="9"/>
      <c r="P171" s="9"/>
      <c r="Q171" s="9"/>
      <c r="R171" s="9"/>
      <c r="S171" s="366"/>
      <c r="T171" s="677"/>
      <c r="U171" s="161"/>
      <c r="V171" s="161"/>
      <c r="W171" s="161"/>
      <c r="X171" s="166"/>
      <c r="Y171" s="367"/>
      <c r="Z171" s="161"/>
      <c r="AA171" s="166"/>
      <c r="AB171" s="367"/>
      <c r="AC171" s="161"/>
      <c r="AD171" s="161"/>
      <c r="AE171" s="367"/>
      <c r="AF171" s="161"/>
      <c r="AG171" s="166"/>
      <c r="AH171" s="367"/>
      <c r="AI171" s="161"/>
      <c r="AJ171" s="166"/>
      <c r="AK171" s="9"/>
      <c r="AL171" s="172"/>
      <c r="AM171" s="173"/>
      <c r="AN171" s="9"/>
    </row>
    <row r="172" spans="1:40" s="382" customFormat="1" ht="24.95" customHeight="1">
      <c r="A172" s="748"/>
      <c r="B172" s="660"/>
      <c r="N172" s="9"/>
      <c r="P172" s="9"/>
      <c r="Q172" s="9"/>
      <c r="R172" s="9"/>
      <c r="S172" s="704">
        <v>3100000</v>
      </c>
      <c r="T172" s="680" t="s">
        <v>302</v>
      </c>
      <c r="U172" s="132">
        <f t="shared" ref="U172:AJ172" si="200">SUM(U173:U174)</f>
        <v>39651901</v>
      </c>
      <c r="V172" s="122">
        <f t="shared" si="200"/>
        <v>0</v>
      </c>
      <c r="W172" s="122">
        <f t="shared" si="200"/>
        <v>0</v>
      </c>
      <c r="X172" s="130">
        <f t="shared" si="200"/>
        <v>39651901</v>
      </c>
      <c r="Y172" s="128">
        <f t="shared" si="200"/>
        <v>0</v>
      </c>
      <c r="Z172" s="122">
        <f t="shared" si="200"/>
        <v>0</v>
      </c>
      <c r="AA172" s="130">
        <f t="shared" si="200"/>
        <v>0</v>
      </c>
      <c r="AB172" s="128">
        <f t="shared" si="200"/>
        <v>0</v>
      </c>
      <c r="AC172" s="122">
        <f t="shared" si="200"/>
        <v>0</v>
      </c>
      <c r="AD172" s="129">
        <f t="shared" si="200"/>
        <v>0</v>
      </c>
      <c r="AE172" s="128">
        <f t="shared" si="200"/>
        <v>0</v>
      </c>
      <c r="AF172" s="122">
        <f t="shared" si="200"/>
        <v>0</v>
      </c>
      <c r="AG172" s="130">
        <f t="shared" si="200"/>
        <v>0</v>
      </c>
      <c r="AH172" s="128">
        <f t="shared" si="200"/>
        <v>39651901</v>
      </c>
      <c r="AI172" s="122">
        <f t="shared" si="200"/>
        <v>39651901</v>
      </c>
      <c r="AJ172" s="130">
        <f t="shared" si="200"/>
        <v>39651901</v>
      </c>
      <c r="AK172" s="9"/>
      <c r="AL172" s="128">
        <f>SUM(AL173:AL174)</f>
        <v>0</v>
      </c>
      <c r="AM172" s="130">
        <f>SUM(AM173:AM174)</f>
        <v>0</v>
      </c>
      <c r="AN172" s="9"/>
    </row>
    <row r="173" spans="1:40" s="382" customFormat="1" ht="24.95" customHeight="1">
      <c r="A173" s="748"/>
      <c r="B173" s="660"/>
      <c r="N173" s="9"/>
      <c r="P173" s="9"/>
      <c r="Q173" s="9"/>
      <c r="R173" s="9"/>
      <c r="S173" s="705">
        <v>3100003</v>
      </c>
      <c r="T173" s="681" t="s">
        <v>303</v>
      </c>
      <c r="U173" s="398">
        <v>39651901</v>
      </c>
      <c r="V173" s="15">
        <f>AL173</f>
        <v>0</v>
      </c>
      <c r="W173" s="15">
        <f>AM173</f>
        <v>0</v>
      </c>
      <c r="X173" s="16">
        <f>SUM(U173:W173)</f>
        <v>39651901</v>
      </c>
      <c r="Y173" s="19">
        <v>0</v>
      </c>
      <c r="Z173" s="374">
        <v>0</v>
      </c>
      <c r="AA173" s="16">
        <f>SUM(Y173:Z173)</f>
        <v>0</v>
      </c>
      <c r="AB173" s="19">
        <v>0</v>
      </c>
      <c r="AC173" s="374">
        <v>0</v>
      </c>
      <c r="AD173" s="18">
        <f>SUM(AB173:AC173)</f>
        <v>0</v>
      </c>
      <c r="AE173" s="19">
        <v>0</v>
      </c>
      <c r="AF173" s="374">
        <v>0</v>
      </c>
      <c r="AG173" s="16">
        <f>SUM(AE173:AF173)</f>
        <v>0</v>
      </c>
      <c r="AH173" s="19">
        <f>X173-AA173</f>
        <v>39651901</v>
      </c>
      <c r="AI173" s="15">
        <f>X173-AD173</f>
        <v>39651901</v>
      </c>
      <c r="AJ173" s="16">
        <f>X173-AG173</f>
        <v>39651901</v>
      </c>
      <c r="AK173" s="9"/>
      <c r="AL173" s="372">
        <v>0</v>
      </c>
      <c r="AM173" s="375">
        <v>0</v>
      </c>
      <c r="AN173" s="9"/>
    </row>
    <row r="174" spans="1:40" s="382" customFormat="1" ht="24.95" customHeight="1">
      <c r="A174" s="748"/>
      <c r="B174" s="660"/>
      <c r="N174" s="9"/>
      <c r="P174" s="9"/>
      <c r="Q174" s="9"/>
      <c r="R174" s="9"/>
      <c r="S174" s="705">
        <v>3199999</v>
      </c>
      <c r="T174" s="681" t="s">
        <v>129</v>
      </c>
      <c r="U174" s="398">
        <v>0</v>
      </c>
      <c r="V174" s="15">
        <f>AL174</f>
        <v>0</v>
      </c>
      <c r="W174" s="15">
        <f>AM174</f>
        <v>0</v>
      </c>
      <c r="X174" s="16">
        <f>SUM(U174:W174)</f>
        <v>0</v>
      </c>
      <c r="Y174" s="19">
        <v>0</v>
      </c>
      <c r="Z174" s="374">
        <v>0</v>
      </c>
      <c r="AA174" s="16">
        <f>SUM(Y174:Z174)</f>
        <v>0</v>
      </c>
      <c r="AB174" s="19">
        <v>0</v>
      </c>
      <c r="AC174" s="374">
        <v>0</v>
      </c>
      <c r="AD174" s="18">
        <f>SUM(AB174:AC174)</f>
        <v>0</v>
      </c>
      <c r="AE174" s="19">
        <v>0</v>
      </c>
      <c r="AF174" s="374">
        <v>0</v>
      </c>
      <c r="AG174" s="16">
        <f>SUM(AE174:AF174)</f>
        <v>0</v>
      </c>
      <c r="AH174" s="19">
        <f>X174-AA174</f>
        <v>0</v>
      </c>
      <c r="AI174" s="15">
        <f>X174-AD174</f>
        <v>0</v>
      </c>
      <c r="AJ174" s="16">
        <f>X174-AG174</f>
        <v>0</v>
      </c>
      <c r="AK174" s="9"/>
      <c r="AL174" s="372">
        <v>0</v>
      </c>
      <c r="AM174" s="375">
        <v>0</v>
      </c>
      <c r="AN174" s="9"/>
    </row>
    <row r="175" spans="1:40" s="382" customFormat="1" ht="24.95" customHeight="1">
      <c r="A175" s="748"/>
      <c r="B175" s="660"/>
      <c r="N175" s="9"/>
      <c r="P175" s="9"/>
      <c r="Q175" s="9"/>
      <c r="R175" s="9"/>
      <c r="S175" s="366"/>
      <c r="T175" s="677"/>
      <c r="U175" s="200"/>
      <c r="V175" s="161"/>
      <c r="W175" s="161"/>
      <c r="X175" s="166"/>
      <c r="Y175" s="367"/>
      <c r="Z175" s="200"/>
      <c r="AA175" s="166"/>
      <c r="AB175" s="367"/>
      <c r="AC175" s="200"/>
      <c r="AD175" s="161"/>
      <c r="AE175" s="367"/>
      <c r="AF175" s="200"/>
      <c r="AG175" s="166"/>
      <c r="AH175" s="367"/>
      <c r="AI175" s="161"/>
      <c r="AJ175" s="166"/>
      <c r="AK175" s="10"/>
      <c r="AL175" s="172"/>
      <c r="AM175" s="173"/>
      <c r="AN175" s="9"/>
    </row>
    <row r="176" spans="1:40" s="382" customFormat="1" ht="24.95" customHeight="1">
      <c r="A176" s="748"/>
      <c r="B176" s="660"/>
      <c r="N176" s="9"/>
      <c r="P176" s="9"/>
      <c r="Q176" s="9"/>
      <c r="R176" s="9"/>
      <c r="S176" s="704">
        <v>320000</v>
      </c>
      <c r="T176" s="680" t="s">
        <v>304</v>
      </c>
      <c r="U176" s="132">
        <f t="shared" ref="U176:AJ176" si="201">SUM(U177:U183)</f>
        <v>50084664</v>
      </c>
      <c r="V176" s="122">
        <f t="shared" si="201"/>
        <v>0</v>
      </c>
      <c r="W176" s="122">
        <f t="shared" si="201"/>
        <v>0</v>
      </c>
      <c r="X176" s="130">
        <f t="shared" si="201"/>
        <v>50084664</v>
      </c>
      <c r="Y176" s="128">
        <f t="shared" si="201"/>
        <v>0</v>
      </c>
      <c r="Z176" s="122">
        <f t="shared" si="201"/>
        <v>13194388</v>
      </c>
      <c r="AA176" s="130">
        <f t="shared" si="201"/>
        <v>13194388</v>
      </c>
      <c r="AB176" s="128">
        <f t="shared" si="201"/>
        <v>0</v>
      </c>
      <c r="AC176" s="122">
        <f t="shared" si="201"/>
        <v>13194388</v>
      </c>
      <c r="AD176" s="129">
        <f t="shared" si="201"/>
        <v>13194388</v>
      </c>
      <c r="AE176" s="128">
        <f t="shared" si="201"/>
        <v>0</v>
      </c>
      <c r="AF176" s="122">
        <f t="shared" si="201"/>
        <v>13194388</v>
      </c>
      <c r="AG176" s="130">
        <f t="shared" si="201"/>
        <v>13194388</v>
      </c>
      <c r="AH176" s="128">
        <f t="shared" si="201"/>
        <v>36890276</v>
      </c>
      <c r="AI176" s="122">
        <f t="shared" si="201"/>
        <v>36890276</v>
      </c>
      <c r="AJ176" s="130">
        <f t="shared" si="201"/>
        <v>36890276</v>
      </c>
      <c r="AK176" s="9"/>
      <c r="AL176" s="128">
        <f>SUM(AL177:AL183)</f>
        <v>0</v>
      </c>
      <c r="AM176" s="130">
        <f>SUM(AM177:AM183)</f>
        <v>0</v>
      </c>
      <c r="AN176" s="9"/>
    </row>
    <row r="177" spans="1:40" s="382" customFormat="1" ht="24.95" customHeight="1">
      <c r="A177" s="748"/>
      <c r="B177" s="660"/>
      <c r="N177" s="9"/>
      <c r="P177" s="9"/>
      <c r="Q177" s="9"/>
      <c r="R177" s="9"/>
      <c r="S177" s="705">
        <v>3200100</v>
      </c>
      <c r="T177" s="681" t="s">
        <v>305</v>
      </c>
      <c r="U177" s="398">
        <v>18619412</v>
      </c>
      <c r="V177" s="15">
        <f t="shared" ref="V177:W183" si="202">AL177</f>
        <v>0</v>
      </c>
      <c r="W177" s="15">
        <f t="shared" si="202"/>
        <v>0</v>
      </c>
      <c r="X177" s="16">
        <f t="shared" ref="X177:X183" si="203">SUM(U177:W177)</f>
        <v>18619412</v>
      </c>
      <c r="Y177" s="19">
        <v>0</v>
      </c>
      <c r="Z177" s="374">
        <v>1326821</v>
      </c>
      <c r="AA177" s="16">
        <f t="shared" ref="AA177:AA183" si="204">SUM(Y177:Z177)</f>
        <v>1326821</v>
      </c>
      <c r="AB177" s="19">
        <v>0</v>
      </c>
      <c r="AC177" s="374">
        <v>1326821</v>
      </c>
      <c r="AD177" s="18">
        <f t="shared" ref="AD177:AD183" si="205">SUM(AB177:AC177)</f>
        <v>1326821</v>
      </c>
      <c r="AE177" s="19">
        <v>0</v>
      </c>
      <c r="AF177" s="374">
        <v>1326821</v>
      </c>
      <c r="AG177" s="16">
        <f t="shared" ref="AG177:AG183" si="206">SUM(AE177:AF177)</f>
        <v>1326821</v>
      </c>
      <c r="AH177" s="19">
        <f t="shared" ref="AH177:AH183" si="207">X177-AA177</f>
        <v>17292591</v>
      </c>
      <c r="AI177" s="15">
        <f t="shared" ref="AI177:AI183" si="208">X177-AD177</f>
        <v>17292591</v>
      </c>
      <c r="AJ177" s="16">
        <f t="shared" ref="AJ177:AJ183" si="209">X177-AG177</f>
        <v>17292591</v>
      </c>
      <c r="AK177" s="9"/>
      <c r="AL177" s="372">
        <v>0</v>
      </c>
      <c r="AM177" s="375">
        <v>0</v>
      </c>
      <c r="AN177" s="9"/>
    </row>
    <row r="178" spans="1:40" s="382" customFormat="1" ht="24.95" customHeight="1">
      <c r="A178" s="748"/>
      <c r="B178" s="660"/>
      <c r="N178" s="9"/>
      <c r="P178" s="9"/>
      <c r="Q178" s="9"/>
      <c r="R178" s="9"/>
      <c r="S178" s="705">
        <v>3200200</v>
      </c>
      <c r="T178" s="681" t="s">
        <v>306</v>
      </c>
      <c r="U178" s="398">
        <v>14936566</v>
      </c>
      <c r="V178" s="15">
        <f t="shared" si="202"/>
        <v>0</v>
      </c>
      <c r="W178" s="15">
        <f t="shared" si="202"/>
        <v>0</v>
      </c>
      <c r="X178" s="16">
        <f t="shared" si="203"/>
        <v>14936566</v>
      </c>
      <c r="Y178" s="19">
        <v>0</v>
      </c>
      <c r="Z178" s="374">
        <v>0</v>
      </c>
      <c r="AA178" s="16">
        <f t="shared" si="204"/>
        <v>0</v>
      </c>
      <c r="AB178" s="19">
        <v>0</v>
      </c>
      <c r="AC178" s="374">
        <v>0</v>
      </c>
      <c r="AD178" s="18">
        <f t="shared" si="205"/>
        <v>0</v>
      </c>
      <c r="AE178" s="19">
        <v>0</v>
      </c>
      <c r="AF178" s="374">
        <v>0</v>
      </c>
      <c r="AG178" s="16">
        <f t="shared" si="206"/>
        <v>0</v>
      </c>
      <c r="AH178" s="19">
        <f t="shared" si="207"/>
        <v>14936566</v>
      </c>
      <c r="AI178" s="15">
        <f t="shared" si="208"/>
        <v>14936566</v>
      </c>
      <c r="AJ178" s="16">
        <f t="shared" si="209"/>
        <v>14936566</v>
      </c>
      <c r="AK178" s="9"/>
      <c r="AL178" s="372">
        <v>0</v>
      </c>
      <c r="AM178" s="375">
        <v>0</v>
      </c>
      <c r="AN178" s="9"/>
    </row>
    <row r="179" spans="1:40" s="382" customFormat="1" ht="24.95" customHeight="1">
      <c r="A179" s="748"/>
      <c r="B179" s="660"/>
      <c r="N179" s="9"/>
      <c r="P179" s="9"/>
      <c r="Q179" s="9"/>
      <c r="R179" s="9"/>
      <c r="S179" s="705">
        <v>3200300</v>
      </c>
      <c r="T179" s="681" t="s">
        <v>307</v>
      </c>
      <c r="U179" s="398">
        <v>0</v>
      </c>
      <c r="V179" s="15">
        <f t="shared" si="202"/>
        <v>0</v>
      </c>
      <c r="W179" s="15">
        <f t="shared" si="202"/>
        <v>0</v>
      </c>
      <c r="X179" s="16">
        <f t="shared" si="203"/>
        <v>0</v>
      </c>
      <c r="Y179" s="19">
        <v>0</v>
      </c>
      <c r="Z179" s="374">
        <v>338345</v>
      </c>
      <c r="AA179" s="16">
        <f t="shared" si="204"/>
        <v>338345</v>
      </c>
      <c r="AB179" s="19">
        <v>0</v>
      </c>
      <c r="AC179" s="374">
        <v>338345</v>
      </c>
      <c r="AD179" s="18">
        <f t="shared" si="205"/>
        <v>338345</v>
      </c>
      <c r="AE179" s="19">
        <v>0</v>
      </c>
      <c r="AF179" s="374">
        <v>338345</v>
      </c>
      <c r="AG179" s="16">
        <f t="shared" si="206"/>
        <v>338345</v>
      </c>
      <c r="AH179" s="19">
        <f t="shared" si="207"/>
        <v>-338345</v>
      </c>
      <c r="AI179" s="15">
        <f t="shared" si="208"/>
        <v>-338345</v>
      </c>
      <c r="AJ179" s="16">
        <f t="shared" si="209"/>
        <v>-338345</v>
      </c>
      <c r="AK179" s="9"/>
      <c r="AL179" s="372">
        <v>0</v>
      </c>
      <c r="AM179" s="375">
        <v>0</v>
      </c>
      <c r="AN179" s="9"/>
    </row>
    <row r="180" spans="1:40" s="382" customFormat="1" ht="24.95" customHeight="1">
      <c r="A180" s="748"/>
      <c r="B180" s="660"/>
      <c r="N180" s="9"/>
      <c r="P180" s="9"/>
      <c r="Q180" s="9"/>
      <c r="R180" s="9"/>
      <c r="S180" s="705">
        <v>3200400</v>
      </c>
      <c r="T180" s="681" t="s">
        <v>308</v>
      </c>
      <c r="U180" s="398">
        <v>16528686</v>
      </c>
      <c r="V180" s="15">
        <f t="shared" si="202"/>
        <v>0</v>
      </c>
      <c r="W180" s="15">
        <f t="shared" si="202"/>
        <v>0</v>
      </c>
      <c r="X180" s="16">
        <f t="shared" si="203"/>
        <v>16528686</v>
      </c>
      <c r="Y180" s="19">
        <v>0</v>
      </c>
      <c r="Z180" s="374">
        <v>11529222</v>
      </c>
      <c r="AA180" s="16">
        <f t="shared" si="204"/>
        <v>11529222</v>
      </c>
      <c r="AB180" s="19">
        <v>0</v>
      </c>
      <c r="AC180" s="374">
        <v>11529222</v>
      </c>
      <c r="AD180" s="18">
        <f t="shared" si="205"/>
        <v>11529222</v>
      </c>
      <c r="AE180" s="19">
        <v>0</v>
      </c>
      <c r="AF180" s="374">
        <v>11529222</v>
      </c>
      <c r="AG180" s="16">
        <f t="shared" si="206"/>
        <v>11529222</v>
      </c>
      <c r="AH180" s="19">
        <f t="shared" si="207"/>
        <v>4999464</v>
      </c>
      <c r="AI180" s="15">
        <f t="shared" si="208"/>
        <v>4999464</v>
      </c>
      <c r="AJ180" s="16">
        <f t="shared" si="209"/>
        <v>4999464</v>
      </c>
      <c r="AK180" s="9"/>
      <c r="AL180" s="372">
        <v>0</v>
      </c>
      <c r="AM180" s="375">
        <v>0</v>
      </c>
      <c r="AN180" s="9"/>
    </row>
    <row r="181" spans="1:40" s="382" customFormat="1" ht="24.95" customHeight="1">
      <c r="A181" s="748"/>
      <c r="B181" s="660"/>
      <c r="N181" s="9"/>
      <c r="P181" s="9"/>
      <c r="Q181" s="9"/>
      <c r="R181" s="9"/>
      <c r="S181" s="707"/>
      <c r="T181" s="684"/>
      <c r="U181" s="398">
        <v>0</v>
      </c>
      <c r="V181" s="15">
        <f>AL181</f>
        <v>0</v>
      </c>
      <c r="W181" s="15">
        <f>AM181</f>
        <v>0</v>
      </c>
      <c r="X181" s="16">
        <f t="shared" si="203"/>
        <v>0</v>
      </c>
      <c r="Y181" s="19">
        <v>0</v>
      </c>
      <c r="Z181" s="374">
        <v>0</v>
      </c>
      <c r="AA181" s="16">
        <f t="shared" si="204"/>
        <v>0</v>
      </c>
      <c r="AB181" s="19">
        <v>0</v>
      </c>
      <c r="AC181" s="374">
        <v>0</v>
      </c>
      <c r="AD181" s="18">
        <f t="shared" si="205"/>
        <v>0</v>
      </c>
      <c r="AE181" s="19">
        <v>0</v>
      </c>
      <c r="AF181" s="374">
        <v>0</v>
      </c>
      <c r="AG181" s="16">
        <f t="shared" si="206"/>
        <v>0</v>
      </c>
      <c r="AH181" s="19">
        <f t="shared" si="207"/>
        <v>0</v>
      </c>
      <c r="AI181" s="15">
        <f t="shared" si="208"/>
        <v>0</v>
      </c>
      <c r="AJ181" s="16">
        <f t="shared" si="209"/>
        <v>0</v>
      </c>
      <c r="AK181" s="9"/>
      <c r="AL181" s="372">
        <v>0</v>
      </c>
      <c r="AM181" s="375">
        <v>0</v>
      </c>
      <c r="AN181" s="9"/>
    </row>
    <row r="182" spans="1:40" s="382" customFormat="1" ht="24.95" customHeight="1">
      <c r="A182" s="748"/>
      <c r="B182" s="660"/>
      <c r="N182" s="9"/>
      <c r="P182" s="9"/>
      <c r="Q182" s="9"/>
      <c r="R182" s="9"/>
      <c r="S182" s="707"/>
      <c r="T182" s="684"/>
      <c r="U182" s="398">
        <v>0</v>
      </c>
      <c r="V182" s="15">
        <f>AL182</f>
        <v>0</v>
      </c>
      <c r="W182" s="15">
        <f>AM182</f>
        <v>0</v>
      </c>
      <c r="X182" s="16">
        <f t="shared" si="203"/>
        <v>0</v>
      </c>
      <c r="Y182" s="19">
        <v>0</v>
      </c>
      <c r="Z182" s="374">
        <v>0</v>
      </c>
      <c r="AA182" s="16">
        <f t="shared" si="204"/>
        <v>0</v>
      </c>
      <c r="AB182" s="19">
        <v>0</v>
      </c>
      <c r="AC182" s="374">
        <v>0</v>
      </c>
      <c r="AD182" s="18">
        <f t="shared" si="205"/>
        <v>0</v>
      </c>
      <c r="AE182" s="19">
        <v>0</v>
      </c>
      <c r="AF182" s="374">
        <v>0</v>
      </c>
      <c r="AG182" s="16">
        <f t="shared" si="206"/>
        <v>0</v>
      </c>
      <c r="AH182" s="19">
        <f t="shared" si="207"/>
        <v>0</v>
      </c>
      <c r="AI182" s="15">
        <f t="shared" si="208"/>
        <v>0</v>
      </c>
      <c r="AJ182" s="16">
        <f t="shared" si="209"/>
        <v>0</v>
      </c>
      <c r="AK182" s="9"/>
      <c r="AL182" s="372">
        <v>0</v>
      </c>
      <c r="AM182" s="375">
        <v>0</v>
      </c>
      <c r="AN182" s="9"/>
    </row>
    <row r="183" spans="1:40" s="382" customFormat="1" ht="24.95" customHeight="1">
      <c r="A183" s="748"/>
      <c r="B183" s="660"/>
      <c r="N183" s="9"/>
      <c r="P183" s="9"/>
      <c r="Q183" s="9"/>
      <c r="R183" s="9"/>
      <c r="S183" s="705">
        <v>3299999</v>
      </c>
      <c r="T183" s="681" t="s">
        <v>129</v>
      </c>
      <c r="U183" s="398">
        <v>0</v>
      </c>
      <c r="V183" s="15">
        <f t="shared" si="202"/>
        <v>0</v>
      </c>
      <c r="W183" s="15">
        <f t="shared" si="202"/>
        <v>0</v>
      </c>
      <c r="X183" s="16">
        <f t="shared" si="203"/>
        <v>0</v>
      </c>
      <c r="Y183" s="19">
        <v>0</v>
      </c>
      <c r="Z183" s="374">
        <v>0</v>
      </c>
      <c r="AA183" s="16">
        <f t="shared" si="204"/>
        <v>0</v>
      </c>
      <c r="AB183" s="19">
        <v>0</v>
      </c>
      <c r="AC183" s="374">
        <v>0</v>
      </c>
      <c r="AD183" s="18">
        <f t="shared" si="205"/>
        <v>0</v>
      </c>
      <c r="AE183" s="19">
        <v>0</v>
      </c>
      <c r="AF183" s="374">
        <v>0</v>
      </c>
      <c r="AG183" s="16">
        <f t="shared" si="206"/>
        <v>0</v>
      </c>
      <c r="AH183" s="19">
        <f t="shared" si="207"/>
        <v>0</v>
      </c>
      <c r="AI183" s="15">
        <f t="shared" si="208"/>
        <v>0</v>
      </c>
      <c r="AJ183" s="16">
        <f t="shared" si="209"/>
        <v>0</v>
      </c>
      <c r="AK183" s="9"/>
      <c r="AL183" s="372">
        <v>0</v>
      </c>
      <c r="AM183" s="375">
        <v>0</v>
      </c>
      <c r="AN183" s="9"/>
    </row>
    <row r="184" spans="1:40" s="382" customFormat="1" ht="24.95" customHeight="1">
      <c r="A184" s="748"/>
      <c r="B184" s="660"/>
      <c r="N184" s="9"/>
      <c r="P184" s="9"/>
      <c r="Q184" s="9"/>
      <c r="R184" s="9"/>
      <c r="S184" s="366"/>
      <c r="T184" s="677"/>
      <c r="U184" s="200"/>
      <c r="V184" s="161"/>
      <c r="W184" s="161"/>
      <c r="X184" s="166"/>
      <c r="Y184" s="367"/>
      <c r="Z184" s="200"/>
      <c r="AA184" s="166"/>
      <c r="AB184" s="367"/>
      <c r="AC184" s="200"/>
      <c r="AD184" s="161"/>
      <c r="AE184" s="367"/>
      <c r="AF184" s="200"/>
      <c r="AG184" s="166"/>
      <c r="AH184" s="367"/>
      <c r="AI184" s="161"/>
      <c r="AJ184" s="166"/>
      <c r="AK184" s="9"/>
      <c r="AL184" s="172"/>
      <c r="AM184" s="173"/>
      <c r="AN184" s="9"/>
    </row>
    <row r="185" spans="1:40" s="382" customFormat="1" ht="24.95" customHeight="1">
      <c r="A185" s="748"/>
      <c r="B185" s="660"/>
      <c r="N185" s="9"/>
      <c r="P185" s="9"/>
      <c r="Q185" s="9"/>
      <c r="R185" s="9"/>
      <c r="S185" s="704">
        <v>3300000</v>
      </c>
      <c r="T185" s="680" t="s">
        <v>309</v>
      </c>
      <c r="U185" s="132">
        <f t="shared" ref="U185:AJ185" si="210">U186+U187+U191</f>
        <v>50000000</v>
      </c>
      <c r="V185" s="122">
        <f t="shared" si="210"/>
        <v>0</v>
      </c>
      <c r="W185" s="122">
        <f t="shared" si="210"/>
        <v>0</v>
      </c>
      <c r="X185" s="130">
        <f t="shared" si="210"/>
        <v>50000000</v>
      </c>
      <c r="Y185" s="128">
        <f t="shared" si="210"/>
        <v>0</v>
      </c>
      <c r="Z185" s="122">
        <f t="shared" si="210"/>
        <v>0</v>
      </c>
      <c r="AA185" s="130">
        <f t="shared" si="210"/>
        <v>0</v>
      </c>
      <c r="AB185" s="128">
        <f t="shared" si="210"/>
        <v>0</v>
      </c>
      <c r="AC185" s="122">
        <f t="shared" si="210"/>
        <v>0</v>
      </c>
      <c r="AD185" s="129">
        <f t="shared" si="210"/>
        <v>0</v>
      </c>
      <c r="AE185" s="128">
        <f t="shared" si="210"/>
        <v>0</v>
      </c>
      <c r="AF185" s="122">
        <f t="shared" si="210"/>
        <v>0</v>
      </c>
      <c r="AG185" s="130">
        <f t="shared" si="210"/>
        <v>0</v>
      </c>
      <c r="AH185" s="128">
        <f t="shared" si="210"/>
        <v>50000000</v>
      </c>
      <c r="AI185" s="122">
        <f t="shared" si="210"/>
        <v>50000000</v>
      </c>
      <c r="AJ185" s="130">
        <f t="shared" si="210"/>
        <v>50000000</v>
      </c>
      <c r="AK185" s="9"/>
      <c r="AL185" s="128">
        <f>AL186+AL187+AL191</f>
        <v>0</v>
      </c>
      <c r="AM185" s="130">
        <f>AM186+AM187+AM191</f>
        <v>0</v>
      </c>
      <c r="AN185" s="9"/>
    </row>
    <row r="186" spans="1:40" s="382" customFormat="1" ht="24.95" customHeight="1">
      <c r="A186" s="748"/>
      <c r="B186" s="660"/>
      <c r="N186" s="9"/>
      <c r="P186" s="9"/>
      <c r="Q186" s="9"/>
      <c r="R186" s="9"/>
      <c r="S186" s="705">
        <v>3300100</v>
      </c>
      <c r="T186" s="681" t="s">
        <v>310</v>
      </c>
      <c r="U186" s="398">
        <v>50000000</v>
      </c>
      <c r="V186" s="15">
        <f>AL186</f>
        <v>0</v>
      </c>
      <c r="W186" s="15">
        <f>AM186</f>
        <v>0</v>
      </c>
      <c r="X186" s="16">
        <f>SUM(U186:W186)</f>
        <v>50000000</v>
      </c>
      <c r="Y186" s="19">
        <v>0</v>
      </c>
      <c r="Z186" s="374">
        <v>0</v>
      </c>
      <c r="AA186" s="16">
        <f>SUM(Y186:Z186)</f>
        <v>0</v>
      </c>
      <c r="AB186" s="19">
        <v>0</v>
      </c>
      <c r="AC186" s="374">
        <v>0</v>
      </c>
      <c r="AD186" s="18">
        <f>SUM(AB186:AC186)</f>
        <v>0</v>
      </c>
      <c r="AE186" s="19">
        <v>0</v>
      </c>
      <c r="AF186" s="374">
        <v>0</v>
      </c>
      <c r="AG186" s="16">
        <f>SUM(AE186:AF186)</f>
        <v>0</v>
      </c>
      <c r="AH186" s="19">
        <f>X186-AA186</f>
        <v>50000000</v>
      </c>
      <c r="AI186" s="15">
        <f>X186-AD186</f>
        <v>50000000</v>
      </c>
      <c r="AJ186" s="16">
        <f>X186-AG186</f>
        <v>50000000</v>
      </c>
      <c r="AK186" s="9"/>
      <c r="AL186" s="372">
        <v>0</v>
      </c>
      <c r="AM186" s="375">
        <v>0</v>
      </c>
      <c r="AN186" s="9"/>
    </row>
    <row r="187" spans="1:40" s="382" customFormat="1" ht="24.95" customHeight="1">
      <c r="A187" s="748"/>
      <c r="B187" s="660"/>
      <c r="N187" s="9"/>
      <c r="P187" s="9"/>
      <c r="Q187" s="9"/>
      <c r="R187" s="9"/>
      <c r="S187" s="705">
        <v>3300200</v>
      </c>
      <c r="T187" s="681" t="s">
        <v>311</v>
      </c>
      <c r="U187" s="17">
        <f t="shared" ref="U187:AM187" si="211">SUM(U188:U190)</f>
        <v>0</v>
      </c>
      <c r="V187" s="15">
        <f t="shared" si="211"/>
        <v>0</v>
      </c>
      <c r="W187" s="15">
        <f t="shared" si="211"/>
        <v>0</v>
      </c>
      <c r="X187" s="16">
        <f t="shared" si="211"/>
        <v>0</v>
      </c>
      <c r="Y187" s="19">
        <f t="shared" si="211"/>
        <v>0</v>
      </c>
      <c r="Z187" s="142">
        <f t="shared" si="211"/>
        <v>0</v>
      </c>
      <c r="AA187" s="16">
        <f t="shared" si="211"/>
        <v>0</v>
      </c>
      <c r="AB187" s="19">
        <f t="shared" si="211"/>
        <v>0</v>
      </c>
      <c r="AC187" s="142">
        <f t="shared" si="211"/>
        <v>0</v>
      </c>
      <c r="AD187" s="18">
        <f t="shared" si="211"/>
        <v>0</v>
      </c>
      <c r="AE187" s="19">
        <f t="shared" si="211"/>
        <v>0</v>
      </c>
      <c r="AF187" s="142">
        <f t="shared" si="211"/>
        <v>0</v>
      </c>
      <c r="AG187" s="16">
        <f t="shared" si="211"/>
        <v>0</v>
      </c>
      <c r="AH187" s="19">
        <f t="shared" si="211"/>
        <v>0</v>
      </c>
      <c r="AI187" s="15">
        <f t="shared" si="211"/>
        <v>0</v>
      </c>
      <c r="AJ187" s="16">
        <f t="shared" si="211"/>
        <v>0</v>
      </c>
      <c r="AK187" s="9"/>
      <c r="AL187" s="29">
        <f t="shared" si="211"/>
        <v>0</v>
      </c>
      <c r="AM187" s="26">
        <f t="shared" si="211"/>
        <v>0</v>
      </c>
      <c r="AN187" s="9"/>
    </row>
    <row r="188" spans="1:40" s="382" customFormat="1" ht="24.95" customHeight="1">
      <c r="A188" s="748"/>
      <c r="B188" s="661"/>
      <c r="N188" s="9"/>
      <c r="P188" s="9"/>
      <c r="Q188" s="9"/>
      <c r="R188" s="9"/>
      <c r="S188" s="706" t="s">
        <v>312</v>
      </c>
      <c r="T188" s="682" t="s">
        <v>417</v>
      </c>
      <c r="U188" s="398">
        <v>0</v>
      </c>
      <c r="V188" s="15">
        <f t="shared" ref="V188:W191" si="212">AL188</f>
        <v>0</v>
      </c>
      <c r="W188" s="15">
        <f t="shared" si="212"/>
        <v>0</v>
      </c>
      <c r="X188" s="16">
        <f>SUM(U188:W188)</f>
        <v>0</v>
      </c>
      <c r="Y188" s="19">
        <v>0</v>
      </c>
      <c r="Z188" s="374">
        <v>0</v>
      </c>
      <c r="AA188" s="16">
        <f>SUM(Y188:Z188)</f>
        <v>0</v>
      </c>
      <c r="AB188" s="19">
        <v>0</v>
      </c>
      <c r="AC188" s="374">
        <v>0</v>
      </c>
      <c r="AD188" s="18">
        <f>SUM(AB188:AC188)</f>
        <v>0</v>
      </c>
      <c r="AE188" s="19">
        <v>0</v>
      </c>
      <c r="AF188" s="374">
        <v>0</v>
      </c>
      <c r="AG188" s="16">
        <f>SUM(AE188:AF188)</f>
        <v>0</v>
      </c>
      <c r="AH188" s="19">
        <f>X188-AA188</f>
        <v>0</v>
      </c>
      <c r="AI188" s="15">
        <f>X188-AD188</f>
        <v>0</v>
      </c>
      <c r="AJ188" s="16">
        <f>X188-AG188</f>
        <v>0</v>
      </c>
      <c r="AK188" s="9"/>
      <c r="AL188" s="372">
        <v>0</v>
      </c>
      <c r="AM188" s="375">
        <v>0</v>
      </c>
      <c r="AN188" s="9"/>
    </row>
    <row r="189" spans="1:40" s="382" customFormat="1" ht="24.95" customHeight="1">
      <c r="A189" s="748"/>
      <c r="B189" s="661"/>
      <c r="N189" s="9"/>
      <c r="P189" s="9"/>
      <c r="Q189" s="9"/>
      <c r="R189" s="9"/>
      <c r="S189" s="706" t="s">
        <v>313</v>
      </c>
      <c r="T189" s="682" t="s">
        <v>418</v>
      </c>
      <c r="U189" s="398">
        <v>0</v>
      </c>
      <c r="V189" s="15">
        <f t="shared" si="212"/>
        <v>0</v>
      </c>
      <c r="W189" s="15">
        <f t="shared" si="212"/>
        <v>0</v>
      </c>
      <c r="X189" s="16">
        <f>SUM(U189:W189)</f>
        <v>0</v>
      </c>
      <c r="Y189" s="19">
        <v>0</v>
      </c>
      <c r="Z189" s="374">
        <v>0</v>
      </c>
      <c r="AA189" s="16">
        <f>SUM(Y189:Z189)</f>
        <v>0</v>
      </c>
      <c r="AB189" s="19">
        <v>0</v>
      </c>
      <c r="AC189" s="374">
        <v>0</v>
      </c>
      <c r="AD189" s="18">
        <f>SUM(AB189:AC189)</f>
        <v>0</v>
      </c>
      <c r="AE189" s="19">
        <v>0</v>
      </c>
      <c r="AF189" s="374">
        <v>0</v>
      </c>
      <c r="AG189" s="16">
        <f>SUM(AE189:AF189)</f>
        <v>0</v>
      </c>
      <c r="AH189" s="19">
        <f>X189-AA189</f>
        <v>0</v>
      </c>
      <c r="AI189" s="15">
        <f>X189-AD189</f>
        <v>0</v>
      </c>
      <c r="AJ189" s="16">
        <f>X189-AG189</f>
        <v>0</v>
      </c>
      <c r="AK189" s="9"/>
      <c r="AL189" s="372">
        <v>0</v>
      </c>
      <c r="AM189" s="375">
        <v>0</v>
      </c>
      <c r="AN189" s="9"/>
    </row>
    <row r="190" spans="1:40" s="382" customFormat="1" ht="24.95" customHeight="1">
      <c r="A190" s="748"/>
      <c r="B190" s="661"/>
      <c r="N190" s="9"/>
      <c r="P190" s="9"/>
      <c r="Q190" s="9"/>
      <c r="R190" s="9"/>
      <c r="S190" s="706" t="s">
        <v>314</v>
      </c>
      <c r="T190" s="682" t="s">
        <v>419</v>
      </c>
      <c r="U190" s="398">
        <v>0</v>
      </c>
      <c r="V190" s="15">
        <f t="shared" si="212"/>
        <v>0</v>
      </c>
      <c r="W190" s="15">
        <f t="shared" si="212"/>
        <v>0</v>
      </c>
      <c r="X190" s="16">
        <f>SUM(U190:W190)</f>
        <v>0</v>
      </c>
      <c r="Y190" s="19">
        <v>0</v>
      </c>
      <c r="Z190" s="374">
        <v>0</v>
      </c>
      <c r="AA190" s="16">
        <f>SUM(Y190:Z190)</f>
        <v>0</v>
      </c>
      <c r="AB190" s="19">
        <v>0</v>
      </c>
      <c r="AC190" s="374">
        <v>0</v>
      </c>
      <c r="AD190" s="18">
        <f>SUM(AB190:AC190)</f>
        <v>0</v>
      </c>
      <c r="AE190" s="19">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thickBot="1">
      <c r="A191" s="748"/>
      <c r="B191" s="661"/>
      <c r="N191" s="9"/>
      <c r="P191" s="9"/>
      <c r="Q191" s="9"/>
      <c r="R191" s="9"/>
      <c r="S191" s="705">
        <v>3399999</v>
      </c>
      <c r="T191" s="681" t="s">
        <v>129</v>
      </c>
      <c r="U191" s="398">
        <v>0</v>
      </c>
      <c r="V191" s="15">
        <f t="shared" si="212"/>
        <v>0</v>
      </c>
      <c r="W191" s="15">
        <f t="shared" si="212"/>
        <v>0</v>
      </c>
      <c r="X191" s="16">
        <f>SUM(U191:W191)</f>
        <v>0</v>
      </c>
      <c r="Y191" s="19">
        <v>0</v>
      </c>
      <c r="Z191" s="374">
        <v>0</v>
      </c>
      <c r="AA191" s="16">
        <f>SUM(Y191:Z191)</f>
        <v>0</v>
      </c>
      <c r="AB191" s="19">
        <v>0</v>
      </c>
      <c r="AC191" s="374">
        <v>0</v>
      </c>
      <c r="AD191" s="18">
        <f>SUM(AB191:AC191)</f>
        <v>0</v>
      </c>
      <c r="AE191" s="19">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c r="A192" s="748"/>
      <c r="B192" s="661"/>
      <c r="N192" s="9"/>
      <c r="P192" s="9"/>
      <c r="Q192" s="9"/>
      <c r="R192" s="9"/>
      <c r="S192" s="489"/>
      <c r="T192" s="688"/>
      <c r="U192" s="204"/>
      <c r="V192" s="167"/>
      <c r="W192" s="167"/>
      <c r="X192" s="168"/>
      <c r="Y192" s="490"/>
      <c r="Z192" s="204"/>
      <c r="AA192" s="168"/>
      <c r="AB192" s="167"/>
      <c r="AC192" s="204"/>
      <c r="AD192" s="167"/>
      <c r="AE192" s="490"/>
      <c r="AF192" s="204"/>
      <c r="AG192" s="168"/>
      <c r="AH192" s="490"/>
      <c r="AI192" s="167"/>
      <c r="AJ192" s="168"/>
      <c r="AK192" s="9"/>
      <c r="AL192" s="491"/>
      <c r="AM192" s="492"/>
      <c r="AN192" s="9"/>
    </row>
    <row r="193" spans="1:40" s="382" customFormat="1" ht="36.75" customHeight="1" thickBot="1">
      <c r="A193" s="748"/>
      <c r="B193" s="661"/>
      <c r="N193" s="9"/>
      <c r="P193" s="9"/>
      <c r="Q193" s="9"/>
      <c r="R193" s="9"/>
      <c r="S193" s="493" t="s">
        <v>325</v>
      </c>
      <c r="T193" s="689" t="s">
        <v>581</v>
      </c>
      <c r="U193" s="470">
        <f>U195+U209</f>
        <v>14750406346</v>
      </c>
      <c r="V193" s="471">
        <f t="shared" ref="V193:AJ193" si="213">V195+V209</f>
        <v>0</v>
      </c>
      <c r="W193" s="471">
        <f t="shared" si="213"/>
        <v>366836965</v>
      </c>
      <c r="X193" s="380">
        <f t="shared" si="213"/>
        <v>15117243311</v>
      </c>
      <c r="Y193" s="379">
        <f t="shared" si="213"/>
        <v>0</v>
      </c>
      <c r="Z193" s="494">
        <f t="shared" si="213"/>
        <v>2349331734</v>
      </c>
      <c r="AA193" s="380">
        <f t="shared" si="213"/>
        <v>2349331734</v>
      </c>
      <c r="AB193" s="470">
        <f t="shared" si="213"/>
        <v>0</v>
      </c>
      <c r="AC193" s="494">
        <f t="shared" si="213"/>
        <v>1217878381</v>
      </c>
      <c r="AD193" s="472">
        <f t="shared" si="213"/>
        <v>1217878381</v>
      </c>
      <c r="AE193" s="379">
        <f t="shared" si="213"/>
        <v>0</v>
      </c>
      <c r="AF193" s="494">
        <f t="shared" si="213"/>
        <v>506566674</v>
      </c>
      <c r="AG193" s="380">
        <f t="shared" si="213"/>
        <v>506566674</v>
      </c>
      <c r="AH193" s="379">
        <f t="shared" si="213"/>
        <v>12767911577</v>
      </c>
      <c r="AI193" s="471">
        <f t="shared" si="213"/>
        <v>13899364930</v>
      </c>
      <c r="AJ193" s="380">
        <f t="shared" si="213"/>
        <v>14610676637</v>
      </c>
      <c r="AK193" s="9"/>
      <c r="AL193" s="379">
        <f>AL195+AL209</f>
        <v>0</v>
      </c>
      <c r="AM193" s="380">
        <f>AM195+AM209</f>
        <v>366836965</v>
      </c>
      <c r="AN193" s="9"/>
    </row>
    <row r="194" spans="1:40" s="382" customFormat="1" ht="24.95" customHeight="1">
      <c r="A194" s="748"/>
      <c r="B194" s="661"/>
      <c r="N194" s="9"/>
      <c r="P194" s="9"/>
      <c r="Q194" s="9"/>
      <c r="R194" s="9"/>
      <c r="S194" s="489"/>
      <c r="T194" s="688"/>
      <c r="U194" s="204"/>
      <c r="V194" s="167"/>
      <c r="W194" s="167"/>
      <c r="X194" s="168"/>
      <c r="Y194" s="490"/>
      <c r="Z194" s="204"/>
      <c r="AA194" s="168"/>
      <c r="AB194" s="167"/>
      <c r="AC194" s="204"/>
      <c r="AD194" s="167"/>
      <c r="AE194" s="490"/>
      <c r="AF194" s="204"/>
      <c r="AG194" s="168"/>
      <c r="AH194" s="490"/>
      <c r="AI194" s="167"/>
      <c r="AJ194" s="168"/>
      <c r="AK194" s="9"/>
      <c r="AL194" s="491"/>
      <c r="AM194" s="492"/>
      <c r="AN194" s="9"/>
    </row>
    <row r="195" spans="1:40" s="382" customFormat="1" ht="24.95" customHeight="1">
      <c r="A195" s="748"/>
      <c r="B195" s="661"/>
      <c r="N195" s="9"/>
      <c r="P195" s="9"/>
      <c r="Q195" s="9"/>
      <c r="R195" s="9"/>
      <c r="S195" s="703">
        <v>4000000</v>
      </c>
      <c r="T195" s="685" t="s">
        <v>315</v>
      </c>
      <c r="U195" s="470">
        <f t="shared" ref="U195:AJ195" si="214">U196</f>
        <v>14750406346</v>
      </c>
      <c r="V195" s="471">
        <f t="shared" si="214"/>
        <v>0</v>
      </c>
      <c r="W195" s="471">
        <f t="shared" si="214"/>
        <v>366836965</v>
      </c>
      <c r="X195" s="380">
        <f t="shared" si="214"/>
        <v>15117243311</v>
      </c>
      <c r="Y195" s="379">
        <f t="shared" si="214"/>
        <v>0</v>
      </c>
      <c r="Z195" s="471">
        <f t="shared" si="214"/>
        <v>2349331734</v>
      </c>
      <c r="AA195" s="380">
        <f t="shared" si="214"/>
        <v>2349331734</v>
      </c>
      <c r="AB195" s="379">
        <f t="shared" si="214"/>
        <v>0</v>
      </c>
      <c r="AC195" s="471">
        <f t="shared" si="214"/>
        <v>1217878381</v>
      </c>
      <c r="AD195" s="472">
        <f t="shared" si="214"/>
        <v>1217878381</v>
      </c>
      <c r="AE195" s="379">
        <f t="shared" si="214"/>
        <v>0</v>
      </c>
      <c r="AF195" s="471">
        <f t="shared" si="214"/>
        <v>506566674</v>
      </c>
      <c r="AG195" s="380">
        <f t="shared" si="214"/>
        <v>506566674</v>
      </c>
      <c r="AH195" s="379">
        <f t="shared" si="214"/>
        <v>12767911577</v>
      </c>
      <c r="AI195" s="471">
        <f t="shared" si="214"/>
        <v>13899364930</v>
      </c>
      <c r="AJ195" s="380">
        <f t="shared" si="214"/>
        <v>14610676637</v>
      </c>
      <c r="AK195" s="9"/>
      <c r="AL195" s="128">
        <f>AL196</f>
        <v>0</v>
      </c>
      <c r="AM195" s="130">
        <f>AM196</f>
        <v>366836965</v>
      </c>
      <c r="AN195" s="9"/>
    </row>
    <row r="196" spans="1:40" s="382" customFormat="1" ht="24.95" customHeight="1">
      <c r="A196" s="748"/>
      <c r="B196" s="661"/>
      <c r="N196" s="9"/>
      <c r="P196" s="9"/>
      <c r="Q196" s="9"/>
      <c r="R196" s="9"/>
      <c r="S196" s="704">
        <v>4100000</v>
      </c>
      <c r="T196" s="680" t="s">
        <v>316</v>
      </c>
      <c r="U196" s="132">
        <f t="shared" ref="U196:AJ196" si="215">U197+U205+U207</f>
        <v>14750406346</v>
      </c>
      <c r="V196" s="122">
        <f t="shared" si="215"/>
        <v>0</v>
      </c>
      <c r="W196" s="122">
        <f t="shared" si="215"/>
        <v>366836965</v>
      </c>
      <c r="X196" s="130">
        <f t="shared" si="215"/>
        <v>15117243311</v>
      </c>
      <c r="Y196" s="128">
        <f t="shared" si="215"/>
        <v>0</v>
      </c>
      <c r="Z196" s="122">
        <f t="shared" si="215"/>
        <v>2349331734</v>
      </c>
      <c r="AA196" s="130">
        <f t="shared" si="215"/>
        <v>2349331734</v>
      </c>
      <c r="AB196" s="128">
        <f t="shared" si="215"/>
        <v>0</v>
      </c>
      <c r="AC196" s="122">
        <f t="shared" si="215"/>
        <v>1217878381</v>
      </c>
      <c r="AD196" s="129">
        <f t="shared" si="215"/>
        <v>1217878381</v>
      </c>
      <c r="AE196" s="128">
        <f t="shared" si="215"/>
        <v>0</v>
      </c>
      <c r="AF196" s="122">
        <f t="shared" si="215"/>
        <v>506566674</v>
      </c>
      <c r="AG196" s="130">
        <f t="shared" si="215"/>
        <v>506566674</v>
      </c>
      <c r="AH196" s="128">
        <f t="shared" si="215"/>
        <v>12767911577</v>
      </c>
      <c r="AI196" s="122">
        <f t="shared" si="215"/>
        <v>13899364930</v>
      </c>
      <c r="AJ196" s="130">
        <f t="shared" si="215"/>
        <v>14610676637</v>
      </c>
      <c r="AK196" s="10"/>
      <c r="AL196" s="128">
        <f>AL197+AL205+AL207</f>
        <v>0</v>
      </c>
      <c r="AM196" s="130">
        <f>AM197+AM205+AM207</f>
        <v>366836965</v>
      </c>
      <c r="AN196" s="9"/>
    </row>
    <row r="197" spans="1:40" s="382" customFormat="1" ht="24.95" customHeight="1">
      <c r="A197" s="748"/>
      <c r="B197" s="661"/>
      <c r="N197" s="9"/>
      <c r="P197" s="9"/>
      <c r="Q197" s="9"/>
      <c r="R197" s="9"/>
      <c r="S197" s="705">
        <v>4100100</v>
      </c>
      <c r="T197" s="681" t="s">
        <v>317</v>
      </c>
      <c r="U197" s="17">
        <f t="shared" ref="U197:AJ197" si="216">SUM(U198:U204)</f>
        <v>13250406346</v>
      </c>
      <c r="V197" s="15">
        <f t="shared" si="216"/>
        <v>0</v>
      </c>
      <c r="W197" s="15">
        <f t="shared" si="216"/>
        <v>0</v>
      </c>
      <c r="X197" s="16">
        <f t="shared" si="216"/>
        <v>13250406346</v>
      </c>
      <c r="Y197" s="19">
        <f t="shared" si="216"/>
        <v>0</v>
      </c>
      <c r="Z197" s="142">
        <f t="shared" si="216"/>
        <v>1829870337</v>
      </c>
      <c r="AA197" s="16">
        <f t="shared" si="216"/>
        <v>1829870337</v>
      </c>
      <c r="AB197" s="19">
        <f t="shared" si="216"/>
        <v>0</v>
      </c>
      <c r="AC197" s="142">
        <f t="shared" si="216"/>
        <v>703747002</v>
      </c>
      <c r="AD197" s="18">
        <f t="shared" si="216"/>
        <v>703747002</v>
      </c>
      <c r="AE197" s="19">
        <f t="shared" si="216"/>
        <v>0</v>
      </c>
      <c r="AF197" s="142">
        <f t="shared" si="216"/>
        <v>117105277</v>
      </c>
      <c r="AG197" s="16">
        <f t="shared" si="216"/>
        <v>117105277</v>
      </c>
      <c r="AH197" s="19">
        <f t="shared" si="216"/>
        <v>11420536009</v>
      </c>
      <c r="AI197" s="15">
        <f t="shared" si="216"/>
        <v>12546659344</v>
      </c>
      <c r="AJ197" s="16">
        <f t="shared" si="216"/>
        <v>13133301069</v>
      </c>
      <c r="AK197" s="9"/>
      <c r="AL197" s="29">
        <f>SUM(AL198:AL204)</f>
        <v>0</v>
      </c>
      <c r="AM197" s="26">
        <f>SUM(AM198:AM204)</f>
        <v>0</v>
      </c>
      <c r="AN197" s="9"/>
    </row>
    <row r="198" spans="1:40" s="382" customFormat="1" ht="24.95" customHeight="1">
      <c r="A198" s="748"/>
      <c r="B198" s="661"/>
      <c r="N198" s="9"/>
      <c r="P198" s="9"/>
      <c r="Q198" s="9"/>
      <c r="R198" s="9"/>
      <c r="S198" s="706" t="s">
        <v>318</v>
      </c>
      <c r="T198" s="682" t="s">
        <v>420</v>
      </c>
      <c r="U198" s="398">
        <v>6473158346</v>
      </c>
      <c r="V198" s="15">
        <f t="shared" ref="V198:W202" si="217">AL198</f>
        <v>0</v>
      </c>
      <c r="W198" s="15">
        <f t="shared" si="217"/>
        <v>0</v>
      </c>
      <c r="X198" s="781">
        <f t="shared" ref="X198:X204" si="218">SUM(U198:W198)</f>
        <v>6473158346</v>
      </c>
      <c r="Y198" s="19">
        <v>0</v>
      </c>
      <c r="Z198" s="374">
        <v>716781203</v>
      </c>
      <c r="AA198" s="16">
        <f t="shared" ref="AA198:AA204" si="219">SUM(Y198:Z198)</f>
        <v>716781203</v>
      </c>
      <c r="AB198" s="19">
        <v>0</v>
      </c>
      <c r="AC198" s="374">
        <v>229010253</v>
      </c>
      <c r="AD198" s="18">
        <f t="shared" ref="AD198:AD204" si="220">SUM(AB198:AC198)</f>
        <v>229010253</v>
      </c>
      <c r="AE198" s="19">
        <v>0</v>
      </c>
      <c r="AF198" s="374">
        <v>51294076</v>
      </c>
      <c r="AG198" s="16">
        <f t="shared" ref="AG198:AG204" si="221">SUM(AE198:AF198)</f>
        <v>51294076</v>
      </c>
      <c r="AH198" s="19">
        <f t="shared" ref="AH198:AH204" si="222">X198-AA198</f>
        <v>5756377143</v>
      </c>
      <c r="AI198" s="15">
        <f t="shared" ref="AI198:AI204" si="223">X198-AD198</f>
        <v>6244148093</v>
      </c>
      <c r="AJ198" s="16">
        <f t="shared" ref="AJ198:AJ204" si="224">X198-AG198</f>
        <v>6421864270</v>
      </c>
      <c r="AK198" s="9"/>
      <c r="AL198" s="372">
        <v>0</v>
      </c>
      <c r="AM198" s="375">
        <v>0</v>
      </c>
      <c r="AN198" s="9"/>
    </row>
    <row r="199" spans="1:40" s="382" customFormat="1" ht="24.95" customHeight="1">
      <c r="A199" s="748"/>
      <c r="B199" s="661"/>
      <c r="N199" s="9"/>
      <c r="P199" s="9"/>
      <c r="Q199" s="9"/>
      <c r="R199" s="9"/>
      <c r="S199" s="706" t="s">
        <v>319</v>
      </c>
      <c r="T199" s="682" t="s">
        <v>421</v>
      </c>
      <c r="U199" s="398">
        <v>4177248000</v>
      </c>
      <c r="V199" s="15">
        <f t="shared" si="217"/>
        <v>0</v>
      </c>
      <c r="W199" s="15">
        <f t="shared" si="217"/>
        <v>0</v>
      </c>
      <c r="X199" s="16">
        <f t="shared" si="218"/>
        <v>4177248000</v>
      </c>
      <c r="Y199" s="19">
        <v>0</v>
      </c>
      <c r="Z199" s="374">
        <v>388178151</v>
      </c>
      <c r="AA199" s="16">
        <f t="shared" si="219"/>
        <v>388178151</v>
      </c>
      <c r="AB199" s="19">
        <v>0</v>
      </c>
      <c r="AC199" s="374">
        <v>324897837</v>
      </c>
      <c r="AD199" s="18">
        <f t="shared" si="220"/>
        <v>324897837</v>
      </c>
      <c r="AE199" s="19">
        <v>0</v>
      </c>
      <c r="AF199" s="374">
        <v>65811201</v>
      </c>
      <c r="AG199" s="16">
        <f t="shared" si="221"/>
        <v>65811201</v>
      </c>
      <c r="AH199" s="19">
        <f t="shared" si="222"/>
        <v>3789069849</v>
      </c>
      <c r="AI199" s="15">
        <f t="shared" si="223"/>
        <v>3852350163</v>
      </c>
      <c r="AJ199" s="16">
        <f t="shared" si="224"/>
        <v>4111436799</v>
      </c>
      <c r="AK199" s="9"/>
      <c r="AL199" s="372">
        <v>0</v>
      </c>
      <c r="AM199" s="375">
        <v>0</v>
      </c>
      <c r="AN199" s="9"/>
    </row>
    <row r="200" spans="1:40" s="382" customFormat="1" ht="24.95" customHeight="1">
      <c r="A200" s="748"/>
      <c r="B200" s="661"/>
      <c r="N200" s="9"/>
      <c r="P200" s="9"/>
      <c r="Q200" s="9"/>
      <c r="R200" s="9"/>
      <c r="S200" s="706" t="s">
        <v>320</v>
      </c>
      <c r="T200" s="682" t="s">
        <v>422</v>
      </c>
      <c r="U200" s="398">
        <v>1300000000</v>
      </c>
      <c r="V200" s="15">
        <f t="shared" si="217"/>
        <v>0</v>
      </c>
      <c r="W200" s="15">
        <f t="shared" si="217"/>
        <v>0</v>
      </c>
      <c r="X200" s="16">
        <f t="shared" si="218"/>
        <v>1300000000</v>
      </c>
      <c r="Y200" s="19">
        <v>0</v>
      </c>
      <c r="Z200" s="374">
        <v>484910983</v>
      </c>
      <c r="AA200" s="16">
        <f t="shared" si="219"/>
        <v>484910983</v>
      </c>
      <c r="AB200" s="19">
        <v>0</v>
      </c>
      <c r="AC200" s="374">
        <v>125707317</v>
      </c>
      <c r="AD200" s="18">
        <f t="shared" si="220"/>
        <v>125707317</v>
      </c>
      <c r="AE200" s="19">
        <v>0</v>
      </c>
      <c r="AF200" s="374">
        <v>0</v>
      </c>
      <c r="AG200" s="16">
        <f t="shared" si="221"/>
        <v>0</v>
      </c>
      <c r="AH200" s="19">
        <f t="shared" si="222"/>
        <v>815089017</v>
      </c>
      <c r="AI200" s="15">
        <f t="shared" si="223"/>
        <v>1174292683</v>
      </c>
      <c r="AJ200" s="16">
        <f t="shared" si="224"/>
        <v>1300000000</v>
      </c>
      <c r="AK200" s="9"/>
      <c r="AL200" s="372">
        <v>0</v>
      </c>
      <c r="AM200" s="375">
        <v>0</v>
      </c>
      <c r="AN200" s="9"/>
    </row>
    <row r="201" spans="1:40" s="382" customFormat="1" ht="24.95" customHeight="1">
      <c r="A201" s="748"/>
      <c r="B201" s="661"/>
      <c r="N201" s="9"/>
      <c r="P201" s="9"/>
      <c r="Q201" s="9"/>
      <c r="R201" s="9"/>
      <c r="S201" s="706" t="s">
        <v>321</v>
      </c>
      <c r="T201" s="682" t="s">
        <v>423</v>
      </c>
      <c r="U201" s="398">
        <v>0</v>
      </c>
      <c r="V201" s="15">
        <f t="shared" si="217"/>
        <v>0</v>
      </c>
      <c r="W201" s="15">
        <f t="shared" si="217"/>
        <v>0</v>
      </c>
      <c r="X201" s="16">
        <f t="shared" si="218"/>
        <v>0</v>
      </c>
      <c r="Y201" s="19">
        <v>0</v>
      </c>
      <c r="Z201" s="374">
        <v>0</v>
      </c>
      <c r="AA201" s="16">
        <f t="shared" si="219"/>
        <v>0</v>
      </c>
      <c r="AB201" s="19">
        <v>0</v>
      </c>
      <c r="AC201" s="374">
        <v>0</v>
      </c>
      <c r="AD201" s="18">
        <f t="shared" si="220"/>
        <v>0</v>
      </c>
      <c r="AE201" s="19">
        <v>0</v>
      </c>
      <c r="AF201" s="374">
        <v>0</v>
      </c>
      <c r="AG201" s="16">
        <f t="shared" si="221"/>
        <v>0</v>
      </c>
      <c r="AH201" s="19">
        <f t="shared" si="222"/>
        <v>0</v>
      </c>
      <c r="AI201" s="15">
        <f t="shared" si="223"/>
        <v>0</v>
      </c>
      <c r="AJ201" s="16">
        <f t="shared" si="224"/>
        <v>0</v>
      </c>
      <c r="AK201" s="9"/>
      <c r="AL201" s="372">
        <v>0</v>
      </c>
      <c r="AM201" s="375">
        <v>0</v>
      </c>
      <c r="AN201" s="9"/>
    </row>
    <row r="202" spans="1:40" s="382" customFormat="1" ht="24.95" customHeight="1">
      <c r="A202" s="748"/>
      <c r="B202" s="661"/>
      <c r="N202" s="9"/>
      <c r="P202" s="9"/>
      <c r="Q202" s="9"/>
      <c r="R202" s="9"/>
      <c r="S202" s="706" t="s">
        <v>322</v>
      </c>
      <c r="T202" s="682" t="s">
        <v>424</v>
      </c>
      <c r="U202" s="398">
        <v>1300000000</v>
      </c>
      <c r="V202" s="15">
        <f t="shared" si="217"/>
        <v>0</v>
      </c>
      <c r="W202" s="15">
        <f t="shared" si="217"/>
        <v>0</v>
      </c>
      <c r="X202" s="16">
        <f t="shared" si="218"/>
        <v>1300000000</v>
      </c>
      <c r="Y202" s="19">
        <v>0</v>
      </c>
      <c r="Z202" s="374">
        <v>240000000</v>
      </c>
      <c r="AA202" s="16">
        <f t="shared" si="219"/>
        <v>240000000</v>
      </c>
      <c r="AB202" s="19">
        <v>0</v>
      </c>
      <c r="AC202" s="374">
        <v>24131595</v>
      </c>
      <c r="AD202" s="18">
        <f t="shared" si="220"/>
        <v>24131595</v>
      </c>
      <c r="AE202" s="19">
        <v>0</v>
      </c>
      <c r="AF202" s="374">
        <v>0</v>
      </c>
      <c r="AG202" s="16">
        <f t="shared" si="221"/>
        <v>0</v>
      </c>
      <c r="AH202" s="19">
        <f t="shared" si="222"/>
        <v>1060000000</v>
      </c>
      <c r="AI202" s="15">
        <f t="shared" si="223"/>
        <v>1275868405</v>
      </c>
      <c r="AJ202" s="16">
        <f t="shared" si="224"/>
        <v>1300000000</v>
      </c>
      <c r="AK202" s="9"/>
      <c r="AL202" s="372">
        <v>0</v>
      </c>
      <c r="AM202" s="375">
        <v>0</v>
      </c>
      <c r="AN202" s="9"/>
    </row>
    <row r="203" spans="1:40" s="382" customFormat="1" ht="24.95" customHeight="1">
      <c r="A203" s="748"/>
      <c r="B203" s="661"/>
      <c r="N203" s="9"/>
      <c r="P203" s="9"/>
      <c r="Q203" s="9"/>
      <c r="R203" s="9"/>
      <c r="S203" s="709"/>
      <c r="T203" s="683"/>
      <c r="U203" s="398">
        <v>0</v>
      </c>
      <c r="V203" s="15">
        <f>AL203</f>
        <v>0</v>
      </c>
      <c r="W203" s="15">
        <f>AM203</f>
        <v>0</v>
      </c>
      <c r="X203" s="16">
        <f t="shared" si="218"/>
        <v>0</v>
      </c>
      <c r="Y203" s="19">
        <v>0</v>
      </c>
      <c r="Z203" s="374">
        <v>0</v>
      </c>
      <c r="AA203" s="16">
        <f t="shared" si="219"/>
        <v>0</v>
      </c>
      <c r="AB203" s="19">
        <v>0</v>
      </c>
      <c r="AC203" s="374">
        <v>0</v>
      </c>
      <c r="AD203" s="18">
        <f t="shared" si="220"/>
        <v>0</v>
      </c>
      <c r="AE203" s="19">
        <v>0</v>
      </c>
      <c r="AF203" s="374">
        <v>0</v>
      </c>
      <c r="AG203" s="16">
        <f t="shared" si="221"/>
        <v>0</v>
      </c>
      <c r="AH203" s="19">
        <f t="shared" si="222"/>
        <v>0</v>
      </c>
      <c r="AI203" s="15">
        <f t="shared" si="223"/>
        <v>0</v>
      </c>
      <c r="AJ203" s="16">
        <f t="shared" si="224"/>
        <v>0</v>
      </c>
      <c r="AK203" s="9"/>
      <c r="AL203" s="372">
        <v>0</v>
      </c>
      <c r="AM203" s="375">
        <v>0</v>
      </c>
      <c r="AN203" s="9"/>
    </row>
    <row r="204" spans="1:40" s="382" customFormat="1" ht="24.95" customHeight="1">
      <c r="A204" s="748"/>
      <c r="B204" s="661"/>
      <c r="N204" s="9"/>
      <c r="P204" s="9"/>
      <c r="Q204" s="9"/>
      <c r="R204" s="9"/>
      <c r="S204" s="709"/>
      <c r="T204" s="683"/>
      <c r="U204" s="398">
        <v>0</v>
      </c>
      <c r="V204" s="15">
        <f>AL204</f>
        <v>0</v>
      </c>
      <c r="W204" s="15">
        <f>AM204</f>
        <v>0</v>
      </c>
      <c r="X204" s="16">
        <f t="shared" si="218"/>
        <v>0</v>
      </c>
      <c r="Y204" s="19">
        <v>0</v>
      </c>
      <c r="Z204" s="374">
        <v>0</v>
      </c>
      <c r="AA204" s="16">
        <f t="shared" si="219"/>
        <v>0</v>
      </c>
      <c r="AB204" s="19">
        <v>0</v>
      </c>
      <c r="AC204" s="374">
        <v>0</v>
      </c>
      <c r="AD204" s="18">
        <f t="shared" si="220"/>
        <v>0</v>
      </c>
      <c r="AE204" s="19">
        <v>0</v>
      </c>
      <c r="AF204" s="374">
        <v>0</v>
      </c>
      <c r="AG204" s="16">
        <f t="shared" si="221"/>
        <v>0</v>
      </c>
      <c r="AH204" s="19">
        <f t="shared" si="222"/>
        <v>0</v>
      </c>
      <c r="AI204" s="15">
        <f t="shared" si="223"/>
        <v>0</v>
      </c>
      <c r="AJ204" s="16">
        <f t="shared" si="224"/>
        <v>0</v>
      </c>
      <c r="AK204" s="9"/>
      <c r="AL204" s="372">
        <v>0</v>
      </c>
      <c r="AM204" s="375">
        <v>0</v>
      </c>
      <c r="AN204" s="9"/>
    </row>
    <row r="205" spans="1:40" s="382" customFormat="1" ht="24.95" customHeight="1">
      <c r="A205" s="748"/>
      <c r="B205" s="661"/>
      <c r="N205" s="9"/>
      <c r="P205" s="9"/>
      <c r="Q205" s="9"/>
      <c r="R205" s="9"/>
      <c r="S205" s="705">
        <v>4100200</v>
      </c>
      <c r="T205" s="681" t="s">
        <v>323</v>
      </c>
      <c r="U205" s="17">
        <f t="shared" ref="U205:AJ205" si="225">U206</f>
        <v>1500000000</v>
      </c>
      <c r="V205" s="15">
        <f t="shared" si="225"/>
        <v>0</v>
      </c>
      <c r="W205" s="15">
        <f t="shared" si="225"/>
        <v>0</v>
      </c>
      <c r="X205" s="16">
        <f t="shared" si="225"/>
        <v>1500000000</v>
      </c>
      <c r="Y205" s="19">
        <f t="shared" si="225"/>
        <v>0</v>
      </c>
      <c r="Z205" s="142">
        <f t="shared" si="225"/>
        <v>130000000</v>
      </c>
      <c r="AA205" s="16">
        <f t="shared" si="225"/>
        <v>130000000</v>
      </c>
      <c r="AB205" s="19">
        <f t="shared" si="225"/>
        <v>0</v>
      </c>
      <c r="AC205" s="142">
        <f t="shared" si="225"/>
        <v>124669982</v>
      </c>
      <c r="AD205" s="18">
        <f t="shared" si="225"/>
        <v>124669982</v>
      </c>
      <c r="AE205" s="19">
        <f t="shared" si="225"/>
        <v>0</v>
      </c>
      <c r="AF205" s="142">
        <f t="shared" si="225"/>
        <v>0</v>
      </c>
      <c r="AG205" s="16">
        <f t="shared" si="225"/>
        <v>0</v>
      </c>
      <c r="AH205" s="19">
        <f t="shared" si="225"/>
        <v>1370000000</v>
      </c>
      <c r="AI205" s="15">
        <f t="shared" si="225"/>
        <v>1375330018</v>
      </c>
      <c r="AJ205" s="16">
        <f t="shared" si="225"/>
        <v>1500000000</v>
      </c>
      <c r="AK205" s="9"/>
      <c r="AL205" s="29">
        <f>AL206</f>
        <v>0</v>
      </c>
      <c r="AM205" s="26">
        <f>AM206</f>
        <v>0</v>
      </c>
      <c r="AN205" s="9"/>
    </row>
    <row r="206" spans="1:40" s="382" customFormat="1" ht="24.95" customHeight="1">
      <c r="A206" s="748"/>
      <c r="B206" s="661"/>
      <c r="N206" s="9"/>
      <c r="P206" s="9"/>
      <c r="Q206" s="9"/>
      <c r="R206" s="9"/>
      <c r="S206" s="706" t="s">
        <v>324</v>
      </c>
      <c r="T206" s="682" t="s">
        <v>425</v>
      </c>
      <c r="U206" s="398">
        <v>1500000000</v>
      </c>
      <c r="V206" s="15">
        <f>AL206</f>
        <v>0</v>
      </c>
      <c r="W206" s="15">
        <f>AM206</f>
        <v>0</v>
      </c>
      <c r="X206" s="16">
        <f>SUM(U206:W206)</f>
        <v>1500000000</v>
      </c>
      <c r="Y206" s="19">
        <v>0</v>
      </c>
      <c r="Z206" s="374">
        <v>130000000</v>
      </c>
      <c r="AA206" s="16">
        <f>SUM(Y206:Z206)</f>
        <v>130000000</v>
      </c>
      <c r="AB206" s="19">
        <v>0</v>
      </c>
      <c r="AC206" s="374">
        <v>124669982</v>
      </c>
      <c r="AD206" s="18">
        <f>SUM(AB206:AC206)</f>
        <v>124669982</v>
      </c>
      <c r="AE206" s="19">
        <v>0</v>
      </c>
      <c r="AF206" s="374">
        <v>0</v>
      </c>
      <c r="AG206" s="16">
        <f>SUM(AE206:AF206)</f>
        <v>0</v>
      </c>
      <c r="AH206" s="19">
        <f>X206-AA206</f>
        <v>1370000000</v>
      </c>
      <c r="AI206" s="15">
        <f>X206-AD206</f>
        <v>1375330018</v>
      </c>
      <c r="AJ206" s="16">
        <f>X206-AG206</f>
        <v>1500000000</v>
      </c>
      <c r="AK206" s="9"/>
      <c r="AL206" s="372">
        <v>0</v>
      </c>
      <c r="AM206" s="375">
        <v>0</v>
      </c>
      <c r="AN206" s="9"/>
    </row>
    <row r="207" spans="1:40" s="382" customFormat="1" ht="24.95" customHeight="1" thickBot="1">
      <c r="A207" s="748"/>
      <c r="B207" s="661"/>
      <c r="N207" s="9"/>
      <c r="P207" s="9"/>
      <c r="Q207" s="9"/>
      <c r="R207" s="9"/>
      <c r="S207" s="710">
        <v>4199999</v>
      </c>
      <c r="T207" s="687" t="s">
        <v>129</v>
      </c>
      <c r="U207" s="488">
        <v>0</v>
      </c>
      <c r="V207" s="121">
        <f>AL207</f>
        <v>0</v>
      </c>
      <c r="W207" s="121">
        <f>AM207</f>
        <v>366836965</v>
      </c>
      <c r="X207" s="125">
        <f>SUM(U207:W207)</f>
        <v>366836965</v>
      </c>
      <c r="Y207" s="124">
        <v>0</v>
      </c>
      <c r="Z207" s="812">
        <v>389461397</v>
      </c>
      <c r="AA207" s="125">
        <f>SUM(Y207:Z207)</f>
        <v>389461397</v>
      </c>
      <c r="AB207" s="124">
        <v>0</v>
      </c>
      <c r="AC207" s="812">
        <v>389461397</v>
      </c>
      <c r="AD207" s="126">
        <f>SUM(AB207:AC207)</f>
        <v>389461397</v>
      </c>
      <c r="AE207" s="124">
        <v>0</v>
      </c>
      <c r="AF207" s="812">
        <v>389461397</v>
      </c>
      <c r="AG207" s="125">
        <f>SUM(AE207:AF207)</f>
        <v>389461397</v>
      </c>
      <c r="AH207" s="124">
        <f>X207-AA207</f>
        <v>-22624432</v>
      </c>
      <c r="AI207" s="121">
        <f>X207-AD207</f>
        <v>-22624432</v>
      </c>
      <c r="AJ207" s="125">
        <f>X207-AG207</f>
        <v>-22624432</v>
      </c>
      <c r="AK207" s="9"/>
      <c r="AL207" s="384">
        <v>0</v>
      </c>
      <c r="AM207" s="389">
        <v>366836965</v>
      </c>
      <c r="AN207" s="9"/>
    </row>
    <row r="208" spans="1:40" s="382" customFormat="1" ht="24.95" customHeight="1">
      <c r="A208" s="748"/>
      <c r="B208" s="661"/>
      <c r="N208" s="9"/>
      <c r="P208" s="9"/>
      <c r="Q208" s="9"/>
      <c r="R208" s="9"/>
      <c r="S208" s="489"/>
      <c r="T208" s="688"/>
      <c r="U208" s="204"/>
      <c r="V208" s="167"/>
      <c r="W208" s="167"/>
      <c r="X208" s="168"/>
      <c r="Y208" s="490"/>
      <c r="Z208" s="204"/>
      <c r="AA208" s="168"/>
      <c r="AB208" s="167"/>
      <c r="AC208" s="204"/>
      <c r="AD208" s="167"/>
      <c r="AE208" s="490"/>
      <c r="AF208" s="204"/>
      <c r="AG208" s="168"/>
      <c r="AH208" s="490"/>
      <c r="AI208" s="167"/>
      <c r="AJ208" s="168"/>
      <c r="AK208" s="9"/>
      <c r="AL208" s="491"/>
      <c r="AM208" s="492"/>
      <c r="AN208" s="9"/>
    </row>
    <row r="209" spans="1:40" s="382" customFormat="1" ht="24.95" customHeight="1">
      <c r="A209" s="748"/>
      <c r="B209" s="661"/>
      <c r="N209" s="9"/>
      <c r="P209" s="9"/>
      <c r="Q209" s="9"/>
      <c r="R209" s="9"/>
      <c r="S209" s="711">
        <v>5000000</v>
      </c>
      <c r="T209" s="690" t="s">
        <v>450</v>
      </c>
      <c r="U209" s="470">
        <f t="shared" ref="U209:AJ209" si="226">U210</f>
        <v>0</v>
      </c>
      <c r="V209" s="471">
        <f t="shared" si="226"/>
        <v>0</v>
      </c>
      <c r="W209" s="471">
        <f t="shared" si="226"/>
        <v>0</v>
      </c>
      <c r="X209" s="380">
        <f t="shared" si="226"/>
        <v>0</v>
      </c>
      <c r="Y209" s="379">
        <f t="shared" si="226"/>
        <v>0</v>
      </c>
      <c r="Z209" s="494">
        <f t="shared" si="226"/>
        <v>0</v>
      </c>
      <c r="AA209" s="380">
        <f t="shared" si="226"/>
        <v>0</v>
      </c>
      <c r="AB209" s="470">
        <f t="shared" si="226"/>
        <v>0</v>
      </c>
      <c r="AC209" s="494">
        <f t="shared" si="226"/>
        <v>0</v>
      </c>
      <c r="AD209" s="472">
        <f t="shared" si="226"/>
        <v>0</v>
      </c>
      <c r="AE209" s="379">
        <f t="shared" si="226"/>
        <v>0</v>
      </c>
      <c r="AF209" s="494">
        <f t="shared" si="226"/>
        <v>0</v>
      </c>
      <c r="AG209" s="380">
        <f t="shared" si="226"/>
        <v>0</v>
      </c>
      <c r="AH209" s="379">
        <f t="shared" si="226"/>
        <v>0</v>
      </c>
      <c r="AI209" s="471">
        <f t="shared" si="226"/>
        <v>0</v>
      </c>
      <c r="AJ209" s="380">
        <f t="shared" si="226"/>
        <v>0</v>
      </c>
      <c r="AK209" s="9"/>
      <c r="AL209" s="128">
        <f>AL210</f>
        <v>0</v>
      </c>
      <c r="AM209" s="130">
        <f>AM210</f>
        <v>0</v>
      </c>
      <c r="AN209" s="9"/>
    </row>
    <row r="210" spans="1:40" s="382" customFormat="1" ht="24.95" customHeight="1">
      <c r="A210" s="748"/>
      <c r="B210" s="661"/>
      <c r="N210" s="9"/>
      <c r="P210" s="9"/>
      <c r="Q210" s="9"/>
      <c r="R210" s="9"/>
      <c r="S210" s="712">
        <v>5100000</v>
      </c>
      <c r="T210" s="691" t="s">
        <v>326</v>
      </c>
      <c r="U210" s="132">
        <f t="shared" ref="U210:AJ210" si="227">U211+U218</f>
        <v>0</v>
      </c>
      <c r="V210" s="122">
        <f t="shared" si="227"/>
        <v>0</v>
      </c>
      <c r="W210" s="122">
        <f t="shared" si="227"/>
        <v>0</v>
      </c>
      <c r="X210" s="130">
        <f t="shared" si="227"/>
        <v>0</v>
      </c>
      <c r="Y210" s="128">
        <f t="shared" si="227"/>
        <v>0</v>
      </c>
      <c r="Z210" s="202">
        <f t="shared" si="227"/>
        <v>0</v>
      </c>
      <c r="AA210" s="130">
        <f t="shared" si="227"/>
        <v>0</v>
      </c>
      <c r="AB210" s="132">
        <f t="shared" si="227"/>
        <v>0</v>
      </c>
      <c r="AC210" s="202">
        <f t="shared" si="227"/>
        <v>0</v>
      </c>
      <c r="AD210" s="129">
        <f t="shared" si="227"/>
        <v>0</v>
      </c>
      <c r="AE210" s="128">
        <f t="shared" si="227"/>
        <v>0</v>
      </c>
      <c r="AF210" s="202">
        <f t="shared" si="227"/>
        <v>0</v>
      </c>
      <c r="AG210" s="130">
        <f t="shared" si="227"/>
        <v>0</v>
      </c>
      <c r="AH210" s="128">
        <f t="shared" si="227"/>
        <v>0</v>
      </c>
      <c r="AI210" s="122">
        <f t="shared" si="227"/>
        <v>0</v>
      </c>
      <c r="AJ210" s="130">
        <f t="shared" si="227"/>
        <v>0</v>
      </c>
      <c r="AK210" s="9"/>
      <c r="AL210" s="128">
        <f>AL211+AL218</f>
        <v>0</v>
      </c>
      <c r="AM210" s="130">
        <f>AM211+AM218</f>
        <v>0</v>
      </c>
      <c r="AN210" s="9"/>
    </row>
    <row r="211" spans="1:40" s="382" customFormat="1" ht="24.95" customHeight="1">
      <c r="A211" s="748"/>
      <c r="B211" s="661"/>
      <c r="N211" s="9"/>
      <c r="P211" s="9"/>
      <c r="Q211" s="9"/>
      <c r="R211" s="9"/>
      <c r="S211" s="713">
        <v>5100100</v>
      </c>
      <c r="T211" s="692" t="s">
        <v>327</v>
      </c>
      <c r="U211" s="17">
        <f t="shared" ref="U211:AJ211" si="228">SUM(U212:U217)</f>
        <v>0</v>
      </c>
      <c r="V211" s="15">
        <f t="shared" si="228"/>
        <v>0</v>
      </c>
      <c r="W211" s="15">
        <f t="shared" si="228"/>
        <v>0</v>
      </c>
      <c r="X211" s="16">
        <f t="shared" si="228"/>
        <v>0</v>
      </c>
      <c r="Y211" s="19">
        <f t="shared" si="228"/>
        <v>0</v>
      </c>
      <c r="Z211" s="142">
        <f t="shared" si="228"/>
        <v>0</v>
      </c>
      <c r="AA211" s="16">
        <f t="shared" si="228"/>
        <v>0</v>
      </c>
      <c r="AB211" s="17">
        <f t="shared" si="228"/>
        <v>0</v>
      </c>
      <c r="AC211" s="142">
        <f t="shared" si="228"/>
        <v>0</v>
      </c>
      <c r="AD211" s="18">
        <f t="shared" si="228"/>
        <v>0</v>
      </c>
      <c r="AE211" s="19">
        <f t="shared" si="228"/>
        <v>0</v>
      </c>
      <c r="AF211" s="142">
        <f t="shared" si="228"/>
        <v>0</v>
      </c>
      <c r="AG211" s="16">
        <f t="shared" si="228"/>
        <v>0</v>
      </c>
      <c r="AH211" s="19">
        <f t="shared" si="228"/>
        <v>0</v>
      </c>
      <c r="AI211" s="15">
        <f t="shared" si="228"/>
        <v>0</v>
      </c>
      <c r="AJ211" s="16">
        <f t="shared" si="228"/>
        <v>0</v>
      </c>
      <c r="AK211" s="10"/>
      <c r="AL211" s="29">
        <f>SUM(AL212:AL217)</f>
        <v>0</v>
      </c>
      <c r="AM211" s="26">
        <f>SUM(AM212:AM217)</f>
        <v>0</v>
      </c>
      <c r="AN211" s="9"/>
    </row>
    <row r="212" spans="1:40" s="382" customFormat="1" ht="24.95" customHeight="1">
      <c r="A212" s="748"/>
      <c r="B212" s="661"/>
      <c r="N212" s="9"/>
      <c r="P212" s="9"/>
      <c r="Q212" s="9"/>
      <c r="R212" s="9"/>
      <c r="S212" s="714" t="s">
        <v>328</v>
      </c>
      <c r="T212" s="693" t="s">
        <v>420</v>
      </c>
      <c r="U212" s="398">
        <v>0</v>
      </c>
      <c r="V212" s="15">
        <f t="shared" ref="V212:W218" si="229">AL212</f>
        <v>0</v>
      </c>
      <c r="W212" s="15">
        <f t="shared" si="229"/>
        <v>0</v>
      </c>
      <c r="X212" s="781">
        <f t="shared" ref="X212:X218" si="230">SUM(U212:W212)</f>
        <v>0</v>
      </c>
      <c r="Y212" s="19">
        <v>0</v>
      </c>
      <c r="Z212" s="374">
        <v>0</v>
      </c>
      <c r="AA212" s="16">
        <f t="shared" ref="AA212:AA218" si="231">SUM(Y212:Z212)</f>
        <v>0</v>
      </c>
      <c r="AB212" s="17">
        <v>0</v>
      </c>
      <c r="AC212" s="374">
        <v>0</v>
      </c>
      <c r="AD212" s="18">
        <f t="shared" ref="AD212:AD218" si="232">SUM(AB212:AC212)</f>
        <v>0</v>
      </c>
      <c r="AE212" s="19">
        <v>0</v>
      </c>
      <c r="AF212" s="374">
        <v>0</v>
      </c>
      <c r="AG212" s="16">
        <f t="shared" ref="AG212:AG218" si="233">SUM(AE212:AF212)</f>
        <v>0</v>
      </c>
      <c r="AH212" s="19">
        <f t="shared" ref="AH212:AH218" si="234">X212-AA212</f>
        <v>0</v>
      </c>
      <c r="AI212" s="15">
        <f t="shared" ref="AI212:AI218" si="235">X212-AD212</f>
        <v>0</v>
      </c>
      <c r="AJ212" s="16">
        <f t="shared" ref="AJ212:AJ218" si="236">X212-AG212</f>
        <v>0</v>
      </c>
      <c r="AK212" s="9"/>
      <c r="AL212" s="372">
        <v>0</v>
      </c>
      <c r="AM212" s="375">
        <v>0</v>
      </c>
      <c r="AN212" s="9"/>
    </row>
    <row r="213" spans="1:40" s="382" customFormat="1" ht="24.95" customHeight="1">
      <c r="A213" s="748"/>
      <c r="B213" s="661"/>
      <c r="N213" s="9"/>
      <c r="P213" s="9"/>
      <c r="Q213" s="9"/>
      <c r="R213" s="9"/>
      <c r="S213" s="714" t="s">
        <v>329</v>
      </c>
      <c r="T213" s="693" t="s">
        <v>421</v>
      </c>
      <c r="U213" s="398">
        <v>0</v>
      </c>
      <c r="V213" s="15">
        <f t="shared" si="229"/>
        <v>0</v>
      </c>
      <c r="W213" s="15">
        <f t="shared" si="229"/>
        <v>0</v>
      </c>
      <c r="X213" s="16">
        <f t="shared" si="230"/>
        <v>0</v>
      </c>
      <c r="Y213" s="19">
        <v>0</v>
      </c>
      <c r="Z213" s="374">
        <v>0</v>
      </c>
      <c r="AA213" s="16">
        <f t="shared" si="231"/>
        <v>0</v>
      </c>
      <c r="AB213" s="17">
        <v>0</v>
      </c>
      <c r="AC213" s="374">
        <v>0</v>
      </c>
      <c r="AD213" s="18">
        <f t="shared" si="232"/>
        <v>0</v>
      </c>
      <c r="AE213" s="19">
        <v>0</v>
      </c>
      <c r="AF213" s="374">
        <v>0</v>
      </c>
      <c r="AG213" s="16">
        <f t="shared" si="233"/>
        <v>0</v>
      </c>
      <c r="AH213" s="19">
        <f t="shared" si="234"/>
        <v>0</v>
      </c>
      <c r="AI213" s="15">
        <f t="shared" si="235"/>
        <v>0</v>
      </c>
      <c r="AJ213" s="16">
        <f t="shared" si="236"/>
        <v>0</v>
      </c>
      <c r="AK213" s="9"/>
      <c r="AL213" s="372">
        <v>0</v>
      </c>
      <c r="AM213" s="375">
        <v>0</v>
      </c>
      <c r="AN213" s="9"/>
    </row>
    <row r="214" spans="1:40" s="382" customFormat="1" ht="24.95" customHeight="1">
      <c r="A214" s="748"/>
      <c r="B214" s="661"/>
      <c r="N214" s="9"/>
      <c r="P214" s="9"/>
      <c r="Q214" s="9"/>
      <c r="R214" s="9"/>
      <c r="S214" s="714" t="s">
        <v>330</v>
      </c>
      <c r="T214" s="693" t="s">
        <v>422</v>
      </c>
      <c r="U214" s="398">
        <v>0</v>
      </c>
      <c r="V214" s="15">
        <f t="shared" si="229"/>
        <v>0</v>
      </c>
      <c r="W214" s="15">
        <f t="shared" si="229"/>
        <v>0</v>
      </c>
      <c r="X214" s="16">
        <f t="shared" si="230"/>
        <v>0</v>
      </c>
      <c r="Y214" s="19">
        <v>0</v>
      </c>
      <c r="Z214" s="374">
        <v>0</v>
      </c>
      <c r="AA214" s="16">
        <f t="shared" si="231"/>
        <v>0</v>
      </c>
      <c r="AB214" s="17">
        <v>0</v>
      </c>
      <c r="AC214" s="374">
        <v>0</v>
      </c>
      <c r="AD214" s="18">
        <f t="shared" si="232"/>
        <v>0</v>
      </c>
      <c r="AE214" s="19">
        <v>0</v>
      </c>
      <c r="AF214" s="374">
        <v>0</v>
      </c>
      <c r="AG214" s="16">
        <f t="shared" si="233"/>
        <v>0</v>
      </c>
      <c r="AH214" s="19">
        <f t="shared" si="234"/>
        <v>0</v>
      </c>
      <c r="AI214" s="15">
        <f t="shared" si="235"/>
        <v>0</v>
      </c>
      <c r="AJ214" s="16">
        <f t="shared" si="236"/>
        <v>0</v>
      </c>
      <c r="AK214" s="9"/>
      <c r="AL214" s="372">
        <v>0</v>
      </c>
      <c r="AM214" s="375">
        <v>0</v>
      </c>
      <c r="AN214" s="9"/>
    </row>
    <row r="215" spans="1:40" s="382" customFormat="1" ht="24.95" customHeight="1">
      <c r="A215" s="748"/>
      <c r="B215" s="661"/>
      <c r="N215" s="9"/>
      <c r="P215" s="9"/>
      <c r="Q215" s="9"/>
      <c r="R215" s="9"/>
      <c r="S215" s="714" t="s">
        <v>331</v>
      </c>
      <c r="T215" s="693" t="s">
        <v>423</v>
      </c>
      <c r="U215" s="398">
        <v>0</v>
      </c>
      <c r="V215" s="15">
        <f t="shared" si="229"/>
        <v>0</v>
      </c>
      <c r="W215" s="15">
        <f t="shared" si="229"/>
        <v>0</v>
      </c>
      <c r="X215" s="16">
        <f t="shared" si="230"/>
        <v>0</v>
      </c>
      <c r="Y215" s="19">
        <v>0</v>
      </c>
      <c r="Z215" s="374">
        <v>0</v>
      </c>
      <c r="AA215" s="16">
        <f t="shared" si="231"/>
        <v>0</v>
      </c>
      <c r="AB215" s="17">
        <v>0</v>
      </c>
      <c r="AC215" s="374">
        <v>0</v>
      </c>
      <c r="AD215" s="18">
        <f t="shared" si="232"/>
        <v>0</v>
      </c>
      <c r="AE215" s="19">
        <v>0</v>
      </c>
      <c r="AF215" s="374">
        <v>0</v>
      </c>
      <c r="AG215" s="16">
        <f t="shared" si="233"/>
        <v>0</v>
      </c>
      <c r="AH215" s="19">
        <f t="shared" si="234"/>
        <v>0</v>
      </c>
      <c r="AI215" s="15">
        <f t="shared" si="235"/>
        <v>0</v>
      </c>
      <c r="AJ215" s="16">
        <f t="shared" si="236"/>
        <v>0</v>
      </c>
      <c r="AK215" s="9"/>
      <c r="AL215" s="372">
        <v>0</v>
      </c>
      <c r="AM215" s="375">
        <v>0</v>
      </c>
      <c r="AN215" s="9"/>
    </row>
    <row r="216" spans="1:40" s="382" customFormat="1" ht="24.95" customHeight="1">
      <c r="A216" s="748"/>
      <c r="B216" s="661"/>
      <c r="N216" s="9"/>
      <c r="P216" s="9"/>
      <c r="Q216" s="9"/>
      <c r="R216" s="9"/>
      <c r="S216" s="714" t="s">
        <v>332</v>
      </c>
      <c r="T216" s="693" t="s">
        <v>424</v>
      </c>
      <c r="U216" s="398">
        <v>0</v>
      </c>
      <c r="V216" s="15">
        <f t="shared" si="229"/>
        <v>0</v>
      </c>
      <c r="W216" s="15">
        <f t="shared" si="229"/>
        <v>0</v>
      </c>
      <c r="X216" s="16">
        <f t="shared" si="230"/>
        <v>0</v>
      </c>
      <c r="Y216" s="19">
        <v>0</v>
      </c>
      <c r="Z216" s="374">
        <v>0</v>
      </c>
      <c r="AA216" s="16">
        <f t="shared" si="231"/>
        <v>0</v>
      </c>
      <c r="AB216" s="17">
        <v>0</v>
      </c>
      <c r="AC216" s="374">
        <v>0</v>
      </c>
      <c r="AD216" s="18">
        <f t="shared" si="232"/>
        <v>0</v>
      </c>
      <c r="AE216" s="19">
        <v>0</v>
      </c>
      <c r="AF216" s="374">
        <v>0</v>
      </c>
      <c r="AG216" s="16">
        <f t="shared" si="233"/>
        <v>0</v>
      </c>
      <c r="AH216" s="19">
        <f t="shared" si="234"/>
        <v>0</v>
      </c>
      <c r="AI216" s="15">
        <f t="shared" si="235"/>
        <v>0</v>
      </c>
      <c r="AJ216" s="16">
        <f t="shared" si="236"/>
        <v>0</v>
      </c>
      <c r="AK216" s="9"/>
      <c r="AL216" s="372">
        <v>0</v>
      </c>
      <c r="AM216" s="375">
        <v>0</v>
      </c>
      <c r="AN216" s="9"/>
    </row>
    <row r="217" spans="1:40" s="382" customFormat="1" ht="24.95" customHeight="1">
      <c r="A217" s="748"/>
      <c r="B217" s="661"/>
      <c r="N217" s="9"/>
      <c r="P217" s="9"/>
      <c r="Q217" s="9"/>
      <c r="R217" s="9"/>
      <c r="S217" s="714" t="s">
        <v>333</v>
      </c>
      <c r="T217" s="693" t="s">
        <v>426</v>
      </c>
      <c r="U217" s="398">
        <v>0</v>
      </c>
      <c r="V217" s="15">
        <f t="shared" si="229"/>
        <v>0</v>
      </c>
      <c r="W217" s="15">
        <f t="shared" si="229"/>
        <v>0</v>
      </c>
      <c r="X217" s="16">
        <f t="shared" si="230"/>
        <v>0</v>
      </c>
      <c r="Y217" s="19">
        <v>0</v>
      </c>
      <c r="Z217" s="374">
        <v>0</v>
      </c>
      <c r="AA217" s="16">
        <f t="shared" si="231"/>
        <v>0</v>
      </c>
      <c r="AB217" s="17">
        <v>0</v>
      </c>
      <c r="AC217" s="374">
        <v>0</v>
      </c>
      <c r="AD217" s="18">
        <f t="shared" si="232"/>
        <v>0</v>
      </c>
      <c r="AE217" s="19">
        <v>0</v>
      </c>
      <c r="AF217" s="374">
        <v>0</v>
      </c>
      <c r="AG217" s="16">
        <f t="shared" si="233"/>
        <v>0</v>
      </c>
      <c r="AH217" s="19">
        <f t="shared" si="234"/>
        <v>0</v>
      </c>
      <c r="AI217" s="15">
        <f t="shared" si="235"/>
        <v>0</v>
      </c>
      <c r="AJ217" s="16">
        <f t="shared" si="236"/>
        <v>0</v>
      </c>
      <c r="AK217" s="9"/>
      <c r="AL217" s="372">
        <v>0</v>
      </c>
      <c r="AM217" s="375">
        <v>0</v>
      </c>
      <c r="AN217" s="9"/>
    </row>
    <row r="218" spans="1:40" s="382" customFormat="1" ht="24.95" customHeight="1" thickBot="1">
      <c r="A218" s="748"/>
      <c r="B218" s="661"/>
      <c r="N218" s="9"/>
      <c r="P218" s="9"/>
      <c r="Q218" s="9"/>
      <c r="R218" s="9"/>
      <c r="S218" s="715">
        <v>5199999</v>
      </c>
      <c r="T218" s="693" t="s">
        <v>129</v>
      </c>
      <c r="U218" s="488">
        <v>0</v>
      </c>
      <c r="V218" s="121">
        <f t="shared" si="229"/>
        <v>0</v>
      </c>
      <c r="W218" s="121">
        <f t="shared" si="229"/>
        <v>0</v>
      </c>
      <c r="X218" s="125">
        <f t="shared" si="230"/>
        <v>0</v>
      </c>
      <c r="Y218" s="124">
        <v>0</v>
      </c>
      <c r="Z218" s="388">
        <v>0</v>
      </c>
      <c r="AA218" s="125">
        <f t="shared" si="231"/>
        <v>0</v>
      </c>
      <c r="AB218" s="189">
        <v>0</v>
      </c>
      <c r="AC218" s="388">
        <v>0</v>
      </c>
      <c r="AD218" s="126">
        <f t="shared" si="232"/>
        <v>0</v>
      </c>
      <c r="AE218" s="124">
        <v>0</v>
      </c>
      <c r="AF218" s="388">
        <v>0</v>
      </c>
      <c r="AG218" s="125">
        <f t="shared" si="233"/>
        <v>0</v>
      </c>
      <c r="AH218" s="124">
        <f t="shared" si="234"/>
        <v>0</v>
      </c>
      <c r="AI218" s="121">
        <f t="shared" si="235"/>
        <v>0</v>
      </c>
      <c r="AJ218" s="125">
        <f t="shared" si="236"/>
        <v>0</v>
      </c>
      <c r="AK218" s="9"/>
      <c r="AL218" s="372">
        <v>0</v>
      </c>
      <c r="AM218" s="375">
        <v>0</v>
      </c>
      <c r="AN218" s="9"/>
    </row>
    <row r="219" spans="1:40" s="382" customFormat="1" ht="24.95" customHeight="1" thickBot="1">
      <c r="A219" s="748"/>
      <c r="B219" s="661"/>
      <c r="N219" s="9"/>
      <c r="P219" s="9"/>
      <c r="Q219" s="9"/>
      <c r="R219" s="9"/>
      <c r="S219" s="495"/>
      <c r="T219" s="694"/>
      <c r="U219" s="205"/>
      <c r="V219" s="160"/>
      <c r="W219" s="160"/>
      <c r="X219" s="160"/>
      <c r="Y219" s="160"/>
      <c r="Z219" s="205"/>
      <c r="AA219" s="160"/>
      <c r="AB219" s="160"/>
      <c r="AC219" s="205"/>
      <c r="AD219" s="160"/>
      <c r="AE219" s="160"/>
      <c r="AF219" s="205"/>
      <c r="AG219" s="160"/>
      <c r="AH219" s="496"/>
      <c r="AI219" s="160"/>
      <c r="AJ219" s="169"/>
      <c r="AK219" s="10"/>
      <c r="AL219" s="497"/>
      <c r="AM219" s="498"/>
      <c r="AN219" s="9"/>
    </row>
    <row r="220" spans="1:40" s="382" customFormat="1" ht="24.95" customHeight="1">
      <c r="A220" s="748"/>
      <c r="B220" s="661"/>
      <c r="N220" s="9"/>
      <c r="P220" s="9"/>
      <c r="Q220" s="9"/>
      <c r="R220" s="9"/>
      <c r="S220" s="357" t="s">
        <v>334</v>
      </c>
      <c r="T220" s="676" t="s">
        <v>335</v>
      </c>
      <c r="U220" s="358">
        <f t="shared" ref="U220:AJ220" si="237">U222+U227</f>
        <v>0</v>
      </c>
      <c r="V220" s="359">
        <f t="shared" si="237"/>
        <v>0</v>
      </c>
      <c r="W220" s="359">
        <f t="shared" si="237"/>
        <v>0</v>
      </c>
      <c r="X220" s="362">
        <f t="shared" si="237"/>
        <v>0</v>
      </c>
      <c r="Y220" s="361">
        <f t="shared" si="237"/>
        <v>0</v>
      </c>
      <c r="Z220" s="499">
        <f t="shared" si="237"/>
        <v>0</v>
      </c>
      <c r="AA220" s="362">
        <f t="shared" si="237"/>
        <v>0</v>
      </c>
      <c r="AB220" s="361">
        <f t="shared" si="237"/>
        <v>0</v>
      </c>
      <c r="AC220" s="499">
        <f t="shared" si="237"/>
        <v>0</v>
      </c>
      <c r="AD220" s="362">
        <f t="shared" si="237"/>
        <v>0</v>
      </c>
      <c r="AE220" s="361">
        <f t="shared" si="237"/>
        <v>0</v>
      </c>
      <c r="AF220" s="499">
        <f t="shared" si="237"/>
        <v>0</v>
      </c>
      <c r="AG220" s="362">
        <f t="shared" si="237"/>
        <v>0</v>
      </c>
      <c r="AH220" s="361">
        <f t="shared" si="237"/>
        <v>0</v>
      </c>
      <c r="AI220" s="359">
        <f t="shared" si="237"/>
        <v>0</v>
      </c>
      <c r="AJ220" s="360">
        <f t="shared" si="237"/>
        <v>0</v>
      </c>
      <c r="AK220" s="500"/>
      <c r="AL220" s="361">
        <f>AL222+AL227</f>
        <v>0</v>
      </c>
      <c r="AM220" s="360">
        <f>AM222+AM227</f>
        <v>0</v>
      </c>
      <c r="AN220" s="9"/>
    </row>
    <row r="221" spans="1:40" s="382" customFormat="1" ht="24.95" customHeight="1">
      <c r="A221" s="748"/>
      <c r="B221" s="661"/>
      <c r="N221" s="9"/>
      <c r="P221" s="9"/>
      <c r="Q221" s="9"/>
      <c r="R221" s="9"/>
      <c r="S221" s="366"/>
      <c r="T221" s="695"/>
      <c r="U221" s="200"/>
      <c r="V221" s="161"/>
      <c r="W221" s="161"/>
      <c r="X221" s="161"/>
      <c r="Y221" s="161"/>
      <c r="Z221" s="200"/>
      <c r="AA221" s="161"/>
      <c r="AB221" s="161"/>
      <c r="AC221" s="200"/>
      <c r="AD221" s="161"/>
      <c r="AE221" s="161"/>
      <c r="AF221" s="200"/>
      <c r="AG221" s="161"/>
      <c r="AH221" s="367"/>
      <c r="AI221" s="161"/>
      <c r="AJ221" s="166"/>
      <c r="AK221" s="9"/>
      <c r="AL221" s="172"/>
      <c r="AM221" s="173"/>
      <c r="AN221" s="9"/>
    </row>
    <row r="222" spans="1:40" s="382" customFormat="1" ht="24.95" customHeight="1">
      <c r="A222" s="748"/>
      <c r="B222" s="661"/>
      <c r="N222" s="9"/>
      <c r="P222" s="9"/>
      <c r="Q222" s="9"/>
      <c r="R222" s="9"/>
      <c r="S222" s="704">
        <v>7001000</v>
      </c>
      <c r="T222" s="680" t="s">
        <v>336</v>
      </c>
      <c r="U222" s="201">
        <f t="shared" ref="U222:AJ222" si="238">SUM(U223:U225)</f>
        <v>0</v>
      </c>
      <c r="V222" s="122">
        <f t="shared" si="238"/>
        <v>0</v>
      </c>
      <c r="W222" s="122">
        <f t="shared" si="238"/>
        <v>0</v>
      </c>
      <c r="X222" s="129">
        <f t="shared" si="238"/>
        <v>0</v>
      </c>
      <c r="Y222" s="128">
        <f t="shared" si="238"/>
        <v>0</v>
      </c>
      <c r="Z222" s="202">
        <f t="shared" si="238"/>
        <v>0</v>
      </c>
      <c r="AA222" s="129">
        <f t="shared" si="238"/>
        <v>0</v>
      </c>
      <c r="AB222" s="128">
        <f t="shared" si="238"/>
        <v>0</v>
      </c>
      <c r="AC222" s="202">
        <f t="shared" si="238"/>
        <v>0</v>
      </c>
      <c r="AD222" s="129">
        <f t="shared" si="238"/>
        <v>0</v>
      </c>
      <c r="AE222" s="128">
        <f t="shared" si="238"/>
        <v>0</v>
      </c>
      <c r="AF222" s="202">
        <f t="shared" si="238"/>
        <v>0</v>
      </c>
      <c r="AG222" s="129">
        <f t="shared" si="238"/>
        <v>0</v>
      </c>
      <c r="AH222" s="128">
        <f t="shared" si="238"/>
        <v>0</v>
      </c>
      <c r="AI222" s="122">
        <f t="shared" si="238"/>
        <v>0</v>
      </c>
      <c r="AJ222" s="130">
        <f t="shared" si="238"/>
        <v>0</v>
      </c>
      <c r="AK222" s="9"/>
      <c r="AL222" s="128">
        <f>SUM(AL223:AL225)</f>
        <v>0</v>
      </c>
      <c r="AM222" s="130">
        <f>SUM(AM223:AM225)</f>
        <v>0</v>
      </c>
      <c r="AN222" s="9"/>
    </row>
    <row r="223" spans="1:40" s="382" customFormat="1" ht="24.95" customHeight="1">
      <c r="A223" s="748"/>
      <c r="B223" s="661"/>
      <c r="N223" s="9"/>
      <c r="P223" s="9"/>
      <c r="Q223" s="9"/>
      <c r="R223" s="9"/>
      <c r="S223" s="705">
        <v>7001100</v>
      </c>
      <c r="T223" s="681" t="s">
        <v>337</v>
      </c>
      <c r="U223" s="398">
        <v>0</v>
      </c>
      <c r="V223" s="15">
        <f t="shared" ref="V223:W225" si="239">AL223</f>
        <v>0</v>
      </c>
      <c r="W223" s="15">
        <f t="shared" si="239"/>
        <v>0</v>
      </c>
      <c r="X223" s="18">
        <f>SUM(U223:W223)</f>
        <v>0</v>
      </c>
      <c r="Y223" s="19">
        <v>0</v>
      </c>
      <c r="Z223" s="374">
        <v>0</v>
      </c>
      <c r="AA223" s="18">
        <f>SUM(Y223:Z223)</f>
        <v>0</v>
      </c>
      <c r="AB223" s="19">
        <v>0</v>
      </c>
      <c r="AC223" s="374">
        <v>0</v>
      </c>
      <c r="AD223" s="18">
        <f>SUM(AB223:AC223)</f>
        <v>0</v>
      </c>
      <c r="AE223" s="19">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48"/>
      <c r="B224" s="661"/>
      <c r="N224" s="9"/>
      <c r="P224" s="9"/>
      <c r="Q224" s="9"/>
      <c r="R224" s="9"/>
      <c r="S224" s="705">
        <v>7001200</v>
      </c>
      <c r="T224" s="681" t="s">
        <v>338</v>
      </c>
      <c r="U224" s="398">
        <v>0</v>
      </c>
      <c r="V224" s="15">
        <f t="shared" si="239"/>
        <v>0</v>
      </c>
      <c r="W224" s="15">
        <f t="shared" si="239"/>
        <v>0</v>
      </c>
      <c r="X224" s="18">
        <f>SUM(U224:W224)</f>
        <v>0</v>
      </c>
      <c r="Y224" s="19">
        <v>0</v>
      </c>
      <c r="Z224" s="374">
        <v>0</v>
      </c>
      <c r="AA224" s="18">
        <f>SUM(Y224:Z224)</f>
        <v>0</v>
      </c>
      <c r="AB224" s="19">
        <v>0</v>
      </c>
      <c r="AC224" s="374">
        <v>0</v>
      </c>
      <c r="AD224" s="18">
        <f>SUM(AB224:AC224)</f>
        <v>0</v>
      </c>
      <c r="AE224" s="19">
        <v>0</v>
      </c>
      <c r="AF224" s="374">
        <v>0</v>
      </c>
      <c r="AG224" s="18">
        <f>SUM(AE224:AF224)</f>
        <v>0</v>
      </c>
      <c r="AH224" s="19">
        <f>X224-AA224</f>
        <v>0</v>
      </c>
      <c r="AI224" s="15">
        <f>X224-AD224</f>
        <v>0</v>
      </c>
      <c r="AJ224" s="16">
        <f>X224-AG224</f>
        <v>0</v>
      </c>
      <c r="AK224" s="9"/>
      <c r="AL224" s="372">
        <v>0</v>
      </c>
      <c r="AM224" s="375">
        <v>0</v>
      </c>
      <c r="AN224" s="9"/>
    </row>
    <row r="225" spans="1:70" s="382" customFormat="1" ht="24.95" customHeight="1">
      <c r="A225" s="748"/>
      <c r="B225" s="661"/>
      <c r="N225" s="9"/>
      <c r="P225" s="9"/>
      <c r="Q225" s="9"/>
      <c r="R225" s="9"/>
      <c r="S225" s="705">
        <v>7001999</v>
      </c>
      <c r="T225" s="681" t="s">
        <v>129</v>
      </c>
      <c r="U225" s="398">
        <v>0</v>
      </c>
      <c r="V225" s="15">
        <f t="shared" si="239"/>
        <v>0</v>
      </c>
      <c r="W225" s="15">
        <f t="shared" si="239"/>
        <v>0</v>
      </c>
      <c r="X225" s="18">
        <f>SUM(U225:W225)</f>
        <v>0</v>
      </c>
      <c r="Y225" s="19">
        <v>0</v>
      </c>
      <c r="Z225" s="374">
        <v>0</v>
      </c>
      <c r="AA225" s="18">
        <f>SUM(Y225:Z225)</f>
        <v>0</v>
      </c>
      <c r="AB225" s="19">
        <v>0</v>
      </c>
      <c r="AC225" s="374">
        <v>0</v>
      </c>
      <c r="AD225" s="18">
        <f>SUM(AB225:AC225)</f>
        <v>0</v>
      </c>
      <c r="AE225" s="19">
        <v>0</v>
      </c>
      <c r="AF225" s="374">
        <v>0</v>
      </c>
      <c r="AG225" s="18">
        <f>SUM(AE225:AF225)</f>
        <v>0</v>
      </c>
      <c r="AH225" s="19">
        <f>X225-AA225</f>
        <v>0</v>
      </c>
      <c r="AI225" s="15">
        <f>X225-AD225</f>
        <v>0</v>
      </c>
      <c r="AJ225" s="16">
        <f>X225-AG225</f>
        <v>0</v>
      </c>
      <c r="AK225" s="9"/>
      <c r="AL225" s="372">
        <v>0</v>
      </c>
      <c r="AM225" s="375">
        <v>0</v>
      </c>
      <c r="AN225" s="9"/>
    </row>
    <row r="226" spans="1:70" s="382" customFormat="1" ht="24.95" customHeight="1">
      <c r="A226" s="748"/>
      <c r="B226" s="661"/>
      <c r="N226" s="9"/>
      <c r="P226" s="9"/>
      <c r="Q226" s="9"/>
      <c r="R226" s="9"/>
      <c r="S226" s="366"/>
      <c r="T226" s="695"/>
      <c r="U226" s="200"/>
      <c r="V226" s="161"/>
      <c r="W226" s="161"/>
      <c r="X226" s="161"/>
      <c r="Y226" s="161"/>
      <c r="Z226" s="200"/>
      <c r="AA226" s="161"/>
      <c r="AB226" s="161"/>
      <c r="AC226" s="200"/>
      <c r="AD226" s="161"/>
      <c r="AE226" s="161"/>
      <c r="AF226" s="200"/>
      <c r="AG226" s="161"/>
      <c r="AH226" s="367"/>
      <c r="AI226" s="161"/>
      <c r="AJ226" s="166"/>
      <c r="AK226" s="10"/>
      <c r="AL226" s="172"/>
      <c r="AM226" s="173"/>
      <c r="AN226" s="9"/>
    </row>
    <row r="227" spans="1:70" s="382" customFormat="1" ht="24.95" customHeight="1">
      <c r="A227" s="748"/>
      <c r="B227" s="661"/>
      <c r="N227" s="9"/>
      <c r="P227" s="9"/>
      <c r="Q227" s="9"/>
      <c r="R227" s="9"/>
      <c r="S227" s="704">
        <v>7002001</v>
      </c>
      <c r="T227" s="680" t="s">
        <v>339</v>
      </c>
      <c r="U227" s="201">
        <f t="shared" ref="U227:AJ227" si="240">SUM(U228:U230)</f>
        <v>0</v>
      </c>
      <c r="V227" s="122">
        <f t="shared" si="240"/>
        <v>0</v>
      </c>
      <c r="W227" s="122">
        <f t="shared" si="240"/>
        <v>0</v>
      </c>
      <c r="X227" s="129">
        <f t="shared" si="240"/>
        <v>0</v>
      </c>
      <c r="Y227" s="128">
        <f t="shared" si="240"/>
        <v>0</v>
      </c>
      <c r="Z227" s="202">
        <f t="shared" si="240"/>
        <v>0</v>
      </c>
      <c r="AA227" s="129">
        <f t="shared" si="240"/>
        <v>0</v>
      </c>
      <c r="AB227" s="128">
        <f t="shared" si="240"/>
        <v>0</v>
      </c>
      <c r="AC227" s="202">
        <f t="shared" si="240"/>
        <v>0</v>
      </c>
      <c r="AD227" s="129">
        <f t="shared" si="240"/>
        <v>0</v>
      </c>
      <c r="AE227" s="128">
        <f t="shared" si="240"/>
        <v>0</v>
      </c>
      <c r="AF227" s="202">
        <f t="shared" si="240"/>
        <v>0</v>
      </c>
      <c r="AG227" s="129">
        <f t="shared" si="240"/>
        <v>0</v>
      </c>
      <c r="AH227" s="128">
        <f t="shared" si="240"/>
        <v>0</v>
      </c>
      <c r="AI227" s="122">
        <f t="shared" si="240"/>
        <v>0</v>
      </c>
      <c r="AJ227" s="130">
        <f t="shared" si="240"/>
        <v>0</v>
      </c>
      <c r="AK227" s="10"/>
      <c r="AL227" s="128">
        <f>SUM(AL228:AL230)</f>
        <v>0</v>
      </c>
      <c r="AM227" s="130">
        <f>SUM(AM228:AM230)</f>
        <v>0</v>
      </c>
      <c r="AN227" s="9"/>
    </row>
    <row r="228" spans="1:70" s="382" customFormat="1" ht="24.95" customHeight="1">
      <c r="A228" s="748"/>
      <c r="B228" s="661"/>
      <c r="N228" s="9"/>
      <c r="P228" s="9"/>
      <c r="Q228" s="9"/>
      <c r="R228" s="9"/>
      <c r="S228" s="705">
        <v>7002100</v>
      </c>
      <c r="T228" s="681" t="s">
        <v>340</v>
      </c>
      <c r="U228" s="398">
        <v>0</v>
      </c>
      <c r="V228" s="15">
        <f t="shared" ref="V228:W230" si="241">AL228</f>
        <v>0</v>
      </c>
      <c r="W228" s="15">
        <f t="shared" si="241"/>
        <v>0</v>
      </c>
      <c r="X228" s="18">
        <f>SUM(U228:W228)</f>
        <v>0</v>
      </c>
      <c r="Y228" s="19">
        <v>0</v>
      </c>
      <c r="Z228" s="374">
        <v>0</v>
      </c>
      <c r="AA228" s="18">
        <f>SUM(Y228:Z228)</f>
        <v>0</v>
      </c>
      <c r="AB228" s="19">
        <v>0</v>
      </c>
      <c r="AC228" s="374">
        <v>0</v>
      </c>
      <c r="AD228" s="18">
        <f>SUM(AB228:AC228)</f>
        <v>0</v>
      </c>
      <c r="AE228" s="19">
        <v>0</v>
      </c>
      <c r="AF228" s="374">
        <v>0</v>
      </c>
      <c r="AG228" s="18">
        <f>SUM(AE228:AF228)</f>
        <v>0</v>
      </c>
      <c r="AH228" s="19">
        <f>X228-AA228</f>
        <v>0</v>
      </c>
      <c r="AI228" s="15">
        <f>X228-AD228</f>
        <v>0</v>
      </c>
      <c r="AJ228" s="16">
        <f>X228-AG228</f>
        <v>0</v>
      </c>
      <c r="AK228" s="9"/>
      <c r="AL228" s="372">
        <v>0</v>
      </c>
      <c r="AM228" s="375">
        <v>0</v>
      </c>
      <c r="AN228" s="9"/>
    </row>
    <row r="229" spans="1:70" s="382" customFormat="1" ht="24.95" customHeight="1">
      <c r="A229" s="748"/>
      <c r="B229" s="661"/>
      <c r="N229" s="9"/>
      <c r="P229" s="9"/>
      <c r="Q229" s="9"/>
      <c r="R229" s="9"/>
      <c r="S229" s="705">
        <v>7002200</v>
      </c>
      <c r="T229" s="681" t="s">
        <v>338</v>
      </c>
      <c r="U229" s="398">
        <v>0</v>
      </c>
      <c r="V229" s="15">
        <f t="shared" si="241"/>
        <v>0</v>
      </c>
      <c r="W229" s="15">
        <f t="shared" si="241"/>
        <v>0</v>
      </c>
      <c r="X229" s="18">
        <f>SUM(U229:W229)</f>
        <v>0</v>
      </c>
      <c r="Y229" s="19">
        <v>0</v>
      </c>
      <c r="Z229" s="374">
        <v>0</v>
      </c>
      <c r="AA229" s="18">
        <f>SUM(Y229:Z229)</f>
        <v>0</v>
      </c>
      <c r="AB229" s="19">
        <v>0</v>
      </c>
      <c r="AC229" s="374">
        <v>0</v>
      </c>
      <c r="AD229" s="18">
        <f>SUM(AB229:AC229)</f>
        <v>0</v>
      </c>
      <c r="AE229" s="19">
        <v>0</v>
      </c>
      <c r="AF229" s="374">
        <v>0</v>
      </c>
      <c r="AG229" s="18">
        <f>SUM(AE229:AF229)</f>
        <v>0</v>
      </c>
      <c r="AH229" s="19">
        <f>X229-AA229</f>
        <v>0</v>
      </c>
      <c r="AI229" s="15">
        <f>X229-AD229</f>
        <v>0</v>
      </c>
      <c r="AJ229" s="16">
        <f>X229-AG229</f>
        <v>0</v>
      </c>
      <c r="AK229" s="9"/>
      <c r="AL229" s="372">
        <v>0</v>
      </c>
      <c r="AM229" s="375">
        <v>0</v>
      </c>
      <c r="AN229" s="9"/>
    </row>
    <row r="230" spans="1:70" s="382" customFormat="1" ht="24.95" customHeight="1" thickBot="1">
      <c r="A230" s="748"/>
      <c r="B230" s="661"/>
      <c r="N230" s="9"/>
      <c r="P230" s="9"/>
      <c r="Q230" s="9"/>
      <c r="R230" s="9"/>
      <c r="S230" s="710">
        <v>7002999</v>
      </c>
      <c r="T230" s="687" t="s">
        <v>129</v>
      </c>
      <c r="U230" s="488">
        <v>0</v>
      </c>
      <c r="V230" s="121">
        <f t="shared" si="241"/>
        <v>0</v>
      </c>
      <c r="W230" s="121">
        <f t="shared" si="241"/>
        <v>0</v>
      </c>
      <c r="X230" s="126">
        <f>SUM(U230:W230)</f>
        <v>0</v>
      </c>
      <c r="Y230" s="124">
        <v>0</v>
      </c>
      <c r="Z230" s="388">
        <v>0</v>
      </c>
      <c r="AA230" s="126">
        <f>SUM(Y230:Z230)</f>
        <v>0</v>
      </c>
      <c r="AB230" s="124">
        <v>0</v>
      </c>
      <c r="AC230" s="388">
        <v>0</v>
      </c>
      <c r="AD230" s="126">
        <f>SUM(AB230:AC230)</f>
        <v>0</v>
      </c>
      <c r="AE230" s="124">
        <v>0</v>
      </c>
      <c r="AF230" s="388">
        <v>0</v>
      </c>
      <c r="AG230" s="126">
        <f>SUM(AE230:AF230)</f>
        <v>0</v>
      </c>
      <c r="AH230" s="124">
        <f>X230-AA230</f>
        <v>0</v>
      </c>
      <c r="AI230" s="121">
        <f>X230-AD230</f>
        <v>0</v>
      </c>
      <c r="AJ230" s="125">
        <f>X230-AG230</f>
        <v>0</v>
      </c>
      <c r="AK230" s="9"/>
      <c r="AL230" s="501">
        <v>0</v>
      </c>
      <c r="AM230" s="502">
        <v>0</v>
      </c>
      <c r="AN230" s="9"/>
    </row>
    <row r="231" spans="1:70" s="382" customFormat="1" ht="24.95" customHeight="1">
      <c r="A231" s="748"/>
      <c r="B231" s="661"/>
      <c r="N231" s="9"/>
      <c r="P231" s="9"/>
      <c r="Q231" s="9"/>
      <c r="R231" s="9"/>
      <c r="S231" s="489"/>
      <c r="T231" s="688"/>
      <c r="U231" s="204"/>
      <c r="V231" s="167"/>
      <c r="W231" s="167"/>
      <c r="X231" s="167"/>
      <c r="Y231" s="167"/>
      <c r="Z231" s="204"/>
      <c r="AA231" s="167"/>
      <c r="AB231" s="167"/>
      <c r="AC231" s="204"/>
      <c r="AD231" s="167"/>
      <c r="AE231" s="167"/>
      <c r="AF231" s="204"/>
      <c r="AG231" s="167"/>
      <c r="AH231" s="490"/>
      <c r="AI231" s="167"/>
      <c r="AJ231" s="168"/>
      <c r="AK231" s="9"/>
      <c r="AL231" s="503"/>
      <c r="AM231" s="504"/>
      <c r="AN231" s="9"/>
    </row>
    <row r="232" spans="1:70" s="382" customFormat="1" ht="24.95" customHeight="1">
      <c r="A232" s="748"/>
      <c r="B232" s="661"/>
      <c r="N232" s="9"/>
      <c r="P232" s="9"/>
      <c r="Q232" s="9"/>
      <c r="R232" s="9"/>
      <c r="S232" s="505" t="s">
        <v>341</v>
      </c>
      <c r="T232" s="696" t="s">
        <v>70</v>
      </c>
      <c r="U232" s="470">
        <f>U234+U243</f>
        <v>0</v>
      </c>
      <c r="V232" s="471">
        <f t="shared" ref="V232:AJ232" si="242">V234+V243</f>
        <v>0</v>
      </c>
      <c r="W232" s="471">
        <f t="shared" si="242"/>
        <v>0</v>
      </c>
      <c r="X232" s="472">
        <f t="shared" si="242"/>
        <v>0</v>
      </c>
      <c r="Y232" s="379">
        <f t="shared" si="242"/>
        <v>0</v>
      </c>
      <c r="Z232" s="494">
        <f t="shared" si="242"/>
        <v>0</v>
      </c>
      <c r="AA232" s="472">
        <f t="shared" si="242"/>
        <v>0</v>
      </c>
      <c r="AB232" s="379">
        <f t="shared" si="242"/>
        <v>0</v>
      </c>
      <c r="AC232" s="494">
        <f t="shared" si="242"/>
        <v>0</v>
      </c>
      <c r="AD232" s="472">
        <f t="shared" si="242"/>
        <v>0</v>
      </c>
      <c r="AE232" s="379">
        <f t="shared" si="242"/>
        <v>0</v>
      </c>
      <c r="AF232" s="494">
        <f t="shared" si="242"/>
        <v>0</v>
      </c>
      <c r="AG232" s="472">
        <f t="shared" si="242"/>
        <v>0</v>
      </c>
      <c r="AH232" s="379">
        <f t="shared" si="242"/>
        <v>0</v>
      </c>
      <c r="AI232" s="471">
        <f t="shared" si="242"/>
        <v>0</v>
      </c>
      <c r="AJ232" s="380">
        <f t="shared" si="242"/>
        <v>0</v>
      </c>
      <c r="AK232" s="500"/>
      <c r="AL232" s="379">
        <f t="shared" ref="AL232:AM232" si="243">AL234+AL243</f>
        <v>0</v>
      </c>
      <c r="AM232" s="380">
        <f t="shared" si="243"/>
        <v>0</v>
      </c>
      <c r="AN232" s="9"/>
    </row>
    <row r="233" spans="1:70" s="382" customFormat="1" ht="24.95" customHeight="1">
      <c r="A233" s="748"/>
      <c r="B233" s="661"/>
      <c r="N233" s="9"/>
      <c r="P233" s="9"/>
      <c r="Q233" s="9"/>
      <c r="R233" s="9"/>
      <c r="S233" s="366"/>
      <c r="T233" s="695"/>
      <c r="U233" s="200"/>
      <c r="V233" s="161"/>
      <c r="W233" s="161"/>
      <c r="X233" s="161"/>
      <c r="Y233" s="161"/>
      <c r="Z233" s="200"/>
      <c r="AA233" s="161"/>
      <c r="AB233" s="161"/>
      <c r="AC233" s="200"/>
      <c r="AD233" s="161"/>
      <c r="AE233" s="161"/>
      <c r="AF233" s="200"/>
      <c r="AG233" s="161"/>
      <c r="AH233" s="367"/>
      <c r="AI233" s="161"/>
      <c r="AJ233" s="166"/>
      <c r="AK233" s="9"/>
      <c r="AL233" s="172"/>
      <c r="AM233" s="173"/>
      <c r="AN233" s="9"/>
    </row>
    <row r="234" spans="1:70" s="382" customFormat="1" ht="24.95" customHeight="1">
      <c r="A234" s="748"/>
      <c r="B234" s="661"/>
      <c r="N234" s="9"/>
      <c r="P234" s="9"/>
      <c r="Q234" s="9"/>
      <c r="R234" s="9"/>
      <c r="S234" s="704">
        <v>8000000</v>
      </c>
      <c r="T234" s="680" t="s">
        <v>342</v>
      </c>
      <c r="U234" s="132">
        <f>U235</f>
        <v>0</v>
      </c>
      <c r="V234" s="122">
        <f t="shared" ref="V234:AJ234" si="244">V235</f>
        <v>0</v>
      </c>
      <c r="W234" s="122">
        <f t="shared" si="244"/>
        <v>0</v>
      </c>
      <c r="X234" s="129">
        <f t="shared" si="244"/>
        <v>0</v>
      </c>
      <c r="Y234" s="128">
        <f t="shared" si="244"/>
        <v>0</v>
      </c>
      <c r="Z234" s="202">
        <f t="shared" si="244"/>
        <v>0</v>
      </c>
      <c r="AA234" s="129">
        <f t="shared" si="244"/>
        <v>0</v>
      </c>
      <c r="AB234" s="128">
        <f t="shared" si="244"/>
        <v>0</v>
      </c>
      <c r="AC234" s="202">
        <f t="shared" si="244"/>
        <v>0</v>
      </c>
      <c r="AD234" s="129">
        <f t="shared" si="244"/>
        <v>0</v>
      </c>
      <c r="AE234" s="128">
        <f t="shared" si="244"/>
        <v>0</v>
      </c>
      <c r="AF234" s="202">
        <f t="shared" si="244"/>
        <v>0</v>
      </c>
      <c r="AG234" s="129">
        <f t="shared" si="244"/>
        <v>0</v>
      </c>
      <c r="AH234" s="128">
        <f t="shared" si="244"/>
        <v>0</v>
      </c>
      <c r="AI234" s="122">
        <f t="shared" si="244"/>
        <v>0</v>
      </c>
      <c r="AJ234" s="130">
        <f t="shared" si="244"/>
        <v>0</v>
      </c>
      <c r="AK234" s="9"/>
      <c r="AL234" s="128">
        <f t="shared" ref="AL234:AM234" si="245">AL235</f>
        <v>0</v>
      </c>
      <c r="AM234" s="130">
        <f t="shared" si="245"/>
        <v>0</v>
      </c>
      <c r="AN234" s="9"/>
    </row>
    <row r="235" spans="1:70" s="382" customFormat="1" ht="24.95" customHeight="1">
      <c r="A235" s="748"/>
      <c r="B235" s="661"/>
      <c r="N235" s="9"/>
      <c r="P235" s="9"/>
      <c r="Q235" s="9"/>
      <c r="R235" s="9"/>
      <c r="S235" s="705">
        <v>8001000</v>
      </c>
      <c r="T235" s="681" t="s">
        <v>343</v>
      </c>
      <c r="U235" s="207">
        <f t="shared" ref="U235:AJ235" si="246">SUM(U236:U241)</f>
        <v>0</v>
      </c>
      <c r="V235" s="15">
        <f t="shared" si="246"/>
        <v>0</v>
      </c>
      <c r="W235" s="15">
        <f t="shared" si="246"/>
        <v>0</v>
      </c>
      <c r="X235" s="18">
        <f t="shared" si="246"/>
        <v>0</v>
      </c>
      <c r="Y235" s="19">
        <f t="shared" si="246"/>
        <v>0</v>
      </c>
      <c r="Z235" s="203">
        <f t="shared" si="246"/>
        <v>0</v>
      </c>
      <c r="AA235" s="18">
        <f t="shared" si="246"/>
        <v>0</v>
      </c>
      <c r="AB235" s="19">
        <f t="shared" si="246"/>
        <v>0</v>
      </c>
      <c r="AC235" s="203">
        <f t="shared" si="246"/>
        <v>0</v>
      </c>
      <c r="AD235" s="18">
        <f t="shared" si="246"/>
        <v>0</v>
      </c>
      <c r="AE235" s="19">
        <f t="shared" si="246"/>
        <v>0</v>
      </c>
      <c r="AF235" s="203">
        <f t="shared" si="246"/>
        <v>0</v>
      </c>
      <c r="AG235" s="18">
        <f t="shared" si="246"/>
        <v>0</v>
      </c>
      <c r="AH235" s="19">
        <f t="shared" si="246"/>
        <v>0</v>
      </c>
      <c r="AI235" s="15">
        <f t="shared" si="246"/>
        <v>0</v>
      </c>
      <c r="AJ235" s="16">
        <f t="shared" si="246"/>
        <v>0</v>
      </c>
      <c r="AK235" s="9"/>
      <c r="AL235" s="29">
        <f>SUM(AL236:AL241)</f>
        <v>0</v>
      </c>
      <c r="AM235" s="26">
        <f>SUM(AM236:AM241)</f>
        <v>0</v>
      </c>
      <c r="AN235" s="9"/>
    </row>
    <row r="236" spans="1:70" s="382" customFormat="1" ht="24.95" customHeight="1">
      <c r="A236" s="748"/>
      <c r="B236" s="661"/>
      <c r="N236" s="9"/>
      <c r="P236" s="9"/>
      <c r="Q236" s="9"/>
      <c r="R236" s="9"/>
      <c r="S236" s="706" t="s">
        <v>344</v>
      </c>
      <c r="T236" s="683" t="s">
        <v>345</v>
      </c>
      <c r="U236" s="398">
        <v>0</v>
      </c>
      <c r="V236" s="15">
        <f t="shared" ref="V236:W241" si="247">AL236</f>
        <v>0</v>
      </c>
      <c r="W236" s="15">
        <f t="shared" si="247"/>
        <v>0</v>
      </c>
      <c r="X236" s="18">
        <f t="shared" ref="X236:X241" si="248">SUM(U236:W236)</f>
        <v>0</v>
      </c>
      <c r="Y236" s="19">
        <v>0</v>
      </c>
      <c r="Z236" s="374">
        <v>0</v>
      </c>
      <c r="AA236" s="18">
        <f t="shared" ref="AA236:AA241" si="249">SUM(Y236:Z236)</f>
        <v>0</v>
      </c>
      <c r="AB236" s="19">
        <v>0</v>
      </c>
      <c r="AC236" s="374">
        <v>0</v>
      </c>
      <c r="AD236" s="18">
        <f t="shared" ref="AD236:AD241" si="250">SUM(AB236:AC236)</f>
        <v>0</v>
      </c>
      <c r="AE236" s="19">
        <v>0</v>
      </c>
      <c r="AF236" s="374">
        <v>0</v>
      </c>
      <c r="AG236" s="18">
        <f t="shared" ref="AG236:AG241" si="251">SUM(AE236:AF236)</f>
        <v>0</v>
      </c>
      <c r="AH236" s="19">
        <f t="shared" ref="AH236:AH241" si="252">X236-AA236</f>
        <v>0</v>
      </c>
      <c r="AI236" s="15">
        <f t="shared" ref="AI236:AI241" si="253">X236-AD236</f>
        <v>0</v>
      </c>
      <c r="AJ236" s="16">
        <f t="shared" ref="AJ236:AJ241" si="254">X236-AG236</f>
        <v>0</v>
      </c>
      <c r="AK236" s="9"/>
      <c r="AL236" s="372">
        <v>0</v>
      </c>
      <c r="AM236" s="375">
        <v>0</v>
      </c>
      <c r="AN236" s="9"/>
    </row>
    <row r="237" spans="1:70" s="382" customFormat="1" ht="24.95" customHeight="1">
      <c r="A237" s="748"/>
      <c r="B237" s="661"/>
      <c r="N237" s="9"/>
      <c r="P237" s="9"/>
      <c r="Q237" s="9"/>
      <c r="R237" s="9"/>
      <c r="S237" s="706" t="s">
        <v>346</v>
      </c>
      <c r="T237" s="683" t="s">
        <v>347</v>
      </c>
      <c r="U237" s="398">
        <v>0</v>
      </c>
      <c r="V237" s="15">
        <f t="shared" si="247"/>
        <v>0</v>
      </c>
      <c r="W237" s="15">
        <f t="shared" si="247"/>
        <v>0</v>
      </c>
      <c r="X237" s="18">
        <f t="shared" si="248"/>
        <v>0</v>
      </c>
      <c r="Y237" s="19">
        <v>0</v>
      </c>
      <c r="Z237" s="374">
        <v>0</v>
      </c>
      <c r="AA237" s="18">
        <f t="shared" si="249"/>
        <v>0</v>
      </c>
      <c r="AB237" s="19">
        <v>0</v>
      </c>
      <c r="AC237" s="374">
        <v>0</v>
      </c>
      <c r="AD237" s="18">
        <f t="shared" si="250"/>
        <v>0</v>
      </c>
      <c r="AE237" s="19">
        <v>0</v>
      </c>
      <c r="AF237" s="374">
        <v>0</v>
      </c>
      <c r="AG237" s="18">
        <f t="shared" si="251"/>
        <v>0</v>
      </c>
      <c r="AH237" s="19">
        <f t="shared" si="252"/>
        <v>0</v>
      </c>
      <c r="AI237" s="15">
        <f t="shared" si="253"/>
        <v>0</v>
      </c>
      <c r="AJ237" s="16">
        <f t="shared" si="254"/>
        <v>0</v>
      </c>
      <c r="AK237" s="9"/>
      <c r="AL237" s="372">
        <v>0</v>
      </c>
      <c r="AM237" s="375">
        <v>0</v>
      </c>
      <c r="AN237" s="9"/>
    </row>
    <row r="238" spans="1:70" s="382" customFormat="1" ht="24.95" customHeight="1">
      <c r="A238" s="748"/>
      <c r="B238" s="661"/>
      <c r="N238" s="9"/>
      <c r="P238" s="9"/>
      <c r="Q238" s="9"/>
      <c r="R238" s="9"/>
      <c r="S238" s="706" t="s">
        <v>348</v>
      </c>
      <c r="T238" s="683" t="s">
        <v>349</v>
      </c>
      <c r="U238" s="398">
        <v>0</v>
      </c>
      <c r="V238" s="15">
        <f t="shared" si="247"/>
        <v>0</v>
      </c>
      <c r="W238" s="15">
        <f t="shared" si="247"/>
        <v>0</v>
      </c>
      <c r="X238" s="18">
        <f t="shared" si="248"/>
        <v>0</v>
      </c>
      <c r="Y238" s="19">
        <v>0</v>
      </c>
      <c r="Z238" s="374">
        <v>0</v>
      </c>
      <c r="AA238" s="18">
        <f t="shared" si="249"/>
        <v>0</v>
      </c>
      <c r="AB238" s="19">
        <v>0</v>
      </c>
      <c r="AC238" s="374">
        <v>0</v>
      </c>
      <c r="AD238" s="18">
        <f t="shared" si="250"/>
        <v>0</v>
      </c>
      <c r="AE238" s="19">
        <v>0</v>
      </c>
      <c r="AF238" s="374">
        <v>0</v>
      </c>
      <c r="AG238" s="18">
        <f t="shared" si="251"/>
        <v>0</v>
      </c>
      <c r="AH238" s="19">
        <f t="shared" si="252"/>
        <v>0</v>
      </c>
      <c r="AI238" s="15">
        <f t="shared" si="253"/>
        <v>0</v>
      </c>
      <c r="AJ238" s="16">
        <f t="shared" si="254"/>
        <v>0</v>
      </c>
      <c r="AK238" s="9"/>
      <c r="AL238" s="372">
        <v>0</v>
      </c>
      <c r="AM238" s="375">
        <v>0</v>
      </c>
      <c r="AN238" s="9"/>
    </row>
    <row r="239" spans="1:70" s="382" customFormat="1" ht="24.95" customHeight="1">
      <c r="A239" s="748"/>
      <c r="B239" s="661"/>
      <c r="N239" s="9"/>
      <c r="P239" s="9"/>
      <c r="Q239" s="9"/>
      <c r="S239" s="706" t="s">
        <v>350</v>
      </c>
      <c r="T239" s="683" t="s">
        <v>351</v>
      </c>
      <c r="U239" s="398">
        <v>0</v>
      </c>
      <c r="V239" s="15">
        <f t="shared" si="247"/>
        <v>0</v>
      </c>
      <c r="W239" s="15">
        <f t="shared" si="247"/>
        <v>0</v>
      </c>
      <c r="X239" s="18">
        <f t="shared" si="248"/>
        <v>0</v>
      </c>
      <c r="Y239" s="19">
        <v>0</v>
      </c>
      <c r="Z239" s="374">
        <v>0</v>
      </c>
      <c r="AA239" s="18">
        <f t="shared" si="249"/>
        <v>0</v>
      </c>
      <c r="AB239" s="19">
        <v>0</v>
      </c>
      <c r="AC239" s="374">
        <v>0</v>
      </c>
      <c r="AD239" s="18">
        <f t="shared" si="250"/>
        <v>0</v>
      </c>
      <c r="AE239" s="19">
        <v>0</v>
      </c>
      <c r="AF239" s="374">
        <v>0</v>
      </c>
      <c r="AG239" s="18">
        <f t="shared" si="251"/>
        <v>0</v>
      </c>
      <c r="AH239" s="19">
        <f t="shared" si="252"/>
        <v>0</v>
      </c>
      <c r="AI239" s="15">
        <f t="shared" si="253"/>
        <v>0</v>
      </c>
      <c r="AJ239" s="16">
        <f t="shared" si="254"/>
        <v>0</v>
      </c>
      <c r="AK239" s="9"/>
      <c r="AL239" s="372">
        <v>0</v>
      </c>
      <c r="AM239" s="375">
        <v>0</v>
      </c>
      <c r="AN239" s="9"/>
    </row>
    <row r="240" spans="1:70" ht="24.95" customHeight="1">
      <c r="A240" s="748"/>
      <c r="B240" s="661"/>
      <c r="C240" s="382"/>
      <c r="D240" s="382"/>
      <c r="E240" s="382"/>
      <c r="F240" s="382"/>
      <c r="G240" s="382"/>
      <c r="H240" s="382"/>
      <c r="I240" s="382"/>
      <c r="J240" s="382"/>
      <c r="K240" s="382"/>
      <c r="L240" s="382"/>
      <c r="M240" s="382"/>
      <c r="N240" s="9"/>
      <c r="O240" s="382"/>
      <c r="P240" s="9"/>
      <c r="Q240" s="9"/>
      <c r="S240" s="706" t="s">
        <v>352</v>
      </c>
      <c r="T240" s="683" t="s">
        <v>353</v>
      </c>
      <c r="U240" s="398">
        <v>0</v>
      </c>
      <c r="V240" s="15">
        <f t="shared" si="247"/>
        <v>0</v>
      </c>
      <c r="W240" s="15">
        <f t="shared" si="247"/>
        <v>0</v>
      </c>
      <c r="X240" s="18">
        <f t="shared" si="248"/>
        <v>0</v>
      </c>
      <c r="Y240" s="19">
        <v>0</v>
      </c>
      <c r="Z240" s="374">
        <v>0</v>
      </c>
      <c r="AA240" s="18">
        <f t="shared" si="249"/>
        <v>0</v>
      </c>
      <c r="AB240" s="19">
        <v>0</v>
      </c>
      <c r="AC240" s="374">
        <v>0</v>
      </c>
      <c r="AD240" s="18">
        <f t="shared" si="250"/>
        <v>0</v>
      </c>
      <c r="AE240" s="19">
        <v>0</v>
      </c>
      <c r="AF240" s="374">
        <v>0</v>
      </c>
      <c r="AG240" s="18">
        <f t="shared" si="251"/>
        <v>0</v>
      </c>
      <c r="AH240" s="19">
        <f t="shared" si="252"/>
        <v>0</v>
      </c>
      <c r="AI240" s="15">
        <f t="shared" si="253"/>
        <v>0</v>
      </c>
      <c r="AJ240" s="16">
        <f t="shared" si="254"/>
        <v>0</v>
      </c>
      <c r="AK240" s="9"/>
      <c r="AL240" s="372">
        <v>0</v>
      </c>
      <c r="AM240" s="375">
        <v>0</v>
      </c>
      <c r="BB240" s="382"/>
      <c r="BC240" s="382"/>
      <c r="BD240" s="382"/>
      <c r="BE240" s="382"/>
      <c r="BM240" s="382"/>
      <c r="BN240" s="382"/>
      <c r="BO240" s="382"/>
      <c r="BP240" s="382"/>
      <c r="BQ240" s="382"/>
      <c r="BR240" s="382"/>
    </row>
    <row r="241" spans="1:70" ht="24.95" customHeight="1">
      <c r="A241" s="748"/>
      <c r="B241" s="661"/>
      <c r="C241" s="382"/>
      <c r="D241" s="382"/>
      <c r="E241" s="382"/>
      <c r="F241" s="382"/>
      <c r="G241" s="382"/>
      <c r="H241" s="382"/>
      <c r="I241" s="382"/>
      <c r="J241" s="382"/>
      <c r="K241" s="382"/>
      <c r="L241" s="382"/>
      <c r="M241" s="382"/>
      <c r="N241" s="9"/>
      <c r="O241" s="382"/>
      <c r="P241" s="9"/>
      <c r="Q241" s="9"/>
      <c r="S241" s="716">
        <v>8001999</v>
      </c>
      <c r="T241" s="682" t="s">
        <v>129</v>
      </c>
      <c r="U241" s="398">
        <v>0</v>
      </c>
      <c r="V241" s="15">
        <f t="shared" si="247"/>
        <v>0</v>
      </c>
      <c r="W241" s="15">
        <f t="shared" si="247"/>
        <v>0</v>
      </c>
      <c r="X241" s="18">
        <f t="shared" si="248"/>
        <v>0</v>
      </c>
      <c r="Y241" s="19">
        <v>0</v>
      </c>
      <c r="Z241" s="374">
        <v>0</v>
      </c>
      <c r="AA241" s="18">
        <f t="shared" si="249"/>
        <v>0</v>
      </c>
      <c r="AB241" s="19">
        <v>0</v>
      </c>
      <c r="AC241" s="374">
        <v>0</v>
      </c>
      <c r="AD241" s="18">
        <f t="shared" si="250"/>
        <v>0</v>
      </c>
      <c r="AE241" s="19">
        <v>0</v>
      </c>
      <c r="AF241" s="374">
        <v>0</v>
      </c>
      <c r="AG241" s="18">
        <f t="shared" si="251"/>
        <v>0</v>
      </c>
      <c r="AH241" s="19">
        <f t="shared" si="252"/>
        <v>0</v>
      </c>
      <c r="AI241" s="15">
        <f t="shared" si="253"/>
        <v>0</v>
      </c>
      <c r="AJ241" s="16">
        <f t="shared" si="254"/>
        <v>0</v>
      </c>
      <c r="AK241" s="9"/>
      <c r="AL241" s="372">
        <v>0</v>
      </c>
      <c r="AM241" s="375">
        <v>0</v>
      </c>
      <c r="BM241" s="382"/>
      <c r="BN241" s="382"/>
      <c r="BO241" s="382"/>
      <c r="BP241" s="382"/>
      <c r="BQ241" s="382"/>
      <c r="BR241" s="382"/>
    </row>
    <row r="242" spans="1:70" ht="24.95" customHeight="1">
      <c r="A242" s="748"/>
      <c r="B242" s="661"/>
      <c r="C242" s="382"/>
      <c r="D242" s="382"/>
      <c r="E242" s="382"/>
      <c r="F242" s="382"/>
      <c r="G242" s="382"/>
      <c r="H242" s="382"/>
      <c r="I242" s="382"/>
      <c r="J242" s="382"/>
      <c r="K242" s="382"/>
      <c r="L242" s="382"/>
      <c r="M242" s="382"/>
      <c r="N242" s="9"/>
      <c r="O242" s="382"/>
      <c r="P242" s="9"/>
      <c r="Q242" s="9"/>
      <c r="S242" s="366"/>
      <c r="T242" s="695"/>
      <c r="U242" s="200"/>
      <c r="V242" s="161"/>
      <c r="W242" s="161"/>
      <c r="X242" s="161"/>
      <c r="Y242" s="161"/>
      <c r="Z242" s="200"/>
      <c r="AA242" s="161"/>
      <c r="AB242" s="161"/>
      <c r="AC242" s="200"/>
      <c r="AD242" s="161"/>
      <c r="AE242" s="161"/>
      <c r="AF242" s="200"/>
      <c r="AG242" s="161"/>
      <c r="AH242" s="367"/>
      <c r="AI242" s="161"/>
      <c r="AJ242" s="166"/>
      <c r="AK242" s="9"/>
      <c r="AL242" s="172"/>
      <c r="AM242" s="173"/>
    </row>
    <row r="243" spans="1:70" ht="24.95" customHeight="1">
      <c r="A243" s="748"/>
      <c r="B243" s="661"/>
      <c r="C243" s="382"/>
      <c r="D243" s="382"/>
      <c r="E243" s="382"/>
      <c r="F243" s="382"/>
      <c r="G243" s="382"/>
      <c r="H243" s="382"/>
      <c r="I243" s="382"/>
      <c r="J243" s="382"/>
      <c r="K243" s="382"/>
      <c r="L243" s="382"/>
      <c r="M243" s="382"/>
      <c r="N243" s="9"/>
      <c r="O243" s="382"/>
      <c r="P243" s="9"/>
      <c r="Q243" s="9"/>
      <c r="S243" s="802">
        <v>8002001</v>
      </c>
      <c r="T243" s="803" t="s">
        <v>354</v>
      </c>
      <c r="U243" s="804">
        <f t="shared" ref="U243:AJ243" si="255">SUM(U244:U256)</f>
        <v>0</v>
      </c>
      <c r="V243" s="804">
        <f t="shared" si="255"/>
        <v>0</v>
      </c>
      <c r="W243" s="804">
        <f t="shared" si="255"/>
        <v>0</v>
      </c>
      <c r="X243" s="804">
        <f t="shared" si="255"/>
        <v>0</v>
      </c>
      <c r="Y243" s="804">
        <f t="shared" si="255"/>
        <v>0</v>
      </c>
      <c r="Z243" s="804">
        <f t="shared" si="255"/>
        <v>0</v>
      </c>
      <c r="AA243" s="804">
        <f t="shared" si="255"/>
        <v>0</v>
      </c>
      <c r="AB243" s="804">
        <f t="shared" si="255"/>
        <v>0</v>
      </c>
      <c r="AC243" s="804">
        <f t="shared" si="255"/>
        <v>0</v>
      </c>
      <c r="AD243" s="804">
        <f t="shared" si="255"/>
        <v>0</v>
      </c>
      <c r="AE243" s="804">
        <f t="shared" si="255"/>
        <v>0</v>
      </c>
      <c r="AF243" s="804">
        <f t="shared" si="255"/>
        <v>0</v>
      </c>
      <c r="AG243" s="804">
        <f t="shared" si="255"/>
        <v>0</v>
      </c>
      <c r="AH243" s="804">
        <f t="shared" si="255"/>
        <v>0</v>
      </c>
      <c r="AI243" s="804">
        <f t="shared" si="255"/>
        <v>0</v>
      </c>
      <c r="AJ243" s="804">
        <f t="shared" si="255"/>
        <v>0</v>
      </c>
      <c r="AK243" s="9"/>
      <c r="AL243" s="804">
        <f>SUM(AL244:AL256)</f>
        <v>0</v>
      </c>
      <c r="AM243" s="804">
        <f>SUM(AM244:AM256)</f>
        <v>0</v>
      </c>
    </row>
    <row r="244" spans="1:70" ht="24.95" customHeight="1">
      <c r="A244" s="748"/>
      <c r="B244" s="661"/>
      <c r="C244" s="382"/>
      <c r="D244" s="382"/>
      <c r="E244" s="382"/>
      <c r="F244" s="382"/>
      <c r="G244" s="382"/>
      <c r="H244" s="382"/>
      <c r="I244" s="382"/>
      <c r="J244" s="382"/>
      <c r="K244" s="382"/>
      <c r="L244" s="382"/>
      <c r="M244" s="382"/>
      <c r="N244" s="9"/>
      <c r="O244" s="382"/>
      <c r="P244" s="9"/>
      <c r="Q244" s="9"/>
      <c r="S244" s="706" t="s">
        <v>355</v>
      </c>
      <c r="T244" s="683" t="s">
        <v>356</v>
      </c>
      <c r="U244" s="398">
        <v>0</v>
      </c>
      <c r="V244" s="15">
        <f t="shared" ref="V244:W256" si="256">AL244</f>
        <v>0</v>
      </c>
      <c r="W244" s="15">
        <f t="shared" si="256"/>
        <v>0</v>
      </c>
      <c r="X244" s="18">
        <f t="shared" ref="X244:X256" si="257">SUM(U244:W244)</f>
        <v>0</v>
      </c>
      <c r="Y244" s="19">
        <v>0</v>
      </c>
      <c r="Z244" s="374">
        <v>0</v>
      </c>
      <c r="AA244" s="18">
        <f t="shared" ref="AA244:AA256" si="258">SUM(Y244:Z244)</f>
        <v>0</v>
      </c>
      <c r="AB244" s="19">
        <v>0</v>
      </c>
      <c r="AC244" s="374">
        <v>0</v>
      </c>
      <c r="AD244" s="18">
        <f t="shared" ref="AD244:AD256" si="259">SUM(AB244:AC244)</f>
        <v>0</v>
      </c>
      <c r="AE244" s="19">
        <v>0</v>
      </c>
      <c r="AF244" s="374">
        <v>0</v>
      </c>
      <c r="AG244" s="18">
        <f t="shared" ref="AG244:AG256" si="260">SUM(AE244:AF244)</f>
        <v>0</v>
      </c>
      <c r="AH244" s="19">
        <f t="shared" ref="AH244:AH256" si="261">X244-AA244</f>
        <v>0</v>
      </c>
      <c r="AI244" s="15">
        <f t="shared" ref="AI244:AI256" si="262">X244-AD244</f>
        <v>0</v>
      </c>
      <c r="AJ244" s="16">
        <f t="shared" ref="AJ244:AJ256" si="263">X244-AG244</f>
        <v>0</v>
      </c>
      <c r="AK244" s="9"/>
      <c r="AL244" s="372">
        <v>0</v>
      </c>
      <c r="AM244" s="375">
        <v>0</v>
      </c>
    </row>
    <row r="245" spans="1:70" ht="24.95" customHeight="1">
      <c r="A245" s="748"/>
      <c r="B245" s="661"/>
      <c r="C245" s="382"/>
      <c r="D245" s="382"/>
      <c r="E245" s="382"/>
      <c r="F245" s="382"/>
      <c r="G245" s="382"/>
      <c r="H245" s="382"/>
      <c r="I245" s="382"/>
      <c r="J245" s="382"/>
      <c r="K245" s="382"/>
      <c r="L245" s="382"/>
      <c r="M245" s="382"/>
      <c r="N245" s="9"/>
      <c r="O245" s="382"/>
      <c r="P245" s="9"/>
      <c r="Q245" s="9"/>
      <c r="S245" s="706" t="s">
        <v>357</v>
      </c>
      <c r="T245" s="683" t="s">
        <v>468</v>
      </c>
      <c r="U245" s="398">
        <v>0</v>
      </c>
      <c r="V245" s="15">
        <f t="shared" si="256"/>
        <v>0</v>
      </c>
      <c r="W245" s="15">
        <f t="shared" si="256"/>
        <v>0</v>
      </c>
      <c r="X245" s="18">
        <f t="shared" si="257"/>
        <v>0</v>
      </c>
      <c r="Y245" s="19">
        <v>0</v>
      </c>
      <c r="Z245" s="374">
        <v>0</v>
      </c>
      <c r="AA245" s="18">
        <f t="shared" si="258"/>
        <v>0</v>
      </c>
      <c r="AB245" s="19">
        <v>0</v>
      </c>
      <c r="AC245" s="374">
        <v>0</v>
      </c>
      <c r="AD245" s="18">
        <f t="shared" si="259"/>
        <v>0</v>
      </c>
      <c r="AE245" s="19">
        <v>0</v>
      </c>
      <c r="AF245" s="374">
        <v>0</v>
      </c>
      <c r="AG245" s="18">
        <f t="shared" si="260"/>
        <v>0</v>
      </c>
      <c r="AH245" s="19">
        <f t="shared" si="261"/>
        <v>0</v>
      </c>
      <c r="AI245" s="15">
        <f t="shared" si="262"/>
        <v>0</v>
      </c>
      <c r="AJ245" s="16">
        <f t="shared" si="263"/>
        <v>0</v>
      </c>
      <c r="AK245" s="9"/>
      <c r="AL245" s="372">
        <v>0</v>
      </c>
      <c r="AM245" s="375">
        <v>0</v>
      </c>
    </row>
    <row r="246" spans="1:70" ht="24.95" customHeight="1">
      <c r="A246" s="748"/>
      <c r="B246" s="661"/>
      <c r="C246" s="382"/>
      <c r="D246" s="382"/>
      <c r="E246" s="382"/>
      <c r="F246" s="382"/>
      <c r="G246" s="382"/>
      <c r="H246" s="382"/>
      <c r="I246" s="382"/>
      <c r="J246" s="382"/>
      <c r="K246" s="382"/>
      <c r="L246" s="382"/>
      <c r="M246" s="382"/>
      <c r="N246" s="9"/>
      <c r="O246" s="382"/>
      <c r="P246" s="9"/>
      <c r="Q246" s="9"/>
      <c r="S246" s="706" t="s">
        <v>358</v>
      </c>
      <c r="T246" s="683" t="s">
        <v>469</v>
      </c>
      <c r="U246" s="398">
        <v>0</v>
      </c>
      <c r="V246" s="15">
        <f t="shared" si="256"/>
        <v>0</v>
      </c>
      <c r="W246" s="15">
        <f t="shared" si="256"/>
        <v>0</v>
      </c>
      <c r="X246" s="18">
        <f t="shared" si="257"/>
        <v>0</v>
      </c>
      <c r="Y246" s="19">
        <v>0</v>
      </c>
      <c r="Z246" s="374">
        <v>0</v>
      </c>
      <c r="AA246" s="18">
        <f t="shared" si="258"/>
        <v>0</v>
      </c>
      <c r="AB246" s="19">
        <v>0</v>
      </c>
      <c r="AC246" s="374">
        <v>0</v>
      </c>
      <c r="AD246" s="18">
        <f t="shared" si="259"/>
        <v>0</v>
      </c>
      <c r="AE246" s="19">
        <v>0</v>
      </c>
      <c r="AF246" s="374">
        <v>0</v>
      </c>
      <c r="AG246" s="18">
        <f t="shared" si="260"/>
        <v>0</v>
      </c>
      <c r="AH246" s="19">
        <f t="shared" si="261"/>
        <v>0</v>
      </c>
      <c r="AI246" s="15">
        <f t="shared" si="262"/>
        <v>0</v>
      </c>
      <c r="AJ246" s="16">
        <f t="shared" si="263"/>
        <v>0</v>
      </c>
      <c r="AK246" s="9"/>
      <c r="AL246" s="372">
        <v>0</v>
      </c>
      <c r="AM246" s="375">
        <v>0</v>
      </c>
    </row>
    <row r="247" spans="1:70" ht="24.95" customHeight="1">
      <c r="A247" s="748"/>
      <c r="B247" s="661"/>
      <c r="C247" s="382"/>
      <c r="D247" s="382"/>
      <c r="E247" s="382"/>
      <c r="F247" s="382"/>
      <c r="G247" s="382"/>
      <c r="H247" s="382"/>
      <c r="I247" s="382"/>
      <c r="J247" s="382"/>
      <c r="K247" s="382"/>
      <c r="L247" s="382"/>
      <c r="M247" s="382"/>
      <c r="N247" s="9"/>
      <c r="O247" s="382"/>
      <c r="P247" s="9"/>
      <c r="Q247" s="9"/>
      <c r="S247" s="706" t="s">
        <v>359</v>
      </c>
      <c r="T247" s="683" t="s">
        <v>470</v>
      </c>
      <c r="U247" s="398">
        <v>0</v>
      </c>
      <c r="V247" s="15">
        <f t="shared" si="256"/>
        <v>0</v>
      </c>
      <c r="W247" s="15">
        <f t="shared" si="256"/>
        <v>0</v>
      </c>
      <c r="X247" s="18">
        <f t="shared" si="257"/>
        <v>0</v>
      </c>
      <c r="Y247" s="19">
        <v>0</v>
      </c>
      <c r="Z247" s="374">
        <v>0</v>
      </c>
      <c r="AA247" s="18">
        <f t="shared" si="258"/>
        <v>0</v>
      </c>
      <c r="AB247" s="19">
        <v>0</v>
      </c>
      <c r="AC247" s="374">
        <v>0</v>
      </c>
      <c r="AD247" s="18">
        <f t="shared" si="259"/>
        <v>0</v>
      </c>
      <c r="AE247" s="19">
        <v>0</v>
      </c>
      <c r="AF247" s="374">
        <v>0</v>
      </c>
      <c r="AG247" s="18">
        <f t="shared" si="260"/>
        <v>0</v>
      </c>
      <c r="AH247" s="19">
        <f t="shared" si="261"/>
        <v>0</v>
      </c>
      <c r="AI247" s="15">
        <f t="shared" si="262"/>
        <v>0</v>
      </c>
      <c r="AJ247" s="16">
        <f t="shared" si="263"/>
        <v>0</v>
      </c>
      <c r="AK247" s="9"/>
      <c r="AL247" s="372">
        <v>0</v>
      </c>
      <c r="AM247" s="375">
        <v>0</v>
      </c>
    </row>
    <row r="248" spans="1:70" ht="24.95" customHeight="1">
      <c r="A248" s="748"/>
      <c r="B248" s="661"/>
      <c r="C248" s="382"/>
      <c r="D248" s="382"/>
      <c r="E248" s="382"/>
      <c r="F248" s="382"/>
      <c r="G248" s="382"/>
      <c r="H248" s="382"/>
      <c r="I248" s="382"/>
      <c r="J248" s="382"/>
      <c r="K248" s="382"/>
      <c r="L248" s="382"/>
      <c r="M248" s="382"/>
      <c r="N248" s="9"/>
      <c r="O248" s="382"/>
      <c r="P248" s="9"/>
      <c r="Q248" s="9"/>
      <c r="S248" s="706" t="s">
        <v>360</v>
      </c>
      <c r="T248" s="683" t="s">
        <v>471</v>
      </c>
      <c r="U248" s="398">
        <v>0</v>
      </c>
      <c r="V248" s="15">
        <f t="shared" si="256"/>
        <v>0</v>
      </c>
      <c r="W248" s="15">
        <f t="shared" si="256"/>
        <v>0</v>
      </c>
      <c r="X248" s="18">
        <f t="shared" si="257"/>
        <v>0</v>
      </c>
      <c r="Y248" s="19">
        <v>0</v>
      </c>
      <c r="Z248" s="374">
        <v>0</v>
      </c>
      <c r="AA248" s="18">
        <f t="shared" si="258"/>
        <v>0</v>
      </c>
      <c r="AB248" s="19">
        <v>0</v>
      </c>
      <c r="AC248" s="374">
        <v>0</v>
      </c>
      <c r="AD248" s="18">
        <f t="shared" si="259"/>
        <v>0</v>
      </c>
      <c r="AE248" s="19">
        <v>0</v>
      </c>
      <c r="AF248" s="374">
        <v>0</v>
      </c>
      <c r="AG248" s="18">
        <f t="shared" si="260"/>
        <v>0</v>
      </c>
      <c r="AH248" s="19">
        <f t="shared" si="261"/>
        <v>0</v>
      </c>
      <c r="AI248" s="15">
        <f t="shared" si="262"/>
        <v>0</v>
      </c>
      <c r="AJ248" s="16">
        <f t="shared" si="263"/>
        <v>0</v>
      </c>
      <c r="AK248" s="9"/>
      <c r="AL248" s="372">
        <v>0</v>
      </c>
      <c r="AM248" s="375">
        <v>0</v>
      </c>
    </row>
    <row r="249" spans="1:70" ht="24.95" customHeight="1">
      <c r="A249" s="748"/>
      <c r="B249" s="661"/>
      <c r="C249" s="382"/>
      <c r="D249" s="382"/>
      <c r="E249" s="382"/>
      <c r="F249" s="382"/>
      <c r="G249" s="382"/>
      <c r="H249" s="382"/>
      <c r="I249" s="382"/>
      <c r="J249" s="382"/>
      <c r="K249" s="382"/>
      <c r="L249" s="382"/>
      <c r="M249" s="382"/>
      <c r="N249" s="9"/>
      <c r="O249" s="382"/>
      <c r="P249" s="9"/>
      <c r="Q249" s="9"/>
      <c r="S249" s="706" t="s">
        <v>361</v>
      </c>
      <c r="T249" s="683" t="s">
        <v>472</v>
      </c>
      <c r="U249" s="398">
        <v>0</v>
      </c>
      <c r="V249" s="15">
        <f t="shared" si="256"/>
        <v>0</v>
      </c>
      <c r="W249" s="15">
        <f t="shared" si="256"/>
        <v>0</v>
      </c>
      <c r="X249" s="18">
        <f t="shared" si="257"/>
        <v>0</v>
      </c>
      <c r="Y249" s="19">
        <v>0</v>
      </c>
      <c r="Z249" s="374">
        <v>0</v>
      </c>
      <c r="AA249" s="18">
        <f t="shared" si="258"/>
        <v>0</v>
      </c>
      <c r="AB249" s="19">
        <v>0</v>
      </c>
      <c r="AC249" s="374">
        <v>0</v>
      </c>
      <c r="AD249" s="18">
        <f t="shared" si="259"/>
        <v>0</v>
      </c>
      <c r="AE249" s="19">
        <v>0</v>
      </c>
      <c r="AF249" s="374">
        <v>0</v>
      </c>
      <c r="AG249" s="18">
        <f t="shared" si="260"/>
        <v>0</v>
      </c>
      <c r="AH249" s="19">
        <f t="shared" si="261"/>
        <v>0</v>
      </c>
      <c r="AI249" s="15">
        <f t="shared" si="262"/>
        <v>0</v>
      </c>
      <c r="AJ249" s="16">
        <f t="shared" si="263"/>
        <v>0</v>
      </c>
      <c r="AK249" s="9"/>
      <c r="AL249" s="372">
        <v>0</v>
      </c>
      <c r="AM249" s="375">
        <v>0</v>
      </c>
    </row>
    <row r="250" spans="1:70" ht="24.95" customHeight="1">
      <c r="A250" s="748"/>
      <c r="B250" s="661"/>
      <c r="C250" s="382"/>
      <c r="D250" s="382"/>
      <c r="E250" s="382"/>
      <c r="F250" s="382"/>
      <c r="G250" s="382"/>
      <c r="H250" s="382"/>
      <c r="I250" s="382"/>
      <c r="J250" s="382"/>
      <c r="K250" s="382"/>
      <c r="L250" s="382"/>
      <c r="M250" s="382"/>
      <c r="N250" s="9"/>
      <c r="O250" s="382"/>
      <c r="P250" s="9"/>
      <c r="Q250" s="9"/>
      <c r="S250" s="706" t="s">
        <v>362</v>
      </c>
      <c r="T250" s="683" t="s">
        <v>473</v>
      </c>
      <c r="U250" s="398">
        <v>0</v>
      </c>
      <c r="V250" s="15">
        <f t="shared" ref="V250:W254" si="264">AL250</f>
        <v>0</v>
      </c>
      <c r="W250" s="15">
        <f t="shared" si="264"/>
        <v>0</v>
      </c>
      <c r="X250" s="18">
        <f>SUM(U250:W250)</f>
        <v>0</v>
      </c>
      <c r="Y250" s="19">
        <v>0</v>
      </c>
      <c r="Z250" s="374">
        <v>0</v>
      </c>
      <c r="AA250" s="18">
        <f>SUM(Y250:Z250)</f>
        <v>0</v>
      </c>
      <c r="AB250" s="19">
        <v>0</v>
      </c>
      <c r="AC250" s="374">
        <v>0</v>
      </c>
      <c r="AD250" s="18">
        <f>SUM(AB250:AC250)</f>
        <v>0</v>
      </c>
      <c r="AE250" s="19">
        <v>0</v>
      </c>
      <c r="AF250" s="374">
        <v>0</v>
      </c>
      <c r="AG250" s="18">
        <f>SUM(AE250:AF250)</f>
        <v>0</v>
      </c>
      <c r="AH250" s="19">
        <f>X250-AA250</f>
        <v>0</v>
      </c>
      <c r="AI250" s="15">
        <f>X250-AD250</f>
        <v>0</v>
      </c>
      <c r="AJ250" s="16">
        <f>X250-AG250</f>
        <v>0</v>
      </c>
      <c r="AK250" s="9"/>
      <c r="AL250" s="372">
        <v>0</v>
      </c>
      <c r="AM250" s="375">
        <v>0</v>
      </c>
    </row>
    <row r="251" spans="1:70" ht="24.95" customHeight="1">
      <c r="A251" s="748"/>
      <c r="B251" s="661"/>
      <c r="C251" s="382"/>
      <c r="D251" s="382"/>
      <c r="E251" s="382"/>
      <c r="F251" s="382"/>
      <c r="G251" s="382"/>
      <c r="H251" s="382"/>
      <c r="I251" s="382"/>
      <c r="J251" s="382"/>
      <c r="K251" s="382"/>
      <c r="L251" s="382"/>
      <c r="M251" s="382"/>
      <c r="N251" s="9"/>
      <c r="O251" s="382"/>
      <c r="P251" s="9"/>
      <c r="Q251" s="9"/>
      <c r="S251" s="706" t="s">
        <v>452</v>
      </c>
      <c r="T251" s="683" t="s">
        <v>474</v>
      </c>
      <c r="U251" s="398">
        <v>0</v>
      </c>
      <c r="V251" s="15">
        <f t="shared" si="264"/>
        <v>0</v>
      </c>
      <c r="W251" s="15">
        <f t="shared" si="264"/>
        <v>0</v>
      </c>
      <c r="X251" s="18">
        <f>SUM(U251:W251)</f>
        <v>0</v>
      </c>
      <c r="Y251" s="19">
        <v>0</v>
      </c>
      <c r="Z251" s="374">
        <v>0</v>
      </c>
      <c r="AA251" s="18">
        <f>SUM(Y251:Z251)</f>
        <v>0</v>
      </c>
      <c r="AB251" s="19">
        <v>0</v>
      </c>
      <c r="AC251" s="374">
        <v>0</v>
      </c>
      <c r="AD251" s="18">
        <f>SUM(AB251:AC251)</f>
        <v>0</v>
      </c>
      <c r="AE251" s="19">
        <v>0</v>
      </c>
      <c r="AF251" s="374">
        <v>0</v>
      </c>
      <c r="AG251" s="18">
        <f>SUM(AE251:AF251)</f>
        <v>0</v>
      </c>
      <c r="AH251" s="19">
        <f>X251-AA251</f>
        <v>0</v>
      </c>
      <c r="AI251" s="15">
        <f>X251-AD251</f>
        <v>0</v>
      </c>
      <c r="AJ251" s="16">
        <f>X251-AG251</f>
        <v>0</v>
      </c>
      <c r="AK251" s="9"/>
      <c r="AL251" s="372">
        <v>0</v>
      </c>
      <c r="AM251" s="375">
        <v>0</v>
      </c>
    </row>
    <row r="252" spans="1:70" ht="24.95" customHeight="1">
      <c r="A252" s="748"/>
      <c r="B252" s="661"/>
      <c r="C252" s="382"/>
      <c r="D252" s="382"/>
      <c r="E252" s="382"/>
      <c r="F252" s="382"/>
      <c r="G252" s="382"/>
      <c r="H252" s="382"/>
      <c r="I252" s="382"/>
      <c r="J252" s="382"/>
      <c r="K252" s="382"/>
      <c r="L252" s="382"/>
      <c r="M252" s="382"/>
      <c r="N252" s="9"/>
      <c r="O252" s="382"/>
      <c r="P252" s="9"/>
      <c r="Q252" s="9"/>
      <c r="S252" s="706" t="s">
        <v>453</v>
      </c>
      <c r="T252" s="683" t="s">
        <v>475</v>
      </c>
      <c r="U252" s="398">
        <v>0</v>
      </c>
      <c r="V252" s="15">
        <f t="shared" si="264"/>
        <v>0</v>
      </c>
      <c r="W252" s="15">
        <f t="shared" si="264"/>
        <v>0</v>
      </c>
      <c r="X252" s="18">
        <f>SUM(U252:W252)</f>
        <v>0</v>
      </c>
      <c r="Y252" s="19">
        <v>0</v>
      </c>
      <c r="Z252" s="374">
        <v>0</v>
      </c>
      <c r="AA252" s="18">
        <f>SUM(Y252:Z252)</f>
        <v>0</v>
      </c>
      <c r="AB252" s="19">
        <v>0</v>
      </c>
      <c r="AC252" s="374">
        <v>0</v>
      </c>
      <c r="AD252" s="18">
        <f>SUM(AB252:AC252)</f>
        <v>0</v>
      </c>
      <c r="AE252" s="19">
        <v>0</v>
      </c>
      <c r="AF252" s="374">
        <v>0</v>
      </c>
      <c r="AG252" s="18">
        <f>SUM(AE252:AF252)</f>
        <v>0</v>
      </c>
      <c r="AH252" s="19">
        <f>X252-AA252</f>
        <v>0</v>
      </c>
      <c r="AI252" s="15">
        <f>X252-AD252</f>
        <v>0</v>
      </c>
      <c r="AJ252" s="16">
        <f>X252-AG252</f>
        <v>0</v>
      </c>
      <c r="AK252" s="9"/>
      <c r="AL252" s="372">
        <v>0</v>
      </c>
      <c r="AM252" s="375">
        <v>0</v>
      </c>
    </row>
    <row r="253" spans="1:70" ht="24.95" customHeight="1">
      <c r="A253" s="748"/>
      <c r="B253" s="661"/>
      <c r="C253" s="382"/>
      <c r="D253" s="382"/>
      <c r="E253" s="382"/>
      <c r="F253" s="382"/>
      <c r="G253" s="382"/>
      <c r="H253" s="382"/>
      <c r="I253" s="382"/>
      <c r="J253" s="382"/>
      <c r="K253" s="382"/>
      <c r="L253" s="382"/>
      <c r="M253" s="382"/>
      <c r="N253" s="9"/>
      <c r="O253" s="382"/>
      <c r="P253" s="9"/>
      <c r="Q253" s="9"/>
      <c r="S253" s="706" t="s">
        <v>454</v>
      </c>
      <c r="T253" s="683" t="s">
        <v>476</v>
      </c>
      <c r="U253" s="398">
        <v>0</v>
      </c>
      <c r="V253" s="15">
        <f t="shared" si="264"/>
        <v>0</v>
      </c>
      <c r="W253" s="15">
        <f t="shared" si="264"/>
        <v>0</v>
      </c>
      <c r="X253" s="18">
        <f>SUM(U253:W253)</f>
        <v>0</v>
      </c>
      <c r="Y253" s="19">
        <v>0</v>
      </c>
      <c r="Z253" s="374">
        <v>0</v>
      </c>
      <c r="AA253" s="18">
        <f>SUM(Y253:Z253)</f>
        <v>0</v>
      </c>
      <c r="AB253" s="19">
        <v>0</v>
      </c>
      <c r="AC253" s="374">
        <v>0</v>
      </c>
      <c r="AD253" s="18">
        <f>SUM(AB253:AC253)</f>
        <v>0</v>
      </c>
      <c r="AE253" s="19">
        <v>0</v>
      </c>
      <c r="AF253" s="374">
        <v>0</v>
      </c>
      <c r="AG253" s="18">
        <f>SUM(AE253:AF253)</f>
        <v>0</v>
      </c>
      <c r="AH253" s="19">
        <f>X253-AA253</f>
        <v>0</v>
      </c>
      <c r="AI253" s="15">
        <f>X253-AD253</f>
        <v>0</v>
      </c>
      <c r="AJ253" s="16">
        <f>X253-AG253</f>
        <v>0</v>
      </c>
      <c r="AK253" s="9"/>
      <c r="AL253" s="372">
        <v>0</v>
      </c>
      <c r="AM253" s="375">
        <v>0</v>
      </c>
    </row>
    <row r="254" spans="1:70" ht="24.95" customHeight="1">
      <c r="A254" s="748"/>
      <c r="B254" s="661"/>
      <c r="C254" s="382"/>
      <c r="D254" s="382"/>
      <c r="E254" s="382"/>
      <c r="F254" s="382"/>
      <c r="G254" s="382"/>
      <c r="H254" s="382"/>
      <c r="I254" s="382"/>
      <c r="J254" s="382"/>
      <c r="K254" s="382"/>
      <c r="L254" s="382"/>
      <c r="M254" s="382"/>
      <c r="N254" s="9"/>
      <c r="O254" s="382"/>
      <c r="P254" s="9"/>
      <c r="Q254" s="9"/>
      <c r="S254" s="706" t="s">
        <v>455</v>
      </c>
      <c r="T254" s="683" t="s">
        <v>457</v>
      </c>
      <c r="U254" s="398">
        <v>0</v>
      </c>
      <c r="V254" s="15">
        <f t="shared" si="264"/>
        <v>0</v>
      </c>
      <c r="W254" s="15">
        <f t="shared" si="264"/>
        <v>0</v>
      </c>
      <c r="X254" s="18">
        <f>SUM(U254:W254)</f>
        <v>0</v>
      </c>
      <c r="Y254" s="19">
        <v>0</v>
      </c>
      <c r="Z254" s="374">
        <v>0</v>
      </c>
      <c r="AA254" s="18">
        <f>SUM(Y254:Z254)</f>
        <v>0</v>
      </c>
      <c r="AB254" s="19">
        <v>0</v>
      </c>
      <c r="AC254" s="374">
        <v>0</v>
      </c>
      <c r="AD254" s="18">
        <f>SUM(AB254:AC254)</f>
        <v>0</v>
      </c>
      <c r="AE254" s="19">
        <v>0</v>
      </c>
      <c r="AF254" s="374">
        <v>0</v>
      </c>
      <c r="AG254" s="18">
        <f>SUM(AE254:AF254)</f>
        <v>0</v>
      </c>
      <c r="AH254" s="19">
        <f>X254-AA254</f>
        <v>0</v>
      </c>
      <c r="AI254" s="15">
        <f>X254-AD254</f>
        <v>0</v>
      </c>
      <c r="AJ254" s="16">
        <f>X254-AG254</f>
        <v>0</v>
      </c>
      <c r="AK254" s="9"/>
      <c r="AL254" s="372">
        <v>0</v>
      </c>
      <c r="AM254" s="375">
        <v>0</v>
      </c>
    </row>
    <row r="255" spans="1:70" ht="24.95" customHeight="1">
      <c r="A255" s="748"/>
      <c r="B255" s="661"/>
      <c r="C255" s="382"/>
      <c r="D255" s="382"/>
      <c r="E255" s="382"/>
      <c r="F255" s="382"/>
      <c r="G255" s="382"/>
      <c r="H255" s="382"/>
      <c r="I255" s="382"/>
      <c r="J255" s="382"/>
      <c r="K255" s="382"/>
      <c r="L255" s="382"/>
      <c r="M255" s="382"/>
      <c r="N255" s="9"/>
      <c r="O255" s="382"/>
      <c r="P255" s="9"/>
      <c r="Q255" s="9"/>
      <c r="S255" s="706" t="s">
        <v>456</v>
      </c>
      <c r="T255" s="683" t="s">
        <v>458</v>
      </c>
      <c r="U255" s="398">
        <v>0</v>
      </c>
      <c r="V255" s="15">
        <f t="shared" si="256"/>
        <v>0</v>
      </c>
      <c r="W255" s="15">
        <f t="shared" si="256"/>
        <v>0</v>
      </c>
      <c r="X255" s="18">
        <f t="shared" si="257"/>
        <v>0</v>
      </c>
      <c r="Y255" s="19">
        <v>0</v>
      </c>
      <c r="Z255" s="374">
        <v>0</v>
      </c>
      <c r="AA255" s="18">
        <f t="shared" si="258"/>
        <v>0</v>
      </c>
      <c r="AB255" s="19">
        <v>0</v>
      </c>
      <c r="AC255" s="374">
        <v>0</v>
      </c>
      <c r="AD255" s="18">
        <f t="shared" si="259"/>
        <v>0</v>
      </c>
      <c r="AE255" s="19">
        <v>0</v>
      </c>
      <c r="AF255" s="374">
        <v>0</v>
      </c>
      <c r="AG255" s="18">
        <f t="shared" si="260"/>
        <v>0</v>
      </c>
      <c r="AH255" s="19">
        <f t="shared" si="261"/>
        <v>0</v>
      </c>
      <c r="AI255" s="15">
        <f t="shared" si="262"/>
        <v>0</v>
      </c>
      <c r="AJ255" s="16">
        <f t="shared" si="263"/>
        <v>0</v>
      </c>
      <c r="AK255" s="9"/>
      <c r="AL255" s="372">
        <v>0</v>
      </c>
      <c r="AM255" s="375">
        <v>0</v>
      </c>
    </row>
    <row r="256" spans="1:70" ht="24.95" customHeight="1" thickBot="1">
      <c r="A256" s="748"/>
      <c r="B256" s="661"/>
      <c r="C256" s="382"/>
      <c r="D256" s="382"/>
      <c r="E256" s="382"/>
      <c r="F256" s="382"/>
      <c r="G256" s="382"/>
      <c r="H256" s="382"/>
      <c r="I256" s="382"/>
      <c r="J256" s="382"/>
      <c r="K256" s="382"/>
      <c r="L256" s="382"/>
      <c r="M256" s="382"/>
      <c r="N256" s="9"/>
      <c r="O256" s="382"/>
      <c r="P256" s="9"/>
      <c r="Q256" s="9"/>
      <c r="S256" s="717">
        <v>8002999</v>
      </c>
      <c r="T256" s="697" t="s">
        <v>129</v>
      </c>
      <c r="U256" s="488">
        <v>0</v>
      </c>
      <c r="V256" s="121">
        <f t="shared" si="256"/>
        <v>0</v>
      </c>
      <c r="W256" s="121">
        <f t="shared" si="256"/>
        <v>0</v>
      </c>
      <c r="X256" s="126">
        <f t="shared" si="257"/>
        <v>0</v>
      </c>
      <c r="Y256" s="124">
        <v>0</v>
      </c>
      <c r="Z256" s="388">
        <v>0</v>
      </c>
      <c r="AA256" s="126">
        <f t="shared" si="258"/>
        <v>0</v>
      </c>
      <c r="AB256" s="124">
        <v>0</v>
      </c>
      <c r="AC256" s="388">
        <v>0</v>
      </c>
      <c r="AD256" s="126">
        <f t="shared" si="259"/>
        <v>0</v>
      </c>
      <c r="AE256" s="124">
        <v>0</v>
      </c>
      <c r="AF256" s="388">
        <v>0</v>
      </c>
      <c r="AG256" s="126">
        <f t="shared" si="260"/>
        <v>0</v>
      </c>
      <c r="AH256" s="124">
        <f t="shared" si="261"/>
        <v>0</v>
      </c>
      <c r="AI256" s="121">
        <f t="shared" si="262"/>
        <v>0</v>
      </c>
      <c r="AJ256" s="125">
        <f t="shared" si="263"/>
        <v>0</v>
      </c>
      <c r="AK256" s="9"/>
      <c r="AL256" s="384">
        <v>0</v>
      </c>
      <c r="AM256" s="389">
        <v>0</v>
      </c>
    </row>
    <row r="257" spans="15:39" ht="24.95" customHeight="1" thickBot="1">
      <c r="O257" s="382"/>
      <c r="S257" s="326"/>
      <c r="T257" s="511"/>
      <c r="U257" s="164"/>
      <c r="V257" s="164"/>
      <c r="W257" s="164"/>
      <c r="X257" s="164"/>
      <c r="Y257" s="164"/>
      <c r="Z257" s="164"/>
      <c r="AA257" s="164"/>
      <c r="AB257" s="164"/>
      <c r="AC257" s="164"/>
      <c r="AD257" s="164"/>
      <c r="AE257" s="164"/>
      <c r="AF257" s="164"/>
      <c r="AG257" s="164"/>
      <c r="AH257" s="164"/>
      <c r="AI257" s="164"/>
      <c r="AJ257" s="163"/>
      <c r="AK257" s="10"/>
      <c r="AL257" s="506"/>
      <c r="AM257" s="507"/>
    </row>
    <row r="258" spans="15:39" ht="24.95" customHeight="1" thickBot="1">
      <c r="S258" s="776" t="s">
        <v>363</v>
      </c>
      <c r="T258" s="777" t="s">
        <v>133</v>
      </c>
      <c r="U258" s="340">
        <f>+(C10+C17+C113)-(U10+U193+U220+U232)</f>
        <v>0</v>
      </c>
      <c r="V258" s="340">
        <f t="shared" ref="V258:AJ258" si="265">+(D10+D17+D113)-(V10+V193+V220+V232)</f>
        <v>0</v>
      </c>
      <c r="W258" s="340">
        <f t="shared" si="265"/>
        <v>0</v>
      </c>
      <c r="X258" s="340">
        <f t="shared" si="265"/>
        <v>0</v>
      </c>
      <c r="Y258" s="340">
        <f t="shared" si="265"/>
        <v>0</v>
      </c>
      <c r="Z258" s="340">
        <f t="shared" si="265"/>
        <v>-11266721637</v>
      </c>
      <c r="AA258" s="340">
        <f t="shared" si="265"/>
        <v>-11266721637</v>
      </c>
      <c r="AB258" s="340">
        <f t="shared" si="265"/>
        <v>0</v>
      </c>
      <c r="AC258" s="340">
        <f t="shared" si="265"/>
        <v>-2174911101</v>
      </c>
      <c r="AD258" s="340">
        <f t="shared" si="265"/>
        <v>-2174911101</v>
      </c>
      <c r="AE258" s="340">
        <f t="shared" si="265"/>
        <v>44789195888</v>
      </c>
      <c r="AF258" s="340">
        <f t="shared" si="265"/>
        <v>46797967261</v>
      </c>
      <c r="AG258" s="340">
        <f t="shared" si="265"/>
        <v>-2326251824</v>
      </c>
      <c r="AH258" s="340">
        <f t="shared" si="265"/>
        <v>-33522474251</v>
      </c>
      <c r="AI258" s="340">
        <f t="shared" si="265"/>
        <v>-46112471019</v>
      </c>
      <c r="AJ258" s="778">
        <f t="shared" si="265"/>
        <v>-48732763222</v>
      </c>
      <c r="AK258" s="9"/>
      <c r="AL258" s="338">
        <v>0</v>
      </c>
      <c r="AM258" s="339">
        <v>0</v>
      </c>
    </row>
    <row r="259" spans="15: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4654184825</v>
      </c>
    </row>
    <row r="260" spans="15:39" ht="24.95" customHeight="1" thickBot="1">
      <c r="S260" s="795" t="s">
        <v>582</v>
      </c>
      <c r="T260" s="796"/>
      <c r="U260" s="771">
        <f>+U8-U262</f>
        <v>47989706380</v>
      </c>
      <c r="V260" s="771">
        <f t="shared" ref="V260:AJ260" si="266">+V8-V262</f>
        <v>0</v>
      </c>
      <c r="W260" s="771">
        <f t="shared" si="266"/>
        <v>0</v>
      </c>
      <c r="X260" s="771">
        <f t="shared" si="266"/>
        <v>47989706380</v>
      </c>
      <c r="Y260" s="771">
        <f t="shared" si="266"/>
        <v>0</v>
      </c>
      <c r="Z260" s="771">
        <f t="shared" si="266"/>
        <v>15747410277</v>
      </c>
      <c r="AA260" s="771">
        <f t="shared" si="266"/>
        <v>15747410277</v>
      </c>
      <c r="AB260" s="771">
        <f t="shared" si="266"/>
        <v>0</v>
      </c>
      <c r="AC260" s="771">
        <f t="shared" si="266"/>
        <v>2320576544</v>
      </c>
      <c r="AD260" s="771">
        <f t="shared" si="266"/>
        <v>2320576544</v>
      </c>
      <c r="AE260" s="771">
        <f t="shared" si="266"/>
        <v>0</v>
      </c>
      <c r="AF260" s="771">
        <f t="shared" si="266"/>
        <v>537121306</v>
      </c>
      <c r="AG260" s="771">
        <f t="shared" si="266"/>
        <v>537121306</v>
      </c>
      <c r="AH260" s="771">
        <f t="shared" si="266"/>
        <v>32242296103</v>
      </c>
      <c r="AI260" s="771">
        <f t="shared" si="266"/>
        <v>45669129836</v>
      </c>
      <c r="AJ260" s="772">
        <f t="shared" si="266"/>
        <v>47452585074</v>
      </c>
    </row>
    <row r="261" spans="15:39" ht="24.95" customHeight="1" thickBot="1">
      <c r="S261" s="800"/>
      <c r="T261" s="801"/>
      <c r="U261" s="779"/>
      <c r="V261" s="779"/>
      <c r="W261" s="779"/>
      <c r="X261" s="779"/>
      <c r="Y261" s="779"/>
      <c r="Z261" s="779"/>
      <c r="AA261" s="779"/>
      <c r="AB261" s="779"/>
      <c r="AC261" s="779"/>
      <c r="AD261" s="779"/>
      <c r="AE261" s="779"/>
      <c r="AF261" s="779"/>
      <c r="AG261" s="779"/>
      <c r="AH261" s="779"/>
      <c r="AI261" s="779"/>
      <c r="AJ261" s="780"/>
    </row>
    <row r="262" spans="15:39" ht="24.95" customHeight="1" thickBot="1">
      <c r="S262" s="797" t="s">
        <v>583</v>
      </c>
      <c r="T262" s="798"/>
      <c r="U262" s="775">
        <f>+SUMIF($T$8:$T$256,$T$33,U8:U256)</f>
        <v>2232471701</v>
      </c>
      <c r="V262" s="775">
        <f t="shared" ref="V262:AJ262" si="267">+SUMIF($T$8:$T$256,$T$33,V8:V256)</f>
        <v>0</v>
      </c>
      <c r="W262" s="775">
        <f t="shared" si="267"/>
        <v>836836965</v>
      </c>
      <c r="X262" s="775">
        <f t="shared" si="267"/>
        <v>3069308666</v>
      </c>
      <c r="Y262" s="775">
        <f t="shared" si="267"/>
        <v>0</v>
      </c>
      <c r="Z262" s="775">
        <f t="shared" si="267"/>
        <v>1789130518</v>
      </c>
      <c r="AA262" s="775">
        <f t="shared" si="267"/>
        <v>1789130518</v>
      </c>
      <c r="AB262" s="775">
        <f t="shared" si="267"/>
        <v>0</v>
      </c>
      <c r="AC262" s="775">
        <f t="shared" si="267"/>
        <v>1789130518</v>
      </c>
      <c r="AD262" s="775">
        <f t="shared" si="267"/>
        <v>1789130518</v>
      </c>
      <c r="AE262" s="775">
        <f t="shared" si="267"/>
        <v>0</v>
      </c>
      <c r="AF262" s="775">
        <f t="shared" si="267"/>
        <v>1789130518</v>
      </c>
      <c r="AG262" s="775">
        <f t="shared" si="267"/>
        <v>1789130518</v>
      </c>
      <c r="AH262" s="775">
        <f t="shared" si="267"/>
        <v>1280178148</v>
      </c>
      <c r="AI262" s="775">
        <f t="shared" si="267"/>
        <v>1280178148</v>
      </c>
      <c r="AJ262" s="799">
        <f t="shared" si="267"/>
        <v>1280178148</v>
      </c>
    </row>
    <row r="263" spans="15: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5:39" ht="24.95" customHeight="1" thickBot="1">
      <c r="S264" s="773" t="s">
        <v>584</v>
      </c>
      <c r="T264" s="774"/>
      <c r="U264" s="793">
        <f>+U260+U262</f>
        <v>50222178081</v>
      </c>
      <c r="V264" s="793">
        <f t="shared" ref="V264:AJ264" si="268">+V260+V262</f>
        <v>0</v>
      </c>
      <c r="W264" s="793">
        <f t="shared" si="268"/>
        <v>836836965</v>
      </c>
      <c r="X264" s="793">
        <f t="shared" si="268"/>
        <v>51059015046</v>
      </c>
      <c r="Y264" s="793">
        <f t="shared" si="268"/>
        <v>0</v>
      </c>
      <c r="Z264" s="793">
        <f t="shared" si="268"/>
        <v>17536540795</v>
      </c>
      <c r="AA264" s="793">
        <f t="shared" si="268"/>
        <v>17536540795</v>
      </c>
      <c r="AB264" s="793">
        <f t="shared" si="268"/>
        <v>0</v>
      </c>
      <c r="AC264" s="793">
        <f t="shared" si="268"/>
        <v>4109707062</v>
      </c>
      <c r="AD264" s="793">
        <f t="shared" si="268"/>
        <v>4109707062</v>
      </c>
      <c r="AE264" s="793">
        <f t="shared" si="268"/>
        <v>0</v>
      </c>
      <c r="AF264" s="793">
        <f t="shared" si="268"/>
        <v>2326251824</v>
      </c>
      <c r="AG264" s="793">
        <f t="shared" si="268"/>
        <v>2326251824</v>
      </c>
      <c r="AH264" s="793">
        <f t="shared" si="268"/>
        <v>33522474251</v>
      </c>
      <c r="AI264" s="793">
        <f t="shared" si="268"/>
        <v>46949307984</v>
      </c>
      <c r="AJ264" s="794">
        <f t="shared" si="268"/>
        <v>48732763222</v>
      </c>
    </row>
  </sheetData>
  <sheetProtection password="E476" sheet="1" objects="1" scenarios="1" formatCells="0" formatColumns="0"/>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1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1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xr:uid="{00000000-0002-0000-0100-000002000000}"/>
    <dataValidation allowBlank="1" showInputMessage="1" showErrorMessage="1" promptTitle="ATENCION..." prompt="Las actividades de Promoción y Prevención se manejaran en cada régimen." sqref="A23:C24 P23:Q24 K23:K24 H23:H24" xr:uid="{00000000-0002-0000-0100-000003000000}"/>
    <dataValidation allowBlank="1" showInputMessage="1" showErrorMessage="1" promptTitle="ATENCION..." prompt="Las actividades de Promoción y Prevención se manejaran en su respectivo régimen." sqref="A43:C44 P43:Q44 K43:K44 H43:H44" xr:uid="{00000000-0002-0000-0100-000004000000}"/>
  </dataValidations>
  <printOptions horizontalCentered="1" verticalCentered="1"/>
  <pageMargins left="0.59055118110236227" right="0.19685039370078741" top="0.74803149606299213" bottom="0.59055118110236227" header="0.31496062992125984" footer="0.31496062992125984"/>
  <pageSetup paperSize="5" scale="47" orientation="landscape" blackAndWhite="1"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S264"/>
  <sheetViews>
    <sheetView showGridLines="0" topLeftCell="Y247" zoomScale="80" zoomScaleNormal="80" workbookViewId="0">
      <selection activeCell="AG264" sqref="AG264"/>
    </sheetView>
  </sheetViews>
  <sheetFormatPr baseColWidth="10" defaultColWidth="0" defaultRowHeight="24.95" customHeight="1"/>
  <cols>
    <col min="1" max="1" width="12.7109375" style="1331" customWidth="1"/>
    <col min="2" max="2" width="51" style="1332" customWidth="1"/>
    <col min="3" max="3" width="18.42578125" style="818" customWidth="1"/>
    <col min="4" max="4" width="14" style="818" customWidth="1"/>
    <col min="5" max="7" width="14.42578125" style="818" customWidth="1"/>
    <col min="8" max="8" width="15.85546875" style="818" customWidth="1"/>
    <col min="9" max="10" width="14.42578125" style="818" customWidth="1"/>
    <col min="11" max="11" width="15.28515625" style="818" customWidth="1"/>
    <col min="12" max="12" width="14.42578125" style="818" customWidth="1"/>
    <col min="13" max="13" width="16.7109375" style="818" customWidth="1"/>
    <col min="14" max="14" width="16.7109375" style="819" customWidth="1"/>
    <col min="15" max="15" width="2.85546875" style="818" customWidth="1"/>
    <col min="16" max="17" width="23.7109375" style="819" customWidth="1"/>
    <col min="18" max="18" width="5.42578125" style="818" customWidth="1"/>
    <col min="19" max="19" width="12.5703125" style="820" customWidth="1"/>
    <col min="20" max="20" width="23.5703125" style="821" customWidth="1"/>
    <col min="21" max="21" width="19.28515625" style="818" customWidth="1"/>
    <col min="22" max="22" width="17.42578125" style="818" customWidth="1"/>
    <col min="23" max="23" width="15.85546875" style="818" customWidth="1"/>
    <col min="24" max="24" width="17.28515625" style="818" customWidth="1"/>
    <col min="25" max="25" width="17.42578125" style="818" customWidth="1"/>
    <col min="26" max="26" width="16.140625" style="818" customWidth="1"/>
    <col min="27" max="27" width="18" style="818" customWidth="1"/>
    <col min="28" max="28" width="16.7109375" style="818" customWidth="1"/>
    <col min="29" max="29" width="17" style="818" customWidth="1"/>
    <col min="30" max="30" width="17.5703125" style="818" customWidth="1"/>
    <col min="31" max="31" width="17" style="818" customWidth="1"/>
    <col min="32" max="32" width="17.28515625" style="818" customWidth="1"/>
    <col min="33" max="33" width="17.140625" style="818" customWidth="1"/>
    <col min="34" max="34" width="18.85546875" style="818" customWidth="1"/>
    <col min="35" max="35" width="18.5703125" style="818" customWidth="1"/>
    <col min="36" max="36" width="18.28515625" style="818" customWidth="1"/>
    <col min="37" max="37" width="8.85546875" style="823" customWidth="1"/>
    <col min="38" max="38" width="23.7109375" style="824" customWidth="1"/>
    <col min="39" max="39" width="23.7109375" style="818" customWidth="1"/>
    <col min="40" max="40" width="4.85546875" style="818" customWidth="1"/>
    <col min="41" max="41" width="12.28515625" style="818" customWidth="1"/>
    <col min="42" max="42" width="47.42578125" style="818" customWidth="1"/>
    <col min="43" max="45" width="16.85546875" style="818" customWidth="1"/>
    <col min="46" max="46" width="12.7109375" style="818" customWidth="1"/>
    <col min="47" max="47" width="27.42578125" style="818" customWidth="1"/>
    <col min="48" max="48" width="25" style="818" customWidth="1"/>
    <col min="49" max="52" width="16.85546875" style="818" customWidth="1"/>
    <col min="53" max="53" width="11" style="818" customWidth="1"/>
    <col min="54" max="54" width="65.140625" style="818" customWidth="1"/>
    <col min="55" max="57" width="18.85546875" style="818" customWidth="1"/>
    <col min="58" max="58" width="6.140625" style="818" customWidth="1"/>
    <col min="59" max="59" width="72.7109375" style="818" customWidth="1"/>
    <col min="60" max="63" width="17.5703125" style="818" customWidth="1"/>
    <col min="64" max="64" width="11" style="818" customWidth="1"/>
    <col min="65" max="65" width="76" style="818" customWidth="1"/>
    <col min="66" max="67" width="19.7109375" style="818" customWidth="1"/>
    <col min="68" max="68" width="18.85546875" style="818" customWidth="1"/>
    <col min="69" max="69" width="19.42578125" style="818" customWidth="1"/>
    <col min="70" max="70" width="11" style="818" customWidth="1"/>
    <col min="71" max="71" width="2.28515625" style="818" customWidth="1"/>
    <col min="72" max="16384" width="11" style="818" hidden="1"/>
  </cols>
  <sheetData>
    <row r="1" spans="1:69" ht="24.95" customHeight="1" thickBot="1">
      <c r="A1" s="816" t="str">
        <f>IF($F$8-$X$8=0," ","OJO: PRESUPUESTO DESEQUILIBRADO")</f>
        <v xml:space="preserve"> </v>
      </c>
      <c r="B1" s="817"/>
      <c r="C1" s="3063" t="str">
        <f>IF(SUM(C12:C15)=0,"",IF(SUM(H12:H15)=SUM(C12:C15),"OJO - EN LA DISPONIBILIDAD INICIAL, NI EL RECONOCIMIENTO NI EL RECAUDO PUEDEN SER IGUALES AL PRESUPUESTO INICIAL, haga click en la celda B8 para mas información",""))</f>
        <v/>
      </c>
      <c r="D1" s="3063"/>
      <c r="E1" s="3063"/>
      <c r="F1" s="3063"/>
      <c r="G1" s="3063"/>
      <c r="H1" s="3063"/>
      <c r="I1" s="3063"/>
      <c r="J1" s="3063"/>
      <c r="K1" s="3064" t="str">
        <f>+IF(L8&gt;I8,"OJO - SUS RECAUDOS SON SUPERIORES A SUS RECONOCIMIENTOS, VERIFIQUE","")</f>
        <v/>
      </c>
      <c r="L1" s="3064"/>
      <c r="M1" s="3064"/>
      <c r="N1" s="3064"/>
      <c r="U1" s="822" t="str">
        <f>+IF(AA8&gt;X8,"OJO - HA COMPROMETIDO MUCHO MAS DE LO QUE TIENE PRESUPUESTADO","")</f>
        <v/>
      </c>
      <c r="X1" s="822"/>
      <c r="Y1" s="822" t="str">
        <f>+IF(AD8&gt;AA8,"OJO - SUS OBLIGACIONES SUPERAN SUS COMPROMISOS, VERIFIQUE","")</f>
        <v/>
      </c>
      <c r="AC1" s="822" t="str">
        <f>+IF(AG8&gt;AD8,"OJO - SUS PAGOS NO PUEDEN SUPERAR SUS OBLIGACIONES, VERIFIQUE","")</f>
        <v/>
      </c>
    </row>
    <row r="2" spans="1:69" ht="53.25" customHeight="1" thickBot="1">
      <c r="A2" s="825"/>
      <c r="B2" s="826" t="str">
        <f>+ENERO!B2</f>
        <v>SECRETARIA SECCIONAL DE SALUD Y PROTECCION SOCIAL DE ANTIOQUIA DE ANTIOQUIA</v>
      </c>
      <c r="C2" s="827"/>
      <c r="D2" s="3083" t="str">
        <f>+IF(F2="","","MUNICIPIO:")</f>
        <v>MUNICIPIO:</v>
      </c>
      <c r="E2" s="3083"/>
      <c r="F2" s="828" t="str">
        <f>IF(INSTRUCCIONES!B3=0,"",INSTRUCCIONES!B3)</f>
        <v>ITAGUI</v>
      </c>
      <c r="G2" s="829"/>
      <c r="H2" s="829"/>
      <c r="I2" s="829"/>
      <c r="J2" s="829"/>
      <c r="K2" s="830"/>
      <c r="L2" s="3112" t="s">
        <v>388</v>
      </c>
      <c r="M2" s="3073"/>
      <c r="N2" s="831" t="s">
        <v>389</v>
      </c>
      <c r="P2" s="3068" t="s">
        <v>466</v>
      </c>
      <c r="Q2" s="3084"/>
      <c r="R2" s="832"/>
      <c r="S2" s="833"/>
      <c r="T2" s="834" t="str">
        <f>+ENERO!T2</f>
        <v>SECRETARIA SECCIONAL DE SALUD Y PROTECCION SOCIAL DE ANTIOQUIA DE ANTIOQUIA</v>
      </c>
      <c r="U2" s="827"/>
      <c r="V2" s="3065" t="str">
        <f>+IF(Y2="","","M U N I C I P I O:")</f>
        <v>M U N I C I P I O:</v>
      </c>
      <c r="W2" s="3065"/>
      <c r="X2" s="3065"/>
      <c r="Y2" s="3089" t="str">
        <f>IF(INSTRUCCIONES!B3=0,"",INSTRUCCIONES!B3)</f>
        <v>ITAGUI</v>
      </c>
      <c r="Z2" s="3089"/>
      <c r="AA2" s="3089"/>
      <c r="AB2" s="3089"/>
      <c r="AC2" s="3089"/>
      <c r="AD2" s="3089"/>
      <c r="AE2" s="3089"/>
      <c r="AF2" s="3089"/>
      <c r="AG2" s="3090"/>
      <c r="AH2" s="3073" t="s">
        <v>388</v>
      </c>
      <c r="AI2" s="3074"/>
      <c r="AJ2" s="831" t="s">
        <v>389</v>
      </c>
      <c r="AL2" s="3068" t="s">
        <v>466</v>
      </c>
      <c r="AM2" s="3084"/>
      <c r="AO2" s="835">
        <v>2</v>
      </c>
      <c r="AP2" s="836" t="s">
        <v>7</v>
      </c>
      <c r="AQ2" s="837"/>
      <c r="AR2" s="838"/>
      <c r="AS2" s="838"/>
      <c r="AT2" s="838"/>
      <c r="AU2" s="838"/>
      <c r="AV2" s="838"/>
      <c r="AW2" s="838"/>
      <c r="AX2" s="838"/>
      <c r="AY2" s="838"/>
      <c r="AZ2" s="839"/>
      <c r="BB2" s="3068" t="s">
        <v>616</v>
      </c>
      <c r="BC2" s="3069"/>
      <c r="BD2" s="840" t="s">
        <v>388</v>
      </c>
      <c r="BE2" s="831" t="str">
        <f>+L3</f>
        <v>FEBRERO</v>
      </c>
      <c r="BF2" s="822"/>
      <c r="BG2" s="3068" t="s">
        <v>617</v>
      </c>
      <c r="BH2" s="3069"/>
      <c r="BI2" s="3069"/>
      <c r="BJ2" s="840" t="s">
        <v>388</v>
      </c>
      <c r="BK2" s="831" t="str">
        <f>+BE2</f>
        <v>FEBRERO</v>
      </c>
      <c r="BM2" s="3068" t="s">
        <v>617</v>
      </c>
      <c r="BN2" s="3069"/>
      <c r="BO2" s="3069"/>
      <c r="BP2" s="840" t="s">
        <v>388</v>
      </c>
      <c r="BQ2" s="831" t="str">
        <f>+BK2</f>
        <v>FEBRERO</v>
      </c>
    </row>
    <row r="3" spans="1:69" ht="24.95" customHeight="1" thickBot="1">
      <c r="A3" s="841"/>
      <c r="B3" s="3055" t="s">
        <v>8</v>
      </c>
      <c r="C3" s="842"/>
      <c r="D3" s="3096" t="str">
        <f>+IF(F3="","","INSTITUCION:")</f>
        <v>INSTITUCION:</v>
      </c>
      <c r="E3" s="3096"/>
      <c r="F3" s="3128" t="str">
        <f>IF(INSTRUCCIONES!B5=0,"",INSTRUCCIONES!B5)</f>
        <v>ESE HOSPITALSAN RAFAEL</v>
      </c>
      <c r="G3" s="3128"/>
      <c r="H3" s="3128"/>
      <c r="I3" s="3128"/>
      <c r="J3" s="3128"/>
      <c r="K3" s="3129"/>
      <c r="L3" s="3113" t="s">
        <v>364</v>
      </c>
      <c r="M3" s="3114"/>
      <c r="N3" s="3110">
        <f>+INSTRUCCIONES!F3</f>
        <v>2017</v>
      </c>
      <c r="P3" s="3125" t="s">
        <v>621</v>
      </c>
      <c r="Q3" s="3100" t="s">
        <v>622</v>
      </c>
      <c r="R3" s="832"/>
      <c r="S3" s="843"/>
      <c r="T3" s="3117" t="s">
        <v>10</v>
      </c>
      <c r="U3" s="844"/>
      <c r="V3" s="3098" t="str">
        <f>+IF(Y3="","","E.S.E. H O S P I T A L:")</f>
        <v>E.S.E. H O S P I T A L:</v>
      </c>
      <c r="W3" s="3098"/>
      <c r="X3" s="3098"/>
      <c r="Y3" s="3085" t="str">
        <f>IF(INSTRUCCIONES!B5=0,"",INSTRUCCIONES!B5)</f>
        <v>ESE HOSPITALSAN RAFAEL</v>
      </c>
      <c r="Z3" s="3085"/>
      <c r="AA3" s="3085"/>
      <c r="AB3" s="3085"/>
      <c r="AC3" s="3085"/>
      <c r="AD3" s="3085"/>
      <c r="AE3" s="3085"/>
      <c r="AF3" s="3085"/>
      <c r="AG3" s="3086"/>
      <c r="AH3" s="3077" t="str">
        <f>+L3</f>
        <v>FEBRERO</v>
      </c>
      <c r="AI3" s="3078"/>
      <c r="AJ3" s="3075">
        <f>+N3</f>
        <v>2017</v>
      </c>
      <c r="AL3" s="3093" t="s">
        <v>623</v>
      </c>
      <c r="AM3" s="3100" t="s">
        <v>622</v>
      </c>
      <c r="AO3" s="845"/>
      <c r="AP3" s="846" t="s">
        <v>11</v>
      </c>
      <c r="AQ3" s="847"/>
      <c r="AR3" s="847"/>
      <c r="AS3" s="847"/>
      <c r="AT3" s="847"/>
      <c r="AU3" s="847"/>
      <c r="AV3" s="847"/>
      <c r="AW3" s="847"/>
      <c r="AX3" s="847"/>
      <c r="AY3" s="847"/>
      <c r="AZ3" s="848"/>
      <c r="BB3" s="3091" t="str">
        <f>+CONCATENATE(INSTRUCCIONES!B5, " - ", INSTRUCCIONES!B3)</f>
        <v>ESE HOSPITALSAN RAFAEL - ITAGUI</v>
      </c>
      <c r="BC3" s="3092"/>
      <c r="BD3" s="849" t="s">
        <v>389</v>
      </c>
      <c r="BE3" s="850">
        <f>+N3</f>
        <v>2017</v>
      </c>
      <c r="BF3" s="851" t="s">
        <v>12</v>
      </c>
      <c r="BG3" s="3091" t="str">
        <f>+CONCATENATE(INSTRUCCIONES!B5, " - ", INSTRUCCIONES!B3)</f>
        <v>ESE HOSPITALSAN RAFAEL - ITAGUI</v>
      </c>
      <c r="BH3" s="3092"/>
      <c r="BI3" s="3092"/>
      <c r="BJ3" s="849" t="s">
        <v>389</v>
      </c>
      <c r="BK3" s="850">
        <f>+BE3</f>
        <v>2017</v>
      </c>
      <c r="BM3" s="3091" t="str">
        <f>+CONCATENATE(INSTRUCCIONES!B5, " - ", INSTRUCCIONES!B3)</f>
        <v>ESE HOSPITALSAN RAFAEL - ITAGUI</v>
      </c>
      <c r="BN3" s="3092"/>
      <c r="BO3" s="3092"/>
      <c r="BP3" s="849" t="s">
        <v>389</v>
      </c>
      <c r="BQ3" s="850">
        <f>+BK3</f>
        <v>2017</v>
      </c>
    </row>
    <row r="4" spans="1:69" ht="24.95" customHeight="1" thickBot="1">
      <c r="A4" s="841"/>
      <c r="B4" s="3056"/>
      <c r="C4" s="852"/>
      <c r="D4" s="3097"/>
      <c r="E4" s="3097"/>
      <c r="F4" s="3130"/>
      <c r="G4" s="3130"/>
      <c r="H4" s="3130"/>
      <c r="I4" s="3130"/>
      <c r="J4" s="3130"/>
      <c r="K4" s="3131"/>
      <c r="L4" s="3115"/>
      <c r="M4" s="3116"/>
      <c r="N4" s="3111"/>
      <c r="P4" s="3126"/>
      <c r="Q4" s="3101"/>
      <c r="R4" s="832"/>
      <c r="S4" s="843"/>
      <c r="T4" s="3117"/>
      <c r="U4" s="852"/>
      <c r="V4" s="3099"/>
      <c r="W4" s="3099"/>
      <c r="X4" s="3099"/>
      <c r="Y4" s="3087"/>
      <c r="Z4" s="3087"/>
      <c r="AA4" s="3087"/>
      <c r="AB4" s="3087"/>
      <c r="AC4" s="3087"/>
      <c r="AD4" s="3087"/>
      <c r="AE4" s="3087"/>
      <c r="AF4" s="3087"/>
      <c r="AG4" s="3088"/>
      <c r="AH4" s="3079"/>
      <c r="AI4" s="3080"/>
      <c r="AJ4" s="3076"/>
      <c r="AL4" s="3094"/>
      <c r="AM4" s="3101"/>
      <c r="AO4" s="845"/>
      <c r="AP4" s="853"/>
      <c r="AQ4" s="854" t="s">
        <v>13</v>
      </c>
      <c r="AR4" s="854" t="s">
        <v>14</v>
      </c>
      <c r="AS4" s="854" t="s">
        <v>15</v>
      </c>
      <c r="AT4" s="854" t="s">
        <v>16</v>
      </c>
      <c r="AU4" s="854" t="s">
        <v>16</v>
      </c>
      <c r="AV4" s="855" t="s">
        <v>16</v>
      </c>
      <c r="AW4" s="3060" t="str">
        <f>+CONCATENATE("PROYECCION A DICIEMBRE 31 DEL ",N3)</f>
        <v>PROYECCION A DICIEMBRE 31 DEL 2017</v>
      </c>
      <c r="AX4" s="3061"/>
      <c r="AY4" s="3061"/>
      <c r="AZ4" s="3062"/>
      <c r="BB4" s="856"/>
      <c r="BC4" s="857"/>
      <c r="BD4" s="857"/>
      <c r="BE4" s="858"/>
      <c r="BF4" s="859"/>
      <c r="BG4" s="856"/>
      <c r="BH4" s="857"/>
      <c r="BI4" s="860"/>
      <c r="BJ4" s="860"/>
      <c r="BK4" s="861"/>
      <c r="BL4" s="862"/>
      <c r="BM4" s="856"/>
      <c r="BN4" s="863"/>
      <c r="BO4" s="863"/>
      <c r="BP4" s="864"/>
      <c r="BQ4" s="865"/>
    </row>
    <row r="5" spans="1:69" ht="43.5" customHeight="1" thickBot="1">
      <c r="A5" s="3045" t="s">
        <v>17</v>
      </c>
      <c r="B5" s="3047" t="str">
        <f>IF(SUM(C8:N125)=0,"DESCRIPCIÓN",IF(I10&gt;0,"DESCRIPCIÓN",IF(MARZO!I10=0,"OJO - RECUERDE RECAUDAR LA DISPONIBLIDAD INICIAL EN ESTE TRIMESTRE, haga clik en H9 para ampliar la información","")))</f>
        <v>DESCRIPCIÓN</v>
      </c>
      <c r="C5" s="3049" t="s">
        <v>19</v>
      </c>
      <c r="D5" s="3050"/>
      <c r="E5" s="3050"/>
      <c r="F5" s="3051"/>
      <c r="G5" s="3052" t="s">
        <v>624</v>
      </c>
      <c r="H5" s="3053"/>
      <c r="I5" s="3054"/>
      <c r="J5" s="3122" t="str">
        <f>+IF(L8&gt;I8,"OJO - RECAUDOS MAYORES QUE RECONOCIMIENTOS","RECAUDO")</f>
        <v>RECAUDO</v>
      </c>
      <c r="K5" s="3123"/>
      <c r="L5" s="3124"/>
      <c r="M5" s="3108" t="s">
        <v>21</v>
      </c>
      <c r="N5" s="3109"/>
      <c r="P5" s="3127"/>
      <c r="Q5" s="3102"/>
      <c r="R5" s="832"/>
      <c r="S5" s="3118" t="s">
        <v>481</v>
      </c>
      <c r="T5" s="3120" t="s">
        <v>18</v>
      </c>
      <c r="U5" s="866" t="s">
        <v>19</v>
      </c>
      <c r="V5" s="867"/>
      <c r="W5" s="867"/>
      <c r="X5" s="868"/>
      <c r="Y5" s="869" t="s">
        <v>625</v>
      </c>
      <c r="Z5" s="867"/>
      <c r="AA5" s="867"/>
      <c r="AB5" s="3070" t="s">
        <v>626</v>
      </c>
      <c r="AC5" s="3071"/>
      <c r="AD5" s="3072"/>
      <c r="AE5" s="3070" t="s">
        <v>22</v>
      </c>
      <c r="AF5" s="3071"/>
      <c r="AG5" s="3072"/>
      <c r="AH5" s="3070" t="s">
        <v>23</v>
      </c>
      <c r="AI5" s="3071"/>
      <c r="AJ5" s="3072"/>
      <c r="AL5" s="3095"/>
      <c r="AM5" s="3102"/>
      <c r="AO5" s="870"/>
      <c r="AP5" s="871" t="s">
        <v>24</v>
      </c>
      <c r="AQ5" s="854"/>
      <c r="AR5" s="854" t="s">
        <v>25</v>
      </c>
      <c r="AS5" s="854" t="s">
        <v>25</v>
      </c>
      <c r="AT5" s="854" t="s">
        <v>26</v>
      </c>
      <c r="AU5" s="854" t="s">
        <v>27</v>
      </c>
      <c r="AV5" s="854" t="s">
        <v>27</v>
      </c>
      <c r="AW5" s="854" t="s">
        <v>28</v>
      </c>
      <c r="AX5" s="854" t="s">
        <v>29</v>
      </c>
      <c r="AY5" s="854" t="s">
        <v>30</v>
      </c>
      <c r="AZ5" s="872" t="s">
        <v>30</v>
      </c>
      <c r="BB5" s="873" t="s">
        <v>31</v>
      </c>
      <c r="BC5" s="874" t="str">
        <f>+CONCATENATE("ACUMULADO ",N3)</f>
        <v>ACUMULADO 2017</v>
      </c>
      <c r="BD5" s="875"/>
      <c r="BE5" s="876"/>
      <c r="BF5" s="877" t="s">
        <v>12</v>
      </c>
      <c r="BG5" s="3066" t="s">
        <v>32</v>
      </c>
      <c r="BH5" s="3103" t="str">
        <f>+CONCATENATE("ACUMULADO ",N3)</f>
        <v>ACUMULADO 2017</v>
      </c>
      <c r="BI5" s="3104"/>
      <c r="BJ5" s="3104" t="str">
        <f>+BG2</f>
        <v>INFORMACION DE GASTOS CONSOLIDAR INFORMES DEL SIHO</v>
      </c>
      <c r="BK5" s="3105"/>
      <c r="BM5" s="3081" t="s">
        <v>32</v>
      </c>
      <c r="BN5" s="878" t="str">
        <f>+CONCATENATE("ACUMULADO ",BQ3)</f>
        <v>ACUMULADO 2017</v>
      </c>
      <c r="BO5" s="879"/>
      <c r="BP5" s="880"/>
      <c r="BQ5" s="881"/>
    </row>
    <row r="6" spans="1:69" ht="24.95" customHeight="1" thickBot="1">
      <c r="A6" s="3046"/>
      <c r="B6" s="3048"/>
      <c r="C6" s="882" t="s">
        <v>33</v>
      </c>
      <c r="D6" s="883" t="s">
        <v>34</v>
      </c>
      <c r="E6" s="883" t="s">
        <v>35</v>
      </c>
      <c r="F6" s="884" t="s">
        <v>36</v>
      </c>
      <c r="G6" s="882" t="s">
        <v>37</v>
      </c>
      <c r="H6" s="883" t="s">
        <v>38</v>
      </c>
      <c r="I6" s="884" t="s">
        <v>39</v>
      </c>
      <c r="J6" s="882" t="s">
        <v>37</v>
      </c>
      <c r="K6" s="883" t="s">
        <v>38</v>
      </c>
      <c r="L6" s="884" t="s">
        <v>39</v>
      </c>
      <c r="M6" s="882" t="s">
        <v>40</v>
      </c>
      <c r="N6" s="884" t="s">
        <v>20</v>
      </c>
      <c r="P6" s="885" t="s">
        <v>41</v>
      </c>
      <c r="Q6" s="886" t="s">
        <v>467</v>
      </c>
      <c r="R6" s="832"/>
      <c r="S6" s="3119" t="s">
        <v>42</v>
      </c>
      <c r="T6" s="3121"/>
      <c r="U6" s="887" t="s">
        <v>33</v>
      </c>
      <c r="V6" s="888" t="s">
        <v>34</v>
      </c>
      <c r="W6" s="888" t="s">
        <v>35</v>
      </c>
      <c r="X6" s="889" t="s">
        <v>36</v>
      </c>
      <c r="Y6" s="890" t="s">
        <v>37</v>
      </c>
      <c r="Z6" s="888" t="s">
        <v>38</v>
      </c>
      <c r="AA6" s="888" t="s">
        <v>39</v>
      </c>
      <c r="AB6" s="890" t="s">
        <v>37</v>
      </c>
      <c r="AC6" s="888" t="s">
        <v>38</v>
      </c>
      <c r="AD6" s="888" t="s">
        <v>39</v>
      </c>
      <c r="AE6" s="890" t="s">
        <v>37</v>
      </c>
      <c r="AF6" s="888" t="s">
        <v>38</v>
      </c>
      <c r="AG6" s="888" t="s">
        <v>39</v>
      </c>
      <c r="AH6" s="890" t="s">
        <v>43</v>
      </c>
      <c r="AI6" s="888" t="s">
        <v>44</v>
      </c>
      <c r="AJ6" s="889" t="s">
        <v>22</v>
      </c>
      <c r="AL6" s="891" t="s">
        <v>41</v>
      </c>
      <c r="AM6" s="884" t="s">
        <v>467</v>
      </c>
      <c r="AO6" s="892"/>
      <c r="AP6" s="893"/>
      <c r="AQ6" s="894" t="s">
        <v>36</v>
      </c>
      <c r="AR6" s="894" t="str">
        <f>+L3</f>
        <v>FEBRERO</v>
      </c>
      <c r="AS6" s="894" t="str">
        <f>AR6</f>
        <v>FEBRERO</v>
      </c>
      <c r="AT6" s="894" t="str">
        <f>AR6</f>
        <v>FEBRERO</v>
      </c>
      <c r="AU6" s="894" t="s">
        <v>14</v>
      </c>
      <c r="AV6" s="894" t="s">
        <v>29</v>
      </c>
      <c r="AW6" s="894"/>
      <c r="AX6" s="894"/>
      <c r="AY6" s="894" t="s">
        <v>14</v>
      </c>
      <c r="AZ6" s="895" t="s">
        <v>29</v>
      </c>
      <c r="BB6" s="896"/>
      <c r="BC6" s="897" t="s">
        <v>45</v>
      </c>
      <c r="BD6" s="898" t="s">
        <v>46</v>
      </c>
      <c r="BE6" s="899" t="s">
        <v>47</v>
      </c>
      <c r="BF6" s="900"/>
      <c r="BG6" s="3067"/>
      <c r="BH6" s="901" t="s">
        <v>45</v>
      </c>
      <c r="BI6" s="901" t="s">
        <v>48</v>
      </c>
      <c r="BJ6" s="901" t="s">
        <v>49</v>
      </c>
      <c r="BK6" s="902" t="s">
        <v>50</v>
      </c>
      <c r="BM6" s="3082"/>
      <c r="BN6" s="903" t="s">
        <v>45</v>
      </c>
      <c r="BO6" s="901" t="s">
        <v>48</v>
      </c>
      <c r="BP6" s="901" t="s">
        <v>49</v>
      </c>
      <c r="BQ6" s="902" t="s">
        <v>50</v>
      </c>
    </row>
    <row r="7" spans="1:69" s="909" customFormat="1" ht="24.95" customHeight="1" thickBot="1">
      <c r="A7" s="904"/>
      <c r="B7" s="905"/>
      <c r="C7" s="906"/>
      <c r="D7" s="906"/>
      <c r="E7" s="906"/>
      <c r="F7" s="906"/>
      <c r="G7" s="906"/>
      <c r="H7" s="906"/>
      <c r="I7" s="906"/>
      <c r="J7" s="906"/>
      <c r="K7" s="906"/>
      <c r="L7" s="906"/>
      <c r="M7" s="906"/>
      <c r="N7" s="907"/>
      <c r="O7" s="832"/>
      <c r="P7" s="908"/>
      <c r="Q7" s="907"/>
      <c r="S7" s="910"/>
      <c r="T7" s="905"/>
      <c r="U7" s="906"/>
      <c r="V7" s="906"/>
      <c r="W7" s="906"/>
      <c r="X7" s="906"/>
      <c r="Y7" s="906"/>
      <c r="Z7" s="906"/>
      <c r="AA7" s="906"/>
      <c r="AB7" s="906"/>
      <c r="AC7" s="906"/>
      <c r="AD7" s="906"/>
      <c r="AE7" s="906"/>
      <c r="AF7" s="906"/>
      <c r="AG7" s="906"/>
      <c r="AH7" s="906"/>
      <c r="AI7" s="906"/>
      <c r="AJ7" s="907"/>
      <c r="AK7" s="823"/>
      <c r="AL7" s="911"/>
      <c r="AM7" s="912"/>
      <c r="AO7" s="913"/>
      <c r="AP7" s="914" t="s">
        <v>52</v>
      </c>
      <c r="AQ7" s="915">
        <f>F22</f>
        <v>19600473880</v>
      </c>
      <c r="AR7" s="915">
        <f>I22</f>
        <v>4852101166</v>
      </c>
      <c r="AS7" s="915">
        <f>L22</f>
        <v>2525936816</v>
      </c>
      <c r="AT7" s="916"/>
      <c r="AU7" s="917">
        <f t="shared" ref="AU7:AU17" si="0">IF(AQ7=0," ",AR7/AQ7)</f>
        <v>0.24755019678126272</v>
      </c>
      <c r="AV7" s="917">
        <f t="shared" ref="AV7:AV17" si="1">IF(AQ7=0," ",AS7/AQ7)</f>
        <v>0.1288712115566463</v>
      </c>
      <c r="AW7" s="915">
        <f>I23/AO$2*12+I24</f>
        <v>16486082271</v>
      </c>
      <c r="AX7" s="915">
        <f>L23/AO$2*12+L24</f>
        <v>2529096171</v>
      </c>
      <c r="AY7" s="915">
        <f t="shared" ref="AY7:AY16" si="2">AW7-AQ7</f>
        <v>-3114391609</v>
      </c>
      <c r="AZ7" s="918">
        <f t="shared" ref="AZ7:AZ16" si="3">AX7-AQ7</f>
        <v>-17071377709</v>
      </c>
      <c r="BB7" s="919" t="s">
        <v>53</v>
      </c>
      <c r="BC7" s="920">
        <f>F10</f>
        <v>617329922</v>
      </c>
      <c r="BD7" s="921">
        <f>I10</f>
        <v>617329922</v>
      </c>
      <c r="BE7" s="922">
        <f>K10</f>
        <v>617329922</v>
      </c>
      <c r="BF7" s="923"/>
      <c r="BG7" s="924" t="s">
        <v>54</v>
      </c>
      <c r="BH7" s="925">
        <f>+SUM(BH8:BH11)</f>
        <v>32532704902</v>
      </c>
      <c r="BI7" s="925">
        <f>+SUM(BI8:BI11)</f>
        <v>16276327700</v>
      </c>
      <c r="BJ7" s="925">
        <f>+SUM(BJ8:BJ11)</f>
        <v>5592654528</v>
      </c>
      <c r="BK7" s="926">
        <f>+SUM(BK8:BK11)</f>
        <v>1320788824</v>
      </c>
      <c r="BM7" s="927" t="s">
        <v>54</v>
      </c>
      <c r="BN7" s="928">
        <f>BN8+BN15+BN22</f>
        <v>32532704902</v>
      </c>
      <c r="BO7" s="929">
        <f>BO8+BO15+BO22</f>
        <v>16276327700</v>
      </c>
      <c r="BP7" s="929">
        <f>BP8+BP15+BP22</f>
        <v>5592654528</v>
      </c>
      <c r="BQ7" s="930">
        <f>BQ8+BQ15+BQ22</f>
        <v>1320788824</v>
      </c>
    </row>
    <row r="8" spans="1:69" s="909" customFormat="1" ht="24.95" customHeight="1" thickBot="1">
      <c r="A8" s="931">
        <f>+IF(ENERO!A8=0,"",ENERO!A8)</f>
        <v>1</v>
      </c>
      <c r="B8" s="932" t="str">
        <f>+IF(ENERO!B8=0,"",ENERO!B8)</f>
        <v>INGRESOS</v>
      </c>
      <c r="C8" s="933">
        <f>C10+C17+C113</f>
        <v>50222178081</v>
      </c>
      <c r="D8" s="933">
        <f t="shared" ref="D8:Q8" si="4">D10+D17+D113</f>
        <v>0</v>
      </c>
      <c r="E8" s="933">
        <f t="shared" si="4"/>
        <v>1454166887</v>
      </c>
      <c r="F8" s="933">
        <f t="shared" si="4"/>
        <v>51676344968</v>
      </c>
      <c r="G8" s="933">
        <f t="shared" si="4"/>
        <v>6269819158</v>
      </c>
      <c r="H8" s="933">
        <f t="shared" si="4"/>
        <v>6574995028</v>
      </c>
      <c r="I8" s="933">
        <f t="shared" si="4"/>
        <v>12844814186</v>
      </c>
      <c r="J8" s="933">
        <f t="shared" si="4"/>
        <v>1934795961</v>
      </c>
      <c r="K8" s="933">
        <f t="shared" si="4"/>
        <v>4277104871</v>
      </c>
      <c r="L8" s="933">
        <f t="shared" si="4"/>
        <v>6211900832</v>
      </c>
      <c r="M8" s="933">
        <f t="shared" si="4"/>
        <v>38831530782</v>
      </c>
      <c r="N8" s="933">
        <f t="shared" si="4"/>
        <v>45464444136</v>
      </c>
      <c r="O8" s="934"/>
      <c r="P8" s="935">
        <f t="shared" si="4"/>
        <v>0</v>
      </c>
      <c r="Q8" s="936">
        <f t="shared" si="4"/>
        <v>617329922</v>
      </c>
      <c r="S8" s="937" t="str">
        <f>+IF(ENERO!S8=0,"",ENERO!S8)</f>
        <v/>
      </c>
      <c r="T8" s="938" t="str">
        <f>+IF(ENERO!T8=0,"",ENERO!T8)</f>
        <v>GASTOS</v>
      </c>
      <c r="U8" s="939">
        <f>U10+U193+U220+U232</f>
        <v>50222178081</v>
      </c>
      <c r="V8" s="940">
        <f t="shared" ref="V8:AJ8" si="5">V10+V193+V220+V232</f>
        <v>0</v>
      </c>
      <c r="W8" s="940">
        <f t="shared" si="5"/>
        <v>1454166887</v>
      </c>
      <c r="X8" s="941">
        <f t="shared" si="5"/>
        <v>51676344968</v>
      </c>
      <c r="Y8" s="942">
        <f t="shared" si="5"/>
        <v>17536540795</v>
      </c>
      <c r="Z8" s="940">
        <f t="shared" si="5"/>
        <v>6534944859</v>
      </c>
      <c r="AA8" s="941">
        <f t="shared" si="5"/>
        <v>24071485654</v>
      </c>
      <c r="AB8" s="942">
        <f t="shared" si="5"/>
        <v>4109707062</v>
      </c>
      <c r="AC8" s="940">
        <f t="shared" si="5"/>
        <v>7818130701</v>
      </c>
      <c r="AD8" s="941">
        <f t="shared" si="5"/>
        <v>11927837763</v>
      </c>
      <c r="AE8" s="942">
        <f t="shared" si="5"/>
        <v>2326251824</v>
      </c>
      <c r="AF8" s="940">
        <f t="shared" si="5"/>
        <v>3938240993</v>
      </c>
      <c r="AG8" s="941">
        <f t="shared" si="5"/>
        <v>6264492817</v>
      </c>
      <c r="AH8" s="942">
        <f t="shared" si="5"/>
        <v>27604859314</v>
      </c>
      <c r="AI8" s="940">
        <f t="shared" si="5"/>
        <v>39748507205</v>
      </c>
      <c r="AJ8" s="943">
        <f t="shared" si="5"/>
        <v>45411852151</v>
      </c>
      <c r="AL8" s="944">
        <f t="shared" ref="AL8:AM8" si="6">AL10+AL193+AL220+AL232</f>
        <v>0</v>
      </c>
      <c r="AM8" s="945">
        <f t="shared" si="6"/>
        <v>617329922</v>
      </c>
      <c r="AO8" s="913"/>
      <c r="AP8" s="914" t="s">
        <v>56</v>
      </c>
      <c r="AQ8" s="946">
        <f>F25</f>
        <v>13440356729</v>
      </c>
      <c r="AR8" s="947">
        <f>I25</f>
        <v>4914553153</v>
      </c>
      <c r="AS8" s="947">
        <f>L25</f>
        <v>1976508375</v>
      </c>
      <c r="AT8" s="916"/>
      <c r="AU8" s="948">
        <f t="shared" si="0"/>
        <v>0.36565645184074341</v>
      </c>
      <c r="AV8" s="948">
        <f t="shared" si="1"/>
        <v>0.1470577317888688</v>
      </c>
      <c r="AW8" s="947">
        <f>I26/AO$2*12+I27</f>
        <v>19604944043</v>
      </c>
      <c r="AX8" s="947">
        <f>L26/AO$2*12+L27</f>
        <v>1976675375</v>
      </c>
      <c r="AY8" s="947">
        <f t="shared" si="2"/>
        <v>6164587314</v>
      </c>
      <c r="AZ8" s="949">
        <f t="shared" si="3"/>
        <v>-11463681354</v>
      </c>
      <c r="BB8" s="950" t="s">
        <v>57</v>
      </c>
      <c r="BC8" s="951">
        <f>BC9+BC19</f>
        <v>41169250887</v>
      </c>
      <c r="BD8" s="952">
        <f>BD9+BD19</f>
        <v>6855344975</v>
      </c>
      <c r="BE8" s="953">
        <f>BE9+BE19</f>
        <v>69001799</v>
      </c>
      <c r="BF8" s="923"/>
      <c r="BG8" s="954" t="s">
        <v>58</v>
      </c>
      <c r="BH8" s="955">
        <f>BN9+BN13</f>
        <v>2490502012</v>
      </c>
      <c r="BI8" s="955">
        <f>BO9+BO13</f>
        <v>356556077</v>
      </c>
      <c r="BJ8" s="955">
        <f>BP9+BP13</f>
        <v>356556077</v>
      </c>
      <c r="BK8" s="956">
        <f>BQ9+BQ13</f>
        <v>205368101</v>
      </c>
      <c r="BM8" s="957" t="s">
        <v>59</v>
      </c>
      <c r="BN8" s="958">
        <f>BN9+BN14+BN13</f>
        <v>24081581495</v>
      </c>
      <c r="BO8" s="955">
        <f>BO9+BO14+BO13</f>
        <v>12106831880</v>
      </c>
      <c r="BP8" s="955">
        <f>BP9+BP14+BP13</f>
        <v>4222847839</v>
      </c>
      <c r="BQ8" s="956">
        <f>BQ9+BQ14+BQ13</f>
        <v>823047303</v>
      </c>
    </row>
    <row r="9" spans="1:69" s="909" customFormat="1" ht="24.95" customHeight="1" thickBot="1">
      <c r="A9" s="959"/>
      <c r="B9" s="960"/>
      <c r="C9" s="961"/>
      <c r="D9" s="961"/>
      <c r="E9" s="961"/>
      <c r="F9" s="961"/>
      <c r="G9" s="961"/>
      <c r="H9" s="961"/>
      <c r="I9" s="961"/>
      <c r="J9" s="961"/>
      <c r="K9" s="961"/>
      <c r="L9" s="961"/>
      <c r="M9" s="961"/>
      <c r="N9" s="962"/>
      <c r="O9" s="934"/>
      <c r="P9" s="963"/>
      <c r="Q9" s="962"/>
      <c r="S9" s="910"/>
      <c r="T9" s="905"/>
      <c r="U9" s="906"/>
      <c r="V9" s="906"/>
      <c r="W9" s="906"/>
      <c r="X9" s="906"/>
      <c r="Y9" s="906"/>
      <c r="Z9" s="906"/>
      <c r="AA9" s="906"/>
      <c r="AB9" s="906"/>
      <c r="AC9" s="906"/>
      <c r="AD9" s="906"/>
      <c r="AE9" s="906"/>
      <c r="AF9" s="906"/>
      <c r="AG9" s="906"/>
      <c r="AH9" s="906"/>
      <c r="AI9" s="906"/>
      <c r="AJ9" s="907"/>
      <c r="AL9" s="964"/>
      <c r="AM9" s="965"/>
      <c r="AO9" s="966"/>
      <c r="AP9" s="914" t="s">
        <v>61</v>
      </c>
      <c r="AQ9" s="946">
        <f>F28+F75</f>
        <v>209521482</v>
      </c>
      <c r="AR9" s="947">
        <f>I28+I75</f>
        <v>69817094</v>
      </c>
      <c r="AS9" s="947">
        <f>L28+L75</f>
        <v>1707607</v>
      </c>
      <c r="AT9" s="916"/>
      <c r="AU9" s="967">
        <f t="shared" si="0"/>
        <v>0.33322165027450501</v>
      </c>
      <c r="AV9" s="967">
        <f t="shared" si="1"/>
        <v>8.1500330357533457E-3</v>
      </c>
      <c r="AW9" s="968">
        <f>(I30+I33+I36+I76)/AO$2*12+I31+I34+I37+I38+I39+I40+I77</f>
        <v>414824029</v>
      </c>
      <c r="AX9" s="968">
        <f>(L30+L33+L36+L76)/AO$2*12+L31+L34+L37+L38+L39+L40+L77</f>
        <v>6167107</v>
      </c>
      <c r="AY9" s="968">
        <f t="shared" si="2"/>
        <v>205302547</v>
      </c>
      <c r="AZ9" s="969">
        <f t="shared" si="3"/>
        <v>-203354375</v>
      </c>
      <c r="BB9" s="970" t="s">
        <v>427</v>
      </c>
      <c r="BC9" s="971">
        <f>BC10+BC18</f>
        <v>40501810887</v>
      </c>
      <c r="BD9" s="972">
        <f>BD10+BD18</f>
        <v>6694317098</v>
      </c>
      <c r="BE9" s="973">
        <f>BE10+BE18</f>
        <v>55466567</v>
      </c>
      <c r="BF9" s="974"/>
      <c r="BG9" s="975" t="s">
        <v>62</v>
      </c>
      <c r="BH9" s="976">
        <f t="shared" ref="BH9:BK10" si="7">BN14</f>
        <v>21591079483</v>
      </c>
      <c r="BI9" s="976">
        <f t="shared" si="7"/>
        <v>11750275803</v>
      </c>
      <c r="BJ9" s="976">
        <f t="shared" si="7"/>
        <v>3866291762</v>
      </c>
      <c r="BK9" s="977">
        <f t="shared" si="7"/>
        <v>617679202</v>
      </c>
      <c r="BM9" s="978" t="s">
        <v>63</v>
      </c>
      <c r="BN9" s="979">
        <f>SUM(BN10:BN12)</f>
        <v>1973744635</v>
      </c>
      <c r="BO9" s="976">
        <f>SUM(BO10:BO12)</f>
        <v>288242901</v>
      </c>
      <c r="BP9" s="976">
        <f>SUM(BP10:BP12)</f>
        <v>288242901</v>
      </c>
      <c r="BQ9" s="977">
        <f>SUM(BQ10:BQ12)</f>
        <v>171205735</v>
      </c>
    </row>
    <row r="10" spans="1:69" s="909" customFormat="1" ht="24.95" customHeight="1">
      <c r="A10" s="980">
        <f>+IF(ENERO!A10=0,"",ENERO!A10)</f>
        <v>10</v>
      </c>
      <c r="B10" s="981" t="str">
        <f>+IF(ENERO!B10=0,"",ENERO!B10)</f>
        <v>DISPONIBILIDAD INICIAL</v>
      </c>
      <c r="C10" s="982">
        <f t="shared" ref="C10:N10" si="8">SUM(C12:C15)</f>
        <v>0</v>
      </c>
      <c r="D10" s="983">
        <f t="shared" si="8"/>
        <v>0</v>
      </c>
      <c r="E10" s="983">
        <f t="shared" si="8"/>
        <v>617329922</v>
      </c>
      <c r="F10" s="984">
        <f t="shared" si="8"/>
        <v>617329922</v>
      </c>
      <c r="G10" s="985">
        <f t="shared" si="8"/>
        <v>0</v>
      </c>
      <c r="H10" s="983">
        <f t="shared" si="8"/>
        <v>617329922</v>
      </c>
      <c r="I10" s="986">
        <f t="shared" si="8"/>
        <v>617329922</v>
      </c>
      <c r="J10" s="982">
        <f t="shared" si="8"/>
        <v>0</v>
      </c>
      <c r="K10" s="983">
        <f t="shared" si="8"/>
        <v>617329922</v>
      </c>
      <c r="L10" s="984">
        <f t="shared" si="8"/>
        <v>617329922</v>
      </c>
      <c r="M10" s="982">
        <f t="shared" si="8"/>
        <v>0</v>
      </c>
      <c r="N10" s="984">
        <f t="shared" si="8"/>
        <v>0</v>
      </c>
      <c r="O10" s="916"/>
      <c r="P10" s="982">
        <f>SUM(P12:P15)</f>
        <v>0</v>
      </c>
      <c r="Q10" s="984">
        <f>SUM(Q12:Q15)</f>
        <v>617329922</v>
      </c>
      <c r="S10" s="987" t="str">
        <f>+IF(ENERO!S10=0,"",ENERO!S10)</f>
        <v>A</v>
      </c>
      <c r="T10" s="988" t="str">
        <f>+IF(ENERO!T10=0,"",ENERO!T10)</f>
        <v>GASTOS DE FUNCIONAMIENTO</v>
      </c>
      <c r="U10" s="989">
        <f>U12+U110+U170</f>
        <v>35471771735</v>
      </c>
      <c r="V10" s="990">
        <f t="shared" ref="V10:AJ10" si="9">V12+V110+V170</f>
        <v>-254688244</v>
      </c>
      <c r="W10" s="990">
        <f t="shared" si="9"/>
        <v>599498707</v>
      </c>
      <c r="X10" s="991">
        <f t="shared" si="9"/>
        <v>35816582198</v>
      </c>
      <c r="Y10" s="989">
        <f t="shared" si="9"/>
        <v>15187209061</v>
      </c>
      <c r="Z10" s="990">
        <f t="shared" si="9"/>
        <v>4245328120</v>
      </c>
      <c r="AA10" s="992">
        <f t="shared" si="9"/>
        <v>19432537181</v>
      </c>
      <c r="AB10" s="989">
        <f t="shared" si="9"/>
        <v>2891828681</v>
      </c>
      <c r="AC10" s="990">
        <f t="shared" si="9"/>
        <v>5857035328</v>
      </c>
      <c r="AD10" s="991">
        <f t="shared" si="9"/>
        <v>8748864009</v>
      </c>
      <c r="AE10" s="989">
        <f t="shared" si="9"/>
        <v>1819685150</v>
      </c>
      <c r="AF10" s="990">
        <f t="shared" si="9"/>
        <v>3077329184</v>
      </c>
      <c r="AG10" s="991">
        <f t="shared" si="9"/>
        <v>4897014334</v>
      </c>
      <c r="AH10" s="989">
        <f t="shared" si="9"/>
        <v>16384045017</v>
      </c>
      <c r="AI10" s="990">
        <f t="shared" si="9"/>
        <v>27067718189</v>
      </c>
      <c r="AJ10" s="991">
        <f t="shared" si="9"/>
        <v>30919567864</v>
      </c>
      <c r="AL10" s="993">
        <f t="shared" ref="AL10:AM10" si="10">AL12+AL110+AL170</f>
        <v>-254688244</v>
      </c>
      <c r="AM10" s="994">
        <f t="shared" si="10"/>
        <v>129498707</v>
      </c>
      <c r="AO10" s="966"/>
      <c r="AP10" s="914" t="s">
        <v>65</v>
      </c>
      <c r="AQ10" s="946">
        <f>+F42</f>
        <v>0</v>
      </c>
      <c r="AR10" s="947">
        <f>I87</f>
        <v>0</v>
      </c>
      <c r="AS10" s="947">
        <f>L87</f>
        <v>0</v>
      </c>
      <c r="AT10" s="916"/>
      <c r="AU10" s="967" t="str">
        <f t="shared" si="0"/>
        <v xml:space="preserve"> </v>
      </c>
      <c r="AV10" s="967" t="str">
        <f t="shared" si="1"/>
        <v xml:space="preserve"> </v>
      </c>
      <c r="AW10" s="968">
        <f>I43/AO$2*12+I44</f>
        <v>0</v>
      </c>
      <c r="AX10" s="968">
        <f>L43/AO$2*12+L44</f>
        <v>0</v>
      </c>
      <c r="AY10" s="968">
        <f t="shared" si="2"/>
        <v>0</v>
      </c>
      <c r="AZ10" s="969">
        <f t="shared" si="3"/>
        <v>0</v>
      </c>
      <c r="BB10" s="995" t="s">
        <v>428</v>
      </c>
      <c r="BC10" s="971">
        <f>BC11+BC12+BC13+BC14+BC16+BC17+BC15</f>
        <v>40501810887</v>
      </c>
      <c r="BD10" s="972">
        <f>BD11+BD12+BD13+BD14+BD16+BD17+BD15</f>
        <v>6694317098</v>
      </c>
      <c r="BE10" s="973">
        <f>BE11+BE12+BE13+BE14+BE16+BE17+BE15</f>
        <v>55466567</v>
      </c>
      <c r="BF10" s="974"/>
      <c r="BG10" s="954" t="s">
        <v>66</v>
      </c>
      <c r="BH10" s="996">
        <f t="shared" si="7"/>
        <v>8311386842</v>
      </c>
      <c r="BI10" s="996">
        <f t="shared" si="7"/>
        <v>4154606702</v>
      </c>
      <c r="BJ10" s="996">
        <f t="shared" si="7"/>
        <v>1354917571</v>
      </c>
      <c r="BK10" s="997">
        <f t="shared" si="7"/>
        <v>496414700</v>
      </c>
      <c r="BM10" s="998" t="s">
        <v>440</v>
      </c>
      <c r="BN10" s="999">
        <f>X17+X66</f>
        <v>1512951119</v>
      </c>
      <c r="BO10" s="996">
        <f>AA17+AA66</f>
        <v>201858655</v>
      </c>
      <c r="BP10" s="996">
        <f>AD17+AD66</f>
        <v>201858655</v>
      </c>
      <c r="BQ10" s="997">
        <f>AF17+AF66</f>
        <v>105450328</v>
      </c>
    </row>
    <row r="11" spans="1:69" s="909" customFormat="1" ht="24.95" customHeight="1">
      <c r="A11" s="959"/>
      <c r="B11" s="960"/>
      <c r="C11" s="961"/>
      <c r="D11" s="961"/>
      <c r="E11" s="961"/>
      <c r="F11" s="961"/>
      <c r="G11" s="961"/>
      <c r="H11" s="961"/>
      <c r="I11" s="961"/>
      <c r="J11" s="961"/>
      <c r="K11" s="961"/>
      <c r="L11" s="961"/>
      <c r="M11" s="961"/>
      <c r="N11" s="962"/>
      <c r="O11" s="934"/>
      <c r="P11" s="963"/>
      <c r="Q11" s="962"/>
      <c r="S11" s="1000"/>
      <c r="T11" s="1001"/>
      <c r="U11" s="1002"/>
      <c r="V11" s="1003"/>
      <c r="W11" s="1003"/>
      <c r="X11" s="1004"/>
      <c r="Y11" s="1002"/>
      <c r="Z11" s="1003"/>
      <c r="AA11" s="1003"/>
      <c r="AB11" s="1002"/>
      <c r="AC11" s="1003"/>
      <c r="AD11" s="1004"/>
      <c r="AE11" s="1002"/>
      <c r="AF11" s="1003"/>
      <c r="AG11" s="1004"/>
      <c r="AH11" s="1002"/>
      <c r="AI11" s="1003"/>
      <c r="AJ11" s="1004"/>
      <c r="AL11" s="1005"/>
      <c r="AM11" s="1006"/>
      <c r="AO11" s="1007" t="s">
        <v>11</v>
      </c>
      <c r="AP11" s="1008" t="s">
        <v>538</v>
      </c>
      <c r="AQ11" s="946">
        <f>F88</f>
        <v>0</v>
      </c>
      <c r="AR11" s="947">
        <f>I88</f>
        <v>0</v>
      </c>
      <c r="AS11" s="947">
        <f>L88</f>
        <v>0</v>
      </c>
      <c r="AT11" s="1009">
        <f>AO2/12</f>
        <v>0.16666666666666666</v>
      </c>
      <c r="AU11" s="967" t="str">
        <f t="shared" si="0"/>
        <v xml:space="preserve"> </v>
      </c>
      <c r="AV11" s="967" t="str">
        <f t="shared" si="1"/>
        <v xml:space="preserve"> </v>
      </c>
      <c r="AW11" s="968">
        <f>I88</f>
        <v>0</v>
      </c>
      <c r="AX11" s="968">
        <f>L88</f>
        <v>0</v>
      </c>
      <c r="AY11" s="968">
        <f t="shared" si="2"/>
        <v>0</v>
      </c>
      <c r="AZ11" s="969">
        <f t="shared" si="3"/>
        <v>0</v>
      </c>
      <c r="BB11" s="995" t="s">
        <v>429</v>
      </c>
      <c r="BC11" s="971">
        <f>F26</f>
        <v>13439321219</v>
      </c>
      <c r="BD11" s="972">
        <f>I26</f>
        <v>2938078178</v>
      </c>
      <c r="BE11" s="973">
        <f>K26</f>
        <v>33400</v>
      </c>
      <c r="BF11" s="974"/>
      <c r="BG11" s="954" t="s">
        <v>67</v>
      </c>
      <c r="BH11" s="1010">
        <f>BN22</f>
        <v>139736565</v>
      </c>
      <c r="BI11" s="1010">
        <f>BO22</f>
        <v>14889118</v>
      </c>
      <c r="BJ11" s="1010">
        <f>BP22</f>
        <v>14889118</v>
      </c>
      <c r="BK11" s="1011">
        <f>BQ22</f>
        <v>1326821</v>
      </c>
      <c r="BM11" s="1012" t="s">
        <v>441</v>
      </c>
      <c r="BN11" s="1013">
        <f>X18+X67</f>
        <v>36988810</v>
      </c>
      <c r="BO11" s="1010">
        <f>AA18+AA67</f>
        <v>12820956</v>
      </c>
      <c r="BP11" s="1010">
        <f>AD18+AD67</f>
        <v>12820956</v>
      </c>
      <c r="BQ11" s="1011">
        <f>AF18+AF67</f>
        <v>5979019</v>
      </c>
    </row>
    <row r="12" spans="1:69" s="909" customFormat="1" ht="24.95" customHeight="1">
      <c r="A12" s="1014">
        <f>+IF(ENERO!A12=0,"",ENERO!A12)</f>
        <v>1001</v>
      </c>
      <c r="B12" s="1015" t="str">
        <f>+IF(ENERO!B12=0,"",ENERO!B12)</f>
        <v>Bienestar Social (Caja, Bancos, Inversiones Tempor.) a Dic-31-2016</v>
      </c>
      <c r="C12" s="1016">
        <f>+ENERO!C12</f>
        <v>0</v>
      </c>
      <c r="D12" s="1017">
        <f>ENERO!D12+FEBRERO!P12</f>
        <v>0</v>
      </c>
      <c r="E12" s="1017">
        <f>ENERO!E12+FEBRERO!Q12</f>
        <v>26156707</v>
      </c>
      <c r="F12" s="1018">
        <f>SUM(C12:E12)</f>
        <v>26156707</v>
      </c>
      <c r="G12" s="1019">
        <f>ENERO!I12</f>
        <v>0</v>
      </c>
      <c r="H12" s="1020">
        <v>26156707</v>
      </c>
      <c r="I12" s="1018">
        <f>SUM(G12:H12)</f>
        <v>26156707</v>
      </c>
      <c r="J12" s="1019">
        <f>ENERO!L12</f>
        <v>0</v>
      </c>
      <c r="K12" s="1021">
        <f>+H12</f>
        <v>26156707</v>
      </c>
      <c r="L12" s="1018">
        <f>SUM(J12:K12)</f>
        <v>26156707</v>
      </c>
      <c r="M12" s="1019">
        <f>F12-I12</f>
        <v>0</v>
      </c>
      <c r="N12" s="1018">
        <f>F12-L12</f>
        <v>0</v>
      </c>
      <c r="O12" s="863"/>
      <c r="P12" s="1022">
        <v>0</v>
      </c>
      <c r="Q12" s="1023">
        <v>26156707</v>
      </c>
      <c r="S12" s="1024">
        <f>+IF(ENERO!S12=0,"",ENERO!S12)</f>
        <v>1000000</v>
      </c>
      <c r="T12" s="1025" t="str">
        <f>+IF(ENERO!T12=0,"",ENERO!T12)</f>
        <v>GASTOS DE PERSONAL</v>
      </c>
      <c r="U12" s="1026">
        <f t="shared" ref="U12:AJ12" si="11">U14+U63</f>
        <v>27757873896</v>
      </c>
      <c r="V12" s="1027">
        <f t="shared" si="11"/>
        <v>-1050476065</v>
      </c>
      <c r="W12" s="1027">
        <f t="shared" si="11"/>
        <v>203342000</v>
      </c>
      <c r="X12" s="994">
        <f t="shared" si="11"/>
        <v>26910739831</v>
      </c>
      <c r="Y12" s="1026">
        <f t="shared" si="11"/>
        <v>11634500676</v>
      </c>
      <c r="Z12" s="1027">
        <f t="shared" si="11"/>
        <v>3252340715</v>
      </c>
      <c r="AA12" s="1028">
        <f t="shared" si="11"/>
        <v>14886841391</v>
      </c>
      <c r="AB12" s="1026">
        <f t="shared" si="11"/>
        <v>2324121820</v>
      </c>
      <c r="AC12" s="1027">
        <f t="shared" si="11"/>
        <v>4678735530</v>
      </c>
      <c r="AD12" s="994">
        <f t="shared" si="11"/>
        <v>7002857350</v>
      </c>
      <c r="AE12" s="1026">
        <f t="shared" si="11"/>
        <v>1478358724</v>
      </c>
      <c r="AF12" s="1027">
        <f t="shared" si="11"/>
        <v>2352789913</v>
      </c>
      <c r="AG12" s="994">
        <f t="shared" si="11"/>
        <v>3831148637</v>
      </c>
      <c r="AH12" s="1026">
        <f t="shared" si="11"/>
        <v>12023898440</v>
      </c>
      <c r="AI12" s="1027">
        <f t="shared" si="11"/>
        <v>19907882481</v>
      </c>
      <c r="AJ12" s="994">
        <f t="shared" si="11"/>
        <v>23079591194</v>
      </c>
      <c r="AK12" s="1029"/>
      <c r="AL12" s="1030">
        <f>AL14+AL63</f>
        <v>-1050476065</v>
      </c>
      <c r="AM12" s="1031">
        <f>AM14+AM63</f>
        <v>103342000</v>
      </c>
      <c r="AO12" s="1007"/>
      <c r="AP12" s="1008" t="s">
        <v>539</v>
      </c>
      <c r="AQ12" s="946">
        <f>F89</f>
        <v>0</v>
      </c>
      <c r="AR12" s="947">
        <f>I89</f>
        <v>0</v>
      </c>
      <c r="AS12" s="947">
        <f>L89</f>
        <v>0</v>
      </c>
      <c r="AT12" s="916"/>
      <c r="AU12" s="967" t="str">
        <f t="shared" si="0"/>
        <v xml:space="preserve"> </v>
      </c>
      <c r="AV12" s="967" t="str">
        <f t="shared" si="1"/>
        <v xml:space="preserve"> </v>
      </c>
      <c r="AW12" s="968">
        <f>I89</f>
        <v>0</v>
      </c>
      <c r="AX12" s="968">
        <f>L89</f>
        <v>0</v>
      </c>
      <c r="AY12" s="968">
        <f t="shared" si="2"/>
        <v>0</v>
      </c>
      <c r="AZ12" s="969">
        <f t="shared" si="3"/>
        <v>0</v>
      </c>
      <c r="BB12" s="995" t="s">
        <v>430</v>
      </c>
      <c r="BC12" s="971">
        <f>F23</f>
        <v>18905646713</v>
      </c>
      <c r="BD12" s="972">
        <f>I23</f>
        <v>2326796221</v>
      </c>
      <c r="BE12" s="973">
        <f>K23</f>
        <v>631871</v>
      </c>
      <c r="BF12" s="974"/>
      <c r="BG12" s="1032" t="s">
        <v>391</v>
      </c>
      <c r="BH12" s="1010">
        <f>BN25</f>
        <v>14505406346</v>
      </c>
      <c r="BI12" s="1033">
        <f>BO25</f>
        <v>3468766223</v>
      </c>
      <c r="BJ12" s="1010">
        <f>BP25</f>
        <v>2279493876</v>
      </c>
      <c r="BK12" s="1011">
        <f>BQ25</f>
        <v>350893328</v>
      </c>
      <c r="BM12" s="1034" t="s">
        <v>442</v>
      </c>
      <c r="BN12" s="1013">
        <f>X16+X65-X81-X33-BN10-BN11</f>
        <v>423804706</v>
      </c>
      <c r="BO12" s="1010">
        <f>AA16+AA65-AA81-AA33-BO10-BO11</f>
        <v>73563290</v>
      </c>
      <c r="BP12" s="1010">
        <f>AD16+AD65-AD81-AD33-BP10-BP11</f>
        <v>73563290</v>
      </c>
      <c r="BQ12" s="1011">
        <f>AF16+AF65-AF81-AF33-BQ10-BQ11</f>
        <v>59776388</v>
      </c>
    </row>
    <row r="13" spans="1:69" s="909" customFormat="1" ht="24.95" customHeight="1">
      <c r="A13" s="1014">
        <f>+IF(ENERO!A13=0,"",ENERO!A13)</f>
        <v>1002</v>
      </c>
      <c r="B13" s="1015" t="str">
        <f>+IF(ENERO!B13=0,"",ENERO!B13)</f>
        <v>Fondo Vivienda (Caja, Bancos, Inversiones Tempor.) a Dic-31-2016</v>
      </c>
      <c r="C13" s="1016">
        <f>+ENERO!C13</f>
        <v>0</v>
      </c>
      <c r="D13" s="1017">
        <f>ENERO!D13+FEBRERO!P13</f>
        <v>0</v>
      </c>
      <c r="E13" s="1017">
        <f>ENERO!E13+FEBRERO!Q13</f>
        <v>53878092</v>
      </c>
      <c r="F13" s="1018">
        <f>SUM(C13:E13)</f>
        <v>53878092</v>
      </c>
      <c r="G13" s="1019">
        <f>ENERO!I13</f>
        <v>0</v>
      </c>
      <c r="H13" s="1020">
        <v>53878092</v>
      </c>
      <c r="I13" s="1018">
        <f>SUM(G13:H13)</f>
        <v>53878092</v>
      </c>
      <c r="J13" s="1019">
        <f>ENERO!L13</f>
        <v>0</v>
      </c>
      <c r="K13" s="1021">
        <f>+H13</f>
        <v>53878092</v>
      </c>
      <c r="L13" s="1018">
        <f>SUM(J13:K13)</f>
        <v>53878092</v>
      </c>
      <c r="M13" s="1019">
        <f>F13-I13</f>
        <v>0</v>
      </c>
      <c r="N13" s="1018">
        <f>F13-L13</f>
        <v>0</v>
      </c>
      <c r="O13" s="1035"/>
      <c r="P13" s="1022">
        <v>0</v>
      </c>
      <c r="Q13" s="1023">
        <v>53878092</v>
      </c>
      <c r="S13" s="1000"/>
      <c r="T13" s="1001"/>
      <c r="U13" s="1002"/>
      <c r="V13" s="1003"/>
      <c r="W13" s="1003"/>
      <c r="X13" s="1004"/>
      <c r="Y13" s="1002"/>
      <c r="Z13" s="1003"/>
      <c r="AA13" s="1003"/>
      <c r="AB13" s="1002"/>
      <c r="AC13" s="1003"/>
      <c r="AD13" s="1004"/>
      <c r="AE13" s="1002"/>
      <c r="AF13" s="1003"/>
      <c r="AG13" s="1004"/>
      <c r="AH13" s="1002"/>
      <c r="AI13" s="1003"/>
      <c r="AJ13" s="1004"/>
      <c r="AK13" s="1029"/>
      <c r="AL13" s="1005"/>
      <c r="AM13" s="1006"/>
      <c r="AO13" s="1036"/>
      <c r="AP13" s="1008" t="s">
        <v>540</v>
      </c>
      <c r="AQ13" s="946">
        <f>F90</f>
        <v>0</v>
      </c>
      <c r="AR13" s="947">
        <f>I90</f>
        <v>0</v>
      </c>
      <c r="AS13" s="947">
        <f>L90</f>
        <v>0</v>
      </c>
      <c r="AT13" s="916"/>
      <c r="AU13" s="967" t="str">
        <f t="shared" si="0"/>
        <v xml:space="preserve"> </v>
      </c>
      <c r="AV13" s="967" t="str">
        <f t="shared" si="1"/>
        <v xml:space="preserve"> </v>
      </c>
      <c r="AW13" s="968">
        <f>I90</f>
        <v>0</v>
      </c>
      <c r="AX13" s="968">
        <f>L90</f>
        <v>0</v>
      </c>
      <c r="AY13" s="968">
        <f t="shared" si="2"/>
        <v>0</v>
      </c>
      <c r="AZ13" s="969">
        <f t="shared" si="3"/>
        <v>0</v>
      </c>
      <c r="BA13" s="1035"/>
      <c r="BB13" s="1037" t="s">
        <v>431</v>
      </c>
      <c r="BC13" s="1038">
        <f>+F30+F33+F36+F38+F39+F40</f>
        <v>157521482</v>
      </c>
      <c r="BD13" s="1039">
        <f>+I30+I33+I36+I38+I39+I40</f>
        <v>66521950</v>
      </c>
      <c r="BE13" s="1040">
        <f>+K30+K33+K36+K38+K39+K40</f>
        <v>185500</v>
      </c>
      <c r="BF13" s="1041"/>
      <c r="BG13" s="1042" t="s">
        <v>70</v>
      </c>
      <c r="BH13" s="1010">
        <f t="shared" ref="BH13:BK15" si="12">BN29</f>
        <v>433878092</v>
      </c>
      <c r="BI13" s="1010">
        <f t="shared" si="12"/>
        <v>270702372</v>
      </c>
      <c r="BJ13" s="1010">
        <f t="shared" si="12"/>
        <v>0</v>
      </c>
      <c r="BK13" s="1011">
        <f t="shared" si="12"/>
        <v>0</v>
      </c>
      <c r="BM13" s="1043" t="s">
        <v>443</v>
      </c>
      <c r="BN13" s="999">
        <f>X43-X55+X57-X61+X90-X102+X104-X108</f>
        <v>516757377</v>
      </c>
      <c r="BO13" s="996">
        <f>AA43-AA55+AA57-AA61+AA90-AA102+AA104-AA108</f>
        <v>68313176</v>
      </c>
      <c r="BP13" s="996">
        <f>AD43-AD55+AD57-AD61+AD90-AD102+AD104-AD108</f>
        <v>68313176</v>
      </c>
      <c r="BQ13" s="997">
        <f>AF43-AF55+AF57-AF61+AF90-AF102+AF104-AF108</f>
        <v>34162366</v>
      </c>
    </row>
    <row r="14" spans="1:69" s="909" customFormat="1" ht="24.95" customHeight="1">
      <c r="A14" s="1014">
        <f>+IF(ENERO!A14=0,"",ENERO!A14)</f>
        <v>1003</v>
      </c>
      <c r="B14" s="1015" t="str">
        <f>+IF(ENERO!B14=0,"",ENERO!B14)</f>
        <v>Fondos Comunes y Especiales (Caja, Bancos, Invers. Tempor.) a Dic-31-2016</v>
      </c>
      <c r="C14" s="1016">
        <f>+ENERO!C14</f>
        <v>0</v>
      </c>
      <c r="D14" s="1017">
        <f>ENERO!D14+FEBRERO!P14</f>
        <v>0</v>
      </c>
      <c r="E14" s="1017">
        <f>ENERO!E14+FEBRERO!Q14</f>
        <v>433953123</v>
      </c>
      <c r="F14" s="1018">
        <f>SUM(C14:E14)</f>
        <v>433953123</v>
      </c>
      <c r="G14" s="1019">
        <f>ENERO!I14</f>
        <v>0</v>
      </c>
      <c r="H14" s="1020">
        <v>433953123</v>
      </c>
      <c r="I14" s="1018">
        <f>SUM(G14:H14)</f>
        <v>433953123</v>
      </c>
      <c r="J14" s="1019">
        <f>ENERO!L14</f>
        <v>0</v>
      </c>
      <c r="K14" s="1021">
        <f>+H14</f>
        <v>433953123</v>
      </c>
      <c r="L14" s="1018">
        <f>SUM(J14:K14)</f>
        <v>433953123</v>
      </c>
      <c r="M14" s="1019">
        <f>F14-I14</f>
        <v>0</v>
      </c>
      <c r="N14" s="1018">
        <f>F14-L14</f>
        <v>0</v>
      </c>
      <c r="O14" s="1035"/>
      <c r="P14" s="1022">
        <v>0</v>
      </c>
      <c r="Q14" s="1023">
        <v>433953123</v>
      </c>
      <c r="S14" s="1044">
        <f>+IF(ENERO!S14=0,"",ENERO!S14)</f>
        <v>1010000</v>
      </c>
      <c r="T14" s="1045" t="str">
        <f>+IF(ENERO!T14=0,"",ENERO!T14)</f>
        <v>Gastos de Administración</v>
      </c>
      <c r="U14" s="1046">
        <f t="shared" ref="U14:AJ14" si="13">U16+U35+U43+U57</f>
        <v>4011945263</v>
      </c>
      <c r="V14" s="1047">
        <f t="shared" si="13"/>
        <v>444279413</v>
      </c>
      <c r="W14" s="1047">
        <f t="shared" si="13"/>
        <v>124802080</v>
      </c>
      <c r="X14" s="1048">
        <f t="shared" si="13"/>
        <v>4581026756</v>
      </c>
      <c r="Y14" s="1046">
        <f t="shared" si="13"/>
        <v>1703648925</v>
      </c>
      <c r="Z14" s="1047">
        <f t="shared" si="13"/>
        <v>481496389</v>
      </c>
      <c r="AA14" s="1049">
        <f t="shared" si="13"/>
        <v>2185145314</v>
      </c>
      <c r="AB14" s="1046">
        <f t="shared" si="13"/>
        <v>225785352</v>
      </c>
      <c r="AC14" s="1047">
        <f t="shared" si="13"/>
        <v>1034617264</v>
      </c>
      <c r="AD14" s="1048">
        <f t="shared" si="13"/>
        <v>1260402616</v>
      </c>
      <c r="AE14" s="1046">
        <f t="shared" si="13"/>
        <v>174826919</v>
      </c>
      <c r="AF14" s="1047">
        <f t="shared" si="13"/>
        <v>642943550</v>
      </c>
      <c r="AG14" s="1048">
        <f t="shared" si="13"/>
        <v>817770469</v>
      </c>
      <c r="AH14" s="1046">
        <f t="shared" si="13"/>
        <v>2395881442</v>
      </c>
      <c r="AI14" s="1047">
        <f t="shared" si="13"/>
        <v>3320624140</v>
      </c>
      <c r="AJ14" s="1048">
        <f t="shared" si="13"/>
        <v>3763256287</v>
      </c>
      <c r="AK14" s="1029"/>
      <c r="AL14" s="1050">
        <f>AL16+AL35+AL43+AL57</f>
        <v>444279413</v>
      </c>
      <c r="AM14" s="1048">
        <f>AM16+AM35+AM43+AM57</f>
        <v>24802080</v>
      </c>
      <c r="AO14" s="913"/>
      <c r="AP14" s="914" t="s">
        <v>73</v>
      </c>
      <c r="AQ14" s="946">
        <f>F19-AQ7-AQ8-AQ9-AQ10-AQ11-AQ12-AQ13</f>
        <v>8088295761</v>
      </c>
      <c r="AR14" s="947">
        <f>I19-AR7-AR8-AR9-AR10-AR11-AR12-AR13</f>
        <v>2228573135</v>
      </c>
      <c r="AS14" s="947">
        <f>L19-AS7-AS8-AS9-AS10-AS11-AS12-AS13</f>
        <v>990126138</v>
      </c>
      <c r="AT14" s="1035"/>
      <c r="AU14" s="967">
        <f t="shared" si="0"/>
        <v>0.27553061866823592</v>
      </c>
      <c r="AV14" s="967">
        <f t="shared" si="1"/>
        <v>0.12241468008306182</v>
      </c>
      <c r="AW14" s="968">
        <f>(I41+I46+I49+I52+I55+I58+I61+I64+I67+I70+I73+I78+I81+I82+I83+I85+I94+I104)/AO$2*12+I47+I50+I53+I56+I59+I62+I65+I68+I71+I74</f>
        <v>10005529957</v>
      </c>
      <c r="AX14" s="968">
        <f>(L41+L46+L49+L52+L55+L58+L61+L64+L67+L70+L73+L78+L81+L82+L83+L85+L94+L104)/AO$2*12+L47+L50+L53+L56+L59+L62+L65+L68+L71+L74</f>
        <v>2201961523</v>
      </c>
      <c r="AY14" s="968">
        <f t="shared" si="2"/>
        <v>1917234196</v>
      </c>
      <c r="AZ14" s="969">
        <f t="shared" si="3"/>
        <v>-5886334238</v>
      </c>
      <c r="BB14" s="1037" t="s">
        <v>432</v>
      </c>
      <c r="BC14" s="1051">
        <f>+F64</f>
        <v>5110724757</v>
      </c>
      <c r="BD14" s="1052">
        <f>+I64</f>
        <v>370241985</v>
      </c>
      <c r="BE14" s="1053">
        <f>K64</f>
        <v>0</v>
      </c>
      <c r="BF14" s="1054"/>
      <c r="BG14" s="1042" t="s">
        <v>74</v>
      </c>
      <c r="BH14" s="996">
        <f t="shared" si="12"/>
        <v>0</v>
      </c>
      <c r="BI14" s="996">
        <f t="shared" si="12"/>
        <v>0</v>
      </c>
      <c r="BJ14" s="996">
        <f t="shared" si="12"/>
        <v>0</v>
      </c>
      <c r="BK14" s="997">
        <f t="shared" si="12"/>
        <v>0</v>
      </c>
      <c r="BM14" s="1055" t="s">
        <v>439</v>
      </c>
      <c r="BN14" s="1013">
        <f>X35-X41+X83-X88</f>
        <v>21591079483</v>
      </c>
      <c r="BO14" s="1010">
        <f>AA35-AA41+AA83-AA88</f>
        <v>11750275803</v>
      </c>
      <c r="BP14" s="1010">
        <f>AD35-AD41+AD83-AD88</f>
        <v>3866291762</v>
      </c>
      <c r="BQ14" s="1011">
        <f>AF35-AF41+AF83-AF88</f>
        <v>617679202</v>
      </c>
    </row>
    <row r="15" spans="1:69" s="909" customFormat="1" ht="24.95" customHeight="1" thickBot="1">
      <c r="A15" s="1056">
        <f>+IF(ENERO!A15=0,"",ENERO!A15)</f>
        <v>1004</v>
      </c>
      <c r="B15" s="1015" t="str">
        <f>+IF(ENERO!B15=0,"",ENERO!B15)</f>
        <v>Cesantias Ley 50/1990 a Dic-31-2016</v>
      </c>
      <c r="C15" s="1057">
        <f>+ENERO!C15</f>
        <v>0</v>
      </c>
      <c r="D15" s="1058">
        <f>ENERO!D15+FEBRERO!P15</f>
        <v>0</v>
      </c>
      <c r="E15" s="1058">
        <f>ENERO!E15+FEBRERO!Q15</f>
        <v>103342000</v>
      </c>
      <c r="F15" s="1059">
        <f>SUM(C15:E15)</f>
        <v>103342000</v>
      </c>
      <c r="G15" s="1060">
        <f>ENERO!I15</f>
        <v>0</v>
      </c>
      <c r="H15" s="1061">
        <v>103342000</v>
      </c>
      <c r="I15" s="1059">
        <f>SUM(G15:H15)</f>
        <v>103342000</v>
      </c>
      <c r="J15" s="1060">
        <f>ENERO!L15</f>
        <v>0</v>
      </c>
      <c r="K15" s="1062">
        <f>+H15</f>
        <v>103342000</v>
      </c>
      <c r="L15" s="1059">
        <f>SUM(J15:K15)</f>
        <v>103342000</v>
      </c>
      <c r="M15" s="1060">
        <f>F15-I15</f>
        <v>0</v>
      </c>
      <c r="N15" s="1059">
        <f>F15-L15</f>
        <v>0</v>
      </c>
      <c r="O15" s="1035"/>
      <c r="P15" s="1063">
        <v>0</v>
      </c>
      <c r="Q15" s="1064">
        <v>103342000</v>
      </c>
      <c r="S15" s="1000" t="str">
        <f>+IF(ENERO!S15=0,"",ENERO!S15)</f>
        <v/>
      </c>
      <c r="T15" s="1001" t="str">
        <f>+IF(ENERO!T15=0,"",ENERO!T15)</f>
        <v xml:space="preserve"> </v>
      </c>
      <c r="U15" s="1002"/>
      <c r="V15" s="1003"/>
      <c r="W15" s="1003"/>
      <c r="X15" s="1004"/>
      <c r="Y15" s="1002"/>
      <c r="Z15" s="1003"/>
      <c r="AA15" s="1003"/>
      <c r="AB15" s="1002"/>
      <c r="AC15" s="1003"/>
      <c r="AD15" s="1004"/>
      <c r="AE15" s="1002"/>
      <c r="AF15" s="1003"/>
      <c r="AG15" s="1004"/>
      <c r="AH15" s="1002"/>
      <c r="AI15" s="1003"/>
      <c r="AJ15" s="1004"/>
      <c r="AK15" s="1029"/>
      <c r="AL15" s="1065"/>
      <c r="AM15" s="1066"/>
      <c r="AO15" s="1036"/>
      <c r="AP15" s="914" t="s">
        <v>76</v>
      </c>
      <c r="AQ15" s="946">
        <f>F113</f>
        <v>9052927194</v>
      </c>
      <c r="AR15" s="947">
        <f>I113</f>
        <v>1411839</v>
      </c>
      <c r="AS15" s="947">
        <f>L113</f>
        <v>1411839</v>
      </c>
      <c r="AT15" s="916"/>
      <c r="AU15" s="948">
        <f t="shared" si="0"/>
        <v>1.5595386660523716E-4</v>
      </c>
      <c r="AV15" s="948">
        <f t="shared" si="1"/>
        <v>1.5595386660523716E-4</v>
      </c>
      <c r="AW15" s="947">
        <f>+AR15</f>
        <v>1411839</v>
      </c>
      <c r="AX15" s="947">
        <f>+AS15</f>
        <v>1411839</v>
      </c>
      <c r="AY15" s="947">
        <f t="shared" si="2"/>
        <v>-9051515355</v>
      </c>
      <c r="AZ15" s="949">
        <f t="shared" si="3"/>
        <v>-9051515355</v>
      </c>
      <c r="BA15" s="1035"/>
      <c r="BB15" s="1037" t="s">
        <v>77</v>
      </c>
      <c r="BC15" s="1051">
        <f>F46+F49</f>
        <v>375197511</v>
      </c>
      <c r="BD15" s="1052">
        <f>I46+I49</f>
        <v>4141479</v>
      </c>
      <c r="BE15" s="1053">
        <f>K46+K49</f>
        <v>0</v>
      </c>
      <c r="BF15" s="1054"/>
      <c r="BG15" s="1042" t="s">
        <v>78</v>
      </c>
      <c r="BH15" s="996">
        <f t="shared" si="12"/>
        <v>4204355628</v>
      </c>
      <c r="BI15" s="996">
        <f t="shared" si="12"/>
        <v>4055689359</v>
      </c>
      <c r="BJ15" s="996">
        <f t="shared" si="12"/>
        <v>4055689359</v>
      </c>
      <c r="BK15" s="997">
        <f t="shared" si="12"/>
        <v>2266558841</v>
      </c>
      <c r="BM15" s="957" t="s">
        <v>66</v>
      </c>
      <c r="BN15" s="999">
        <f>SUM(BN16:BN21)</f>
        <v>8311386842</v>
      </c>
      <c r="BO15" s="996">
        <f>SUM(BO16:BO21)</f>
        <v>4154606702</v>
      </c>
      <c r="BP15" s="996">
        <f>SUM(BP16:BP21)</f>
        <v>1354917571</v>
      </c>
      <c r="BQ15" s="997">
        <f>SUM(BQ16:BQ21)</f>
        <v>496414700</v>
      </c>
    </row>
    <row r="16" spans="1:69" s="909" customFormat="1" ht="24.95" customHeight="1" thickBot="1">
      <c r="A16" s="1067" t="str">
        <f>+IF(ENERO!A16=0,"",ENERO!A16)</f>
        <v/>
      </c>
      <c r="B16" s="1068" t="str">
        <f>+IF(ENERO!B16=0,"",ENERO!B16)</f>
        <v/>
      </c>
      <c r="C16" s="1069"/>
      <c r="D16" s="1069"/>
      <c r="E16" s="1069"/>
      <c r="F16" s="1069"/>
      <c r="G16" s="1069"/>
      <c r="H16" s="1069"/>
      <c r="I16" s="1069"/>
      <c r="J16" s="1069"/>
      <c r="K16" s="1069"/>
      <c r="L16" s="1069"/>
      <c r="M16" s="1069"/>
      <c r="N16" s="1070"/>
      <c r="O16" s="1035"/>
      <c r="P16" s="1071"/>
      <c r="Q16" s="1072"/>
      <c r="S16" s="1073">
        <f>+IF(ENERO!S16=0,"",ENERO!S16)</f>
        <v>1010100</v>
      </c>
      <c r="T16" s="1074" t="str">
        <f>+IF(ENERO!T16=0,"",ENERO!T16)</f>
        <v>Servicios Personales Asociados a Nómina</v>
      </c>
      <c r="U16" s="1046">
        <f t="shared" ref="U16:AJ16" si="14">SUM(U17:U20)+U33</f>
        <v>762990941</v>
      </c>
      <c r="V16" s="1047">
        <f t="shared" si="14"/>
        <v>0</v>
      </c>
      <c r="W16" s="1047">
        <f t="shared" si="14"/>
        <v>0</v>
      </c>
      <c r="X16" s="1048">
        <f t="shared" si="14"/>
        <v>762990941</v>
      </c>
      <c r="Y16" s="1046">
        <f t="shared" si="14"/>
        <v>33605449</v>
      </c>
      <c r="Z16" s="1047">
        <f t="shared" si="14"/>
        <v>57942091</v>
      </c>
      <c r="AA16" s="1049">
        <f t="shared" si="14"/>
        <v>91547540</v>
      </c>
      <c r="AB16" s="1046">
        <f t="shared" si="14"/>
        <v>33605449</v>
      </c>
      <c r="AC16" s="1047">
        <f t="shared" si="14"/>
        <v>57942091</v>
      </c>
      <c r="AD16" s="1048">
        <f t="shared" si="14"/>
        <v>91547540</v>
      </c>
      <c r="AE16" s="1046">
        <f t="shared" si="14"/>
        <v>33605449</v>
      </c>
      <c r="AF16" s="1047">
        <f t="shared" si="14"/>
        <v>57037612</v>
      </c>
      <c r="AG16" s="1048">
        <f t="shared" si="14"/>
        <v>90643061</v>
      </c>
      <c r="AH16" s="1046">
        <f t="shared" si="14"/>
        <v>671443401</v>
      </c>
      <c r="AI16" s="1047">
        <f t="shared" si="14"/>
        <v>671443401</v>
      </c>
      <c r="AJ16" s="1048">
        <f t="shared" si="14"/>
        <v>672347880</v>
      </c>
      <c r="AK16" s="1029"/>
      <c r="AL16" s="1050">
        <f>SUM(AL17:AL20)+AL33</f>
        <v>0</v>
      </c>
      <c r="AM16" s="1048">
        <f>SUM(AM17:AM20)+AM33</f>
        <v>0</v>
      </c>
      <c r="AO16" s="913"/>
      <c r="AP16" s="1075" t="s">
        <v>81</v>
      </c>
      <c r="AQ16" s="1076">
        <f>F10</f>
        <v>617329922</v>
      </c>
      <c r="AR16" s="1077">
        <f>I10</f>
        <v>617329922</v>
      </c>
      <c r="AS16" s="1077">
        <f>L10</f>
        <v>617329922</v>
      </c>
      <c r="AT16" s="1035"/>
      <c r="AU16" s="1078">
        <f t="shared" si="0"/>
        <v>1</v>
      </c>
      <c r="AV16" s="1078">
        <f t="shared" si="1"/>
        <v>1</v>
      </c>
      <c r="AW16" s="1077">
        <f t="shared" ref="AW16:AX16" si="15">+AR16</f>
        <v>617329922</v>
      </c>
      <c r="AX16" s="1077">
        <f t="shared" si="15"/>
        <v>617329922</v>
      </c>
      <c r="AY16" s="947">
        <f t="shared" si="2"/>
        <v>0</v>
      </c>
      <c r="AZ16" s="1079">
        <f t="shared" si="3"/>
        <v>0</v>
      </c>
      <c r="BA16" s="1035"/>
      <c r="BB16" s="995" t="s">
        <v>433</v>
      </c>
      <c r="BC16" s="971">
        <f>F43</f>
        <v>0</v>
      </c>
      <c r="BD16" s="972">
        <f>I43</f>
        <v>0</v>
      </c>
      <c r="BE16" s="973">
        <f>K43</f>
        <v>0</v>
      </c>
      <c r="BF16" s="974"/>
      <c r="BG16" s="1042" t="s">
        <v>82</v>
      </c>
      <c r="BH16" s="1080">
        <f>BH7+BH12+BH13+BH14+BH15</f>
        <v>51676344968</v>
      </c>
      <c r="BI16" s="1080">
        <f>BI7+BI12+BI13+BI14+BI15</f>
        <v>24071485654</v>
      </c>
      <c r="BJ16" s="1080">
        <f>BJ7+BJ12+BJ13+BJ14+BJ15</f>
        <v>11927837763</v>
      </c>
      <c r="BK16" s="1081">
        <f>BK7+BK12+BK13+BK14+BK15</f>
        <v>3938240993</v>
      </c>
      <c r="BM16" s="978" t="s">
        <v>83</v>
      </c>
      <c r="BN16" s="999">
        <f>X114-X121+X147-X148-X153</f>
        <v>1010522828</v>
      </c>
      <c r="BO16" s="996">
        <f>AA114-AA121+AA147-AA148-AA153</f>
        <v>154160160</v>
      </c>
      <c r="BP16" s="996">
        <f>AD114-AD121+AD147-AD148-AD153</f>
        <v>132490462</v>
      </c>
      <c r="BQ16" s="997">
        <f>AF114-AF121+AF147-AF148-AF153</f>
        <v>9593066</v>
      </c>
    </row>
    <row r="17" spans="1:70" s="1035" customFormat="1" ht="24.95" customHeight="1" thickBot="1">
      <c r="A17" s="980">
        <f>+IF(ENERO!A17=0,"",ENERO!A17)</f>
        <v>11</v>
      </c>
      <c r="B17" s="1082" t="str">
        <f>+IF(ENERO!B17=0,"",ENERO!B17)</f>
        <v>INGRESOS  CORRIENTES</v>
      </c>
      <c r="C17" s="935">
        <f>C19+C94+C104</f>
        <v>41169250887</v>
      </c>
      <c r="D17" s="933">
        <f t="shared" ref="D17:Q17" si="16">D19+D94+D104</f>
        <v>0</v>
      </c>
      <c r="E17" s="933">
        <f t="shared" si="16"/>
        <v>836836965</v>
      </c>
      <c r="F17" s="933">
        <f t="shared" si="16"/>
        <v>42006087852</v>
      </c>
      <c r="G17" s="933">
        <f t="shared" si="16"/>
        <v>6269819158</v>
      </c>
      <c r="H17" s="933">
        <f t="shared" si="16"/>
        <v>5956253267</v>
      </c>
      <c r="I17" s="933">
        <f t="shared" si="16"/>
        <v>12226072425</v>
      </c>
      <c r="J17" s="933">
        <f t="shared" si="16"/>
        <v>1934795961</v>
      </c>
      <c r="K17" s="933">
        <f t="shared" si="16"/>
        <v>3658363110</v>
      </c>
      <c r="L17" s="933">
        <f t="shared" si="16"/>
        <v>5593159071</v>
      </c>
      <c r="M17" s="933">
        <f t="shared" si="16"/>
        <v>29780015427</v>
      </c>
      <c r="N17" s="936">
        <f t="shared" si="16"/>
        <v>36412928781</v>
      </c>
      <c r="P17" s="982">
        <f t="shared" si="16"/>
        <v>0</v>
      </c>
      <c r="Q17" s="984">
        <f t="shared" si="16"/>
        <v>0</v>
      </c>
      <c r="R17" s="909"/>
      <c r="S17" s="1083">
        <f>+IF(ENERO!S17=0,"",ENERO!S17)</f>
        <v>1010101</v>
      </c>
      <c r="T17" s="1084" t="str">
        <f>+IF(ENERO!T17=0,"",ENERO!T17)</f>
        <v>Sueldos del Personal de nómina</v>
      </c>
      <c r="U17" s="1085">
        <f>+ENERO!U17</f>
        <v>619731764</v>
      </c>
      <c r="V17" s="1033">
        <f>ENERO!V17+FEBRERO!AL17</f>
        <v>0</v>
      </c>
      <c r="W17" s="1033">
        <f>ENERO!W17+FEBRERO!AM17</f>
        <v>0</v>
      </c>
      <c r="X17" s="1086">
        <f>SUM(U17:W17)</f>
        <v>619731764</v>
      </c>
      <c r="Y17" s="1087">
        <f>ENERO!AA17</f>
        <v>32945852</v>
      </c>
      <c r="Z17" s="1020">
        <v>37926705</v>
      </c>
      <c r="AA17" s="1088">
        <f>SUM(Y17:Z17)</f>
        <v>70872557</v>
      </c>
      <c r="AB17" s="1087">
        <f>ENERO!AD17</f>
        <v>32945852</v>
      </c>
      <c r="AC17" s="1020">
        <v>37926705</v>
      </c>
      <c r="AD17" s="1086">
        <f>SUM(AB17:AC17)</f>
        <v>70872557</v>
      </c>
      <c r="AE17" s="1087">
        <f>ENERO!AG17</f>
        <v>32945852</v>
      </c>
      <c r="AF17" s="1020">
        <v>37773625</v>
      </c>
      <c r="AG17" s="1086">
        <f>SUM(AE17:AF17)</f>
        <v>70719477</v>
      </c>
      <c r="AH17" s="1087">
        <f>X17-AA17</f>
        <v>548859207</v>
      </c>
      <c r="AI17" s="1033">
        <f>X17-AD17</f>
        <v>548859207</v>
      </c>
      <c r="AJ17" s="1086">
        <f>X17-AG17</f>
        <v>549012287</v>
      </c>
      <c r="AK17" s="909"/>
      <c r="AL17" s="1089">
        <v>0</v>
      </c>
      <c r="AM17" s="1023">
        <v>0</v>
      </c>
      <c r="AN17" s="909"/>
      <c r="AO17" s="966"/>
      <c r="AP17" s="1090" t="s">
        <v>85</v>
      </c>
      <c r="AQ17" s="1091">
        <f>SUM(AQ7:AQ16)</f>
        <v>51008904968</v>
      </c>
      <c r="AR17" s="1092">
        <f>SUM(AR7:AR16)</f>
        <v>12683786309</v>
      </c>
      <c r="AS17" s="1093">
        <f>SUM(AS7:AS16)</f>
        <v>6113020697</v>
      </c>
      <c r="AT17" s="1094"/>
      <c r="AU17" s="1092">
        <f t="shared" si="0"/>
        <v>0.24865827480431241</v>
      </c>
      <c r="AV17" s="1092">
        <f t="shared" si="1"/>
        <v>0.11984222560423423</v>
      </c>
      <c r="AW17" s="1095">
        <f>SUM(AX7:AX16)</f>
        <v>7332641937</v>
      </c>
      <c r="AX17" s="1095">
        <f>SUM(AX7:AX16)</f>
        <v>7332641937</v>
      </c>
      <c r="AY17" s="1095">
        <f>SUM(AY7:AY16)</f>
        <v>-3878782907</v>
      </c>
      <c r="AZ17" s="1096">
        <f>SUM(AZ7:AZ16)</f>
        <v>-43676263031</v>
      </c>
      <c r="BA17" s="909"/>
      <c r="BB17" s="995" t="s">
        <v>434</v>
      </c>
      <c r="BC17" s="971">
        <f>F41+F52+F55+F58+F61+F67+F70+F73+F76+F79+F82+F86+F87+F88+F89+F90+F91</f>
        <v>2513399205</v>
      </c>
      <c r="BD17" s="972">
        <f>I41+I52+I55+I58+I61+I67+I70+I73+I76+I79+I82+I86+I87+I88+I89+I90+I91</f>
        <v>988537285</v>
      </c>
      <c r="BE17" s="973">
        <f>K41+K52+K55+K58+K61+K67+K70+K73+K76+K79+K82+K86+K87+K88+K89+K90+K91</f>
        <v>54615796</v>
      </c>
      <c r="BF17" s="974"/>
      <c r="BG17" s="1097" t="s">
        <v>86</v>
      </c>
      <c r="BH17" s="1098">
        <f>BC23-BH16</f>
        <v>-51676344968</v>
      </c>
      <c r="BI17" s="1098"/>
      <c r="BJ17" s="1098"/>
      <c r="BK17" s="1099"/>
      <c r="BM17" s="978" t="s">
        <v>449</v>
      </c>
      <c r="BN17" s="999">
        <f>X123-X126-X139+X155-X156-X167-X168</f>
        <v>4859302802</v>
      </c>
      <c r="BO17" s="996">
        <f>AA123-AA126-AA139+AA155-AA156-AA167-AA168</f>
        <v>3162783132</v>
      </c>
      <c r="BP17" s="996">
        <f>AD123-AD126-AD139+AD155-AD156-AD167-AD168</f>
        <v>934693239</v>
      </c>
      <c r="BQ17" s="997">
        <f>AF123-AF126-AF139+AF155-AF156-AF167-AF168</f>
        <v>426414357</v>
      </c>
      <c r="BR17" s="909"/>
    </row>
    <row r="18" spans="1:70" s="909" customFormat="1" ht="24.95" customHeight="1" thickBot="1">
      <c r="A18" s="1014" t="str">
        <f>+IF(ENERO!A18=0,"",ENERO!A18)</f>
        <v/>
      </c>
      <c r="B18" s="1100" t="str">
        <f>+IF(ENERO!B18=0,"",ENERO!B18)</f>
        <v/>
      </c>
      <c r="C18" s="863"/>
      <c r="D18" s="863"/>
      <c r="E18" s="863"/>
      <c r="F18" s="863"/>
      <c r="G18" s="863"/>
      <c r="H18" s="863"/>
      <c r="I18" s="863"/>
      <c r="J18" s="863"/>
      <c r="K18" s="863"/>
      <c r="L18" s="863"/>
      <c r="M18" s="863"/>
      <c r="N18" s="1101"/>
      <c r="P18" s="1102"/>
      <c r="Q18" s="1103"/>
      <c r="S18" s="1083">
        <f>+IF(ENERO!S18=0,"",ENERO!S18)</f>
        <v>1010102</v>
      </c>
      <c r="T18" s="1084" t="str">
        <f>+IF(ENERO!T18=0,"",ENERO!T18)</f>
        <v>Horas Extras,Dominic.,Festivos y Rec. Nocturnos</v>
      </c>
      <c r="U18" s="1085">
        <f>+ENERO!U18</f>
        <v>0</v>
      </c>
      <c r="V18" s="1033">
        <f>ENERO!V18+FEBRERO!AL18</f>
        <v>0</v>
      </c>
      <c r="W18" s="1033">
        <f>ENERO!W18+FEBRERO!AM18</f>
        <v>0</v>
      </c>
      <c r="X18" s="1086">
        <f>SUM(U18:W18)</f>
        <v>0</v>
      </c>
      <c r="Y18" s="1087">
        <f>ENERO!AA18</f>
        <v>0</v>
      </c>
      <c r="Z18" s="1020">
        <v>0</v>
      </c>
      <c r="AA18" s="1088">
        <f>SUM(Y18:Z18)</f>
        <v>0</v>
      </c>
      <c r="AB18" s="1087">
        <f>ENERO!AD18</f>
        <v>0</v>
      </c>
      <c r="AC18" s="1020">
        <v>0</v>
      </c>
      <c r="AD18" s="1086">
        <f>SUM(AB18:AC18)</f>
        <v>0</v>
      </c>
      <c r="AE18" s="1087">
        <f>ENERO!AG18</f>
        <v>0</v>
      </c>
      <c r="AF18" s="1020">
        <v>0</v>
      </c>
      <c r="AG18" s="1086">
        <f>SUM(AE18:AF18)</f>
        <v>0</v>
      </c>
      <c r="AH18" s="1087">
        <f>X18-AA18</f>
        <v>0</v>
      </c>
      <c r="AI18" s="1033">
        <f>X18-AD18</f>
        <v>0</v>
      </c>
      <c r="AJ18" s="1086">
        <f>X18-AG18</f>
        <v>0</v>
      </c>
      <c r="AL18" s="1089">
        <v>0</v>
      </c>
      <c r="AM18" s="1023">
        <v>0</v>
      </c>
      <c r="AO18" s="913"/>
      <c r="AP18" s="863" t="s">
        <v>51</v>
      </c>
      <c r="AQ18" s="863"/>
      <c r="AR18" s="863"/>
      <c r="AS18" s="863"/>
      <c r="AT18" s="863"/>
      <c r="AU18" s="863"/>
      <c r="AV18" s="863"/>
      <c r="AW18" s="863"/>
      <c r="AX18" s="863"/>
      <c r="AY18" s="863"/>
      <c r="AZ18" s="863"/>
      <c r="BA18" s="1035"/>
      <c r="BB18" s="1037" t="s">
        <v>435</v>
      </c>
      <c r="BC18" s="971">
        <f>+F95+F96+F97+F99+F100+F101</f>
        <v>0</v>
      </c>
      <c r="BD18" s="972">
        <f>+I95+I96+I97+I99+I100+I101</f>
        <v>0</v>
      </c>
      <c r="BE18" s="973">
        <f>+K95+K96+K97+K99+K100+K101</f>
        <v>0</v>
      </c>
      <c r="BF18" s="1054"/>
      <c r="BM18" s="978" t="s">
        <v>87</v>
      </c>
      <c r="BN18" s="999">
        <f>X148+X156</f>
        <v>1537061212</v>
      </c>
      <c r="BO18" s="996">
        <f>AA148+AA156</f>
        <v>628478352</v>
      </c>
      <c r="BP18" s="996">
        <f>AD148+AD156</f>
        <v>78548812</v>
      </c>
      <c r="BQ18" s="997">
        <f>AF148+AF156</f>
        <v>12654163</v>
      </c>
      <c r="BR18" s="1035"/>
    </row>
    <row r="19" spans="1:70" s="909" customFormat="1" ht="24.95" customHeight="1" thickBot="1">
      <c r="A19" s="1104">
        <f>+IF(ENERO!A19=0,"",ENERO!A19)</f>
        <v>113</v>
      </c>
      <c r="B19" s="1105" t="str">
        <f>+IF(ENERO!B19=0,"",ENERO!B19)</f>
        <v>VENTA DE SERVICIOS</v>
      </c>
      <c r="C19" s="935">
        <f t="shared" ref="C19:N19" si="17">C21+C85</f>
        <v>40501810887</v>
      </c>
      <c r="D19" s="933">
        <f t="shared" si="17"/>
        <v>0</v>
      </c>
      <c r="E19" s="933">
        <f t="shared" si="17"/>
        <v>836836965</v>
      </c>
      <c r="F19" s="936">
        <f t="shared" si="17"/>
        <v>41338647852</v>
      </c>
      <c r="G19" s="935">
        <f t="shared" si="17"/>
        <v>6122326513</v>
      </c>
      <c r="H19" s="933">
        <f t="shared" si="17"/>
        <v>5942718035</v>
      </c>
      <c r="I19" s="936">
        <f t="shared" si="17"/>
        <v>12065044548</v>
      </c>
      <c r="J19" s="935">
        <f t="shared" si="17"/>
        <v>1849451058</v>
      </c>
      <c r="K19" s="933">
        <f t="shared" si="17"/>
        <v>3644827878</v>
      </c>
      <c r="L19" s="936">
        <f t="shared" si="17"/>
        <v>5494278936</v>
      </c>
      <c r="M19" s="935">
        <f t="shared" si="17"/>
        <v>29273603304</v>
      </c>
      <c r="N19" s="936">
        <f t="shared" si="17"/>
        <v>35844368916</v>
      </c>
      <c r="O19" s="1035"/>
      <c r="P19" s="1106">
        <f>P21+P85</f>
        <v>0</v>
      </c>
      <c r="Q19" s="1107">
        <f>Q21+Q85</f>
        <v>0</v>
      </c>
      <c r="S19" s="1083">
        <f>+IF(ENERO!S19=0,"",ENERO!S19)</f>
        <v>1010103</v>
      </c>
      <c r="T19" s="1084" t="str">
        <f>+IF(ENERO!T19=0,"",ENERO!T19)</f>
        <v>Prima Técnica</v>
      </c>
      <c r="U19" s="1085">
        <f>+ENERO!U19</f>
        <v>0</v>
      </c>
      <c r="V19" s="1033">
        <f>ENERO!V19+FEBRERO!AL19</f>
        <v>0</v>
      </c>
      <c r="W19" s="1033">
        <f>ENERO!W19+FEBRERO!AM19</f>
        <v>0</v>
      </c>
      <c r="X19" s="1086">
        <f>SUM(U19:W19)</f>
        <v>0</v>
      </c>
      <c r="Y19" s="1087">
        <f>ENERO!AA19</f>
        <v>0</v>
      </c>
      <c r="Z19" s="1020">
        <v>0</v>
      </c>
      <c r="AA19" s="1088">
        <f>SUM(Y19:Z19)</f>
        <v>0</v>
      </c>
      <c r="AB19" s="1087">
        <f>ENERO!AD19</f>
        <v>0</v>
      </c>
      <c r="AC19" s="1020">
        <v>0</v>
      </c>
      <c r="AD19" s="1086">
        <f>SUM(AB19:AC19)</f>
        <v>0</v>
      </c>
      <c r="AE19" s="1087">
        <f>ENERO!AG19</f>
        <v>0</v>
      </c>
      <c r="AF19" s="1020">
        <v>0</v>
      </c>
      <c r="AG19" s="1086">
        <f>SUM(AE19:AF19)</f>
        <v>0</v>
      </c>
      <c r="AH19" s="1087">
        <f>X19-AA19</f>
        <v>0</v>
      </c>
      <c r="AI19" s="1033">
        <f>X19-AD19</f>
        <v>0</v>
      </c>
      <c r="AJ19" s="1086">
        <f>X19-AG19</f>
        <v>0</v>
      </c>
      <c r="AL19" s="1089">
        <v>0</v>
      </c>
      <c r="AM19" s="1023">
        <v>0</v>
      </c>
      <c r="AO19" s="913"/>
      <c r="AP19" s="1108"/>
      <c r="AQ19" s="1109" t="s">
        <v>13</v>
      </c>
      <c r="AR19" s="1110" t="s">
        <v>44</v>
      </c>
      <c r="AS19" s="1111" t="s">
        <v>92</v>
      </c>
      <c r="AT19" s="1110" t="s">
        <v>16</v>
      </c>
      <c r="AU19" s="1112" t="s">
        <v>16</v>
      </c>
      <c r="AV19" s="1113" t="s">
        <v>16</v>
      </c>
      <c r="AW19" s="3057" t="str">
        <f>+CONCATENATE("PROYECCION A DICIEMBRE 31 DEL ",N3)</f>
        <v>PROYECCION A DICIEMBRE 31 DEL 2017</v>
      </c>
      <c r="AX19" s="3058"/>
      <c r="AY19" s="3058"/>
      <c r="AZ19" s="3059"/>
      <c r="BA19" s="1035"/>
      <c r="BB19" s="1114" t="s">
        <v>93</v>
      </c>
      <c r="BC19" s="1115">
        <f>+F105+F106+F107+F108+F109+F110+F98</f>
        <v>667440000</v>
      </c>
      <c r="BD19" s="1052">
        <f>+I105+I106+I107+I108+I109+I110+I98</f>
        <v>161027877</v>
      </c>
      <c r="BE19" s="1053">
        <f>+K105+K106+K107+K108+K109+K110+K98</f>
        <v>13535232</v>
      </c>
      <c r="BF19" s="923"/>
      <c r="BG19" s="1035"/>
      <c r="BH19" s="1035"/>
      <c r="BI19" s="1035"/>
      <c r="BJ19" s="1035"/>
      <c r="BK19" s="1035"/>
      <c r="BM19" s="978" t="s">
        <v>94</v>
      </c>
      <c r="BN19" s="999">
        <f>X126+X167</f>
        <v>904500000</v>
      </c>
      <c r="BO19" s="996">
        <f>AA126+AA167</f>
        <v>209185058</v>
      </c>
      <c r="BP19" s="996">
        <f>AD126+AD167</f>
        <v>209185058</v>
      </c>
      <c r="BQ19" s="997">
        <f>AF126+AF167</f>
        <v>47753114</v>
      </c>
    </row>
    <row r="20" spans="1:70" s="1127" customFormat="1" ht="24.95" customHeight="1" thickBot="1">
      <c r="A20" s="1014" t="str">
        <f>+IF(ENERO!A20=0,"",ENERO!A20)</f>
        <v/>
      </c>
      <c r="B20" s="1116" t="str">
        <f>+IF(ENERO!B20=0,"",ENERO!B20)</f>
        <v/>
      </c>
      <c r="C20" s="863"/>
      <c r="D20" s="863"/>
      <c r="E20" s="863"/>
      <c r="F20" s="863"/>
      <c r="G20" s="863"/>
      <c r="H20" s="863"/>
      <c r="I20" s="863"/>
      <c r="J20" s="863"/>
      <c r="K20" s="863"/>
      <c r="L20" s="863"/>
      <c r="M20" s="863"/>
      <c r="N20" s="1101"/>
      <c r="O20" s="909"/>
      <c r="P20" s="1102"/>
      <c r="Q20" s="1103"/>
      <c r="R20" s="909"/>
      <c r="S20" s="1083">
        <f>+IF(ENERO!S20=0,"",ENERO!S20)</f>
        <v>1010104</v>
      </c>
      <c r="T20" s="1084" t="str">
        <f>+IF(ENERO!T20=0,"",ENERO!T20)</f>
        <v>Otros</v>
      </c>
      <c r="U20" s="1085">
        <f t="shared" ref="U20:AJ20" si="18">SUM(U21:U32)</f>
        <v>143259177</v>
      </c>
      <c r="V20" s="1033">
        <f t="shared" si="18"/>
        <v>0</v>
      </c>
      <c r="W20" s="1033">
        <f t="shared" si="18"/>
        <v>0</v>
      </c>
      <c r="X20" s="1086">
        <f t="shared" si="18"/>
        <v>143259177</v>
      </c>
      <c r="Y20" s="1087">
        <f t="shared" si="18"/>
        <v>659597</v>
      </c>
      <c r="Z20" s="1047">
        <f t="shared" si="18"/>
        <v>20015386</v>
      </c>
      <c r="AA20" s="1088">
        <f t="shared" si="18"/>
        <v>20674983</v>
      </c>
      <c r="AB20" s="1087">
        <f t="shared" si="18"/>
        <v>659597</v>
      </c>
      <c r="AC20" s="1047">
        <f t="shared" si="18"/>
        <v>20015386</v>
      </c>
      <c r="AD20" s="1086">
        <f t="shared" si="18"/>
        <v>20674983</v>
      </c>
      <c r="AE20" s="1087">
        <f t="shared" si="18"/>
        <v>659597</v>
      </c>
      <c r="AF20" s="1047">
        <f t="shared" si="18"/>
        <v>19263987</v>
      </c>
      <c r="AG20" s="1086">
        <f t="shared" si="18"/>
        <v>19923584</v>
      </c>
      <c r="AH20" s="1087">
        <f t="shared" si="18"/>
        <v>122584194</v>
      </c>
      <c r="AI20" s="1033">
        <f t="shared" si="18"/>
        <v>122584194</v>
      </c>
      <c r="AJ20" s="1086">
        <f t="shared" si="18"/>
        <v>123335593</v>
      </c>
      <c r="AK20" s="909"/>
      <c r="AL20" s="1117">
        <f>SUM(AL21:AL32)</f>
        <v>0</v>
      </c>
      <c r="AM20" s="1118">
        <f>SUM(AM21:AM32)</f>
        <v>0</v>
      </c>
      <c r="AN20" s="909"/>
      <c r="AO20" s="966"/>
      <c r="AP20" s="1119" t="s">
        <v>24</v>
      </c>
      <c r="AQ20" s="1120" t="s">
        <v>36</v>
      </c>
      <c r="AR20" s="1121" t="s">
        <v>25</v>
      </c>
      <c r="AS20" s="1122" t="s">
        <v>25</v>
      </c>
      <c r="AT20" s="1121" t="s">
        <v>26</v>
      </c>
      <c r="AU20" s="1123" t="s">
        <v>27</v>
      </c>
      <c r="AV20" s="1123" t="s">
        <v>27</v>
      </c>
      <c r="AW20" s="1124" t="s">
        <v>44</v>
      </c>
      <c r="AX20" s="1124" t="s">
        <v>22</v>
      </c>
      <c r="AY20" s="1123" t="s">
        <v>97</v>
      </c>
      <c r="AZ20" s="1125" t="s">
        <v>97</v>
      </c>
      <c r="BA20" s="1035"/>
      <c r="BB20" s="1126" t="s">
        <v>436</v>
      </c>
      <c r="BC20" s="951">
        <f>+F115+F117+F119+F120+F121+F123+F124</f>
        <v>0</v>
      </c>
      <c r="BD20" s="952">
        <f>+I115+I117+I119+I120+I121+I123+I124</f>
        <v>1411839</v>
      </c>
      <c r="BE20" s="953">
        <f>+K115+K117+K119+K120+K121+K123+K124</f>
        <v>1411839</v>
      </c>
      <c r="BF20" s="923"/>
      <c r="BG20" s="1035"/>
      <c r="BH20" s="1035"/>
      <c r="BI20" s="1035"/>
      <c r="BJ20" s="1035"/>
      <c r="BK20" s="1035"/>
      <c r="BL20" s="1035"/>
      <c r="BM20" s="1043" t="s">
        <v>444</v>
      </c>
      <c r="BN20" s="999">
        <f>+X141-X143</f>
        <v>0</v>
      </c>
      <c r="BO20" s="996">
        <f>+AA141-AA143</f>
        <v>0</v>
      </c>
      <c r="BP20" s="996">
        <f>+AD141-AD143</f>
        <v>0</v>
      </c>
      <c r="BQ20" s="997">
        <f>+AF141-AF143</f>
        <v>0</v>
      </c>
      <c r="BR20" s="909"/>
    </row>
    <row r="21" spans="1:70" s="1127" customFormat="1" ht="24.95" customHeight="1" thickBot="1">
      <c r="A21" s="1128">
        <f>+IF(ENERO!A21=0,"",ENERO!A21)</f>
        <v>11301</v>
      </c>
      <c r="B21" s="1129" t="str">
        <f>+IF(ENERO!B21=0,"",ENERO!B21)</f>
        <v>Venta de Servicios de Salud</v>
      </c>
      <c r="C21" s="982">
        <f t="shared" ref="C21:N21" si="19">C22+C25+C28+C41+C42+C45+C48+C51+C54+C57+C60+C63+C66+C69+C72+C75+C78+C81</f>
        <v>40501810887</v>
      </c>
      <c r="D21" s="983">
        <f t="shared" si="19"/>
        <v>0</v>
      </c>
      <c r="E21" s="983">
        <f t="shared" si="19"/>
        <v>836836965</v>
      </c>
      <c r="F21" s="983">
        <f t="shared" si="19"/>
        <v>41338647852</v>
      </c>
      <c r="G21" s="983">
        <f t="shared" si="19"/>
        <v>6122326513</v>
      </c>
      <c r="H21" s="983">
        <f t="shared" si="19"/>
        <v>5942718035</v>
      </c>
      <c r="I21" s="983">
        <f t="shared" si="19"/>
        <v>12065044548</v>
      </c>
      <c r="J21" s="983">
        <f t="shared" si="19"/>
        <v>1849451058</v>
      </c>
      <c r="K21" s="983">
        <f t="shared" si="19"/>
        <v>3644827878</v>
      </c>
      <c r="L21" s="983">
        <f t="shared" si="19"/>
        <v>5494278936</v>
      </c>
      <c r="M21" s="983">
        <f t="shared" si="19"/>
        <v>29273603304</v>
      </c>
      <c r="N21" s="984">
        <f t="shared" si="19"/>
        <v>35844368916</v>
      </c>
      <c r="O21" s="1035"/>
      <c r="P21" s="1106">
        <f>P22+P25+P28+P41+P42+P45+P48+P51+P54+P57+P60+P63+P66+P69+P72+P75+P78+P81</f>
        <v>0</v>
      </c>
      <c r="Q21" s="1107">
        <f>Q22+Q25+Q28+Q41+Q42+Q45+Q48+Q51+Q54+Q57+Q60+Q63+Q66+Q69+Q72+Q75+Q78+Q81</f>
        <v>0</v>
      </c>
      <c r="R21" s="909"/>
      <c r="S21" s="1130" t="str">
        <f>+IF(ENERO!S21=0,"",ENERO!S21)</f>
        <v>1010104-1</v>
      </c>
      <c r="T21" s="1131" t="str">
        <f>+IF(ENERO!T21=0,"",ENERO!T21)</f>
        <v xml:space="preserve">Prima de Navidad </v>
      </c>
      <c r="U21" s="1085">
        <f>+ENERO!U21</f>
        <v>52257791</v>
      </c>
      <c r="V21" s="1033">
        <f>ENERO!V21+FEBRERO!AL21</f>
        <v>0</v>
      </c>
      <c r="W21" s="1033">
        <f>ENERO!W21+FEBRERO!AM21</f>
        <v>0</v>
      </c>
      <c r="X21" s="1086">
        <f t="shared" ref="X21:X33" si="20">SUM(U21:W21)</f>
        <v>52257791</v>
      </c>
      <c r="Y21" s="1087">
        <f>ENERO!AA21</f>
        <v>0</v>
      </c>
      <c r="Z21" s="1020">
        <v>317672</v>
      </c>
      <c r="AA21" s="1088">
        <f t="shared" ref="AA21:AA33" si="21">SUM(Y21:Z21)</f>
        <v>317672</v>
      </c>
      <c r="AB21" s="1087">
        <f>ENERO!AD21</f>
        <v>0</v>
      </c>
      <c r="AC21" s="1020">
        <v>317672</v>
      </c>
      <c r="AD21" s="1086">
        <f t="shared" ref="AD21:AD33" si="22">SUM(AB21:AC21)</f>
        <v>317672</v>
      </c>
      <c r="AE21" s="1087">
        <f>ENERO!AG21</f>
        <v>0</v>
      </c>
      <c r="AF21" s="1020">
        <v>0</v>
      </c>
      <c r="AG21" s="1086">
        <f t="shared" ref="AG21:AG33" si="23">SUM(AE21:AF21)</f>
        <v>0</v>
      </c>
      <c r="AH21" s="1087">
        <f t="shared" ref="AH21:AH33" si="24">X21-AA21</f>
        <v>51940119</v>
      </c>
      <c r="AI21" s="1033">
        <f t="shared" ref="AI21:AI33" si="25">X21-AD21</f>
        <v>51940119</v>
      </c>
      <c r="AJ21" s="1086">
        <f t="shared" ref="AJ21:AJ33" si="26">X21-AG21</f>
        <v>52257791</v>
      </c>
      <c r="AK21" s="909"/>
      <c r="AL21" s="1089">
        <v>0</v>
      </c>
      <c r="AM21" s="1023">
        <v>0</v>
      </c>
      <c r="AN21" s="909"/>
      <c r="AO21" s="966"/>
      <c r="AP21" s="1132"/>
      <c r="AQ21" s="1133"/>
      <c r="AR21" s="1134" t="str">
        <f>AR6</f>
        <v>FEBRERO</v>
      </c>
      <c r="AS21" s="1135" t="str">
        <f>AR6</f>
        <v>FEBRERO</v>
      </c>
      <c r="AT21" s="1134" t="str">
        <f>AR6</f>
        <v>FEBRERO</v>
      </c>
      <c r="AU21" s="1134" t="s">
        <v>44</v>
      </c>
      <c r="AV21" s="1134" t="s">
        <v>22</v>
      </c>
      <c r="AW21" s="1136"/>
      <c r="AX21" s="1136"/>
      <c r="AY21" s="1134" t="s">
        <v>44</v>
      </c>
      <c r="AZ21" s="1137" t="s">
        <v>22</v>
      </c>
      <c r="BA21" s="909"/>
      <c r="BB21" s="1126" t="s">
        <v>437</v>
      </c>
      <c r="BC21" s="951">
        <f>SUMIF($B8:B122,$B24,F8:F122)+F122</f>
        <v>9889764159</v>
      </c>
      <c r="BD21" s="952">
        <f>SUMIF($B8:B122,$B24,I8:I122)+I122</f>
        <v>5370727450</v>
      </c>
      <c r="BE21" s="953">
        <f>SUMIF($B8:B122,$B24,K8:K122)+K122</f>
        <v>3589361311</v>
      </c>
      <c r="BF21" s="923"/>
      <c r="BG21" s="1035"/>
      <c r="BH21" s="1035"/>
      <c r="BI21" s="1035"/>
      <c r="BJ21" s="1035"/>
      <c r="BK21" s="1035"/>
      <c r="BL21" s="1035"/>
      <c r="BM21" s="978" t="s">
        <v>99</v>
      </c>
      <c r="BN21" s="999">
        <v>0</v>
      </c>
      <c r="BO21" s="996">
        <v>0</v>
      </c>
      <c r="BP21" s="996">
        <v>0</v>
      </c>
      <c r="BQ21" s="997">
        <v>0</v>
      </c>
    </row>
    <row r="22" spans="1:70" s="909" customFormat="1" ht="24.95" customHeight="1" thickBot="1">
      <c r="A22" s="1104">
        <f>+IF(ENERO!A22=0,"",ENERO!A22)</f>
        <v>1130101</v>
      </c>
      <c r="B22" s="1138" t="str">
        <f>+IF(ENERO!B22=0,"",ENERO!B22)</f>
        <v>EPS - REGIMEN CONTRIBUTIVO</v>
      </c>
      <c r="C22" s="1106">
        <f t="shared" ref="C22:N22" si="27">SUM(C23:C24)</f>
        <v>18905646713</v>
      </c>
      <c r="D22" s="1139">
        <f t="shared" si="27"/>
        <v>0</v>
      </c>
      <c r="E22" s="1139">
        <f t="shared" si="27"/>
        <v>694827167</v>
      </c>
      <c r="F22" s="1139">
        <f t="shared" si="27"/>
        <v>19600473880</v>
      </c>
      <c r="G22" s="1139">
        <f t="shared" si="27"/>
        <v>2741355462</v>
      </c>
      <c r="H22" s="1139">
        <f t="shared" si="27"/>
        <v>2110745704</v>
      </c>
      <c r="I22" s="1139">
        <f t="shared" si="27"/>
        <v>4852101166</v>
      </c>
      <c r="J22" s="1139">
        <f t="shared" si="27"/>
        <v>1212337020</v>
      </c>
      <c r="K22" s="1139">
        <f t="shared" si="27"/>
        <v>1313599796</v>
      </c>
      <c r="L22" s="1139">
        <f t="shared" si="27"/>
        <v>2525936816</v>
      </c>
      <c r="M22" s="1139">
        <f t="shared" si="27"/>
        <v>14748372714</v>
      </c>
      <c r="N22" s="1107">
        <f t="shared" si="27"/>
        <v>17074537064</v>
      </c>
      <c r="P22" s="1106">
        <f>SUM(P23:P24)</f>
        <v>0</v>
      </c>
      <c r="Q22" s="1107">
        <f>SUM(Q23:Q24)</f>
        <v>0</v>
      </c>
      <c r="S22" s="1130" t="str">
        <f>+IF(ENERO!S22=0,"",ENERO!S22)</f>
        <v>1010104-2</v>
      </c>
      <c r="T22" s="1131" t="str">
        <f>+IF(ENERO!T22=0,"",ENERO!T22)</f>
        <v>Prima Vida Cara</v>
      </c>
      <c r="U22" s="1085">
        <f>+ENERO!U22</f>
        <v>24380551</v>
      </c>
      <c r="V22" s="1033">
        <f>ENERO!V22+FEBRERO!AL22</f>
        <v>0</v>
      </c>
      <c r="W22" s="1033">
        <f>ENERO!W22+FEBRERO!AM22</f>
        <v>0</v>
      </c>
      <c r="X22" s="1086">
        <f t="shared" si="20"/>
        <v>24380551</v>
      </c>
      <c r="Y22" s="1087">
        <f>ENERO!AA22</f>
        <v>0</v>
      </c>
      <c r="Z22" s="1020">
        <v>19210353</v>
      </c>
      <c r="AA22" s="1088">
        <f t="shared" si="21"/>
        <v>19210353</v>
      </c>
      <c r="AB22" s="1087">
        <f>ENERO!AD22</f>
        <v>0</v>
      </c>
      <c r="AC22" s="1020">
        <v>19210353</v>
      </c>
      <c r="AD22" s="1086">
        <f t="shared" si="22"/>
        <v>19210353</v>
      </c>
      <c r="AE22" s="1087">
        <f>ENERO!AG22</f>
        <v>0</v>
      </c>
      <c r="AF22" s="1020">
        <v>19210353</v>
      </c>
      <c r="AG22" s="1086">
        <f t="shared" si="23"/>
        <v>19210353</v>
      </c>
      <c r="AH22" s="1087">
        <f t="shared" si="24"/>
        <v>5170198</v>
      </c>
      <c r="AI22" s="1033">
        <f t="shared" si="25"/>
        <v>5170198</v>
      </c>
      <c r="AJ22" s="1086">
        <f t="shared" si="26"/>
        <v>5170198</v>
      </c>
      <c r="AL22" s="1089">
        <v>0</v>
      </c>
      <c r="AM22" s="1023">
        <v>0</v>
      </c>
      <c r="AO22" s="913"/>
      <c r="AP22" s="1140" t="s">
        <v>104</v>
      </c>
      <c r="AQ22" s="1141">
        <f>X17+X66</f>
        <v>1512951119</v>
      </c>
      <c r="AR22" s="1141">
        <f>AD17+AD66</f>
        <v>201858655</v>
      </c>
      <c r="AS22" s="1141">
        <f>AG17+AG66</f>
        <v>201705575</v>
      </c>
      <c r="AT22" s="1142"/>
      <c r="AU22" s="1143">
        <f t="shared" ref="AU22:AU32" si="28">IF(AQ22=0," ",AR22/AQ22)</f>
        <v>0.13342047371194679</v>
      </c>
      <c r="AV22" s="1143">
        <f t="shared" ref="AV22:AV32" si="29">IF(AQ22=0," ",AS22/AQ22)</f>
        <v>0.13331929397251069</v>
      </c>
      <c r="AW22" s="1144">
        <f>AR22/$AO$2*12</f>
        <v>1211151930</v>
      </c>
      <c r="AX22" s="1144">
        <f>AS22/$AO$2*12</f>
        <v>1210233450</v>
      </c>
      <c r="AY22" s="1144">
        <f t="shared" ref="AY22:AY28" si="30">AQ22-AW22</f>
        <v>301799189</v>
      </c>
      <c r="AZ22" s="1145">
        <f t="shared" ref="AZ22:AZ31" si="31">AQ22-AX22</f>
        <v>302717669</v>
      </c>
      <c r="BA22" s="1035"/>
      <c r="BB22" s="1146" t="s">
        <v>109</v>
      </c>
      <c r="BC22" s="1147">
        <f>BC7+BC8+BC20+BC21</f>
        <v>51676344968</v>
      </c>
      <c r="BD22" s="1148">
        <f>BD7+BD8+BD20+BD21</f>
        <v>12844814186</v>
      </c>
      <c r="BE22" s="1149">
        <f>BE7+BE8+BE20+BE21</f>
        <v>4277104871</v>
      </c>
      <c r="BF22" s="923"/>
      <c r="BG22" s="1035"/>
      <c r="BH22" s="1035"/>
      <c r="BI22" s="1035"/>
      <c r="BJ22" s="1035"/>
      <c r="BK22" s="1035"/>
      <c r="BM22" s="957" t="s">
        <v>67</v>
      </c>
      <c r="BN22" s="999">
        <f>BN23+BN24</f>
        <v>139736565</v>
      </c>
      <c r="BO22" s="996">
        <f>BO23+BO24</f>
        <v>14889118</v>
      </c>
      <c r="BP22" s="996">
        <f>BP23+BP24</f>
        <v>14889118</v>
      </c>
      <c r="BQ22" s="997">
        <f>BQ23+BQ24</f>
        <v>1326821</v>
      </c>
      <c r="BR22" s="1127"/>
    </row>
    <row r="23" spans="1:70" s="1127" customFormat="1" ht="24.95" customHeight="1">
      <c r="A23" s="1014" t="str">
        <f>+IF(ENERO!A23=0,"",ENERO!A23)</f>
        <v>1130101-1</v>
      </c>
      <c r="B23" s="1150" t="str">
        <f>+CONCATENATE("Vigencia ",INSTRUCCIONES!$F$3)</f>
        <v>Vigencia 2017</v>
      </c>
      <c r="C23" s="1016">
        <f>+ENERO!C23</f>
        <v>18905646713</v>
      </c>
      <c r="D23" s="1017">
        <f>ENERO!D23+FEBRERO!P23</f>
        <v>0</v>
      </c>
      <c r="E23" s="1017">
        <f>ENERO!E23+FEBRERO!Q23</f>
        <v>0</v>
      </c>
      <c r="F23" s="1017">
        <f>SUM(C23:E23)</f>
        <v>18905646713</v>
      </c>
      <c r="G23" s="1017">
        <f>ENERO!I23</f>
        <v>1529018442</v>
      </c>
      <c r="H23" s="1020">
        <v>797777779</v>
      </c>
      <c r="I23" s="1017">
        <f>SUM(G23:H23)</f>
        <v>2326796221</v>
      </c>
      <c r="J23" s="1017">
        <f>ENERO!L23</f>
        <v>0</v>
      </c>
      <c r="K23" s="1020">
        <v>631871</v>
      </c>
      <c r="L23" s="1017">
        <f>SUM(J23:K23)</f>
        <v>631871</v>
      </c>
      <c r="M23" s="1017">
        <f>F23-I23</f>
        <v>16578850492</v>
      </c>
      <c r="N23" s="1018">
        <f>F23-L23</f>
        <v>18905014842</v>
      </c>
      <c r="O23" s="909"/>
      <c r="P23" s="1022">
        <v>0</v>
      </c>
      <c r="Q23" s="1023">
        <v>0</v>
      </c>
      <c r="R23" s="909"/>
      <c r="S23" s="1130" t="str">
        <f>+IF(ENERO!S23=0,"",ENERO!S23)</f>
        <v>1010104-3</v>
      </c>
      <c r="T23" s="1131" t="str">
        <f>+IF(ENERO!T23=0,"",ENERO!T23)</f>
        <v>Prima de Vacaciones</v>
      </c>
      <c r="U23" s="1085">
        <f>+ENERO!U23</f>
        <v>25221642</v>
      </c>
      <c r="V23" s="1033">
        <f>ENERO!V23+FEBRERO!AL23</f>
        <v>0</v>
      </c>
      <c r="W23" s="1033">
        <f>ENERO!W23+FEBRERO!AM23</f>
        <v>0</v>
      </c>
      <c r="X23" s="1086">
        <f t="shared" si="20"/>
        <v>25221642</v>
      </c>
      <c r="Y23" s="1087">
        <f>ENERO!AA23</f>
        <v>0</v>
      </c>
      <c r="Z23" s="1020">
        <v>153080</v>
      </c>
      <c r="AA23" s="1088">
        <f t="shared" si="21"/>
        <v>153080</v>
      </c>
      <c r="AB23" s="1087">
        <f>ENERO!AD23</f>
        <v>0</v>
      </c>
      <c r="AC23" s="1020">
        <v>153080</v>
      </c>
      <c r="AD23" s="1086">
        <f t="shared" si="22"/>
        <v>153080</v>
      </c>
      <c r="AE23" s="1087">
        <f>ENERO!AG23</f>
        <v>0</v>
      </c>
      <c r="AF23" s="1020">
        <v>0</v>
      </c>
      <c r="AG23" s="1086">
        <f t="shared" si="23"/>
        <v>0</v>
      </c>
      <c r="AH23" s="1087">
        <f t="shared" si="24"/>
        <v>25068562</v>
      </c>
      <c r="AI23" s="1033">
        <f t="shared" si="25"/>
        <v>25068562</v>
      </c>
      <c r="AJ23" s="1086">
        <f t="shared" si="26"/>
        <v>25221642</v>
      </c>
      <c r="AK23" s="909"/>
      <c r="AL23" s="1089">
        <v>0</v>
      </c>
      <c r="AM23" s="1023">
        <v>0</v>
      </c>
      <c r="AN23" s="909"/>
      <c r="AO23" s="1007"/>
      <c r="AP23" s="1151" t="s">
        <v>108</v>
      </c>
      <c r="AQ23" s="1152">
        <f>X16+X65-AQ22</f>
        <v>460793516</v>
      </c>
      <c r="AR23" s="1152">
        <f>AD16+AD65-AR22</f>
        <v>86384246</v>
      </c>
      <c r="AS23" s="1152">
        <f>AG16+AG65-AS22</f>
        <v>85632847</v>
      </c>
      <c r="AT23" s="915"/>
      <c r="AU23" s="948">
        <f t="shared" si="28"/>
        <v>0.1874684495343463</v>
      </c>
      <c r="AV23" s="948">
        <f t="shared" si="29"/>
        <v>0.18583778639801868</v>
      </c>
      <c r="AW23" s="1152">
        <f>(AR23-AD21-AD22-AD23-AD25-AD30-AD33-AD70-AD71-AD72-AD74-AD78-AD81)/$AO$2*12+AX22/12*2.5+AD30+AD33+AD78+AD81</f>
        <v>426217948.75</v>
      </c>
      <c r="AX23" s="1152">
        <f>(AS23-AG21-AG22-AG23-AG25-AG30-AG33-AG70-AG71-AG72-AG74-AG78-AG81)/$AO$2*12+AX22/12*2.5+AG30+AG33+AG78+AG81</f>
        <v>425452546.75</v>
      </c>
      <c r="AY23" s="1152">
        <f t="shared" si="30"/>
        <v>34575567.25</v>
      </c>
      <c r="AZ23" s="1153">
        <f t="shared" si="31"/>
        <v>35340969.25</v>
      </c>
      <c r="BA23" s="1035"/>
      <c r="BF23" s="1035"/>
      <c r="BG23" s="1035"/>
      <c r="BH23" s="1035"/>
      <c r="BI23" s="1035"/>
      <c r="BJ23" s="1035"/>
      <c r="BK23" s="1035"/>
      <c r="BL23" s="1035"/>
      <c r="BM23" s="978" t="s">
        <v>105</v>
      </c>
      <c r="BN23" s="999">
        <f>X177</f>
        <v>18619412</v>
      </c>
      <c r="BO23" s="996">
        <f>AA177</f>
        <v>2653642</v>
      </c>
      <c r="BP23" s="996">
        <f>AD177</f>
        <v>2653642</v>
      </c>
      <c r="BQ23" s="997">
        <f>AF177</f>
        <v>1326821</v>
      </c>
      <c r="BR23" s="909"/>
    </row>
    <row r="24" spans="1:70" s="1127" customFormat="1" ht="24.95" customHeight="1">
      <c r="A24" s="1014" t="str">
        <f>+IF(ENERO!A24=0,"",ENERO!A24)</f>
        <v>1130101-2</v>
      </c>
      <c r="B24" s="1150" t="str">
        <f>+IF(ENERO!B24=0,"",ENERO!B24)</f>
        <v>Vigencia Anterior</v>
      </c>
      <c r="C24" s="1016">
        <f>+ENERO!C24</f>
        <v>0</v>
      </c>
      <c r="D24" s="1017">
        <f>ENERO!D24+FEBRERO!P24</f>
        <v>0</v>
      </c>
      <c r="E24" s="1017">
        <f>ENERO!E24+FEBRERO!Q24</f>
        <v>694827167</v>
      </c>
      <c r="F24" s="1017">
        <f>SUM(C24:E24)</f>
        <v>694827167</v>
      </c>
      <c r="G24" s="1017">
        <f>ENERO!I24</f>
        <v>1212337020</v>
      </c>
      <c r="H24" s="1020">
        <v>1312967925</v>
      </c>
      <c r="I24" s="1017">
        <f>SUM(G24:H24)</f>
        <v>2525304945</v>
      </c>
      <c r="J24" s="1017">
        <f>ENERO!L24</f>
        <v>1212337020</v>
      </c>
      <c r="K24" s="1020">
        <v>1312967925</v>
      </c>
      <c r="L24" s="1017">
        <f>SUM(J24:K24)</f>
        <v>2525304945</v>
      </c>
      <c r="M24" s="1017">
        <f>F24-I24</f>
        <v>-1830477778</v>
      </c>
      <c r="N24" s="1018">
        <f>F24-L24</f>
        <v>-1830477778</v>
      </c>
      <c r="O24" s="1035"/>
      <c r="P24" s="1022">
        <v>0</v>
      </c>
      <c r="Q24" s="1023">
        <v>0</v>
      </c>
      <c r="R24" s="909"/>
      <c r="S24" s="1130" t="str">
        <f>+IF(ENERO!S24=0,"",ENERO!S24)</f>
        <v>1010104-4</v>
      </c>
      <c r="T24" s="1131" t="str">
        <f>+IF(ENERO!T24=0,"",ENERO!T24)</f>
        <v>Prima Clima</v>
      </c>
      <c r="U24" s="1085">
        <f>+ENERO!U24</f>
        <v>0</v>
      </c>
      <c r="V24" s="1033">
        <f>ENERO!V24+FEBRERO!AL24</f>
        <v>0</v>
      </c>
      <c r="W24" s="1033">
        <f>ENERO!W24+FEBRERO!AM24</f>
        <v>0</v>
      </c>
      <c r="X24" s="1086">
        <f t="shared" si="20"/>
        <v>0</v>
      </c>
      <c r="Y24" s="1087">
        <f>ENERO!AA24</f>
        <v>0</v>
      </c>
      <c r="Z24" s="1020">
        <v>0</v>
      </c>
      <c r="AA24" s="1088">
        <f t="shared" si="21"/>
        <v>0</v>
      </c>
      <c r="AB24" s="1087">
        <f>ENERO!AD24</f>
        <v>0</v>
      </c>
      <c r="AC24" s="1020">
        <v>0</v>
      </c>
      <c r="AD24" s="1086">
        <f t="shared" si="22"/>
        <v>0</v>
      </c>
      <c r="AE24" s="1087">
        <f>ENERO!AG24</f>
        <v>0</v>
      </c>
      <c r="AF24" s="1020">
        <v>0</v>
      </c>
      <c r="AG24" s="1086">
        <f t="shared" si="23"/>
        <v>0</v>
      </c>
      <c r="AH24" s="1087">
        <f t="shared" si="24"/>
        <v>0</v>
      </c>
      <c r="AI24" s="1033">
        <f t="shared" si="25"/>
        <v>0</v>
      </c>
      <c r="AJ24" s="1086">
        <f t="shared" si="26"/>
        <v>0</v>
      </c>
      <c r="AK24" s="909"/>
      <c r="AL24" s="1089">
        <v>0</v>
      </c>
      <c r="AM24" s="1023">
        <v>0</v>
      </c>
      <c r="AN24" s="909"/>
      <c r="AO24" s="1007"/>
      <c r="AP24" s="1119" t="s">
        <v>113</v>
      </c>
      <c r="AQ24" s="1142">
        <f>X35+X83</f>
        <v>24420237819</v>
      </c>
      <c r="AR24" s="1142">
        <f>AD35+AD83</f>
        <v>6646301273</v>
      </c>
      <c r="AS24" s="1142">
        <f>AG35+AG83</f>
        <v>3475497039</v>
      </c>
      <c r="AT24" s="1142"/>
      <c r="AU24" s="1017">
        <f t="shared" si="28"/>
        <v>0.27216365877603743</v>
      </c>
      <c r="AV24" s="1017">
        <f t="shared" si="29"/>
        <v>0.14232036005382032</v>
      </c>
      <c r="AW24" s="1017">
        <f>(AR24-AD41-AD88)/$AO$2*12+AD41+AD88</f>
        <v>25977760083</v>
      </c>
      <c r="AX24" s="1017">
        <f>(AS24-AG41-AG88)/$AO$2*12+AG41+AG88</f>
        <v>6952934679</v>
      </c>
      <c r="AY24" s="1017">
        <f t="shared" si="30"/>
        <v>-1557522264</v>
      </c>
      <c r="AZ24" s="1018">
        <f t="shared" si="31"/>
        <v>17467303140</v>
      </c>
      <c r="BA24" s="909"/>
      <c r="BB24" s="1154"/>
      <c r="BC24" s="1035"/>
      <c r="BD24" s="1035"/>
      <c r="BE24" s="1035"/>
      <c r="BF24" s="1035"/>
      <c r="BG24" s="1035"/>
      <c r="BH24" s="1035"/>
      <c r="BI24" s="1035"/>
      <c r="BJ24" s="1035"/>
      <c r="BK24" s="1035"/>
      <c r="BL24" s="1035"/>
      <c r="BM24" s="978" t="s">
        <v>110</v>
      </c>
      <c r="BN24" s="999">
        <f>X170-X177-X174-X183-X191</f>
        <v>121117153</v>
      </c>
      <c r="BO24" s="996">
        <f>AA170-AA177-AA174-AA183-AA191</f>
        <v>12235476</v>
      </c>
      <c r="BP24" s="996">
        <f>AD170-AD177-AD174-AD183-AD191</f>
        <v>12235476</v>
      </c>
      <c r="BQ24" s="997">
        <f>AF170-AF177-AF174-AF183-AF191</f>
        <v>0</v>
      </c>
    </row>
    <row r="25" spans="1:70" s="1035" customFormat="1" ht="24.95" customHeight="1">
      <c r="A25" s="1104">
        <f>+IF(ENERO!A25=0,"",ENERO!A25)</f>
        <v>1130102</v>
      </c>
      <c r="B25" s="1138" t="str">
        <f>+IF(ENERO!B25=0,"",ENERO!B25)</f>
        <v>ARS - REGIMEN SUBSIDIADO</v>
      </c>
      <c r="C25" s="1106">
        <f t="shared" ref="C25:N25" si="32">SUM(C26:C27)</f>
        <v>13439321219</v>
      </c>
      <c r="D25" s="1139">
        <f t="shared" si="32"/>
        <v>0</v>
      </c>
      <c r="E25" s="1139">
        <f t="shared" si="32"/>
        <v>1035510</v>
      </c>
      <c r="F25" s="1139">
        <f t="shared" si="32"/>
        <v>13440356729</v>
      </c>
      <c r="G25" s="1139">
        <f t="shared" si="32"/>
        <v>2111551795</v>
      </c>
      <c r="H25" s="1139">
        <f t="shared" si="32"/>
        <v>2803001358</v>
      </c>
      <c r="I25" s="1139">
        <f t="shared" si="32"/>
        <v>4914553153</v>
      </c>
      <c r="J25" s="1139">
        <f t="shared" si="32"/>
        <v>257711993</v>
      </c>
      <c r="K25" s="1139">
        <f t="shared" si="32"/>
        <v>1718796382</v>
      </c>
      <c r="L25" s="1139">
        <f t="shared" si="32"/>
        <v>1976508375</v>
      </c>
      <c r="M25" s="1139">
        <f t="shared" si="32"/>
        <v>8525803576</v>
      </c>
      <c r="N25" s="1107">
        <f t="shared" si="32"/>
        <v>11463848354</v>
      </c>
      <c r="P25" s="1106">
        <f>SUM(P26:P27)</f>
        <v>0</v>
      </c>
      <c r="Q25" s="1107">
        <f>SUM(Q26:Q27)</f>
        <v>0</v>
      </c>
      <c r="R25" s="909"/>
      <c r="S25" s="1130" t="str">
        <f>+IF(ENERO!S25=0,"",ENERO!S25)</f>
        <v>1010104-5</v>
      </c>
      <c r="T25" s="1131" t="str">
        <f>+IF(ENERO!T25=0,"",ENERO!T25)</f>
        <v>Prima de Servicios</v>
      </c>
      <c r="U25" s="1085">
        <f>+ENERO!U25</f>
        <v>26128895</v>
      </c>
      <c r="V25" s="1033">
        <f>ENERO!V25+FEBRERO!AL25</f>
        <v>0</v>
      </c>
      <c r="W25" s="1033">
        <f>ENERO!W25+FEBRERO!AM25</f>
        <v>0</v>
      </c>
      <c r="X25" s="1086">
        <f t="shared" si="20"/>
        <v>26128895</v>
      </c>
      <c r="Y25" s="1087">
        <f>ENERO!AA25</f>
        <v>0</v>
      </c>
      <c r="Z25" s="1020">
        <v>153080</v>
      </c>
      <c r="AA25" s="1088">
        <f t="shared" si="21"/>
        <v>153080</v>
      </c>
      <c r="AB25" s="1087">
        <f>ENERO!AD25</f>
        <v>0</v>
      </c>
      <c r="AC25" s="1020">
        <v>153080</v>
      </c>
      <c r="AD25" s="1086">
        <f t="shared" si="22"/>
        <v>153080</v>
      </c>
      <c r="AE25" s="1087">
        <f>ENERO!AG25</f>
        <v>0</v>
      </c>
      <c r="AF25" s="1020">
        <v>0</v>
      </c>
      <c r="AG25" s="1086">
        <f t="shared" si="23"/>
        <v>0</v>
      </c>
      <c r="AH25" s="1087">
        <f t="shared" si="24"/>
        <v>25975815</v>
      </c>
      <c r="AI25" s="1033">
        <f t="shared" si="25"/>
        <v>25975815</v>
      </c>
      <c r="AJ25" s="1086">
        <f t="shared" si="26"/>
        <v>26128895</v>
      </c>
      <c r="AK25" s="909"/>
      <c r="AL25" s="1089">
        <v>0</v>
      </c>
      <c r="AM25" s="1023">
        <v>0</v>
      </c>
      <c r="AN25" s="909"/>
      <c r="AO25" s="913"/>
      <c r="AP25" s="1155" t="s">
        <v>116</v>
      </c>
      <c r="AQ25" s="1017">
        <f>X43+X57+X90+X104</f>
        <v>516757377</v>
      </c>
      <c r="AR25" s="1017">
        <f>AD43+AD57+AD90+AD104</f>
        <v>68313176</v>
      </c>
      <c r="AS25" s="1017">
        <f>AG43+AG57+AG90+AG104</f>
        <v>68313176</v>
      </c>
      <c r="AT25" s="1142"/>
      <c r="AU25" s="1017">
        <f t="shared" si="28"/>
        <v>0.13219584091201081</v>
      </c>
      <c r="AV25" s="1017">
        <f t="shared" si="29"/>
        <v>0.13219584091201081</v>
      </c>
      <c r="AW25" s="1017">
        <f>(AR25-AD55-AD61-AD102-AD108)/$AO$2*12+AD55+AD61+AD102+AD108</f>
        <v>409879056</v>
      </c>
      <c r="AX25" s="1017">
        <f>(AS25-AG55-AG61-AG102-AG108)/$AO$2*12+AG55+AG61+AG102+AG108</f>
        <v>409879056</v>
      </c>
      <c r="AY25" s="1017">
        <f t="shared" si="30"/>
        <v>106878321</v>
      </c>
      <c r="AZ25" s="1018">
        <f t="shared" si="31"/>
        <v>106878321</v>
      </c>
      <c r="BM25" s="950" t="s">
        <v>445</v>
      </c>
      <c r="BN25" s="1156">
        <f>+SUM(BN26:BN28)</f>
        <v>14505406346</v>
      </c>
      <c r="BO25" s="1157">
        <f>+SUM(BO26:BO28)</f>
        <v>3468766223</v>
      </c>
      <c r="BP25" s="1157">
        <f>+SUM(BP26:BP28)</f>
        <v>2279493876</v>
      </c>
      <c r="BQ25" s="1158">
        <f>+SUM(BQ26:BQ28)</f>
        <v>350893328</v>
      </c>
      <c r="BR25" s="1127"/>
    </row>
    <row r="26" spans="1:70" s="909" customFormat="1" ht="24.95" customHeight="1">
      <c r="A26" s="1014" t="str">
        <f>+IF(ENERO!A26=0,"",ENERO!A26)</f>
        <v>1130102-1</v>
      </c>
      <c r="B26" s="1150" t="str">
        <f>+CONCATENATE("Vigencia ",INSTRUCCIONES!$F$3)</f>
        <v>Vigencia 2017</v>
      </c>
      <c r="C26" s="1016">
        <f>+ENERO!C26</f>
        <v>13439321219</v>
      </c>
      <c r="D26" s="1017">
        <f>ENERO!D26+FEBRERO!P26</f>
        <v>0</v>
      </c>
      <c r="E26" s="1017">
        <f>ENERO!E26+FEBRERO!Q26</f>
        <v>0</v>
      </c>
      <c r="F26" s="1017">
        <f>SUM(C26:E26)</f>
        <v>13439321219</v>
      </c>
      <c r="G26" s="1017">
        <f>ENERO!I26</f>
        <v>1853839802</v>
      </c>
      <c r="H26" s="1020">
        <v>1084238376</v>
      </c>
      <c r="I26" s="1017">
        <f>SUM(G26:H26)</f>
        <v>2938078178</v>
      </c>
      <c r="J26" s="1017">
        <f>ENERO!L26</f>
        <v>0</v>
      </c>
      <c r="K26" s="1020">
        <v>33400</v>
      </c>
      <c r="L26" s="1017">
        <f>SUM(J26:K26)</f>
        <v>33400</v>
      </c>
      <c r="M26" s="1017">
        <f>F26-I26</f>
        <v>10501243041</v>
      </c>
      <c r="N26" s="1018">
        <f>F26-L26</f>
        <v>13439287819</v>
      </c>
      <c r="P26" s="1022">
        <v>0</v>
      </c>
      <c r="Q26" s="1023">
        <v>0</v>
      </c>
      <c r="S26" s="1130" t="str">
        <f>+IF(ENERO!S26=0,"",ENERO!S26)</f>
        <v>1010104-8</v>
      </c>
      <c r="T26" s="1131" t="str">
        <f>+IF(ENERO!T26=0,"",ENERO!T26)</f>
        <v>Bonific. por Servicios Prestados</v>
      </c>
      <c r="U26" s="1085">
        <f>+ENERO!U26</f>
        <v>12868455</v>
      </c>
      <c r="V26" s="1033">
        <f>ENERO!V26+FEBRERO!AL26</f>
        <v>0</v>
      </c>
      <c r="W26" s="1033">
        <f>ENERO!W26+FEBRERO!AM26</f>
        <v>0</v>
      </c>
      <c r="X26" s="1086">
        <f t="shared" si="20"/>
        <v>12868455</v>
      </c>
      <c r="Y26" s="1087">
        <f>ENERO!AA26</f>
        <v>605963</v>
      </c>
      <c r="Z26" s="1020">
        <v>107156</v>
      </c>
      <c r="AA26" s="1088">
        <f t="shared" si="21"/>
        <v>713119</v>
      </c>
      <c r="AB26" s="1087">
        <f>ENERO!AD26</f>
        <v>605963</v>
      </c>
      <c r="AC26" s="1020">
        <v>107156</v>
      </c>
      <c r="AD26" s="1086">
        <f t="shared" si="22"/>
        <v>713119</v>
      </c>
      <c r="AE26" s="1087">
        <f>ENERO!AG26</f>
        <v>605963</v>
      </c>
      <c r="AF26" s="1020">
        <v>0</v>
      </c>
      <c r="AG26" s="1086">
        <f t="shared" si="23"/>
        <v>605963</v>
      </c>
      <c r="AH26" s="1087">
        <f t="shared" si="24"/>
        <v>12155336</v>
      </c>
      <c r="AI26" s="1033">
        <f t="shared" si="25"/>
        <v>12155336</v>
      </c>
      <c r="AJ26" s="1086">
        <f t="shared" si="26"/>
        <v>12262492</v>
      </c>
      <c r="AL26" s="1089">
        <v>0</v>
      </c>
      <c r="AM26" s="1023">
        <v>0</v>
      </c>
      <c r="AO26" s="913"/>
      <c r="AP26" s="1159" t="s">
        <v>120</v>
      </c>
      <c r="AQ26" s="915">
        <f>X110</f>
        <v>8766105802</v>
      </c>
      <c r="AR26" s="915">
        <f>AD110</f>
        <v>1731117541</v>
      </c>
      <c r="AS26" s="915">
        <f>AG110</f>
        <v>1051344488</v>
      </c>
      <c r="AT26" s="1009">
        <f>AO2/12</f>
        <v>0.16666666666666666</v>
      </c>
      <c r="AU26" s="948">
        <f t="shared" si="28"/>
        <v>0.19747851327610522</v>
      </c>
      <c r="AV26" s="948">
        <f t="shared" si="29"/>
        <v>0.11993289971016939</v>
      </c>
      <c r="AW26" s="1152">
        <f>(AR26-AD121-AD139-AD143-AD153-AD168)/$AO$2*12+AD121+AD139+AD143+AD153+AD168</f>
        <v>8505705396</v>
      </c>
      <c r="AX26" s="1152">
        <f>(AS26-AG121-AG139-AG143-AG153-AG168)/$AO$2*12+AG121+AG139+AG143+AG153+AG168</f>
        <v>4427067078</v>
      </c>
      <c r="AY26" s="1152">
        <f t="shared" si="30"/>
        <v>260400406</v>
      </c>
      <c r="AZ26" s="1153">
        <f t="shared" si="31"/>
        <v>4339038724</v>
      </c>
      <c r="BA26" s="1035"/>
      <c r="BB26" s="1035"/>
      <c r="BC26" s="1035"/>
      <c r="BD26" s="1035"/>
      <c r="BE26" s="1035"/>
      <c r="BF26" s="1035"/>
      <c r="BG26" s="1035"/>
      <c r="BH26" s="1035"/>
      <c r="BI26" s="1035"/>
      <c r="BJ26" s="1035"/>
      <c r="BK26" s="1035"/>
      <c r="BM26" s="1160" t="s">
        <v>446</v>
      </c>
      <c r="BN26" s="1013">
        <f>+X198+X212</f>
        <v>6228158346</v>
      </c>
      <c r="BO26" s="1010">
        <f>+AA198+AA212</f>
        <v>1284949419</v>
      </c>
      <c r="BP26" s="1010">
        <f>+AD198+AD212</f>
        <v>734406315</v>
      </c>
      <c r="BQ26" s="1011">
        <f>+AF198+AF212</f>
        <v>115637387</v>
      </c>
      <c r="BR26" s="1035"/>
    </row>
    <row r="27" spans="1:70" s="1127" customFormat="1" ht="24.95" customHeight="1">
      <c r="A27" s="1014" t="str">
        <f>+IF(ENERO!A27=0,"",ENERO!A27)</f>
        <v>1130102-2</v>
      </c>
      <c r="B27" s="1150" t="str">
        <f>+IF(ENERO!B27=0,"",ENERO!B27)</f>
        <v>Vigencia Anterior</v>
      </c>
      <c r="C27" s="1016">
        <f>+ENERO!C27</f>
        <v>0</v>
      </c>
      <c r="D27" s="1017">
        <f>ENERO!D27+FEBRERO!P27</f>
        <v>0</v>
      </c>
      <c r="E27" s="1017">
        <f>ENERO!E27+FEBRERO!Q27</f>
        <v>1035510</v>
      </c>
      <c r="F27" s="1017">
        <f>SUM(C27:E27)</f>
        <v>1035510</v>
      </c>
      <c r="G27" s="1017">
        <f>ENERO!I27</f>
        <v>257711993</v>
      </c>
      <c r="H27" s="1020">
        <v>1718762982</v>
      </c>
      <c r="I27" s="1017">
        <f>SUM(G27:H27)</f>
        <v>1976474975</v>
      </c>
      <c r="J27" s="1017">
        <f>ENERO!L27</f>
        <v>257711993</v>
      </c>
      <c r="K27" s="1020">
        <v>1718762982</v>
      </c>
      <c r="L27" s="1017">
        <f>SUM(J27:K27)</f>
        <v>1976474975</v>
      </c>
      <c r="M27" s="1017">
        <f>F27-I27</f>
        <v>-1975439465</v>
      </c>
      <c r="N27" s="1018">
        <f>F27-L27</f>
        <v>-1975439465</v>
      </c>
      <c r="O27" s="1035"/>
      <c r="P27" s="1022">
        <v>0</v>
      </c>
      <c r="Q27" s="1023">
        <v>0</v>
      </c>
      <c r="R27" s="909"/>
      <c r="S27" s="1130" t="str">
        <f>+IF(ENERO!S27=0,"",ENERO!S27)</f>
        <v>1010104-9</v>
      </c>
      <c r="T27" s="1131" t="str">
        <f>+IF(ENERO!T27=0,"",ENERO!T27)</f>
        <v>Auxilio de Transporte</v>
      </c>
      <c r="U27" s="1085">
        <f>+ENERO!U27</f>
        <v>0</v>
      </c>
      <c r="V27" s="1033">
        <f>ENERO!V27+FEBRERO!AL27</f>
        <v>0</v>
      </c>
      <c r="W27" s="1033">
        <f>ENERO!W27+FEBRERO!AM27</f>
        <v>0</v>
      </c>
      <c r="X27" s="1086">
        <f t="shared" si="20"/>
        <v>0</v>
      </c>
      <c r="Y27" s="1087">
        <f>ENERO!AA27</f>
        <v>0</v>
      </c>
      <c r="Z27" s="1020">
        <v>0</v>
      </c>
      <c r="AA27" s="1088">
        <f t="shared" si="21"/>
        <v>0</v>
      </c>
      <c r="AB27" s="1087">
        <f>ENERO!AD27</f>
        <v>0</v>
      </c>
      <c r="AC27" s="1020">
        <v>0</v>
      </c>
      <c r="AD27" s="1086">
        <f t="shared" si="22"/>
        <v>0</v>
      </c>
      <c r="AE27" s="1087">
        <f>ENERO!AG27</f>
        <v>0</v>
      </c>
      <c r="AF27" s="1020">
        <v>0</v>
      </c>
      <c r="AG27" s="1086">
        <f t="shared" si="23"/>
        <v>0</v>
      </c>
      <c r="AH27" s="1087">
        <f t="shared" si="24"/>
        <v>0</v>
      </c>
      <c r="AI27" s="1033">
        <f t="shared" si="25"/>
        <v>0</v>
      </c>
      <c r="AJ27" s="1086">
        <f t="shared" si="26"/>
        <v>0</v>
      </c>
      <c r="AK27" s="909"/>
      <c r="AL27" s="1089">
        <v>0</v>
      </c>
      <c r="AM27" s="1023">
        <v>0</v>
      </c>
      <c r="AN27" s="909"/>
      <c r="AO27" s="966"/>
      <c r="AP27" s="1155" t="s">
        <v>124</v>
      </c>
      <c r="AQ27" s="1017">
        <f>X170</f>
        <v>139736565</v>
      </c>
      <c r="AR27" s="1017">
        <f>AD170</f>
        <v>14889118</v>
      </c>
      <c r="AS27" s="1017">
        <f>AG170</f>
        <v>14521209</v>
      </c>
      <c r="AT27" s="1142"/>
      <c r="AU27" s="1017">
        <f t="shared" si="28"/>
        <v>0.10655133822704171</v>
      </c>
      <c r="AV27" s="1017">
        <f t="shared" si="29"/>
        <v>0.10391846257277042</v>
      </c>
      <c r="AW27" s="1017">
        <f>(AR27-AD174-AD183-AD191)/$AO$2*12+AD174+AD183+AD191</f>
        <v>89334708</v>
      </c>
      <c r="AX27" s="1017">
        <f>(AS27-AG174-AG183-AG191)/$AO$2*12+AG174+AG183+AG191</f>
        <v>87127254</v>
      </c>
      <c r="AY27" s="1017">
        <f t="shared" si="30"/>
        <v>50401857</v>
      </c>
      <c r="AZ27" s="1018">
        <f t="shared" si="31"/>
        <v>52609311</v>
      </c>
      <c r="BA27" s="909"/>
      <c r="BB27" s="1035"/>
      <c r="BC27" s="1035"/>
      <c r="BD27" s="1035"/>
      <c r="BE27" s="1035"/>
      <c r="BF27" s="1035"/>
      <c r="BG27" s="1035"/>
      <c r="BH27" s="1035"/>
      <c r="BI27" s="1035"/>
      <c r="BJ27" s="1035"/>
      <c r="BK27" s="1035"/>
      <c r="BL27" s="1035"/>
      <c r="BM27" s="1160" t="s">
        <v>447</v>
      </c>
      <c r="BN27" s="1013">
        <f>+X209-X212-X218</f>
        <v>0</v>
      </c>
      <c r="BO27" s="1010">
        <f>+AA209-AA212-AA218</f>
        <v>0</v>
      </c>
      <c r="BP27" s="1010">
        <f>+AD209-AD212-AD218</f>
        <v>0</v>
      </c>
      <c r="BQ27" s="1011">
        <f>+AF209-AF212-AF218</f>
        <v>0</v>
      </c>
      <c r="BR27" s="1035"/>
    </row>
    <row r="28" spans="1:70" s="1127" customFormat="1" ht="24.95" customHeight="1">
      <c r="A28" s="1104">
        <f>+IF(ENERO!A28=0,"",ENERO!A28)</f>
        <v>1130103</v>
      </c>
      <c r="B28" s="1161" t="str">
        <f>+IF(ENERO!B28=0,"",ENERO!B28)</f>
        <v>SUBSIDIO A LA OFERTA- ATENCION PERSONAS POBRES NO CUBIERTOS CON SUBSIDIO A LA DEMANDA</v>
      </c>
      <c r="C28" s="1106">
        <f>C29+C32+C35+C38+C39+C40</f>
        <v>157521482</v>
      </c>
      <c r="D28" s="1139">
        <f>+D29+D32+D35+D38+D39+D40</f>
        <v>0</v>
      </c>
      <c r="E28" s="1139">
        <f>+E29+E32+E35+E38+E39+E40</f>
        <v>0</v>
      </c>
      <c r="F28" s="1139">
        <f>+F29+F32+F35+F38+F39+F40</f>
        <v>157521482</v>
      </c>
      <c r="G28" s="1139">
        <f t="shared" ref="G28:N28" si="33">G29+G32+G35+G38+G39+G40</f>
        <v>0</v>
      </c>
      <c r="H28" s="1139">
        <f t="shared" si="33"/>
        <v>66734908</v>
      </c>
      <c r="I28" s="1139">
        <f t="shared" si="33"/>
        <v>66734908</v>
      </c>
      <c r="J28" s="1139">
        <f t="shared" si="33"/>
        <v>0</v>
      </c>
      <c r="K28" s="1139">
        <f t="shared" si="33"/>
        <v>398458</v>
      </c>
      <c r="L28" s="1139">
        <f t="shared" si="33"/>
        <v>398458</v>
      </c>
      <c r="M28" s="1139">
        <f t="shared" si="33"/>
        <v>90786574</v>
      </c>
      <c r="N28" s="1107">
        <f t="shared" si="33"/>
        <v>157123024</v>
      </c>
      <c r="O28" s="1035"/>
      <c r="P28" s="1106">
        <f>P29+P32+P35+P38+P39+P940</f>
        <v>0</v>
      </c>
      <c r="Q28" s="1107">
        <f>Q29+Q32+Q35+Q38+Q39+Q40</f>
        <v>0</v>
      </c>
      <c r="R28" s="909"/>
      <c r="S28" s="1130" t="str">
        <f>+IF(ENERO!S28=0,"",ENERO!S28)</f>
        <v>1010104-10</v>
      </c>
      <c r="T28" s="1131" t="str">
        <f>+IF(ENERO!T28=0,"",ENERO!T28)</f>
        <v>Subsidio de Alimentación</v>
      </c>
      <c r="U28" s="1085">
        <f>+ENERO!U28</f>
        <v>532000</v>
      </c>
      <c r="V28" s="1033">
        <f>ENERO!V28+FEBRERO!AL28</f>
        <v>0</v>
      </c>
      <c r="W28" s="1033">
        <f>ENERO!W28+FEBRERO!AM28</f>
        <v>0</v>
      </c>
      <c r="X28" s="1086">
        <f t="shared" si="20"/>
        <v>532000</v>
      </c>
      <c r="Y28" s="1087">
        <f>ENERO!AA28</f>
        <v>53634</v>
      </c>
      <c r="Z28" s="1020">
        <v>53634</v>
      </c>
      <c r="AA28" s="1088">
        <f t="shared" si="21"/>
        <v>107268</v>
      </c>
      <c r="AB28" s="1087">
        <f>ENERO!AD28</f>
        <v>53634</v>
      </c>
      <c r="AC28" s="1020">
        <v>53634</v>
      </c>
      <c r="AD28" s="1086">
        <f t="shared" si="22"/>
        <v>107268</v>
      </c>
      <c r="AE28" s="1087">
        <f>ENERO!AG28</f>
        <v>53634</v>
      </c>
      <c r="AF28" s="1020">
        <v>53634</v>
      </c>
      <c r="AG28" s="1086">
        <f t="shared" si="23"/>
        <v>107268</v>
      </c>
      <c r="AH28" s="1087">
        <f t="shared" si="24"/>
        <v>424732</v>
      </c>
      <c r="AI28" s="1033">
        <f t="shared" si="25"/>
        <v>424732</v>
      </c>
      <c r="AJ28" s="1086">
        <f t="shared" si="26"/>
        <v>424732</v>
      </c>
      <c r="AK28" s="909"/>
      <c r="AL28" s="1089">
        <v>0</v>
      </c>
      <c r="AM28" s="1023">
        <v>0</v>
      </c>
      <c r="AN28" s="909"/>
      <c r="AO28" s="966"/>
      <c r="AP28" s="1162" t="s">
        <v>586</v>
      </c>
      <c r="AQ28" s="1017">
        <f>X195</f>
        <v>15425884678</v>
      </c>
      <c r="AR28" s="1017">
        <f>AD195</f>
        <v>3178973754</v>
      </c>
      <c r="AS28" s="1017">
        <f>AG195</f>
        <v>1367478483</v>
      </c>
      <c r="AT28" s="1142"/>
      <c r="AU28" s="1017">
        <f t="shared" si="28"/>
        <v>0.20608048227754291</v>
      </c>
      <c r="AV28" s="1017">
        <f t="shared" si="29"/>
        <v>8.8648301964182497E-2</v>
      </c>
      <c r="AW28" s="1017">
        <f>(AR28-AD207)/$AO$2*12+AD207</f>
        <v>14576443134</v>
      </c>
      <c r="AX28" s="1017">
        <f>(AS28-AG207)/$AO$2*12+AG207</f>
        <v>3707471508</v>
      </c>
      <c r="AY28" s="1017">
        <f t="shared" si="30"/>
        <v>849441544</v>
      </c>
      <c r="AZ28" s="1018">
        <f t="shared" si="31"/>
        <v>11718413170</v>
      </c>
      <c r="BA28" s="1035"/>
      <c r="BB28" s="1035"/>
      <c r="BC28" s="1035"/>
      <c r="BD28" s="1035"/>
      <c r="BE28" s="1035"/>
      <c r="BF28" s="1035"/>
      <c r="BG28" s="1035"/>
      <c r="BH28" s="1035"/>
      <c r="BI28" s="1035"/>
      <c r="BJ28" s="1035"/>
      <c r="BK28" s="1035"/>
      <c r="BL28" s="1035"/>
      <c r="BM28" s="957" t="s">
        <v>448</v>
      </c>
      <c r="BN28" s="999">
        <f>+X196-X198-X207</f>
        <v>8277248000</v>
      </c>
      <c r="BO28" s="996">
        <f>+AA196-AA198-AA207</f>
        <v>2183816804</v>
      </c>
      <c r="BP28" s="996">
        <f>+AD196-AD198-AD207</f>
        <v>1545087561</v>
      </c>
      <c r="BQ28" s="997">
        <f>+AF196-AF198-AF207</f>
        <v>235255941</v>
      </c>
      <c r="BR28" s="909"/>
    </row>
    <row r="29" spans="1:70" s="909" customFormat="1" ht="24.95" customHeight="1">
      <c r="A29" s="1014" t="str">
        <f>+IF(ENERO!A29=0,"",ENERO!A29)</f>
        <v>1130103-1</v>
      </c>
      <c r="B29" s="1163" t="str">
        <f>+IF(ENERO!B29=0,"",ENERO!B29)</f>
        <v>Prestación de Servicios de salud  1er Nivel</v>
      </c>
      <c r="C29" s="1087">
        <f t="shared" ref="C29:N29" si="34">SUM(C30:C31)</f>
        <v>0</v>
      </c>
      <c r="D29" s="1033">
        <f t="shared" si="34"/>
        <v>0</v>
      </c>
      <c r="E29" s="1033">
        <f t="shared" si="34"/>
        <v>0</v>
      </c>
      <c r="F29" s="1033">
        <f t="shared" si="34"/>
        <v>0</v>
      </c>
      <c r="G29" s="1033">
        <f t="shared" si="34"/>
        <v>0</v>
      </c>
      <c r="H29" s="1033">
        <f t="shared" si="34"/>
        <v>0</v>
      </c>
      <c r="I29" s="1033">
        <f t="shared" si="34"/>
        <v>0</v>
      </c>
      <c r="J29" s="1033">
        <f t="shared" si="34"/>
        <v>0</v>
      </c>
      <c r="K29" s="1033">
        <f t="shared" si="34"/>
        <v>0</v>
      </c>
      <c r="L29" s="1033">
        <f t="shared" si="34"/>
        <v>0</v>
      </c>
      <c r="M29" s="1033">
        <f t="shared" si="34"/>
        <v>0</v>
      </c>
      <c r="N29" s="1086">
        <f t="shared" si="34"/>
        <v>0</v>
      </c>
      <c r="O29" s="1035"/>
      <c r="P29" s="1164">
        <f>SUM(P30:P31)</f>
        <v>0</v>
      </c>
      <c r="Q29" s="1165">
        <f>SUM(Q30:Q31)</f>
        <v>0</v>
      </c>
      <c r="S29" s="1130" t="str">
        <f>+IF(ENERO!S29=0,"",ENERO!S29)</f>
        <v>1010104-11</v>
      </c>
      <c r="T29" s="1131" t="str">
        <f>+IF(ENERO!T29=0,"",ENERO!T29)</f>
        <v>Gastos de Representación</v>
      </c>
      <c r="U29" s="1085">
        <f>+ENERO!U29</f>
        <v>0</v>
      </c>
      <c r="V29" s="1033">
        <f>ENERO!V29+FEBRERO!AL29</f>
        <v>0</v>
      </c>
      <c r="W29" s="1033">
        <f>ENERO!W29+FEBRERO!AM29</f>
        <v>0</v>
      </c>
      <c r="X29" s="1086">
        <f t="shared" si="20"/>
        <v>0</v>
      </c>
      <c r="Y29" s="1087">
        <f>ENERO!AA29</f>
        <v>0</v>
      </c>
      <c r="Z29" s="1020">
        <v>0</v>
      </c>
      <c r="AA29" s="1088">
        <f t="shared" si="21"/>
        <v>0</v>
      </c>
      <c r="AB29" s="1087">
        <f>ENERO!AD29</f>
        <v>0</v>
      </c>
      <c r="AC29" s="1020">
        <v>0</v>
      </c>
      <c r="AD29" s="1086">
        <f t="shared" si="22"/>
        <v>0</v>
      </c>
      <c r="AE29" s="1087">
        <f>ENERO!AG29</f>
        <v>0</v>
      </c>
      <c r="AF29" s="1020">
        <v>0</v>
      </c>
      <c r="AG29" s="1086">
        <f t="shared" si="23"/>
        <v>0</v>
      </c>
      <c r="AH29" s="1087">
        <f t="shared" si="24"/>
        <v>0</v>
      </c>
      <c r="AI29" s="1033">
        <f t="shared" si="25"/>
        <v>0</v>
      </c>
      <c r="AJ29" s="1086">
        <f t="shared" si="26"/>
        <v>0</v>
      </c>
      <c r="AL29" s="1089">
        <v>0</v>
      </c>
      <c r="AM29" s="1023">
        <v>0</v>
      </c>
      <c r="AO29" s="913"/>
      <c r="AP29" s="1162" t="s">
        <v>585</v>
      </c>
      <c r="AQ29" s="1017">
        <f>X209</f>
        <v>0</v>
      </c>
      <c r="AR29" s="1017">
        <f>AD209</f>
        <v>0</v>
      </c>
      <c r="AS29" s="1017">
        <f>AG209</f>
        <v>0</v>
      </c>
      <c r="AT29" s="915"/>
      <c r="AU29" s="948" t="str">
        <f t="shared" si="28"/>
        <v xml:space="preserve"> </v>
      </c>
      <c r="AV29" s="948" t="str">
        <f t="shared" si="29"/>
        <v xml:space="preserve"> </v>
      </c>
      <c r="AW29" s="1152">
        <f>(AR29-AD218)/$AO$2*12+AD218</f>
        <v>0</v>
      </c>
      <c r="AX29" s="1152">
        <f>(AS29-AG218)/$AO$2*12+AG218</f>
        <v>0</v>
      </c>
      <c r="AY29" s="1152">
        <v>0</v>
      </c>
      <c r="AZ29" s="1153">
        <f t="shared" si="31"/>
        <v>0</v>
      </c>
      <c r="BA29" s="1035"/>
      <c r="BB29" s="1127"/>
      <c r="BC29" s="1127"/>
      <c r="BD29" s="1127"/>
      <c r="BE29" s="1127"/>
      <c r="BF29" s="1127"/>
      <c r="BG29" s="1035"/>
      <c r="BH29" s="1035"/>
      <c r="BI29" s="1035"/>
      <c r="BJ29" s="1035"/>
      <c r="BK29" s="1035"/>
      <c r="BM29" s="1166" t="s">
        <v>70</v>
      </c>
      <c r="BN29" s="1156">
        <f>X232-X256-X241</f>
        <v>433878092</v>
      </c>
      <c r="BO29" s="1157">
        <f>AA232-AA256-AA241</f>
        <v>270702372</v>
      </c>
      <c r="BP29" s="1157">
        <f>AD232-AD256-AD241</f>
        <v>0</v>
      </c>
      <c r="BQ29" s="1158">
        <f>AF232-AF256-AF241</f>
        <v>0</v>
      </c>
      <c r="BR29" s="1127"/>
    </row>
    <row r="30" spans="1:70" s="1127" customFormat="1" ht="24.95" customHeight="1">
      <c r="A30" s="1014" t="str">
        <f>+IF(ENERO!A30=0,"",ENERO!A30)</f>
        <v>1130103-1-1</v>
      </c>
      <c r="B30" s="1150" t="str">
        <f>+CONCATENATE("Vigencia ",INSTRUCCIONES!$F$3)</f>
        <v>Vigencia 2017</v>
      </c>
      <c r="C30" s="1016">
        <f>+ENERO!C30</f>
        <v>0</v>
      </c>
      <c r="D30" s="1017">
        <f>ENERO!D30+FEBRERO!P30</f>
        <v>0</v>
      </c>
      <c r="E30" s="1017">
        <f>ENERO!E30+FEBRERO!Q30</f>
        <v>0</v>
      </c>
      <c r="F30" s="1017">
        <f>SUM(C30:E30)</f>
        <v>0</v>
      </c>
      <c r="G30" s="1017">
        <f>ENERO!I30</f>
        <v>0</v>
      </c>
      <c r="H30" s="1020">
        <v>0</v>
      </c>
      <c r="I30" s="1017">
        <f>SUM(G30:H30)</f>
        <v>0</v>
      </c>
      <c r="J30" s="1017">
        <f>ENERO!L30</f>
        <v>0</v>
      </c>
      <c r="K30" s="1020">
        <v>0</v>
      </c>
      <c r="L30" s="1017">
        <f>SUM(J30:K30)</f>
        <v>0</v>
      </c>
      <c r="M30" s="1017">
        <f>F30-I30</f>
        <v>0</v>
      </c>
      <c r="N30" s="1018">
        <f>F30-L30</f>
        <v>0</v>
      </c>
      <c r="O30" s="909"/>
      <c r="P30" s="1022">
        <v>0</v>
      </c>
      <c r="Q30" s="1023">
        <v>0</v>
      </c>
      <c r="R30" s="909"/>
      <c r="S30" s="1130" t="str">
        <f>+IF(ENERO!S30=0,"",ENERO!S30)</f>
        <v>1010104-12</v>
      </c>
      <c r="T30" s="1131" t="str">
        <f>+IF(ENERO!T30=0,"",ENERO!T30)</f>
        <v xml:space="preserve"> Indemnizaciones por Vacaciones o Supresión de Cargos por Reestructuración</v>
      </c>
      <c r="U30" s="1085">
        <f>+ENERO!U30</f>
        <v>0</v>
      </c>
      <c r="V30" s="1033">
        <f>ENERO!V30+FEBRERO!AL30</f>
        <v>0</v>
      </c>
      <c r="W30" s="1033">
        <f>ENERO!W30+FEBRERO!AM30</f>
        <v>0</v>
      </c>
      <c r="X30" s="1086">
        <f t="shared" si="20"/>
        <v>0</v>
      </c>
      <c r="Y30" s="1087">
        <f>ENERO!AA30</f>
        <v>0</v>
      </c>
      <c r="Z30" s="1020">
        <v>0</v>
      </c>
      <c r="AA30" s="1088">
        <f t="shared" si="21"/>
        <v>0</v>
      </c>
      <c r="AB30" s="1087">
        <f>ENERO!AD30</f>
        <v>0</v>
      </c>
      <c r="AC30" s="1020">
        <v>0</v>
      </c>
      <c r="AD30" s="1086">
        <f t="shared" si="22"/>
        <v>0</v>
      </c>
      <c r="AE30" s="1087">
        <f>ENERO!AG30</f>
        <v>0</v>
      </c>
      <c r="AF30" s="1020">
        <v>0</v>
      </c>
      <c r="AG30" s="1086">
        <f t="shared" si="23"/>
        <v>0</v>
      </c>
      <c r="AH30" s="1087">
        <f t="shared" si="24"/>
        <v>0</v>
      </c>
      <c r="AI30" s="1033">
        <f t="shared" si="25"/>
        <v>0</v>
      </c>
      <c r="AJ30" s="1086">
        <f t="shared" si="26"/>
        <v>0</v>
      </c>
      <c r="AK30" s="909"/>
      <c r="AL30" s="1089">
        <v>0</v>
      </c>
      <c r="AM30" s="1023">
        <v>0</v>
      </c>
      <c r="AN30" s="909"/>
      <c r="AO30" s="1007" t="s">
        <v>51</v>
      </c>
      <c r="AP30" s="1155" t="s">
        <v>132</v>
      </c>
      <c r="AQ30" s="1017">
        <f>X220+X232</f>
        <v>433878092</v>
      </c>
      <c r="AR30" s="1017">
        <f>AD220+AD232</f>
        <v>0</v>
      </c>
      <c r="AS30" s="1017">
        <f>AG220+AG232</f>
        <v>0</v>
      </c>
      <c r="AT30" s="1142"/>
      <c r="AU30" s="1017">
        <f t="shared" si="28"/>
        <v>0</v>
      </c>
      <c r="AV30" s="1017">
        <f t="shared" si="29"/>
        <v>0</v>
      </c>
      <c r="AW30" s="1017">
        <f>(AR30-AD225-AD230-AD241-AD256)/$AO$2*12+AD225+AD230+AD241+AD256</f>
        <v>0</v>
      </c>
      <c r="AX30" s="1017">
        <f>(AS30-AG225-AG230-AG241-AG256)/$AO$2*12+AG225+AG230+AG241+AG256</f>
        <v>0</v>
      </c>
      <c r="AY30" s="1017">
        <f>AQ30-AW30</f>
        <v>433878092</v>
      </c>
      <c r="AZ30" s="1018">
        <f t="shared" si="31"/>
        <v>433878092</v>
      </c>
      <c r="BA30" s="1035"/>
      <c r="BG30" s="1035"/>
      <c r="BH30" s="1035"/>
      <c r="BI30" s="1035"/>
      <c r="BJ30" s="1035"/>
      <c r="BK30" s="1035"/>
      <c r="BL30" s="1035"/>
      <c r="BM30" s="1166" t="s">
        <v>74</v>
      </c>
      <c r="BN30" s="1156">
        <f>X220-X225-X230</f>
        <v>0</v>
      </c>
      <c r="BO30" s="1157">
        <f>AA220-AA225-AA230</f>
        <v>0</v>
      </c>
      <c r="BP30" s="1157">
        <f>AD220-AD225-AD230</f>
        <v>0</v>
      </c>
      <c r="BQ30" s="1158">
        <f>AF220-AF225-AF230</f>
        <v>0</v>
      </c>
    </row>
    <row r="31" spans="1:70" s="1127" customFormat="1" ht="24.95" customHeight="1">
      <c r="A31" s="1014" t="str">
        <f>+IF(ENERO!A31=0,"",ENERO!A31)</f>
        <v>1130103-1-2</v>
      </c>
      <c r="B31" s="1150" t="str">
        <f>+IF(ENERO!B31=0,"",ENERO!B31)</f>
        <v>Vigencia Anterior</v>
      </c>
      <c r="C31" s="1016">
        <f>+ENERO!C31</f>
        <v>0</v>
      </c>
      <c r="D31" s="1017">
        <f>ENERO!D31+FEBRERO!P31</f>
        <v>0</v>
      </c>
      <c r="E31" s="1017">
        <f>ENERO!E31+FEBRERO!Q31</f>
        <v>0</v>
      </c>
      <c r="F31" s="1017">
        <f>SUM(C31:E31)</f>
        <v>0</v>
      </c>
      <c r="G31" s="1017">
        <f>ENERO!I31</f>
        <v>0</v>
      </c>
      <c r="H31" s="1020">
        <v>0</v>
      </c>
      <c r="I31" s="1017">
        <f>SUM(G31:H31)</f>
        <v>0</v>
      </c>
      <c r="J31" s="1017">
        <f>ENERO!L31</f>
        <v>0</v>
      </c>
      <c r="K31" s="1020">
        <v>0</v>
      </c>
      <c r="L31" s="1017">
        <f>SUM(J31:K31)</f>
        <v>0</v>
      </c>
      <c r="M31" s="1017">
        <f>F31-I31</f>
        <v>0</v>
      </c>
      <c r="N31" s="1018">
        <f>F31-L31</f>
        <v>0</v>
      </c>
      <c r="O31" s="1035"/>
      <c r="P31" s="1022">
        <v>0</v>
      </c>
      <c r="Q31" s="1023">
        <v>0</v>
      </c>
      <c r="R31" s="909"/>
      <c r="S31" s="1130" t="str">
        <f>+IF(ENERO!S31=0,"",ENERO!S31)</f>
        <v>1010104-13</v>
      </c>
      <c r="T31" s="1131" t="str">
        <f>+IF(ENERO!T31=0,"",ENERO!T31)</f>
        <v>Bonificación Especial por Recreación</v>
      </c>
      <c r="U31" s="1085">
        <f>+ENERO!U31</f>
        <v>1869843</v>
      </c>
      <c r="V31" s="1033">
        <f>ENERO!V31+FEBRERO!AL31</f>
        <v>0</v>
      </c>
      <c r="W31" s="1033">
        <f>ENERO!W31+FEBRERO!AM31</f>
        <v>0</v>
      </c>
      <c r="X31" s="1086">
        <f t="shared" si="20"/>
        <v>1869843</v>
      </c>
      <c r="Y31" s="1087">
        <f>ENERO!AA31</f>
        <v>0</v>
      </c>
      <c r="Z31" s="1020">
        <v>20411</v>
      </c>
      <c r="AA31" s="1088">
        <f t="shared" si="21"/>
        <v>20411</v>
      </c>
      <c r="AB31" s="1087">
        <f>ENERO!AD31</f>
        <v>0</v>
      </c>
      <c r="AC31" s="1020">
        <v>20411</v>
      </c>
      <c r="AD31" s="1086">
        <f t="shared" si="22"/>
        <v>20411</v>
      </c>
      <c r="AE31" s="1087">
        <f>ENERO!AG31</f>
        <v>0</v>
      </c>
      <c r="AF31" s="1020">
        <v>0</v>
      </c>
      <c r="AG31" s="1086">
        <f t="shared" si="23"/>
        <v>0</v>
      </c>
      <c r="AH31" s="1087">
        <f t="shared" si="24"/>
        <v>1849432</v>
      </c>
      <c r="AI31" s="1033">
        <f t="shared" si="25"/>
        <v>1849432</v>
      </c>
      <c r="AJ31" s="1086">
        <f t="shared" si="26"/>
        <v>1869843</v>
      </c>
      <c r="AK31" s="909"/>
      <c r="AL31" s="1089">
        <v>0</v>
      </c>
      <c r="AM31" s="1023">
        <v>0</v>
      </c>
      <c r="AN31" s="909"/>
      <c r="AO31" s="966"/>
      <c r="AP31" s="1119" t="s">
        <v>135</v>
      </c>
      <c r="AQ31" s="1142">
        <f>X258</f>
        <v>0</v>
      </c>
      <c r="AR31" s="1142">
        <f>AD258</f>
        <v>-5715936931</v>
      </c>
      <c r="AS31" s="1142">
        <f>AG258</f>
        <v>-6264492817</v>
      </c>
      <c r="AT31" s="1142"/>
      <c r="AU31" s="1017" t="str">
        <f t="shared" si="28"/>
        <v xml:space="preserve"> </v>
      </c>
      <c r="AV31" s="1017" t="str">
        <f t="shared" si="29"/>
        <v xml:space="preserve"> </v>
      </c>
      <c r="AW31" s="1017">
        <f>AQ31</f>
        <v>0</v>
      </c>
      <c r="AX31" s="1017">
        <f>AQ31</f>
        <v>0</v>
      </c>
      <c r="AY31" s="1017">
        <f>AQ31-AW31</f>
        <v>0</v>
      </c>
      <c r="AZ31" s="1018">
        <f t="shared" si="31"/>
        <v>0</v>
      </c>
      <c r="BA31" s="1035"/>
      <c r="BB31" s="1035"/>
      <c r="BC31" s="1035"/>
      <c r="BD31" s="1035"/>
      <c r="BE31" s="1035"/>
      <c r="BF31" s="1035"/>
      <c r="BG31" s="1035"/>
      <c r="BH31" s="1035"/>
      <c r="BI31" s="1035"/>
      <c r="BJ31" s="1035"/>
      <c r="BK31" s="1035"/>
      <c r="BL31" s="1035"/>
      <c r="BM31" s="1166" t="s">
        <v>130</v>
      </c>
      <c r="BN31" s="1156">
        <f>X33+X41+X55+X61+X81+X88+X102+X108+X121+X139+X143+X153+X168+X174+X183+X191+X207+X218+X230+X241+X256+X225</f>
        <v>4204355628</v>
      </c>
      <c r="BO31" s="1157">
        <f>AA33+AA41+AA55+AA61+AA81+AA88+AA102+AA108+AA121+AA139+AA143+AA153+AA168+AA174+AA183+AA191+AA207+AA218+AA230+AA241+AA256+AA225</f>
        <v>4055689359</v>
      </c>
      <c r="BP31" s="1157">
        <f>AD33+AD41+AD55+AD61+AD81+AD88+AD102+AD108+AD121+AD139+AD143+AD153+AD168+AD174+AD183+AD191+AD207+AD218+AD230+AD241+AD256+AD225</f>
        <v>4055689359</v>
      </c>
      <c r="BQ31" s="1158">
        <f>AF33+AF41+AF55+AF61+AF81+AF88+AF102+AF108+AF121+AF139+AF143+AF153+AF168+AF174+AF183+AF191+AF207+AF218+AF230+AF241+AF256+AF225</f>
        <v>2266558841</v>
      </c>
      <c r="BR31" s="909"/>
    </row>
    <row r="32" spans="1:70" s="909" customFormat="1" ht="24.95" customHeight="1" thickBot="1">
      <c r="A32" s="1014" t="str">
        <f>+IF(ENERO!A32=0,"",ENERO!A32)</f>
        <v>1130103-2</v>
      </c>
      <c r="B32" s="1163" t="str">
        <f>+IF(ENERO!B32=0,"",ENERO!B32)</f>
        <v>Prestación de Servicios de salud  2o. Nivel</v>
      </c>
      <c r="C32" s="1087">
        <f t="shared" ref="C32:N32" si="35">SUM(C33:C34)</f>
        <v>157521482</v>
      </c>
      <c r="D32" s="1033">
        <f t="shared" si="35"/>
        <v>0</v>
      </c>
      <c r="E32" s="1033">
        <f t="shared" si="35"/>
        <v>0</v>
      </c>
      <c r="F32" s="1033">
        <f t="shared" si="35"/>
        <v>157521482</v>
      </c>
      <c r="G32" s="1033">
        <f t="shared" si="35"/>
        <v>0</v>
      </c>
      <c r="H32" s="1033">
        <f t="shared" si="35"/>
        <v>66734908</v>
      </c>
      <c r="I32" s="1033">
        <f t="shared" si="35"/>
        <v>66734908</v>
      </c>
      <c r="J32" s="1033">
        <f t="shared" si="35"/>
        <v>0</v>
      </c>
      <c r="K32" s="1033">
        <f t="shared" si="35"/>
        <v>398458</v>
      </c>
      <c r="L32" s="1033">
        <f t="shared" si="35"/>
        <v>398458</v>
      </c>
      <c r="M32" s="1033">
        <f t="shared" si="35"/>
        <v>90786574</v>
      </c>
      <c r="N32" s="1086">
        <f t="shared" si="35"/>
        <v>157123024</v>
      </c>
      <c r="O32" s="1035"/>
      <c r="P32" s="1164">
        <f>SUM(P33:P34)</f>
        <v>0</v>
      </c>
      <c r="Q32" s="1165">
        <f>SUM(Q33:Q34)</f>
        <v>0</v>
      </c>
      <c r="S32" s="1130" t="str">
        <f>+IF(ENERO!S32=0,"",ENERO!S32)</f>
        <v>1010104-14</v>
      </c>
      <c r="T32" s="1131" t="str">
        <f>+IF(ENERO!T32=0,"",ENERO!T32)</f>
        <v/>
      </c>
      <c r="U32" s="1085">
        <f>+ENERO!U32</f>
        <v>0</v>
      </c>
      <c r="V32" s="1033">
        <f>ENERO!V32+FEBRERO!AL32</f>
        <v>0</v>
      </c>
      <c r="W32" s="1033">
        <f>ENERO!W32+FEBRERO!AM32</f>
        <v>0</v>
      </c>
      <c r="X32" s="1086">
        <f t="shared" si="20"/>
        <v>0</v>
      </c>
      <c r="Y32" s="1087">
        <f>ENERO!AA32</f>
        <v>0</v>
      </c>
      <c r="Z32" s="1020">
        <v>0</v>
      </c>
      <c r="AA32" s="1088">
        <f t="shared" si="21"/>
        <v>0</v>
      </c>
      <c r="AB32" s="1087">
        <f>ENERO!AD32</f>
        <v>0</v>
      </c>
      <c r="AC32" s="1020">
        <v>0</v>
      </c>
      <c r="AD32" s="1086">
        <f t="shared" si="22"/>
        <v>0</v>
      </c>
      <c r="AE32" s="1087">
        <f>ENERO!AG32</f>
        <v>0</v>
      </c>
      <c r="AF32" s="1020">
        <v>0</v>
      </c>
      <c r="AG32" s="1086">
        <f t="shared" si="23"/>
        <v>0</v>
      </c>
      <c r="AH32" s="1087">
        <f t="shared" si="24"/>
        <v>0</v>
      </c>
      <c r="AI32" s="1033">
        <f t="shared" si="25"/>
        <v>0</v>
      </c>
      <c r="AJ32" s="1086">
        <f t="shared" si="26"/>
        <v>0</v>
      </c>
      <c r="AL32" s="1089">
        <v>0</v>
      </c>
      <c r="AM32" s="1023">
        <v>0</v>
      </c>
      <c r="AO32" s="913"/>
      <c r="AP32" s="1167" t="s">
        <v>140</v>
      </c>
      <c r="AQ32" s="1077">
        <f>SUM(AQ22:AQ31)</f>
        <v>51676344968</v>
      </c>
      <c r="AR32" s="1077">
        <f>SUM(AR22:AR31)</f>
        <v>6211900832</v>
      </c>
      <c r="AS32" s="1077">
        <f>SUM(AS22:AS31)</f>
        <v>0</v>
      </c>
      <c r="AT32" s="1168"/>
      <c r="AU32" s="1169">
        <f t="shared" si="28"/>
        <v>0.12020782111905651</v>
      </c>
      <c r="AV32" s="1169">
        <f t="shared" si="29"/>
        <v>0</v>
      </c>
      <c r="AW32" s="968">
        <f>SUM(AW22:AW31)</f>
        <v>51196492255.75</v>
      </c>
      <c r="AX32" s="968">
        <f>SUM(AX22:AX31)</f>
        <v>17220165571.75</v>
      </c>
      <c r="AY32" s="968">
        <f>SUM(AY22:AY31)</f>
        <v>479852712.25</v>
      </c>
      <c r="AZ32" s="969">
        <f>SUM(AZ22:AZ31)</f>
        <v>34456179396.25</v>
      </c>
      <c r="BA32" s="1035"/>
      <c r="BB32" s="1127"/>
      <c r="BC32" s="1127"/>
      <c r="BD32" s="1127"/>
      <c r="BE32" s="1127"/>
      <c r="BF32" s="1127"/>
      <c r="BG32" s="1035"/>
      <c r="BH32" s="1035"/>
      <c r="BI32" s="1035"/>
      <c r="BJ32" s="1035"/>
      <c r="BK32" s="1035"/>
      <c r="BM32" s="1166" t="s">
        <v>136</v>
      </c>
      <c r="BN32" s="1156">
        <f>+BN7+BN25+BN29+BN30+BN31</f>
        <v>51676344968</v>
      </c>
      <c r="BO32" s="1157">
        <f t="shared" ref="BO32:BQ32" si="36">+BO7+BO25+BO29+BO30+BO31</f>
        <v>24071485654</v>
      </c>
      <c r="BP32" s="1157">
        <f t="shared" si="36"/>
        <v>11927837763</v>
      </c>
      <c r="BQ32" s="1158">
        <f t="shared" si="36"/>
        <v>3938240993</v>
      </c>
      <c r="BR32" s="1127"/>
    </row>
    <row r="33" spans="1:70" s="1127" customFormat="1" ht="24.95" customHeight="1" thickBot="1">
      <c r="A33" s="1014" t="str">
        <f>+IF(ENERO!A33=0,"",ENERO!A33)</f>
        <v>1130103-2-1</v>
      </c>
      <c r="B33" s="1150" t="str">
        <f>+CONCATENATE("Vigencia ",INSTRUCCIONES!$F$3)</f>
        <v>Vigencia 2017</v>
      </c>
      <c r="C33" s="1016">
        <f>+ENERO!C33</f>
        <v>157521482</v>
      </c>
      <c r="D33" s="1017">
        <f>ENERO!D33+FEBRERO!P33</f>
        <v>0</v>
      </c>
      <c r="E33" s="1017">
        <f>ENERO!E33+FEBRERO!Q33</f>
        <v>0</v>
      </c>
      <c r="F33" s="1017">
        <f>SUM(C33:E33)</f>
        <v>157521482</v>
      </c>
      <c r="G33" s="1017">
        <f>ENERO!I33</f>
        <v>0</v>
      </c>
      <c r="H33" s="1020">
        <v>66521950</v>
      </c>
      <c r="I33" s="1017">
        <f>SUM(G33:H33)</f>
        <v>66521950</v>
      </c>
      <c r="J33" s="1017">
        <f>ENERO!L33</f>
        <v>0</v>
      </c>
      <c r="K33" s="1020">
        <v>185500</v>
      </c>
      <c r="L33" s="1017">
        <f>SUM(J33:K33)</f>
        <v>185500</v>
      </c>
      <c r="M33" s="1017">
        <f>F33-I33</f>
        <v>90999532</v>
      </c>
      <c r="N33" s="1018">
        <f>F33-L33</f>
        <v>157335982</v>
      </c>
      <c r="O33" s="909"/>
      <c r="P33" s="1022">
        <v>0</v>
      </c>
      <c r="Q33" s="1023">
        <v>0</v>
      </c>
      <c r="R33" s="909"/>
      <c r="S33" s="1083">
        <f>+IF(ENERO!S33=0,"",ENERO!S33)</f>
        <v>1010199</v>
      </c>
      <c r="T33" s="1084" t="str">
        <f>+IF(ENERO!T33=0,"",ENERO!T33)</f>
        <v>Vigencias Anteriores</v>
      </c>
      <c r="U33" s="1085">
        <f>+ENERO!U33</f>
        <v>0</v>
      </c>
      <c r="V33" s="1033">
        <f>ENERO!V33+FEBRERO!AL33</f>
        <v>0</v>
      </c>
      <c r="W33" s="1033">
        <f>ENERO!W33+FEBRERO!AM33</f>
        <v>0</v>
      </c>
      <c r="X33" s="1086">
        <f t="shared" si="20"/>
        <v>0</v>
      </c>
      <c r="Y33" s="1087">
        <f>ENERO!AA33</f>
        <v>0</v>
      </c>
      <c r="Z33" s="1020">
        <v>0</v>
      </c>
      <c r="AA33" s="1088">
        <f t="shared" si="21"/>
        <v>0</v>
      </c>
      <c r="AB33" s="1087">
        <f>ENERO!AD33</f>
        <v>0</v>
      </c>
      <c r="AC33" s="1020">
        <v>0</v>
      </c>
      <c r="AD33" s="1086">
        <f t="shared" si="22"/>
        <v>0</v>
      </c>
      <c r="AE33" s="1087">
        <f>ENERO!AG33</f>
        <v>0</v>
      </c>
      <c r="AF33" s="1020">
        <v>0</v>
      </c>
      <c r="AG33" s="1086">
        <f t="shared" si="23"/>
        <v>0</v>
      </c>
      <c r="AH33" s="1087">
        <f t="shared" si="24"/>
        <v>0</v>
      </c>
      <c r="AI33" s="1033">
        <f t="shared" si="25"/>
        <v>0</v>
      </c>
      <c r="AJ33" s="1086">
        <f t="shared" si="26"/>
        <v>0</v>
      </c>
      <c r="AK33" s="909"/>
      <c r="AL33" s="1089">
        <v>0</v>
      </c>
      <c r="AM33" s="1023">
        <v>0</v>
      </c>
      <c r="AN33" s="909"/>
      <c r="AO33" s="966"/>
      <c r="AP33" s="1170"/>
      <c r="AQ33" s="1171" t="str">
        <f>IF((AQ32-X8)&lt;&gt;0,(AQ32-X8),"")</f>
        <v/>
      </c>
      <c r="AR33" s="1171"/>
      <c r="AS33" s="1171"/>
      <c r="AT33" s="1171"/>
      <c r="AU33" s="1172"/>
      <c r="AV33" s="1143"/>
      <c r="AW33" s="1144"/>
      <c r="AX33" s="1144"/>
      <c r="AY33" s="1144"/>
      <c r="AZ33" s="1145"/>
      <c r="BA33" s="1035"/>
      <c r="BG33" s="1035"/>
      <c r="BH33" s="1035"/>
      <c r="BI33" s="1035"/>
      <c r="BJ33" s="1035"/>
      <c r="BK33" s="1035"/>
      <c r="BL33" s="1035"/>
      <c r="BM33" s="1173" t="s">
        <v>133</v>
      </c>
      <c r="BN33" s="1174">
        <f>X258</f>
        <v>0</v>
      </c>
      <c r="BO33" s="1175">
        <f>AA258</f>
        <v>-11226671468</v>
      </c>
      <c r="BP33" s="1175">
        <f>AD258</f>
        <v>-5715936931</v>
      </c>
      <c r="BQ33" s="1176">
        <f>AF258</f>
        <v>41526203143</v>
      </c>
    </row>
    <row r="34" spans="1:70" s="1127" customFormat="1" ht="24.95" customHeight="1" thickBot="1">
      <c r="A34" s="1014" t="str">
        <f>+IF(ENERO!A34=0,"",ENERO!A34)</f>
        <v>1130103-2-2</v>
      </c>
      <c r="B34" s="1150" t="str">
        <f>+IF(ENERO!B34=0,"",ENERO!B34)</f>
        <v>Vigencia Anterior</v>
      </c>
      <c r="C34" s="1016">
        <f>+ENERO!C34</f>
        <v>0</v>
      </c>
      <c r="D34" s="1017">
        <f>ENERO!D34+FEBRERO!P34</f>
        <v>0</v>
      </c>
      <c r="E34" s="1017">
        <f>ENERO!E34+FEBRERO!Q34</f>
        <v>0</v>
      </c>
      <c r="F34" s="1017">
        <f>SUM(C34:E34)</f>
        <v>0</v>
      </c>
      <c r="G34" s="1017">
        <f>ENERO!I34</f>
        <v>0</v>
      </c>
      <c r="H34" s="1020">
        <v>212958</v>
      </c>
      <c r="I34" s="1017">
        <f>SUM(G34:H34)</f>
        <v>212958</v>
      </c>
      <c r="J34" s="1017">
        <f>ENERO!L34</f>
        <v>0</v>
      </c>
      <c r="K34" s="1020">
        <v>212958</v>
      </c>
      <c r="L34" s="1017">
        <f>SUM(J34:K34)</f>
        <v>212958</v>
      </c>
      <c r="M34" s="1017">
        <f>F34-I34</f>
        <v>-212958</v>
      </c>
      <c r="N34" s="1018">
        <f>F34-L34</f>
        <v>-212958</v>
      </c>
      <c r="O34" s="1035"/>
      <c r="P34" s="1022">
        <v>0</v>
      </c>
      <c r="Q34" s="1023">
        <v>0</v>
      </c>
      <c r="R34" s="909"/>
      <c r="S34" s="1000" t="str">
        <f>+IF(ENERO!S34=0,"",ENERO!S34)</f>
        <v/>
      </c>
      <c r="T34" s="1001" t="str">
        <f>+IF(ENERO!T34=0,"",ENERO!T34)</f>
        <v/>
      </c>
      <c r="U34" s="1002"/>
      <c r="V34" s="1003"/>
      <c r="W34" s="1003"/>
      <c r="X34" s="1004"/>
      <c r="Y34" s="1002"/>
      <c r="Z34" s="1003"/>
      <c r="AA34" s="1003"/>
      <c r="AB34" s="1002"/>
      <c r="AC34" s="1003"/>
      <c r="AD34" s="1004"/>
      <c r="AE34" s="1002"/>
      <c r="AF34" s="1003"/>
      <c r="AG34" s="1004"/>
      <c r="AH34" s="1002"/>
      <c r="AI34" s="1003"/>
      <c r="AJ34" s="1004"/>
      <c r="AK34" s="909"/>
      <c r="AL34" s="1065"/>
      <c r="AM34" s="1066"/>
      <c r="AN34" s="909"/>
      <c r="AO34" s="966"/>
      <c r="AP34" s="1177"/>
      <c r="AQ34" s="916"/>
      <c r="AR34" s="916"/>
      <c r="AS34" s="916" t="s">
        <v>147</v>
      </c>
      <c r="AT34" s="916"/>
      <c r="AU34" s="1178" t="s">
        <v>148</v>
      </c>
      <c r="AV34" s="1179" t="s">
        <v>149</v>
      </c>
      <c r="AW34" s="1058" t="s">
        <v>147</v>
      </c>
      <c r="AX34" s="1180"/>
      <c r="AY34" s="1058" t="s">
        <v>150</v>
      </c>
      <c r="AZ34" s="1059" t="s">
        <v>151</v>
      </c>
      <c r="BA34" s="1035"/>
      <c r="BB34" s="1035"/>
      <c r="BC34" s="1035"/>
      <c r="BD34" s="1035"/>
      <c r="BE34" s="1035"/>
      <c r="BF34" s="1035"/>
      <c r="BG34" s="1035"/>
      <c r="BH34" s="1035"/>
      <c r="BI34" s="1035"/>
      <c r="BJ34" s="1035"/>
      <c r="BK34" s="1035"/>
      <c r="BL34" s="1035"/>
      <c r="BM34" s="909"/>
      <c r="BN34" s="909"/>
      <c r="BO34" s="909"/>
      <c r="BP34" s="909"/>
      <c r="BQ34" s="909"/>
      <c r="BR34" s="909"/>
    </row>
    <row r="35" spans="1:70" s="1035" customFormat="1" ht="24.95" customHeight="1" thickBot="1">
      <c r="A35" s="1014" t="str">
        <f>+IF(ENERO!A35=0,"",ENERO!A35)</f>
        <v>1130103-3</v>
      </c>
      <c r="B35" s="1163" t="str">
        <f>+IF(ENERO!B35=0,"",ENERO!B35)</f>
        <v>Prestación de Servicios de salud  3o. Nivel</v>
      </c>
      <c r="C35" s="1087">
        <f t="shared" ref="C35:N35" si="37">SUM(C36:C37)</f>
        <v>0</v>
      </c>
      <c r="D35" s="1033">
        <f t="shared" si="37"/>
        <v>0</v>
      </c>
      <c r="E35" s="1033">
        <f t="shared" si="37"/>
        <v>0</v>
      </c>
      <c r="F35" s="1033">
        <f t="shared" si="37"/>
        <v>0</v>
      </c>
      <c r="G35" s="1033">
        <f t="shared" si="37"/>
        <v>0</v>
      </c>
      <c r="H35" s="1033">
        <f t="shared" si="37"/>
        <v>0</v>
      </c>
      <c r="I35" s="1033">
        <f t="shared" si="37"/>
        <v>0</v>
      </c>
      <c r="J35" s="1033">
        <f t="shared" si="37"/>
        <v>0</v>
      </c>
      <c r="K35" s="1033">
        <f t="shared" si="37"/>
        <v>0</v>
      </c>
      <c r="L35" s="1033">
        <f t="shared" si="37"/>
        <v>0</v>
      </c>
      <c r="M35" s="1033">
        <f t="shared" si="37"/>
        <v>0</v>
      </c>
      <c r="N35" s="1086">
        <f t="shared" si="37"/>
        <v>0</v>
      </c>
      <c r="P35" s="1164">
        <f>SUM(P36:P37)</f>
        <v>0</v>
      </c>
      <c r="Q35" s="1165">
        <f>SUM(Q36:Q37)</f>
        <v>0</v>
      </c>
      <c r="R35" s="909"/>
      <c r="S35" s="1073">
        <f>+IF(ENERO!S35=0,"",ENERO!S35)</f>
        <v>1010200</v>
      </c>
      <c r="T35" s="1074" t="str">
        <f>+IF(ENERO!T35=0,"",ENERO!T35)</f>
        <v>Servicios Personales Indirectos</v>
      </c>
      <c r="U35" s="1046">
        <f t="shared" ref="U35:AJ35" si="38">SUM(U36:U41)</f>
        <v>3034900183</v>
      </c>
      <c r="V35" s="1047">
        <f t="shared" si="38"/>
        <v>469081493</v>
      </c>
      <c r="W35" s="1047">
        <f t="shared" si="38"/>
        <v>100000000</v>
      </c>
      <c r="X35" s="1048">
        <f t="shared" si="38"/>
        <v>3603981676</v>
      </c>
      <c r="Y35" s="1046">
        <f t="shared" si="38"/>
        <v>1658599070</v>
      </c>
      <c r="Z35" s="1047">
        <f t="shared" si="38"/>
        <v>412101784</v>
      </c>
      <c r="AA35" s="1049">
        <f t="shared" si="38"/>
        <v>2070700854</v>
      </c>
      <c r="AB35" s="1046">
        <f t="shared" si="38"/>
        <v>180735497</v>
      </c>
      <c r="AC35" s="1047">
        <f t="shared" si="38"/>
        <v>965222659</v>
      </c>
      <c r="AD35" s="1048">
        <f t="shared" si="38"/>
        <v>1145958156</v>
      </c>
      <c r="AE35" s="1046">
        <f t="shared" si="38"/>
        <v>129777064</v>
      </c>
      <c r="AF35" s="1047">
        <f t="shared" si="38"/>
        <v>574453424</v>
      </c>
      <c r="AG35" s="1048">
        <f t="shared" si="38"/>
        <v>704230488</v>
      </c>
      <c r="AH35" s="1046">
        <f t="shared" si="38"/>
        <v>1533280822</v>
      </c>
      <c r="AI35" s="1047">
        <f t="shared" si="38"/>
        <v>2458023520</v>
      </c>
      <c r="AJ35" s="1048">
        <f t="shared" si="38"/>
        <v>2899751188</v>
      </c>
      <c r="AK35" s="909"/>
      <c r="AL35" s="1050">
        <f>SUM(AL36:AL41)</f>
        <v>469081493</v>
      </c>
      <c r="AM35" s="1048">
        <f>SUM(AM36:AM41)</f>
        <v>0</v>
      </c>
      <c r="AN35" s="909"/>
      <c r="AO35" s="966"/>
      <c r="AP35" s="1181"/>
      <c r="AQ35" s="857"/>
      <c r="AR35" s="1182"/>
      <c r="AS35" s="1182"/>
      <c r="AT35" s="1182"/>
      <c r="AU35" s="1183">
        <f>AR17-AR32</f>
        <v>6471885477</v>
      </c>
      <c r="AV35" s="1184">
        <f>AS17-AR32</f>
        <v>-98880135</v>
      </c>
      <c r="AW35" s="1184" t="s">
        <v>153</v>
      </c>
      <c r="AX35" s="1185"/>
      <c r="AY35" s="1184">
        <f>AY17+AY32</f>
        <v>-3398930194.75</v>
      </c>
      <c r="AZ35" s="1186">
        <f>AZ17+AY32</f>
        <v>-43196410318.75</v>
      </c>
      <c r="BB35" s="1127"/>
      <c r="BC35" s="1127"/>
      <c r="BD35" s="1127"/>
      <c r="BE35" s="1127"/>
      <c r="BF35" s="1127"/>
      <c r="BR35" s="1127"/>
    </row>
    <row r="36" spans="1:70" s="1035" customFormat="1" ht="24.95" customHeight="1" thickBot="1">
      <c r="A36" s="1014" t="str">
        <f>+IF(ENERO!A36=0,"",ENERO!A36)</f>
        <v>1130103-3-1</v>
      </c>
      <c r="B36" s="1150" t="str">
        <f>+CONCATENATE("Vigencia ",INSTRUCCIONES!$F$3)</f>
        <v>Vigencia 2017</v>
      </c>
      <c r="C36" s="1016">
        <f>+ENERO!C36</f>
        <v>0</v>
      </c>
      <c r="D36" s="1017">
        <f>ENERO!D36+FEBRERO!P36</f>
        <v>0</v>
      </c>
      <c r="E36" s="1017">
        <f>ENERO!E36+FEBRERO!Q36</f>
        <v>0</v>
      </c>
      <c r="F36" s="1017">
        <f t="shared" ref="F36:F41" si="39">SUM(C36:E36)</f>
        <v>0</v>
      </c>
      <c r="G36" s="1017">
        <f>ENERO!I36</f>
        <v>0</v>
      </c>
      <c r="H36" s="1020">
        <v>0</v>
      </c>
      <c r="I36" s="1017">
        <f t="shared" ref="I36:I41" si="40">SUM(G36:H36)</f>
        <v>0</v>
      </c>
      <c r="J36" s="1017">
        <f>ENERO!L36</f>
        <v>0</v>
      </c>
      <c r="K36" s="1020">
        <v>0</v>
      </c>
      <c r="L36" s="1017">
        <f t="shared" ref="L36:L41" si="41">SUM(J36:K36)</f>
        <v>0</v>
      </c>
      <c r="M36" s="1017">
        <f t="shared" ref="M36:M41" si="42">F36-I36</f>
        <v>0</v>
      </c>
      <c r="N36" s="1018">
        <f t="shared" ref="N36:N41" si="43">F36-L36</f>
        <v>0</v>
      </c>
      <c r="O36" s="909"/>
      <c r="P36" s="1022">
        <v>0</v>
      </c>
      <c r="Q36" s="1023">
        <v>0</v>
      </c>
      <c r="R36" s="909"/>
      <c r="S36" s="1083" t="str">
        <f>+IF(ENERO!S36=0,"",ENERO!S36)</f>
        <v>1010200-1</v>
      </c>
      <c r="T36" s="1084" t="str">
        <f>+IF(ENERO!T36=0,"",ENERO!T36)</f>
        <v>Remuneración y Honorarios por Servicios Técnicos y Profesionales</v>
      </c>
      <c r="U36" s="1085">
        <f>+ENERO!U36</f>
        <v>999690000</v>
      </c>
      <c r="V36" s="1033">
        <f>ENERO!V36+FEBRERO!AL36</f>
        <v>131368496</v>
      </c>
      <c r="W36" s="1033">
        <f>ENERO!W36+FEBRERO!AM36</f>
        <v>0</v>
      </c>
      <c r="X36" s="1086">
        <f t="shared" ref="X36:X41" si="44">SUM(U36:W36)</f>
        <v>1131058496</v>
      </c>
      <c r="Y36" s="1087">
        <f>ENERO!AA36</f>
        <v>1072883833</v>
      </c>
      <c r="Z36" s="1020">
        <v>25988666</v>
      </c>
      <c r="AA36" s="1088">
        <f t="shared" ref="AA36:AA41" si="45">SUM(Y36:Z36)</f>
        <v>1098872499</v>
      </c>
      <c r="AB36" s="1087">
        <f>ENERO!AD36</f>
        <v>128397900</v>
      </c>
      <c r="AC36" s="1020">
        <v>193267465</v>
      </c>
      <c r="AD36" s="1086">
        <f t="shared" ref="AD36:AD41" si="46">SUM(AB36:AC36)</f>
        <v>321665365</v>
      </c>
      <c r="AE36" s="1087">
        <f>ENERO!AG36</f>
        <v>77808326</v>
      </c>
      <c r="AF36" s="1020">
        <v>71050800</v>
      </c>
      <c r="AG36" s="1086">
        <f t="shared" ref="AG36:AG41" si="47">SUM(AE36:AF36)</f>
        <v>148859126</v>
      </c>
      <c r="AH36" s="1087">
        <f t="shared" ref="AH36:AH41" si="48">X36-AA36</f>
        <v>32185997</v>
      </c>
      <c r="AI36" s="1033">
        <f t="shared" ref="AI36:AI41" si="49">X36-AD36</f>
        <v>809393131</v>
      </c>
      <c r="AJ36" s="1086">
        <f t="shared" ref="AJ36:AJ41" si="50">X36-AG36</f>
        <v>982199370</v>
      </c>
      <c r="AK36" s="909"/>
      <c r="AL36" s="1089">
        <f>112000000-7631504+27000000</f>
        <v>131368496</v>
      </c>
      <c r="AM36" s="1023">
        <v>0</v>
      </c>
      <c r="AN36" s="909"/>
      <c r="AO36" s="1187"/>
      <c r="AP36" s="1188"/>
      <c r="AQ36" s="1188"/>
      <c r="AR36" s="1188"/>
      <c r="AS36" s="1188"/>
      <c r="AT36" s="1188"/>
      <c r="AU36" s="1188"/>
      <c r="AV36" s="1188"/>
      <c r="AW36" s="1188"/>
      <c r="AX36" s="1188"/>
      <c r="AY36" s="1188"/>
      <c r="AZ36" s="1189"/>
      <c r="BB36" s="1127"/>
      <c r="BC36" s="1127"/>
      <c r="BD36" s="1127"/>
      <c r="BE36" s="1127"/>
      <c r="BF36" s="1127"/>
      <c r="BR36" s="1127"/>
    </row>
    <row r="37" spans="1:70" s="1035" customFormat="1" ht="24.95" customHeight="1">
      <c r="A37" s="1014" t="str">
        <f>+IF(ENERO!A37=0,"",ENERO!A37)</f>
        <v>1130103-3-2</v>
      </c>
      <c r="B37" s="1150" t="str">
        <f>+IF(ENERO!B37=0,"",ENERO!B37)</f>
        <v>Vigencia Anterior</v>
      </c>
      <c r="C37" s="1016">
        <f>+ENERO!C37</f>
        <v>0</v>
      </c>
      <c r="D37" s="1017">
        <f>ENERO!D37+FEBRERO!P37</f>
        <v>0</v>
      </c>
      <c r="E37" s="1017">
        <f>ENERO!E37+FEBRERO!Q37</f>
        <v>0</v>
      </c>
      <c r="F37" s="1017">
        <f t="shared" si="39"/>
        <v>0</v>
      </c>
      <c r="G37" s="1017">
        <f>ENERO!I37</f>
        <v>0</v>
      </c>
      <c r="H37" s="1020">
        <v>0</v>
      </c>
      <c r="I37" s="1017">
        <f t="shared" si="40"/>
        <v>0</v>
      </c>
      <c r="J37" s="1017">
        <f>ENERO!L37</f>
        <v>0</v>
      </c>
      <c r="K37" s="1020">
        <v>0</v>
      </c>
      <c r="L37" s="1017">
        <f t="shared" si="41"/>
        <v>0</v>
      </c>
      <c r="M37" s="1017">
        <f t="shared" si="42"/>
        <v>0</v>
      </c>
      <c r="N37" s="1018">
        <f t="shared" si="43"/>
        <v>0</v>
      </c>
      <c r="P37" s="1022">
        <v>0</v>
      </c>
      <c r="Q37" s="1023">
        <v>0</v>
      </c>
      <c r="R37" s="909"/>
      <c r="S37" s="1083" t="str">
        <f>+IF(ENERO!S37=0,"",ENERO!S37)</f>
        <v>1010200-2</v>
      </c>
      <c r="T37" s="1084" t="str">
        <f>+IF(ENERO!T37=0,"",ENERO!T37)</f>
        <v>Personal Supernumerario</v>
      </c>
      <c r="U37" s="1085">
        <f>+ENERO!U37</f>
        <v>0</v>
      </c>
      <c r="V37" s="1033">
        <f>ENERO!V37+FEBRERO!AL37</f>
        <v>0</v>
      </c>
      <c r="W37" s="1033">
        <f>ENERO!W37+FEBRERO!AM37</f>
        <v>0</v>
      </c>
      <c r="X37" s="1086">
        <f t="shared" si="44"/>
        <v>0</v>
      </c>
      <c r="Y37" s="1087">
        <f>ENERO!AA37</f>
        <v>0</v>
      </c>
      <c r="Z37" s="1020">
        <v>0</v>
      </c>
      <c r="AA37" s="1088">
        <f t="shared" si="45"/>
        <v>0</v>
      </c>
      <c r="AB37" s="1087">
        <f>ENERO!AD37</f>
        <v>0</v>
      </c>
      <c r="AC37" s="1020">
        <v>0</v>
      </c>
      <c r="AD37" s="1086">
        <f t="shared" si="46"/>
        <v>0</v>
      </c>
      <c r="AE37" s="1087">
        <f>ENERO!AG37</f>
        <v>0</v>
      </c>
      <c r="AF37" s="1020">
        <v>0</v>
      </c>
      <c r="AG37" s="1086">
        <f t="shared" si="47"/>
        <v>0</v>
      </c>
      <c r="AH37" s="1087">
        <f t="shared" si="48"/>
        <v>0</v>
      </c>
      <c r="AI37" s="1033">
        <f t="shared" si="49"/>
        <v>0</v>
      </c>
      <c r="AJ37" s="1086">
        <f t="shared" si="50"/>
        <v>0</v>
      </c>
      <c r="AK37" s="909"/>
      <c r="AL37" s="1089">
        <v>0</v>
      </c>
      <c r="AM37" s="1023">
        <v>0</v>
      </c>
      <c r="AN37" s="909"/>
      <c r="AO37" s="1190" t="s">
        <v>156</v>
      </c>
    </row>
    <row r="38" spans="1:70" s="1035" customFormat="1" ht="24.95" customHeight="1">
      <c r="A38" s="1191" t="str">
        <f>+IF(ENERO!A38=0,"",ENERO!A38)</f>
        <v>1130103-4</v>
      </c>
      <c r="B38" s="1192" t="str">
        <f>+IF(ENERO!B38=0,"",ENERO!B38)</f>
        <v xml:space="preserve"> Aportes Patronales  1o. Nivel</v>
      </c>
      <c r="C38" s="1016">
        <f>+ENERO!C38</f>
        <v>0</v>
      </c>
      <c r="D38" s="1017">
        <f>ENERO!D38+FEBRERO!P38</f>
        <v>0</v>
      </c>
      <c r="E38" s="1017">
        <f>ENERO!E38+FEBRERO!Q38</f>
        <v>0</v>
      </c>
      <c r="F38" s="1017">
        <f t="shared" si="39"/>
        <v>0</v>
      </c>
      <c r="G38" s="1017">
        <f>ENERO!I38</f>
        <v>0</v>
      </c>
      <c r="H38" s="1020">
        <v>0</v>
      </c>
      <c r="I38" s="1017">
        <f t="shared" si="40"/>
        <v>0</v>
      </c>
      <c r="J38" s="1017">
        <f>ENERO!L38</f>
        <v>0</v>
      </c>
      <c r="K38" s="1020">
        <v>0</v>
      </c>
      <c r="L38" s="1017">
        <f t="shared" si="41"/>
        <v>0</v>
      </c>
      <c r="M38" s="1017">
        <f t="shared" si="42"/>
        <v>0</v>
      </c>
      <c r="N38" s="1018">
        <f t="shared" si="43"/>
        <v>0</v>
      </c>
      <c r="O38" s="1193"/>
      <c r="P38" s="1022">
        <v>0</v>
      </c>
      <c r="Q38" s="1023">
        <v>0</v>
      </c>
      <c r="R38" s="909"/>
      <c r="S38" s="1083" t="str">
        <f>+IF(ENERO!S38=0,"",ENERO!S38)</f>
        <v>1010200-3</v>
      </c>
      <c r="T38" s="1084" t="str">
        <f>+IF(ENERO!T38=0,"",ENERO!T38)</f>
        <v>Honorarios de la Junta Directiva</v>
      </c>
      <c r="U38" s="1085">
        <f>+ENERO!U38</f>
        <v>5000000</v>
      </c>
      <c r="V38" s="1033">
        <f>ENERO!V38+FEBRERO!AL38</f>
        <v>0</v>
      </c>
      <c r="W38" s="1033">
        <f>ENERO!W38+FEBRERO!AM38</f>
        <v>0</v>
      </c>
      <c r="X38" s="1086">
        <f t="shared" si="44"/>
        <v>5000000</v>
      </c>
      <c r="Y38" s="1087">
        <f>ENERO!AA38</f>
        <v>368859</v>
      </c>
      <c r="Z38" s="1020">
        <v>368859</v>
      </c>
      <c r="AA38" s="1088">
        <f t="shared" si="45"/>
        <v>737718</v>
      </c>
      <c r="AB38" s="1087">
        <f>ENERO!AD38</f>
        <v>368859</v>
      </c>
      <c r="AC38" s="1020">
        <v>368859</v>
      </c>
      <c r="AD38" s="1086">
        <f t="shared" si="46"/>
        <v>737718</v>
      </c>
      <c r="AE38" s="1087">
        <f>ENERO!AG38</f>
        <v>0</v>
      </c>
      <c r="AF38" s="1020">
        <v>0</v>
      </c>
      <c r="AG38" s="1086">
        <f t="shared" si="47"/>
        <v>0</v>
      </c>
      <c r="AH38" s="1087">
        <f t="shared" si="48"/>
        <v>4262282</v>
      </c>
      <c r="AI38" s="1033">
        <f t="shared" si="49"/>
        <v>4262282</v>
      </c>
      <c r="AJ38" s="1086">
        <f t="shared" si="50"/>
        <v>5000000</v>
      </c>
      <c r="AK38" s="909"/>
      <c r="AL38" s="1089">
        <v>0</v>
      </c>
      <c r="AM38" s="1023">
        <v>0</v>
      </c>
      <c r="AN38" s="909"/>
      <c r="AO38" s="863"/>
      <c r="AP38" s="863"/>
      <c r="AQ38" s="863"/>
      <c r="AR38" s="863"/>
      <c r="AS38" s="863"/>
      <c r="AT38" s="863"/>
      <c r="AU38" s="863"/>
      <c r="AV38" s="863"/>
      <c r="AW38" s="863"/>
      <c r="AX38" s="863"/>
      <c r="AY38" s="863"/>
      <c r="AZ38" s="863"/>
    </row>
    <row r="39" spans="1:70" s="1035" customFormat="1" ht="24.95" customHeight="1">
      <c r="A39" s="1191" t="str">
        <f>+IF(ENERO!A39=0,"",ENERO!A39)</f>
        <v>1130103-5</v>
      </c>
      <c r="B39" s="1192" t="str">
        <f>+IF(ENERO!B39=0,"",ENERO!B39)</f>
        <v xml:space="preserve"> Aportes Patronales  2o. Nivel</v>
      </c>
      <c r="C39" s="1016">
        <f>+ENERO!C39</f>
        <v>0</v>
      </c>
      <c r="D39" s="1017">
        <f>ENERO!D39+FEBRERO!P39</f>
        <v>0</v>
      </c>
      <c r="E39" s="1017">
        <f>ENERO!E39+FEBRERO!Q39</f>
        <v>0</v>
      </c>
      <c r="F39" s="1017">
        <f t="shared" si="39"/>
        <v>0</v>
      </c>
      <c r="G39" s="1017">
        <f>ENERO!I39</f>
        <v>0</v>
      </c>
      <c r="H39" s="1020">
        <v>0</v>
      </c>
      <c r="I39" s="1017">
        <f t="shared" si="40"/>
        <v>0</v>
      </c>
      <c r="J39" s="1017">
        <f>ENERO!L39</f>
        <v>0</v>
      </c>
      <c r="K39" s="1020">
        <v>0</v>
      </c>
      <c r="L39" s="1017">
        <f t="shared" si="41"/>
        <v>0</v>
      </c>
      <c r="M39" s="1017">
        <f t="shared" si="42"/>
        <v>0</v>
      </c>
      <c r="N39" s="1018">
        <f t="shared" si="43"/>
        <v>0</v>
      </c>
      <c r="O39" s="1193"/>
      <c r="P39" s="1022">
        <v>0</v>
      </c>
      <c r="Q39" s="1023">
        <v>0</v>
      </c>
      <c r="R39" s="909"/>
      <c r="S39" s="1083" t="str">
        <f>+IF(ENERO!S39=0,"",ENERO!S39)</f>
        <v>1010200-4</v>
      </c>
      <c r="T39" s="1084" t="str">
        <f>+IF(ENERO!T39=0,"",ENERO!T39)</f>
        <v>Otros Honorarios</v>
      </c>
      <c r="U39" s="1085">
        <f>+ENERO!U39</f>
        <v>2030210183</v>
      </c>
      <c r="V39" s="1033">
        <f>ENERO!V39+FEBRERO!AL39</f>
        <v>130000000</v>
      </c>
      <c r="W39" s="1033">
        <f>ENERO!W39+FEBRERO!AM39</f>
        <v>0</v>
      </c>
      <c r="X39" s="1086">
        <f t="shared" si="44"/>
        <v>2160210183</v>
      </c>
      <c r="Y39" s="1087">
        <f>ENERO!AA39</f>
        <v>533377640</v>
      </c>
      <c r="Z39" s="1020">
        <v>130000000</v>
      </c>
      <c r="AA39" s="1088">
        <f t="shared" si="45"/>
        <v>663377640</v>
      </c>
      <c r="AB39" s="1087">
        <f>ENERO!AD39</f>
        <v>0</v>
      </c>
      <c r="AC39" s="1020">
        <v>515842076</v>
      </c>
      <c r="AD39" s="1086">
        <f t="shared" si="46"/>
        <v>515842076</v>
      </c>
      <c r="AE39" s="1087">
        <f>ENERO!AG39</f>
        <v>0</v>
      </c>
      <c r="AF39" s="1020">
        <v>247658365</v>
      </c>
      <c r="AG39" s="1086">
        <f t="shared" si="47"/>
        <v>247658365</v>
      </c>
      <c r="AH39" s="1087">
        <f t="shared" si="48"/>
        <v>1496832543</v>
      </c>
      <c r="AI39" s="1033">
        <f t="shared" si="49"/>
        <v>1644368107</v>
      </c>
      <c r="AJ39" s="1086">
        <f t="shared" si="50"/>
        <v>1912551818</v>
      </c>
      <c r="AK39" s="909"/>
      <c r="AL39" s="1089">
        <v>130000000</v>
      </c>
      <c r="AM39" s="1023">
        <v>0</v>
      </c>
      <c r="AN39" s="909"/>
      <c r="AO39" s="863"/>
      <c r="AP39" s="863"/>
      <c r="AQ39" s="863"/>
      <c r="AR39" s="863"/>
      <c r="AS39" s="863"/>
      <c r="AT39" s="863"/>
      <c r="AU39" s="863"/>
      <c r="AV39" s="863"/>
      <c r="AW39" s="863"/>
      <c r="AX39" s="863"/>
      <c r="AY39" s="863"/>
      <c r="AZ39" s="863"/>
    </row>
    <row r="40" spans="1:70" s="1127" customFormat="1" ht="24.95" customHeight="1">
      <c r="A40" s="1191" t="str">
        <f>+IF(ENERO!A40=0,"",ENERO!A40)</f>
        <v>1130103-6</v>
      </c>
      <c r="B40" s="1192" t="str">
        <f>+IF(ENERO!B40=0,"",ENERO!B40)</f>
        <v xml:space="preserve"> Aportes Patronales  3er. Nivel</v>
      </c>
      <c r="C40" s="1016">
        <f>+ENERO!C40</f>
        <v>0</v>
      </c>
      <c r="D40" s="1017">
        <f>ENERO!D40+FEBRERO!P40</f>
        <v>0</v>
      </c>
      <c r="E40" s="1017">
        <f>ENERO!E40+FEBRERO!Q40</f>
        <v>0</v>
      </c>
      <c r="F40" s="1017">
        <f t="shared" si="39"/>
        <v>0</v>
      </c>
      <c r="G40" s="1017">
        <f>ENERO!I40</f>
        <v>0</v>
      </c>
      <c r="H40" s="1020">
        <v>0</v>
      </c>
      <c r="I40" s="1017">
        <f t="shared" si="40"/>
        <v>0</v>
      </c>
      <c r="J40" s="1017">
        <f>ENERO!L40</f>
        <v>0</v>
      </c>
      <c r="K40" s="1020">
        <v>0</v>
      </c>
      <c r="L40" s="1017">
        <f t="shared" si="41"/>
        <v>0</v>
      </c>
      <c r="M40" s="1017">
        <f t="shared" si="42"/>
        <v>0</v>
      </c>
      <c r="N40" s="1018">
        <f t="shared" si="43"/>
        <v>0</v>
      </c>
      <c r="O40" s="1193"/>
      <c r="P40" s="1022">
        <v>0</v>
      </c>
      <c r="Q40" s="1023">
        <v>0</v>
      </c>
      <c r="R40" s="909"/>
      <c r="S40" s="1083" t="str">
        <f>+IF(ENERO!S40=0,"",ENERO!S40)</f>
        <v>1010200-6</v>
      </c>
      <c r="T40" s="1084" t="str">
        <f>+IF(ENERO!T40=0,"",ENERO!T40)</f>
        <v>Certificación, Habilitación y Acreditación</v>
      </c>
      <c r="U40" s="1085">
        <f>+ENERO!U40</f>
        <v>0</v>
      </c>
      <c r="V40" s="1033">
        <f>ENERO!V40+FEBRERO!AL40</f>
        <v>0</v>
      </c>
      <c r="W40" s="1033">
        <f>ENERO!W40+FEBRERO!AM40</f>
        <v>0</v>
      </c>
      <c r="X40" s="1086">
        <f t="shared" si="44"/>
        <v>0</v>
      </c>
      <c r="Y40" s="1087">
        <f>ENERO!AA40</f>
        <v>0</v>
      </c>
      <c r="Z40" s="1020">
        <v>0</v>
      </c>
      <c r="AA40" s="1088">
        <f t="shared" si="45"/>
        <v>0</v>
      </c>
      <c r="AB40" s="1087">
        <f>ENERO!AD40</f>
        <v>0</v>
      </c>
      <c r="AC40" s="1020">
        <v>0</v>
      </c>
      <c r="AD40" s="1086">
        <f t="shared" si="46"/>
        <v>0</v>
      </c>
      <c r="AE40" s="1087">
        <f>ENERO!AG40</f>
        <v>0</v>
      </c>
      <c r="AF40" s="1020">
        <v>0</v>
      </c>
      <c r="AG40" s="1086">
        <f t="shared" si="47"/>
        <v>0</v>
      </c>
      <c r="AH40" s="1087">
        <f t="shared" si="48"/>
        <v>0</v>
      </c>
      <c r="AI40" s="1033">
        <f t="shared" si="49"/>
        <v>0</v>
      </c>
      <c r="AJ40" s="1086">
        <f t="shared" si="50"/>
        <v>0</v>
      </c>
      <c r="AK40" s="909"/>
      <c r="AL40" s="1089">
        <v>0</v>
      </c>
      <c r="AM40" s="1023">
        <v>0</v>
      </c>
      <c r="AN40" s="909"/>
      <c r="AO40" s="1035"/>
      <c r="AP40" s="1035"/>
      <c r="AQ40" s="1035"/>
      <c r="AR40" s="1035"/>
      <c r="AS40" s="1035"/>
      <c r="AT40" s="1035"/>
      <c r="AU40" s="1035"/>
      <c r="AV40" s="1035"/>
      <c r="AW40" s="1035"/>
      <c r="AX40" s="1035"/>
      <c r="AY40" s="1035"/>
      <c r="AZ40" s="1035"/>
      <c r="BA40" s="1035"/>
      <c r="BF40" s="1035"/>
      <c r="BG40" s="1035"/>
      <c r="BH40" s="1035"/>
      <c r="BI40" s="1035"/>
      <c r="BJ40" s="1035"/>
      <c r="BK40" s="1035"/>
      <c r="BL40" s="1035"/>
      <c r="BM40" s="1035"/>
      <c r="BN40" s="1035"/>
      <c r="BO40" s="1035"/>
      <c r="BP40" s="1035"/>
      <c r="BQ40" s="1035"/>
      <c r="BR40" s="1035"/>
    </row>
    <row r="41" spans="1:70" s="1127" customFormat="1" ht="24.95" customHeight="1">
      <c r="A41" s="1104">
        <f>+IF(ENERO!A41=0,"",ENERO!A41)</f>
        <v>1130104</v>
      </c>
      <c r="B41" s="1138" t="str">
        <f>+IF(ENERO!B41=0,"",ENERO!B41)</f>
        <v>SUBSIDIO A LA OFERTA- ACTIVIDADES NO POS-S</v>
      </c>
      <c r="C41" s="1016">
        <f>+ENERO!C41</f>
        <v>0</v>
      </c>
      <c r="D41" s="1047">
        <f>ENERO!D41+FEBRERO!P41</f>
        <v>0</v>
      </c>
      <c r="E41" s="1047">
        <f>ENERO!E41+FEBRERO!Q41</f>
        <v>0</v>
      </c>
      <c r="F41" s="1047">
        <f t="shared" si="39"/>
        <v>0</v>
      </c>
      <c r="G41" s="1047">
        <f>ENERO!I41</f>
        <v>0</v>
      </c>
      <c r="H41" s="1020">
        <v>0</v>
      </c>
      <c r="I41" s="1047">
        <f t="shared" si="40"/>
        <v>0</v>
      </c>
      <c r="J41" s="1047">
        <f>ENERO!L41</f>
        <v>0</v>
      </c>
      <c r="K41" s="1020">
        <v>0</v>
      </c>
      <c r="L41" s="1047">
        <f t="shared" si="41"/>
        <v>0</v>
      </c>
      <c r="M41" s="1047">
        <f t="shared" si="42"/>
        <v>0</v>
      </c>
      <c r="N41" s="1048">
        <f t="shared" si="43"/>
        <v>0</v>
      </c>
      <c r="O41" s="1035"/>
      <c r="P41" s="1020">
        <v>0</v>
      </c>
      <c r="Q41" s="1023">
        <v>0</v>
      </c>
      <c r="R41" s="909"/>
      <c r="S41" s="1083">
        <f>+IF(ENERO!S41=0,"",ENERO!S41)</f>
        <v>1010299</v>
      </c>
      <c r="T41" s="1084" t="str">
        <f>+IF(ENERO!T41=0,"",ENERO!T41)</f>
        <v>Vigencias Anteriores</v>
      </c>
      <c r="U41" s="1085">
        <f>+ENERO!U41</f>
        <v>0</v>
      </c>
      <c r="V41" s="1033">
        <f>ENERO!V41+FEBRERO!AL41</f>
        <v>207712997</v>
      </c>
      <c r="W41" s="1033">
        <f>ENERO!W41+FEBRERO!AM41</f>
        <v>100000000</v>
      </c>
      <c r="X41" s="1086">
        <f t="shared" si="44"/>
        <v>307712997</v>
      </c>
      <c r="Y41" s="1087">
        <f>ENERO!AA41</f>
        <v>51968738</v>
      </c>
      <c r="Z41" s="1020">
        <v>255744259</v>
      </c>
      <c r="AA41" s="1088">
        <f t="shared" si="45"/>
        <v>307712997</v>
      </c>
      <c r="AB41" s="1087">
        <f>ENERO!AD41</f>
        <v>51968738</v>
      </c>
      <c r="AC41" s="1020">
        <v>255744259</v>
      </c>
      <c r="AD41" s="1086">
        <f t="shared" si="46"/>
        <v>307712997</v>
      </c>
      <c r="AE41" s="1087">
        <f>ENERO!AG41</f>
        <v>51968738</v>
      </c>
      <c r="AF41" s="1020">
        <v>255744259</v>
      </c>
      <c r="AG41" s="1086">
        <f t="shared" si="47"/>
        <v>307712997</v>
      </c>
      <c r="AH41" s="1087">
        <f t="shared" si="48"/>
        <v>0</v>
      </c>
      <c r="AI41" s="1033">
        <f t="shared" si="49"/>
        <v>0</v>
      </c>
      <c r="AJ41" s="1194">
        <f t="shared" si="50"/>
        <v>0</v>
      </c>
      <c r="AK41" s="909"/>
      <c r="AL41" s="1089">
        <f>210000000-9918507+7631504</f>
        <v>207712997</v>
      </c>
      <c r="AM41" s="1023">
        <v>0</v>
      </c>
      <c r="AN41" s="909"/>
      <c r="AO41" s="863"/>
      <c r="AP41" s="863"/>
      <c r="AQ41" s="863"/>
      <c r="AR41" s="863"/>
      <c r="AS41" s="863"/>
      <c r="AT41" s="863"/>
      <c r="AU41" s="863"/>
      <c r="AV41" s="863"/>
      <c r="AW41" s="863"/>
      <c r="AX41" s="863"/>
      <c r="AY41" s="863"/>
      <c r="AZ41" s="863"/>
      <c r="BA41" s="1035"/>
      <c r="BF41" s="1035"/>
      <c r="BG41" s="1035"/>
      <c r="BH41" s="1035"/>
      <c r="BI41" s="1035"/>
      <c r="BJ41" s="1035"/>
      <c r="BK41" s="1035"/>
      <c r="BL41" s="1035"/>
    </row>
    <row r="42" spans="1:70" s="1035" customFormat="1" ht="24.95" customHeight="1">
      <c r="A42" s="1104">
        <f>+IF(ENERO!A42=0,"",ENERO!A42)</f>
        <v>1130106</v>
      </c>
      <c r="B42" s="1138" t="str">
        <f>+IF(ENERO!B42=0,"",ENERO!B42)</f>
        <v>SALUD PUBLICA - PLAN DE INTERVENCIONES COLECTIVAS</v>
      </c>
      <c r="C42" s="1106">
        <f t="shared" ref="C42:N42" si="51">SUM(C43:C44)</f>
        <v>0</v>
      </c>
      <c r="D42" s="1139">
        <f t="shared" si="51"/>
        <v>0</v>
      </c>
      <c r="E42" s="1139">
        <f t="shared" si="51"/>
        <v>0</v>
      </c>
      <c r="F42" s="1139">
        <f t="shared" si="51"/>
        <v>0</v>
      </c>
      <c r="G42" s="1139">
        <f t="shared" si="51"/>
        <v>0</v>
      </c>
      <c r="H42" s="1139">
        <f t="shared" si="51"/>
        <v>0</v>
      </c>
      <c r="I42" s="1139">
        <f t="shared" si="51"/>
        <v>0</v>
      </c>
      <c r="J42" s="1139">
        <f t="shared" si="51"/>
        <v>0</v>
      </c>
      <c r="K42" s="1139">
        <f t="shared" si="51"/>
        <v>0</v>
      </c>
      <c r="L42" s="1139">
        <f t="shared" si="51"/>
        <v>0</v>
      </c>
      <c r="M42" s="1139">
        <f t="shared" si="51"/>
        <v>0</v>
      </c>
      <c r="N42" s="1107">
        <f t="shared" si="51"/>
        <v>0</v>
      </c>
      <c r="P42" s="1106">
        <f>SUM(P43:P44)</f>
        <v>0</v>
      </c>
      <c r="Q42" s="1107">
        <f>SUM(Q43:Q44)</f>
        <v>0</v>
      </c>
      <c r="R42" s="909"/>
      <c r="S42" s="1000" t="str">
        <f>+IF(ENERO!S42=0,"",ENERO!S42)</f>
        <v/>
      </c>
      <c r="T42" s="1001" t="str">
        <f>+IF(ENERO!T42=0,"",ENERO!T42)</f>
        <v/>
      </c>
      <c r="U42" s="1002"/>
      <c r="V42" s="1003"/>
      <c r="W42" s="1003"/>
      <c r="X42" s="1004"/>
      <c r="Y42" s="1002"/>
      <c r="Z42" s="1003"/>
      <c r="AA42" s="1003"/>
      <c r="AB42" s="1002"/>
      <c r="AC42" s="1003"/>
      <c r="AD42" s="1004"/>
      <c r="AE42" s="1002"/>
      <c r="AF42" s="1003"/>
      <c r="AG42" s="1004"/>
      <c r="AH42" s="1002"/>
      <c r="AI42" s="1003"/>
      <c r="AJ42" s="1004"/>
      <c r="AK42" s="1029"/>
      <c r="AL42" s="1195"/>
      <c r="AM42" s="1196"/>
      <c r="AN42" s="909"/>
      <c r="AO42" s="863"/>
      <c r="AP42" s="863"/>
      <c r="AQ42" s="863"/>
      <c r="AR42" s="863"/>
      <c r="AS42" s="863"/>
      <c r="AT42" s="863"/>
      <c r="AU42" s="863"/>
      <c r="AV42" s="863"/>
      <c r="AW42" s="863"/>
      <c r="AX42" s="863"/>
      <c r="AY42" s="863"/>
      <c r="AZ42" s="863"/>
      <c r="BR42" s="1127"/>
    </row>
    <row r="43" spans="1:70" s="1127" customFormat="1" ht="24.95" customHeight="1">
      <c r="A43" s="1014" t="str">
        <f>+IF(ENERO!A43=0,"",ENERO!A43)</f>
        <v>1130106-1</v>
      </c>
      <c r="B43" s="1150" t="str">
        <f>+CONCATENATE("Vigencia ",INSTRUCCIONES!$F$3)</f>
        <v>Vigencia 2017</v>
      </c>
      <c r="C43" s="1016">
        <f>+ENERO!C43</f>
        <v>0</v>
      </c>
      <c r="D43" s="1017">
        <f>ENERO!D43+FEBRERO!P43</f>
        <v>0</v>
      </c>
      <c r="E43" s="1017">
        <f>ENERO!E43+FEBRERO!Q43</f>
        <v>0</v>
      </c>
      <c r="F43" s="1017">
        <f>SUM(C43:E43)</f>
        <v>0</v>
      </c>
      <c r="G43" s="1017">
        <f>ENERO!I43</f>
        <v>0</v>
      </c>
      <c r="H43" s="1020">
        <v>0</v>
      </c>
      <c r="I43" s="1017">
        <f>SUM(G43:H43)</f>
        <v>0</v>
      </c>
      <c r="J43" s="1017">
        <f>ENERO!L43</f>
        <v>0</v>
      </c>
      <c r="K43" s="1020">
        <v>0</v>
      </c>
      <c r="L43" s="1017">
        <f>SUM(J43:K43)</f>
        <v>0</v>
      </c>
      <c r="M43" s="1017">
        <f>F43-I43</f>
        <v>0</v>
      </c>
      <c r="N43" s="1018">
        <f>F43-L43</f>
        <v>0</v>
      </c>
      <c r="O43" s="1035"/>
      <c r="P43" s="1022">
        <v>0</v>
      </c>
      <c r="Q43" s="1023">
        <v>0</v>
      </c>
      <c r="R43" s="909"/>
      <c r="S43" s="1073">
        <f>+IF(ENERO!S43=0,"",ENERO!S43)</f>
        <v>1010300</v>
      </c>
      <c r="T43" s="1074" t="str">
        <f>+IF(ENERO!T43=0,"",ENERO!T43)</f>
        <v>Contribuciones Inherentes nómina al Sector Privado</v>
      </c>
      <c r="U43" s="1046">
        <f t="shared" ref="U43:AJ43" si="52">U44+U49+U55</f>
        <v>182861553</v>
      </c>
      <c r="V43" s="1047">
        <f t="shared" si="52"/>
        <v>-24802080</v>
      </c>
      <c r="W43" s="1047">
        <f t="shared" si="52"/>
        <v>24802080</v>
      </c>
      <c r="X43" s="1048">
        <f t="shared" si="52"/>
        <v>182861553</v>
      </c>
      <c r="Y43" s="1046">
        <f t="shared" si="52"/>
        <v>9543165</v>
      </c>
      <c r="Z43" s="1047">
        <f t="shared" si="52"/>
        <v>9550164</v>
      </c>
      <c r="AA43" s="1049">
        <f t="shared" si="52"/>
        <v>19093329</v>
      </c>
      <c r="AB43" s="1046">
        <f t="shared" si="52"/>
        <v>9543165</v>
      </c>
      <c r="AC43" s="1047">
        <f t="shared" si="52"/>
        <v>9550164</v>
      </c>
      <c r="AD43" s="1048">
        <f t="shared" si="52"/>
        <v>19093329</v>
      </c>
      <c r="AE43" s="1046">
        <f t="shared" si="52"/>
        <v>9543165</v>
      </c>
      <c r="AF43" s="1047">
        <f t="shared" si="52"/>
        <v>9550164</v>
      </c>
      <c r="AG43" s="1048">
        <f t="shared" si="52"/>
        <v>19093329</v>
      </c>
      <c r="AH43" s="1046">
        <f t="shared" si="52"/>
        <v>163768224</v>
      </c>
      <c r="AI43" s="1047">
        <f t="shared" si="52"/>
        <v>163768224</v>
      </c>
      <c r="AJ43" s="1048">
        <f t="shared" si="52"/>
        <v>163768224</v>
      </c>
      <c r="AK43" s="909"/>
      <c r="AL43" s="1050">
        <f>AL44+AL49+AL55</f>
        <v>-24802080</v>
      </c>
      <c r="AM43" s="1048">
        <f>AM44+AM49+AM55</f>
        <v>24802080</v>
      </c>
      <c r="AN43" s="909"/>
      <c r="AO43" s="1035"/>
      <c r="AP43" s="1197"/>
      <c r="AQ43" s="863"/>
      <c r="AR43" s="863"/>
      <c r="AS43" s="863"/>
      <c r="AT43" s="863"/>
      <c r="AU43" s="863"/>
      <c r="AV43" s="863"/>
      <c r="AW43" s="863"/>
      <c r="AX43" s="863"/>
      <c r="AY43" s="863"/>
      <c r="AZ43" s="863"/>
      <c r="BA43" s="1035"/>
      <c r="BF43" s="1035"/>
      <c r="BG43" s="1035"/>
      <c r="BH43" s="1035"/>
      <c r="BI43" s="1035"/>
      <c r="BJ43" s="1035"/>
      <c r="BK43" s="1035"/>
      <c r="BL43" s="1035"/>
      <c r="BM43" s="1035"/>
      <c r="BN43" s="1035"/>
      <c r="BO43" s="1035"/>
      <c r="BP43" s="1035"/>
      <c r="BQ43" s="1035"/>
    </row>
    <row r="44" spans="1:70" s="1127" customFormat="1" ht="24.95" customHeight="1">
      <c r="A44" s="1014" t="str">
        <f>+IF(ENERO!A44=0,"",ENERO!A44)</f>
        <v>1130106-2</v>
      </c>
      <c r="B44" s="1150" t="str">
        <f>+IF(ENERO!B44=0,"",ENERO!B44)</f>
        <v>Vigencia Anterior</v>
      </c>
      <c r="C44" s="1016">
        <f>+ENERO!C44</f>
        <v>0</v>
      </c>
      <c r="D44" s="1017">
        <f>ENERO!D44+FEBRERO!P44</f>
        <v>0</v>
      </c>
      <c r="E44" s="1017">
        <f>ENERO!E44+FEBRERO!Q44</f>
        <v>0</v>
      </c>
      <c r="F44" s="1017">
        <f>SUM(C44:E44)</f>
        <v>0</v>
      </c>
      <c r="G44" s="1017">
        <f>ENERO!I44</f>
        <v>0</v>
      </c>
      <c r="H44" s="1020">
        <v>0</v>
      </c>
      <c r="I44" s="1017">
        <f>SUM(G44:H44)</f>
        <v>0</v>
      </c>
      <c r="J44" s="1017">
        <f>ENERO!L44</f>
        <v>0</v>
      </c>
      <c r="K44" s="1020">
        <v>0</v>
      </c>
      <c r="L44" s="1017">
        <f>SUM(J44:K44)</f>
        <v>0</v>
      </c>
      <c r="M44" s="1017">
        <f>F44-I44</f>
        <v>0</v>
      </c>
      <c r="N44" s="1018">
        <f>F44-L44</f>
        <v>0</v>
      </c>
      <c r="O44" s="1035"/>
      <c r="P44" s="1022">
        <v>0</v>
      </c>
      <c r="Q44" s="1023">
        <v>0</v>
      </c>
      <c r="R44" s="909"/>
      <c r="S44" s="1083">
        <f>+IF(ENERO!S44=0,"",ENERO!S44)</f>
        <v>1010301</v>
      </c>
      <c r="T44" s="1084" t="str">
        <f>+IF(ENERO!T44=0,"",ENERO!T44)</f>
        <v>Contribuciones - SGP - Aportes Patronales - Cuentas Maestras</v>
      </c>
      <c r="U44" s="1085">
        <f t="shared" ref="U44:AJ44" si="53">SUM(U45:U48)</f>
        <v>0</v>
      </c>
      <c r="V44" s="1033">
        <f t="shared" si="53"/>
        <v>0</v>
      </c>
      <c r="W44" s="1033">
        <f t="shared" si="53"/>
        <v>0</v>
      </c>
      <c r="X44" s="1086">
        <f t="shared" si="53"/>
        <v>0</v>
      </c>
      <c r="Y44" s="1087">
        <f t="shared" si="53"/>
        <v>0</v>
      </c>
      <c r="Z44" s="1198">
        <f t="shared" si="53"/>
        <v>0</v>
      </c>
      <c r="AA44" s="1088">
        <f t="shared" si="53"/>
        <v>0</v>
      </c>
      <c r="AB44" s="1087">
        <f t="shared" si="53"/>
        <v>0</v>
      </c>
      <c r="AC44" s="1198">
        <f t="shared" si="53"/>
        <v>0</v>
      </c>
      <c r="AD44" s="1086">
        <f t="shared" si="53"/>
        <v>0</v>
      </c>
      <c r="AE44" s="1087">
        <f t="shared" si="53"/>
        <v>0</v>
      </c>
      <c r="AF44" s="1198">
        <f t="shared" si="53"/>
        <v>0</v>
      </c>
      <c r="AG44" s="1086">
        <f t="shared" si="53"/>
        <v>0</v>
      </c>
      <c r="AH44" s="1087">
        <f t="shared" si="53"/>
        <v>0</v>
      </c>
      <c r="AI44" s="1033">
        <f t="shared" si="53"/>
        <v>0</v>
      </c>
      <c r="AJ44" s="1086">
        <f t="shared" si="53"/>
        <v>0</v>
      </c>
      <c r="AK44" s="909"/>
      <c r="AL44" s="1117">
        <f>SUM(AL45:AL48)</f>
        <v>0</v>
      </c>
      <c r="AM44" s="1118">
        <f>SUM(AM45:AM48)</f>
        <v>0</v>
      </c>
      <c r="AN44" s="909"/>
      <c r="AO44" s="863"/>
      <c r="AP44" s="863"/>
      <c r="AQ44" s="863"/>
      <c r="AR44" s="863"/>
      <c r="AS44" s="863"/>
      <c r="AT44" s="863"/>
      <c r="AU44" s="863"/>
      <c r="AV44" s="863"/>
      <c r="AW44" s="863"/>
      <c r="AX44" s="863"/>
      <c r="AY44" s="863"/>
      <c r="AZ44" s="863"/>
      <c r="BA44" s="1035"/>
      <c r="BF44" s="1035"/>
      <c r="BG44" s="1035"/>
      <c r="BH44" s="1035"/>
      <c r="BI44" s="1035"/>
      <c r="BJ44" s="1035"/>
      <c r="BK44" s="1035"/>
      <c r="BL44" s="1035"/>
      <c r="BM44" s="1035"/>
      <c r="BN44" s="1035"/>
      <c r="BO44" s="1035"/>
      <c r="BP44" s="1035"/>
      <c r="BQ44" s="1035"/>
      <c r="BR44" s="1035"/>
    </row>
    <row r="45" spans="1:70" s="1035" customFormat="1" ht="24.95" customHeight="1">
      <c r="A45" s="1104">
        <f>+IF(ENERO!A45=0,"",ENERO!A45)</f>
        <v>1130107</v>
      </c>
      <c r="B45" s="1138" t="str">
        <f>+IF(ENERO!B45=0,"",ENERO!B45)</f>
        <v>MINSALUD-FOSYGA-RECLAMACIONES ECAT</v>
      </c>
      <c r="C45" s="1106">
        <f t="shared" ref="C45:N45" si="54">SUM(C46:C47)</f>
        <v>375197511</v>
      </c>
      <c r="D45" s="1139">
        <f t="shared" si="54"/>
        <v>0</v>
      </c>
      <c r="E45" s="1139">
        <f t="shared" si="54"/>
        <v>0</v>
      </c>
      <c r="F45" s="1139">
        <f t="shared" si="54"/>
        <v>375197511</v>
      </c>
      <c r="G45" s="1139">
        <f t="shared" si="54"/>
        <v>0</v>
      </c>
      <c r="H45" s="1139">
        <f t="shared" si="54"/>
        <v>4220966</v>
      </c>
      <c r="I45" s="1139">
        <f t="shared" si="54"/>
        <v>4220966</v>
      </c>
      <c r="J45" s="1139">
        <f t="shared" si="54"/>
        <v>0</v>
      </c>
      <c r="K45" s="1139">
        <f t="shared" si="54"/>
        <v>79487</v>
      </c>
      <c r="L45" s="1139">
        <f t="shared" si="54"/>
        <v>79487</v>
      </c>
      <c r="M45" s="1139">
        <f t="shared" si="54"/>
        <v>370976545</v>
      </c>
      <c r="N45" s="1107">
        <f t="shared" si="54"/>
        <v>375118024</v>
      </c>
      <c r="P45" s="1106">
        <f>SUM(P46:P47)</f>
        <v>0</v>
      </c>
      <c r="Q45" s="1107">
        <f>SUM(Q46:Q47)</f>
        <v>0</v>
      </c>
      <c r="R45" s="909"/>
      <c r="S45" s="1130" t="str">
        <f>+IF(ENERO!S45=0,"",ENERO!S45)</f>
        <v>1010301-1</v>
      </c>
      <c r="T45" s="1131" t="str">
        <f>+IF(ENERO!T45=0,"",ENERO!T45)</f>
        <v>E.P.S. - Aportes cuentas maestras</v>
      </c>
      <c r="U45" s="1085">
        <f>+ENERO!U45</f>
        <v>0</v>
      </c>
      <c r="V45" s="1033">
        <f>ENERO!V45+FEBRERO!AL45</f>
        <v>0</v>
      </c>
      <c r="W45" s="1033">
        <f>ENERO!W45+FEBRERO!AM45</f>
        <v>0</v>
      </c>
      <c r="X45" s="1086">
        <f>SUM(U45:W45)</f>
        <v>0</v>
      </c>
      <c r="Y45" s="1087">
        <f>ENERO!AA45</f>
        <v>0</v>
      </c>
      <c r="Z45" s="1020">
        <v>0</v>
      </c>
      <c r="AA45" s="1088">
        <f>SUM(Y45:Z45)</f>
        <v>0</v>
      </c>
      <c r="AB45" s="1087">
        <f>ENERO!AD45</f>
        <v>0</v>
      </c>
      <c r="AC45" s="1020">
        <v>0</v>
      </c>
      <c r="AD45" s="1086">
        <f>SUM(AB45:AC45)</f>
        <v>0</v>
      </c>
      <c r="AE45" s="1087">
        <f>ENERO!AG45</f>
        <v>0</v>
      </c>
      <c r="AF45" s="1020">
        <v>0</v>
      </c>
      <c r="AG45" s="1086">
        <f>SUM(AE45:AF45)</f>
        <v>0</v>
      </c>
      <c r="AH45" s="1087">
        <f>X45-AA45</f>
        <v>0</v>
      </c>
      <c r="AI45" s="1033">
        <f>X45-AD45</f>
        <v>0</v>
      </c>
      <c r="AJ45" s="1086">
        <f>X45-AG45</f>
        <v>0</v>
      </c>
      <c r="AK45" s="909"/>
      <c r="AL45" s="1089">
        <v>0</v>
      </c>
      <c r="AM45" s="1023">
        <v>0</v>
      </c>
      <c r="AN45" s="909"/>
      <c r="AO45" s="863"/>
      <c r="AP45" s="863"/>
      <c r="AQ45" s="863"/>
      <c r="AR45" s="863"/>
      <c r="AS45" s="863"/>
      <c r="AT45" s="863"/>
      <c r="AU45" s="863"/>
      <c r="AV45" s="863"/>
      <c r="AW45" s="863"/>
      <c r="AX45" s="863"/>
      <c r="AY45" s="863"/>
      <c r="AZ45" s="863"/>
      <c r="BR45" s="1127"/>
    </row>
    <row r="46" spans="1:70" s="1127" customFormat="1" ht="24.95" customHeight="1">
      <c r="A46" s="1014" t="str">
        <f>+IF(ENERO!A46=0,"",ENERO!A46)</f>
        <v>1130107-1</v>
      </c>
      <c r="B46" s="1150" t="str">
        <f>+CONCATENATE("Vigencia ",INSTRUCCIONES!$F$3)</f>
        <v>Vigencia 2017</v>
      </c>
      <c r="C46" s="1016">
        <f>+ENERO!C46</f>
        <v>375197511</v>
      </c>
      <c r="D46" s="1017">
        <f>ENERO!D46+FEBRERO!P46</f>
        <v>0</v>
      </c>
      <c r="E46" s="1017">
        <f>ENERO!E46+FEBRERO!Q46</f>
        <v>0</v>
      </c>
      <c r="F46" s="1017">
        <f>SUM(C46:E46)</f>
        <v>375197511</v>
      </c>
      <c r="G46" s="1017">
        <f>ENERO!I46</f>
        <v>0</v>
      </c>
      <c r="H46" s="1020">
        <v>4141479</v>
      </c>
      <c r="I46" s="1017">
        <f>SUM(G46:H46)</f>
        <v>4141479</v>
      </c>
      <c r="J46" s="1017">
        <f>ENERO!L46</f>
        <v>0</v>
      </c>
      <c r="K46" s="1020">
        <v>0</v>
      </c>
      <c r="L46" s="1017">
        <f>SUM(J46:K46)</f>
        <v>0</v>
      </c>
      <c r="M46" s="1017">
        <f>F46-I46</f>
        <v>371056032</v>
      </c>
      <c r="N46" s="1018">
        <f>F46-L46</f>
        <v>375197511</v>
      </c>
      <c r="O46" s="1035"/>
      <c r="P46" s="1022">
        <v>0</v>
      </c>
      <c r="Q46" s="1023">
        <v>0</v>
      </c>
      <c r="R46" s="909"/>
      <c r="S46" s="1130" t="str">
        <f>+IF(ENERO!S46=0,"",ENERO!S46)</f>
        <v>1010301-2</v>
      </c>
      <c r="T46" s="1131" t="str">
        <f>+IF(ENERO!T46=0,"",ENERO!T46)</f>
        <v>Fondos pensionales - Aportes cuentas maestras</v>
      </c>
      <c r="U46" s="1085">
        <f>+ENERO!U46</f>
        <v>0</v>
      </c>
      <c r="V46" s="1033">
        <f>ENERO!V46+FEBRERO!AL46</f>
        <v>0</v>
      </c>
      <c r="W46" s="1033">
        <f>ENERO!W46+FEBRERO!AM46</f>
        <v>0</v>
      </c>
      <c r="X46" s="1086">
        <f>SUM(U46:W46)</f>
        <v>0</v>
      </c>
      <c r="Y46" s="1087">
        <f>ENERO!AA46</f>
        <v>0</v>
      </c>
      <c r="Z46" s="1020">
        <v>0</v>
      </c>
      <c r="AA46" s="1088">
        <f>SUM(Y46:Z46)</f>
        <v>0</v>
      </c>
      <c r="AB46" s="1087">
        <f>ENERO!AD46</f>
        <v>0</v>
      </c>
      <c r="AC46" s="1020">
        <v>0</v>
      </c>
      <c r="AD46" s="1086">
        <f>SUM(AB46:AC46)</f>
        <v>0</v>
      </c>
      <c r="AE46" s="1087">
        <f>ENERO!AG46</f>
        <v>0</v>
      </c>
      <c r="AF46" s="1020">
        <v>0</v>
      </c>
      <c r="AG46" s="1086">
        <f>SUM(AE46:AF46)</f>
        <v>0</v>
      </c>
      <c r="AH46" s="1087">
        <f>X46-AA46</f>
        <v>0</v>
      </c>
      <c r="AI46" s="1033">
        <f>X46-AD46</f>
        <v>0</v>
      </c>
      <c r="AJ46" s="1086">
        <f>X46-AG46</f>
        <v>0</v>
      </c>
      <c r="AK46" s="909"/>
      <c r="AL46" s="1089">
        <v>0</v>
      </c>
      <c r="AM46" s="1023">
        <v>0</v>
      </c>
      <c r="AN46" s="909"/>
      <c r="AO46" s="1199"/>
      <c r="AP46" s="1197"/>
      <c r="AQ46" s="863"/>
      <c r="AR46" s="863"/>
      <c r="AS46" s="863"/>
      <c r="AT46" s="863"/>
      <c r="AU46" s="863"/>
      <c r="AV46" s="863"/>
      <c r="AW46" s="863"/>
      <c r="AX46" s="863"/>
      <c r="AY46" s="863"/>
      <c r="AZ46" s="863"/>
      <c r="BA46" s="1035"/>
      <c r="BF46" s="1035"/>
      <c r="BG46" s="1035"/>
      <c r="BH46" s="1035"/>
      <c r="BI46" s="1035"/>
      <c r="BJ46" s="1035"/>
      <c r="BK46" s="1035"/>
      <c r="BL46" s="1035"/>
    </row>
    <row r="47" spans="1:70" s="1127" customFormat="1" ht="24.95" customHeight="1">
      <c r="A47" s="1014" t="str">
        <f>+IF(ENERO!A47=0,"",ENERO!A47)</f>
        <v>1130107-2</v>
      </c>
      <c r="B47" s="1150" t="str">
        <f>+IF(ENERO!B47=0,"",ENERO!B47)</f>
        <v>Vigencia Anterior</v>
      </c>
      <c r="C47" s="1016">
        <f>+ENERO!C47</f>
        <v>0</v>
      </c>
      <c r="D47" s="1017">
        <f>ENERO!D47+FEBRERO!P47</f>
        <v>0</v>
      </c>
      <c r="E47" s="1017">
        <f>ENERO!E47+FEBRERO!Q47</f>
        <v>0</v>
      </c>
      <c r="F47" s="1017">
        <f>SUM(C47:E47)</f>
        <v>0</v>
      </c>
      <c r="G47" s="1017">
        <f>ENERO!I47</f>
        <v>0</v>
      </c>
      <c r="H47" s="1020">
        <v>79487</v>
      </c>
      <c r="I47" s="1017">
        <f>SUM(G47:H47)</f>
        <v>79487</v>
      </c>
      <c r="J47" s="1017">
        <f>ENERO!L47</f>
        <v>0</v>
      </c>
      <c r="K47" s="1020">
        <v>79487</v>
      </c>
      <c r="L47" s="1017">
        <f>SUM(J47:K47)</f>
        <v>79487</v>
      </c>
      <c r="M47" s="1017">
        <f>F47-I47</f>
        <v>-79487</v>
      </c>
      <c r="N47" s="1018">
        <f>F47-L47</f>
        <v>-79487</v>
      </c>
      <c r="O47" s="1035"/>
      <c r="P47" s="1022">
        <v>0</v>
      </c>
      <c r="Q47" s="1023">
        <v>0</v>
      </c>
      <c r="R47" s="909"/>
      <c r="S47" s="1130" t="str">
        <f>+IF(ENERO!S47=0,"",ENERO!S47)</f>
        <v>1010301-3</v>
      </c>
      <c r="T47" s="1131" t="str">
        <f>+IF(ENERO!T47=0,"",ENERO!T47)</f>
        <v>Fondos de cesantías - Aportes cuentas maestras</v>
      </c>
      <c r="U47" s="1085">
        <f>+ENERO!U47</f>
        <v>0</v>
      </c>
      <c r="V47" s="1033">
        <f>ENERO!V47+FEBRERO!AL47</f>
        <v>0</v>
      </c>
      <c r="W47" s="1033">
        <f>ENERO!W47+FEBRERO!AM47</f>
        <v>0</v>
      </c>
      <c r="X47" s="1086">
        <f>SUM(U47:W47)</f>
        <v>0</v>
      </c>
      <c r="Y47" s="1087">
        <f>ENERO!AA47</f>
        <v>0</v>
      </c>
      <c r="Z47" s="1020">
        <v>0</v>
      </c>
      <c r="AA47" s="1088">
        <f>SUM(Y47:Z47)</f>
        <v>0</v>
      </c>
      <c r="AB47" s="1087">
        <f>ENERO!AD47</f>
        <v>0</v>
      </c>
      <c r="AC47" s="1020">
        <v>0</v>
      </c>
      <c r="AD47" s="1086">
        <f>SUM(AB47:AC47)</f>
        <v>0</v>
      </c>
      <c r="AE47" s="1087">
        <f>ENERO!AG47</f>
        <v>0</v>
      </c>
      <c r="AF47" s="1020">
        <v>0</v>
      </c>
      <c r="AG47" s="1086">
        <f>SUM(AE47:AF47)</f>
        <v>0</v>
      </c>
      <c r="AH47" s="1087">
        <f>X47-AA47</f>
        <v>0</v>
      </c>
      <c r="AI47" s="1033">
        <f>X47-AD47</f>
        <v>0</v>
      </c>
      <c r="AJ47" s="1086">
        <f>X47-AG47</f>
        <v>0</v>
      </c>
      <c r="AK47" s="909"/>
      <c r="AL47" s="1089">
        <v>0</v>
      </c>
      <c r="AM47" s="1023">
        <v>0</v>
      </c>
      <c r="AN47" s="909"/>
      <c r="AO47" s="863"/>
      <c r="AP47" s="863"/>
      <c r="AQ47" s="863"/>
      <c r="AR47" s="863"/>
      <c r="AS47" s="863"/>
      <c r="AT47" s="863"/>
      <c r="AU47" s="863"/>
      <c r="AV47" s="863"/>
      <c r="AW47" s="863"/>
      <c r="AX47" s="863"/>
      <c r="AY47" s="863"/>
      <c r="AZ47" s="863"/>
      <c r="BA47" s="1035"/>
      <c r="BF47" s="1035"/>
      <c r="BG47" s="1035"/>
      <c r="BH47" s="1035"/>
      <c r="BI47" s="1035"/>
      <c r="BJ47" s="1035"/>
      <c r="BK47" s="1035"/>
      <c r="BL47" s="1035"/>
      <c r="BM47" s="1035"/>
      <c r="BN47" s="1035"/>
      <c r="BO47" s="1035"/>
      <c r="BP47" s="1035"/>
      <c r="BQ47" s="1035"/>
      <c r="BR47" s="1035"/>
    </row>
    <row r="48" spans="1:70" s="1035" customFormat="1" ht="24.95" customHeight="1">
      <c r="A48" s="1104">
        <f>+IF(ENERO!A48=0,"",ENERO!A48)</f>
        <v>1130108</v>
      </c>
      <c r="B48" s="1138" t="str">
        <f>+IF(ENERO!B48=0,"",ENERO!B48)</f>
        <v>MINSALUD-FOSYGA -TRAUMA MAYOR Y DESPLAZADOS</v>
      </c>
      <c r="C48" s="1106">
        <f t="shared" ref="C48:N48" si="55">SUM(C49:C50)</f>
        <v>0</v>
      </c>
      <c r="D48" s="1139">
        <f t="shared" si="55"/>
        <v>0</v>
      </c>
      <c r="E48" s="1139">
        <f t="shared" si="55"/>
        <v>0</v>
      </c>
      <c r="F48" s="1139">
        <f t="shared" si="55"/>
        <v>0</v>
      </c>
      <c r="G48" s="1139">
        <f t="shared" si="55"/>
        <v>0</v>
      </c>
      <c r="H48" s="1139">
        <f t="shared" si="55"/>
        <v>0</v>
      </c>
      <c r="I48" s="1139">
        <f t="shared" si="55"/>
        <v>0</v>
      </c>
      <c r="J48" s="1139">
        <f t="shared" si="55"/>
        <v>0</v>
      </c>
      <c r="K48" s="1139">
        <f t="shared" si="55"/>
        <v>0</v>
      </c>
      <c r="L48" s="1139">
        <f t="shared" si="55"/>
        <v>0</v>
      </c>
      <c r="M48" s="1139">
        <f t="shared" si="55"/>
        <v>0</v>
      </c>
      <c r="N48" s="1107">
        <f t="shared" si="55"/>
        <v>0</v>
      </c>
      <c r="P48" s="1106">
        <f>SUM(P49:P50)</f>
        <v>0</v>
      </c>
      <c r="Q48" s="1107">
        <f>SUM(Q49:Q50)</f>
        <v>0</v>
      </c>
      <c r="R48" s="909"/>
      <c r="S48" s="1130" t="str">
        <f>+IF(ENERO!S48=0,"",ENERO!S48)</f>
        <v>1010301-4</v>
      </c>
      <c r="T48" s="1131" t="str">
        <f>+IF(ENERO!T48=0,"",ENERO!T48)</f>
        <v>Riesgos laborales - Aportes cuentas maestras</v>
      </c>
      <c r="U48" s="1085">
        <f>+ENERO!U48</f>
        <v>0</v>
      </c>
      <c r="V48" s="1033">
        <f>ENERO!V48+FEBRERO!AL48</f>
        <v>0</v>
      </c>
      <c r="W48" s="1033">
        <f>ENERO!W48+FEBRERO!AM48</f>
        <v>0</v>
      </c>
      <c r="X48" s="1086">
        <f>SUM(U48:W48)</f>
        <v>0</v>
      </c>
      <c r="Y48" s="1087">
        <f>ENERO!AA48</f>
        <v>0</v>
      </c>
      <c r="Z48" s="1020">
        <v>0</v>
      </c>
      <c r="AA48" s="1088">
        <f>SUM(Y48:Z48)</f>
        <v>0</v>
      </c>
      <c r="AB48" s="1087">
        <f>ENERO!AD48</f>
        <v>0</v>
      </c>
      <c r="AC48" s="1020">
        <v>0</v>
      </c>
      <c r="AD48" s="1086">
        <f>SUM(AB48:AC48)</f>
        <v>0</v>
      </c>
      <c r="AE48" s="1087">
        <f>ENERO!AG48</f>
        <v>0</v>
      </c>
      <c r="AF48" s="1020">
        <v>0</v>
      </c>
      <c r="AG48" s="1086">
        <f>SUM(AE48:AF48)</f>
        <v>0</v>
      </c>
      <c r="AH48" s="1087">
        <f>X48-AA48</f>
        <v>0</v>
      </c>
      <c r="AI48" s="1033">
        <f>X48-AD48</f>
        <v>0</v>
      </c>
      <c r="AJ48" s="1086">
        <f>X48-AG48</f>
        <v>0</v>
      </c>
      <c r="AK48" s="909"/>
      <c r="AL48" s="1089">
        <v>0</v>
      </c>
      <c r="AM48" s="1023">
        <v>0</v>
      </c>
      <c r="AN48" s="909"/>
      <c r="AO48" s="863"/>
      <c r="AP48" s="863"/>
      <c r="AQ48" s="863"/>
      <c r="AR48" s="863"/>
      <c r="AS48" s="863"/>
      <c r="AT48" s="863"/>
      <c r="AU48" s="863"/>
      <c r="AV48" s="863"/>
      <c r="AW48" s="863"/>
      <c r="AX48" s="863"/>
      <c r="AY48" s="863"/>
      <c r="AZ48" s="863"/>
      <c r="BR48" s="1127"/>
    </row>
    <row r="49" spans="1:70" s="1127" customFormat="1" ht="24.95" customHeight="1">
      <c r="A49" s="1014" t="str">
        <f>+IF(ENERO!A49=0,"",ENERO!A49)</f>
        <v>1130108-1</v>
      </c>
      <c r="B49" s="1150" t="str">
        <f>+CONCATENATE("Vigencia ",INSTRUCCIONES!$F$3)</f>
        <v>Vigencia 2017</v>
      </c>
      <c r="C49" s="1016">
        <f>+ENERO!C49</f>
        <v>0</v>
      </c>
      <c r="D49" s="1017">
        <f>ENERO!D49+FEBRERO!P49</f>
        <v>0</v>
      </c>
      <c r="E49" s="1017">
        <f>ENERO!E49+FEBRERO!Q49</f>
        <v>0</v>
      </c>
      <c r="F49" s="1017">
        <f>SUM(C49:E49)</f>
        <v>0</v>
      </c>
      <c r="G49" s="1017">
        <f>ENERO!I49</f>
        <v>0</v>
      </c>
      <c r="H49" s="1020">
        <v>0</v>
      </c>
      <c r="I49" s="1017">
        <f>SUM(G49:H49)</f>
        <v>0</v>
      </c>
      <c r="J49" s="1017">
        <f>ENERO!L49</f>
        <v>0</v>
      </c>
      <c r="K49" s="1020">
        <v>0</v>
      </c>
      <c r="L49" s="1017">
        <f>SUM(J49:K49)</f>
        <v>0</v>
      </c>
      <c r="M49" s="1017">
        <f>F49-I49</f>
        <v>0</v>
      </c>
      <c r="N49" s="1018">
        <f>F49-L49</f>
        <v>0</v>
      </c>
      <c r="O49" s="1035"/>
      <c r="P49" s="1022">
        <v>0</v>
      </c>
      <c r="Q49" s="1023">
        <v>0</v>
      </c>
      <c r="R49" s="909"/>
      <c r="S49" s="1083">
        <f>+IF(ENERO!S49=0,"",ENERO!S49)</f>
        <v>1010302</v>
      </c>
      <c r="T49" s="1084" t="str">
        <f>+IF(ENERO!T49=0,"",ENERO!T49)</f>
        <v>Contribuciones - Otros</v>
      </c>
      <c r="U49" s="1085">
        <f t="shared" ref="U49:AJ49" si="56">SUM(U50:U54)</f>
        <v>182861553</v>
      </c>
      <c r="V49" s="1033">
        <f t="shared" si="56"/>
        <v>0</v>
      </c>
      <c r="W49" s="1033">
        <f t="shared" si="56"/>
        <v>0</v>
      </c>
      <c r="X49" s="1086">
        <f t="shared" si="56"/>
        <v>182861553</v>
      </c>
      <c r="Y49" s="1087">
        <f t="shared" si="56"/>
        <v>9543165</v>
      </c>
      <c r="Z49" s="1198">
        <f t="shared" si="56"/>
        <v>9550164</v>
      </c>
      <c r="AA49" s="1088">
        <f t="shared" si="56"/>
        <v>19093329</v>
      </c>
      <c r="AB49" s="1087">
        <f t="shared" si="56"/>
        <v>9543165</v>
      </c>
      <c r="AC49" s="1198">
        <f t="shared" si="56"/>
        <v>9550164</v>
      </c>
      <c r="AD49" s="1086">
        <f t="shared" si="56"/>
        <v>19093329</v>
      </c>
      <c r="AE49" s="1087">
        <f t="shared" si="56"/>
        <v>9543165</v>
      </c>
      <c r="AF49" s="1198">
        <f t="shared" si="56"/>
        <v>9550164</v>
      </c>
      <c r="AG49" s="1086">
        <f t="shared" si="56"/>
        <v>19093329</v>
      </c>
      <c r="AH49" s="1087">
        <f t="shared" si="56"/>
        <v>163768224</v>
      </c>
      <c r="AI49" s="1033">
        <f t="shared" si="56"/>
        <v>163768224</v>
      </c>
      <c r="AJ49" s="1086">
        <f t="shared" si="56"/>
        <v>163768224</v>
      </c>
      <c r="AK49" s="909"/>
      <c r="AL49" s="1117">
        <f>SUM(AL50:AL54)</f>
        <v>0</v>
      </c>
      <c r="AM49" s="1118">
        <f>SUM(AM50:AM54)</f>
        <v>0</v>
      </c>
      <c r="AN49" s="909"/>
      <c r="AO49" s="1199"/>
      <c r="AP49" s="1197"/>
      <c r="AQ49" s="863"/>
      <c r="AR49" s="863"/>
      <c r="AS49" s="863"/>
      <c r="AT49" s="863"/>
      <c r="AU49" s="863"/>
      <c r="AV49" s="863"/>
      <c r="AW49" s="863"/>
      <c r="AX49" s="863"/>
      <c r="AY49" s="863"/>
      <c r="AZ49" s="863"/>
      <c r="BA49" s="1035"/>
      <c r="BF49" s="1035"/>
      <c r="BG49" s="1035"/>
      <c r="BH49" s="1035"/>
      <c r="BI49" s="1035"/>
      <c r="BJ49" s="1035"/>
      <c r="BK49" s="1035"/>
      <c r="BL49" s="1035"/>
      <c r="BM49" s="1035"/>
      <c r="BN49" s="1035"/>
      <c r="BO49" s="1035"/>
      <c r="BP49" s="1035"/>
      <c r="BQ49" s="1035"/>
    </row>
    <row r="50" spans="1:70" s="1127" customFormat="1" ht="24.95" customHeight="1">
      <c r="A50" s="1014" t="str">
        <f>+IF(ENERO!A50=0,"",ENERO!A50)</f>
        <v>1130108-2</v>
      </c>
      <c r="B50" s="1150" t="str">
        <f>+IF(ENERO!B50=0,"",ENERO!B50)</f>
        <v>Vigencia Anterior</v>
      </c>
      <c r="C50" s="1016">
        <f>+ENERO!C50</f>
        <v>0</v>
      </c>
      <c r="D50" s="1017">
        <f>ENERO!D50+FEBRERO!P50</f>
        <v>0</v>
      </c>
      <c r="E50" s="1017">
        <f>ENERO!E50+FEBRERO!Q50</f>
        <v>0</v>
      </c>
      <c r="F50" s="1017">
        <f>SUM(C50:E50)</f>
        <v>0</v>
      </c>
      <c r="G50" s="1017">
        <f>ENERO!I50</f>
        <v>0</v>
      </c>
      <c r="H50" s="1020">
        <v>0</v>
      </c>
      <c r="I50" s="1017">
        <f>SUM(G50:H50)</f>
        <v>0</v>
      </c>
      <c r="J50" s="1017">
        <f>ENERO!L50</f>
        <v>0</v>
      </c>
      <c r="K50" s="1020">
        <v>0</v>
      </c>
      <c r="L50" s="1017">
        <f>SUM(J50:K50)</f>
        <v>0</v>
      </c>
      <c r="M50" s="1017">
        <f>F50-I50</f>
        <v>0</v>
      </c>
      <c r="N50" s="1018">
        <f>F50-L50</f>
        <v>0</v>
      </c>
      <c r="O50" s="1035"/>
      <c r="P50" s="1022">
        <v>0</v>
      </c>
      <c r="Q50" s="1023">
        <v>0</v>
      </c>
      <c r="R50" s="909"/>
      <c r="S50" s="1130" t="str">
        <f>+IF(ENERO!S50=0,"",ENERO!S50)</f>
        <v>1010302-1</v>
      </c>
      <c r="T50" s="1131" t="str">
        <f>+IF(ENERO!T50=0,"",ENERO!T50)</f>
        <v>Aportes a E.P.S.- Con sit. Fondos</v>
      </c>
      <c r="U50" s="1085">
        <f>+ENERO!U50</f>
        <v>72876516</v>
      </c>
      <c r="V50" s="1033">
        <f>ENERO!V50+FEBRERO!AL50</f>
        <v>0</v>
      </c>
      <c r="W50" s="1033">
        <f>ENERO!W50+FEBRERO!AM50</f>
        <v>0</v>
      </c>
      <c r="X50" s="1086">
        <f t="shared" ref="X50:X55" si="57">SUM(U50:W50)</f>
        <v>72876516</v>
      </c>
      <c r="Y50" s="1087">
        <f>ENERO!AA50</f>
        <v>3245800</v>
      </c>
      <c r="Z50" s="1020">
        <v>3248530</v>
      </c>
      <c r="AA50" s="1088">
        <f t="shared" ref="AA50:AA55" si="58">SUM(Y50:Z50)</f>
        <v>6494330</v>
      </c>
      <c r="AB50" s="1087">
        <f>ENERO!AD50</f>
        <v>3245800</v>
      </c>
      <c r="AC50" s="1020">
        <v>3248530</v>
      </c>
      <c r="AD50" s="1086">
        <f t="shared" ref="AD50:AD55" si="59">SUM(AB50:AC50)</f>
        <v>6494330</v>
      </c>
      <c r="AE50" s="1087">
        <f>ENERO!AG50</f>
        <v>3245800</v>
      </c>
      <c r="AF50" s="1020">
        <v>3248530</v>
      </c>
      <c r="AG50" s="1086">
        <f t="shared" ref="AG50:AG55" si="60">SUM(AE50:AF50)</f>
        <v>6494330</v>
      </c>
      <c r="AH50" s="1087">
        <f t="shared" ref="AH50:AH55" si="61">X50-AA50</f>
        <v>66382186</v>
      </c>
      <c r="AI50" s="1033">
        <f t="shared" ref="AI50:AI55" si="62">X50-AD50</f>
        <v>66382186</v>
      </c>
      <c r="AJ50" s="1086">
        <f t="shared" ref="AJ50:AJ55" si="63">X50-AG50</f>
        <v>66382186</v>
      </c>
      <c r="AK50" s="909"/>
      <c r="AL50" s="1089">
        <v>0</v>
      </c>
      <c r="AM50" s="1023">
        <v>0</v>
      </c>
      <c r="AN50" s="909"/>
      <c r="AO50" s="863"/>
      <c r="AP50" s="863"/>
      <c r="AQ50" s="863"/>
      <c r="AR50" s="863"/>
      <c r="AS50" s="863"/>
      <c r="AT50" s="863"/>
      <c r="AU50" s="863"/>
      <c r="AV50" s="863"/>
      <c r="AW50" s="863"/>
      <c r="AX50" s="863"/>
      <c r="AY50" s="863"/>
      <c r="AZ50" s="863"/>
      <c r="BA50" s="1035"/>
      <c r="BF50" s="1035"/>
      <c r="BG50" s="1035"/>
      <c r="BH50" s="1035"/>
      <c r="BI50" s="1035"/>
      <c r="BJ50" s="1035"/>
      <c r="BK50" s="1035"/>
      <c r="BL50" s="1035"/>
      <c r="BM50" s="1035"/>
      <c r="BN50" s="1035"/>
      <c r="BO50" s="1035"/>
      <c r="BP50" s="1035"/>
      <c r="BQ50" s="1035"/>
      <c r="BR50" s="1035"/>
    </row>
    <row r="51" spans="1:70" s="1035" customFormat="1" ht="24.95" customHeight="1">
      <c r="A51" s="1104">
        <f>+IF(ENERO!A51=0,"",ENERO!A51)</f>
        <v>1130109</v>
      </c>
      <c r="B51" s="1138" t="str">
        <f>+IF(ENERO!B51=0,"",ENERO!B51)</f>
        <v>EPS - PLANES COMPLEMENTARIOS</v>
      </c>
      <c r="C51" s="1106">
        <f t="shared" ref="C51:N51" si="64">SUM(C52:C53)</f>
        <v>0</v>
      </c>
      <c r="D51" s="1139">
        <f t="shared" si="64"/>
        <v>0</v>
      </c>
      <c r="E51" s="1139">
        <f t="shared" si="64"/>
        <v>0</v>
      </c>
      <c r="F51" s="1139">
        <f t="shared" si="64"/>
        <v>0</v>
      </c>
      <c r="G51" s="1139">
        <f t="shared" si="64"/>
        <v>0</v>
      </c>
      <c r="H51" s="1139">
        <f t="shared" si="64"/>
        <v>0</v>
      </c>
      <c r="I51" s="1139">
        <f t="shared" si="64"/>
        <v>0</v>
      </c>
      <c r="J51" s="1139">
        <f t="shared" si="64"/>
        <v>0</v>
      </c>
      <c r="K51" s="1139">
        <f t="shared" si="64"/>
        <v>0</v>
      </c>
      <c r="L51" s="1139">
        <f t="shared" si="64"/>
        <v>0</v>
      </c>
      <c r="M51" s="1139">
        <f t="shared" si="64"/>
        <v>0</v>
      </c>
      <c r="N51" s="1107">
        <f t="shared" si="64"/>
        <v>0</v>
      </c>
      <c r="P51" s="1106">
        <f>SUM(P52:P53)</f>
        <v>0</v>
      </c>
      <c r="Q51" s="1107">
        <f>SUM(Q52:Q53)</f>
        <v>0</v>
      </c>
      <c r="R51" s="909"/>
      <c r="S51" s="1130" t="str">
        <f>+IF(ENERO!S51=0,"",ENERO!S51)</f>
        <v>1010302-2</v>
      </c>
      <c r="T51" s="1131" t="str">
        <f>+IF(ENERO!T51=0,"",ENERO!T51)</f>
        <v>Aportes Fondos Pensionales - Con Sit. Fondos</v>
      </c>
      <c r="U51" s="1085">
        <f>+ENERO!U51</f>
        <v>75101971</v>
      </c>
      <c r="V51" s="1033">
        <f>ENERO!V51+FEBRERO!AL51</f>
        <v>0</v>
      </c>
      <c r="W51" s="1033">
        <f>ENERO!W51+FEBRERO!AM51</f>
        <v>0</v>
      </c>
      <c r="X51" s="1086">
        <f t="shared" si="57"/>
        <v>75101971</v>
      </c>
      <c r="Y51" s="1087">
        <f>ENERO!AA51</f>
        <v>4584890</v>
      </c>
      <c r="Z51" s="1020">
        <v>4586160</v>
      </c>
      <c r="AA51" s="1088">
        <f t="shared" si="58"/>
        <v>9171050</v>
      </c>
      <c r="AB51" s="1087">
        <f>ENERO!AD51</f>
        <v>4584890</v>
      </c>
      <c r="AC51" s="1020">
        <v>4586160</v>
      </c>
      <c r="AD51" s="1086">
        <f t="shared" si="59"/>
        <v>9171050</v>
      </c>
      <c r="AE51" s="1087">
        <f>ENERO!AG51</f>
        <v>4584890</v>
      </c>
      <c r="AF51" s="1020">
        <v>4586160</v>
      </c>
      <c r="AG51" s="1086">
        <f t="shared" si="60"/>
        <v>9171050</v>
      </c>
      <c r="AH51" s="1087">
        <f t="shared" si="61"/>
        <v>65930921</v>
      </c>
      <c r="AI51" s="1033">
        <f t="shared" si="62"/>
        <v>65930921</v>
      </c>
      <c r="AJ51" s="1086">
        <f t="shared" si="63"/>
        <v>65930921</v>
      </c>
      <c r="AK51" s="909"/>
      <c r="AL51" s="1089">
        <v>0</v>
      </c>
      <c r="AM51" s="1023">
        <v>0</v>
      </c>
      <c r="AN51" s="909"/>
      <c r="AO51" s="863"/>
      <c r="AP51" s="863"/>
      <c r="AQ51" s="863"/>
      <c r="AR51" s="863"/>
      <c r="AS51" s="863"/>
      <c r="AT51" s="863"/>
      <c r="AU51" s="863"/>
      <c r="AV51" s="863"/>
      <c r="AW51" s="863"/>
      <c r="AX51" s="863"/>
      <c r="AY51" s="863"/>
      <c r="AZ51" s="863"/>
      <c r="BR51" s="1127"/>
    </row>
    <row r="52" spans="1:70" s="1127" customFormat="1" ht="24.95" customHeight="1">
      <c r="A52" s="1014" t="str">
        <f>+IF(ENERO!A52=0,"",ENERO!A52)</f>
        <v>1130109-1</v>
      </c>
      <c r="B52" s="1150" t="str">
        <f>+CONCATENATE("Vigencia ",INSTRUCCIONES!$F$3)</f>
        <v>Vigencia 2017</v>
      </c>
      <c r="C52" s="1016">
        <f>+ENERO!C52</f>
        <v>0</v>
      </c>
      <c r="D52" s="1017">
        <f>ENERO!D52+FEBRERO!P52</f>
        <v>0</v>
      </c>
      <c r="E52" s="1017">
        <f>ENERO!E52+FEBRERO!Q52</f>
        <v>0</v>
      </c>
      <c r="F52" s="1017">
        <f>SUM(C52:E52)</f>
        <v>0</v>
      </c>
      <c r="G52" s="1017">
        <f>ENERO!I52</f>
        <v>0</v>
      </c>
      <c r="H52" s="1020">
        <v>0</v>
      </c>
      <c r="I52" s="1017">
        <f>SUM(G52:H52)</f>
        <v>0</v>
      </c>
      <c r="J52" s="1017">
        <f>ENERO!L52</f>
        <v>0</v>
      </c>
      <c r="K52" s="1020">
        <v>0</v>
      </c>
      <c r="L52" s="1017">
        <f>SUM(J52:K52)</f>
        <v>0</v>
      </c>
      <c r="M52" s="1017">
        <f>F52-I52</f>
        <v>0</v>
      </c>
      <c r="N52" s="1018">
        <f>F52-L52</f>
        <v>0</v>
      </c>
      <c r="O52" s="1035"/>
      <c r="P52" s="1022">
        <v>0</v>
      </c>
      <c r="Q52" s="1023">
        <v>0</v>
      </c>
      <c r="R52" s="909"/>
      <c r="S52" s="1130" t="str">
        <f>+IF(ENERO!S52=0,"",ENERO!S52)</f>
        <v>1010302-3</v>
      </c>
      <c r="T52" s="1131" t="str">
        <f>+IF(ENERO!T52=0,"",ENERO!T52)</f>
        <v xml:space="preserve">Aportes a Fondos de Cesantia - Con Sit. de Fondos </v>
      </c>
      <c r="U52" s="1085">
        <f>+ENERO!U52</f>
        <v>12471386</v>
      </c>
      <c r="V52" s="1033">
        <f>ENERO!V52+FEBRERO!AL52</f>
        <v>0</v>
      </c>
      <c r="W52" s="1033">
        <f>ENERO!W52+FEBRERO!AM52</f>
        <v>0</v>
      </c>
      <c r="X52" s="1086">
        <f t="shared" si="57"/>
        <v>12471386</v>
      </c>
      <c r="Y52" s="1087">
        <f>ENERO!AA52</f>
        <v>0</v>
      </c>
      <c r="Z52" s="1020">
        <v>0</v>
      </c>
      <c r="AA52" s="1088">
        <f t="shared" si="58"/>
        <v>0</v>
      </c>
      <c r="AB52" s="1087">
        <f>ENERO!AD52</f>
        <v>0</v>
      </c>
      <c r="AC52" s="1020">
        <v>0</v>
      </c>
      <c r="AD52" s="1086">
        <f t="shared" si="59"/>
        <v>0</v>
      </c>
      <c r="AE52" s="1087">
        <f>ENERO!AG52</f>
        <v>0</v>
      </c>
      <c r="AF52" s="1020">
        <v>0</v>
      </c>
      <c r="AG52" s="1086">
        <f t="shared" si="60"/>
        <v>0</v>
      </c>
      <c r="AH52" s="1087">
        <f t="shared" si="61"/>
        <v>12471386</v>
      </c>
      <c r="AI52" s="1033">
        <f t="shared" si="62"/>
        <v>12471386</v>
      </c>
      <c r="AJ52" s="1086">
        <f t="shared" si="63"/>
        <v>12471386</v>
      </c>
      <c r="AK52" s="909"/>
      <c r="AL52" s="1089">
        <v>0</v>
      </c>
      <c r="AM52" s="1023">
        <v>0</v>
      </c>
      <c r="AN52" s="909"/>
      <c r="AO52" s="1200"/>
      <c r="AP52" s="1200"/>
      <c r="AQ52" s="1200"/>
      <c r="AR52" s="863"/>
      <c r="AS52" s="1199"/>
      <c r="AT52" s="1199"/>
      <c r="AU52" s="1199"/>
      <c r="AV52" s="1199"/>
      <c r="AW52" s="1199"/>
      <c r="AX52" s="1199"/>
      <c r="AY52" s="1199"/>
      <c r="AZ52" s="1199"/>
      <c r="BA52" s="1035"/>
      <c r="BF52" s="1035"/>
      <c r="BG52" s="1035"/>
      <c r="BH52" s="1035"/>
      <c r="BI52" s="1035"/>
      <c r="BJ52" s="1035"/>
      <c r="BK52" s="1035"/>
      <c r="BL52" s="1035"/>
      <c r="BM52" s="1035"/>
      <c r="BN52" s="1035"/>
      <c r="BO52" s="1035"/>
      <c r="BP52" s="1035"/>
      <c r="BQ52" s="1035"/>
    </row>
    <row r="53" spans="1:70" s="1127" customFormat="1" ht="24.95" customHeight="1">
      <c r="A53" s="1014" t="str">
        <f>+IF(ENERO!A53=0,"",ENERO!A53)</f>
        <v>1130109-2</v>
      </c>
      <c r="B53" s="1150" t="str">
        <f>+IF(ENERO!B53=0,"",ENERO!B53)</f>
        <v>Vigencia Anterior</v>
      </c>
      <c r="C53" s="1016">
        <f>+ENERO!C53</f>
        <v>0</v>
      </c>
      <c r="D53" s="1017">
        <f>ENERO!D53+FEBRERO!P53</f>
        <v>0</v>
      </c>
      <c r="E53" s="1017">
        <f>ENERO!E53+FEBRERO!Q53</f>
        <v>0</v>
      </c>
      <c r="F53" s="1017">
        <f>SUM(C53:E53)</f>
        <v>0</v>
      </c>
      <c r="G53" s="1017">
        <f>ENERO!I53</f>
        <v>0</v>
      </c>
      <c r="H53" s="1020">
        <v>0</v>
      </c>
      <c r="I53" s="1017">
        <f>SUM(G53:H53)</f>
        <v>0</v>
      </c>
      <c r="J53" s="1017">
        <f>ENERO!L53</f>
        <v>0</v>
      </c>
      <c r="K53" s="1020">
        <v>0</v>
      </c>
      <c r="L53" s="1017">
        <f>SUM(J53:K53)</f>
        <v>0</v>
      </c>
      <c r="M53" s="1017">
        <f>F53-I53</f>
        <v>0</v>
      </c>
      <c r="N53" s="1018">
        <f>F53-L53</f>
        <v>0</v>
      </c>
      <c r="O53" s="1035"/>
      <c r="P53" s="1022">
        <v>0</v>
      </c>
      <c r="Q53" s="1023">
        <v>0</v>
      </c>
      <c r="R53" s="909"/>
      <c r="S53" s="1130" t="str">
        <f>+IF(ENERO!S53=0,"",ENERO!S53)</f>
        <v>1010302-4</v>
      </c>
      <c r="T53" s="1131" t="str">
        <f>+IF(ENERO!T53=0,"",ENERO!T53)</f>
        <v>Aporte a ARL. - Con Sit. de Fondos</v>
      </c>
      <c r="U53" s="1085">
        <f>+ENERO!U53</f>
        <v>15124020</v>
      </c>
      <c r="V53" s="1033">
        <f>ENERO!V53+FEBRERO!AL53</f>
        <v>0</v>
      </c>
      <c r="W53" s="1033">
        <f>ENERO!W53+FEBRERO!AM53</f>
        <v>0</v>
      </c>
      <c r="X53" s="1086">
        <f t="shared" si="57"/>
        <v>15124020</v>
      </c>
      <c r="Y53" s="1087">
        <f>ENERO!AA53</f>
        <v>193350</v>
      </c>
      <c r="Z53" s="1020">
        <v>193594</v>
      </c>
      <c r="AA53" s="1088">
        <f t="shared" si="58"/>
        <v>386944</v>
      </c>
      <c r="AB53" s="1087">
        <f>ENERO!AD53</f>
        <v>193350</v>
      </c>
      <c r="AC53" s="1020">
        <v>193594</v>
      </c>
      <c r="AD53" s="1086">
        <f t="shared" si="59"/>
        <v>386944</v>
      </c>
      <c r="AE53" s="1087">
        <f>ENERO!AG53</f>
        <v>193350</v>
      </c>
      <c r="AF53" s="1020">
        <v>193594</v>
      </c>
      <c r="AG53" s="1086">
        <f t="shared" si="60"/>
        <v>386944</v>
      </c>
      <c r="AH53" s="1087">
        <f t="shared" si="61"/>
        <v>14737076</v>
      </c>
      <c r="AI53" s="1033">
        <f t="shared" si="62"/>
        <v>14737076</v>
      </c>
      <c r="AJ53" s="1086">
        <f t="shared" si="63"/>
        <v>14737076</v>
      </c>
      <c r="AK53" s="909"/>
      <c r="AL53" s="1089">
        <v>0</v>
      </c>
      <c r="AM53" s="1023">
        <v>0</v>
      </c>
      <c r="AN53" s="909"/>
      <c r="AO53" s="863"/>
      <c r="AP53" s="863"/>
      <c r="AQ53" s="863"/>
      <c r="AR53" s="863"/>
      <c r="AS53" s="863"/>
      <c r="AT53" s="863"/>
      <c r="AU53" s="863"/>
      <c r="AV53" s="863"/>
      <c r="AW53" s="863"/>
      <c r="AX53" s="863"/>
      <c r="AY53" s="863"/>
      <c r="AZ53" s="863"/>
      <c r="BA53" s="1035"/>
      <c r="BF53" s="1035"/>
      <c r="BG53" s="1035"/>
      <c r="BH53" s="1035"/>
      <c r="BI53" s="1035"/>
      <c r="BJ53" s="1035"/>
      <c r="BK53" s="1035"/>
      <c r="BL53" s="1035"/>
      <c r="BM53" s="1035"/>
      <c r="BN53" s="1035"/>
      <c r="BO53" s="1035"/>
      <c r="BP53" s="1035"/>
      <c r="BQ53" s="1035"/>
      <c r="BR53" s="1035"/>
    </row>
    <row r="54" spans="1:70" s="1035" customFormat="1" ht="24.95" customHeight="1">
      <c r="A54" s="1104">
        <f>+IF(ENERO!A54=0,"",ENERO!A54)</f>
        <v>1130110</v>
      </c>
      <c r="B54" s="1138" t="str">
        <f>+IF(ENERO!B54=0,"",ENERO!B54)</f>
        <v>EMPRESAS MEDICINA PREPAGADA</v>
      </c>
      <c r="C54" s="1106">
        <f t="shared" ref="C54:N54" si="65">SUM(C55:C56)</f>
        <v>0</v>
      </c>
      <c r="D54" s="1139">
        <f t="shared" si="65"/>
        <v>0</v>
      </c>
      <c r="E54" s="1139">
        <f t="shared" si="65"/>
        <v>0</v>
      </c>
      <c r="F54" s="1139">
        <f t="shared" si="65"/>
        <v>0</v>
      </c>
      <c r="G54" s="1139">
        <f t="shared" si="65"/>
        <v>0</v>
      </c>
      <c r="H54" s="1139">
        <f t="shared" si="65"/>
        <v>0</v>
      </c>
      <c r="I54" s="1139">
        <f t="shared" si="65"/>
        <v>0</v>
      </c>
      <c r="J54" s="1139">
        <f t="shared" si="65"/>
        <v>0</v>
      </c>
      <c r="K54" s="1139">
        <f t="shared" si="65"/>
        <v>0</v>
      </c>
      <c r="L54" s="1139">
        <f t="shared" si="65"/>
        <v>0</v>
      </c>
      <c r="M54" s="1139">
        <f t="shared" si="65"/>
        <v>0</v>
      </c>
      <c r="N54" s="1107">
        <f t="shared" si="65"/>
        <v>0</v>
      </c>
      <c r="P54" s="1106">
        <f>SUM(P55:P56)</f>
        <v>0</v>
      </c>
      <c r="Q54" s="1107">
        <f>SUM(Q55:Q56)</f>
        <v>0</v>
      </c>
      <c r="R54" s="909"/>
      <c r="S54" s="1130" t="str">
        <f>+IF(ENERO!S54=0,"",ENERO!S54)</f>
        <v>1010302-5</v>
      </c>
      <c r="T54" s="1131" t="str">
        <f>+IF(ENERO!T54=0,"",ENERO!T54)</f>
        <v>Aporte a Caja Compensación Familiar</v>
      </c>
      <c r="U54" s="1085">
        <f>+ENERO!U54</f>
        <v>7287660</v>
      </c>
      <c r="V54" s="1033">
        <f>ENERO!V54+FEBRERO!AL54</f>
        <v>0</v>
      </c>
      <c r="W54" s="1033">
        <f>ENERO!W54+FEBRERO!AM54</f>
        <v>0</v>
      </c>
      <c r="X54" s="1086">
        <f t="shared" si="57"/>
        <v>7287660</v>
      </c>
      <c r="Y54" s="1087">
        <f>ENERO!AA54</f>
        <v>1519125</v>
      </c>
      <c r="Z54" s="1020">
        <v>1521880</v>
      </c>
      <c r="AA54" s="1088">
        <f t="shared" si="58"/>
        <v>3041005</v>
      </c>
      <c r="AB54" s="1087">
        <f>ENERO!AD54</f>
        <v>1519125</v>
      </c>
      <c r="AC54" s="1020">
        <v>1521880</v>
      </c>
      <c r="AD54" s="1086">
        <f t="shared" si="59"/>
        <v>3041005</v>
      </c>
      <c r="AE54" s="1087">
        <f>ENERO!AG54</f>
        <v>1519125</v>
      </c>
      <c r="AF54" s="1020">
        <v>1521880</v>
      </c>
      <c r="AG54" s="1086">
        <f t="shared" si="60"/>
        <v>3041005</v>
      </c>
      <c r="AH54" s="1087">
        <f t="shared" si="61"/>
        <v>4246655</v>
      </c>
      <c r="AI54" s="1033">
        <f t="shared" si="62"/>
        <v>4246655</v>
      </c>
      <c r="AJ54" s="1086">
        <f t="shared" si="63"/>
        <v>4246655</v>
      </c>
      <c r="AK54" s="909"/>
      <c r="AL54" s="1089">
        <v>0</v>
      </c>
      <c r="AM54" s="1023">
        <v>0</v>
      </c>
      <c r="AN54" s="909"/>
      <c r="AO54" s="863"/>
      <c r="AP54" s="863"/>
      <c r="AQ54" s="863"/>
      <c r="AR54" s="863"/>
      <c r="AS54" s="863"/>
      <c r="AT54" s="863"/>
      <c r="AU54" s="863"/>
      <c r="AV54" s="863"/>
      <c r="AW54" s="863"/>
      <c r="AX54" s="863"/>
      <c r="AY54" s="863"/>
      <c r="AZ54" s="863"/>
      <c r="BR54" s="1127"/>
    </row>
    <row r="55" spans="1:70" s="1127" customFormat="1" ht="24.95" customHeight="1">
      <c r="A55" s="1014" t="str">
        <f>+IF(ENERO!A55=0,"",ENERO!A55)</f>
        <v>1130110-1</v>
      </c>
      <c r="B55" s="1150" t="str">
        <f>+CONCATENATE("Vigencia ",INSTRUCCIONES!$F$3)</f>
        <v>Vigencia 2017</v>
      </c>
      <c r="C55" s="1016">
        <f>+ENERO!C55</f>
        <v>0</v>
      </c>
      <c r="D55" s="1017">
        <f>ENERO!D55+FEBRERO!P55</f>
        <v>0</v>
      </c>
      <c r="E55" s="1017">
        <f>ENERO!E55+FEBRERO!Q55</f>
        <v>0</v>
      </c>
      <c r="F55" s="1017">
        <f>SUM(C55:E55)</f>
        <v>0</v>
      </c>
      <c r="G55" s="1017">
        <f>ENERO!I55</f>
        <v>0</v>
      </c>
      <c r="H55" s="1020">
        <v>0</v>
      </c>
      <c r="I55" s="1017">
        <f>SUM(G55:H55)</f>
        <v>0</v>
      </c>
      <c r="J55" s="1017">
        <f>ENERO!L55</f>
        <v>0</v>
      </c>
      <c r="K55" s="1020">
        <v>0</v>
      </c>
      <c r="L55" s="1017">
        <f>SUM(J55:K55)</f>
        <v>0</v>
      </c>
      <c r="M55" s="1017">
        <f>F55-I55</f>
        <v>0</v>
      </c>
      <c r="N55" s="1018">
        <f>F55-L55</f>
        <v>0</v>
      </c>
      <c r="O55" s="1035"/>
      <c r="P55" s="1022">
        <v>0</v>
      </c>
      <c r="Q55" s="1023">
        <v>0</v>
      </c>
      <c r="R55" s="909"/>
      <c r="S55" s="1083">
        <f>+IF(ENERO!S55=0,"",ENERO!S55)</f>
        <v>1010399</v>
      </c>
      <c r="T55" s="1084" t="str">
        <f>+IF(ENERO!T55=0,"",ENERO!T55)</f>
        <v>Vigencias Anteriores</v>
      </c>
      <c r="U55" s="1085">
        <f>+ENERO!U55</f>
        <v>0</v>
      </c>
      <c r="V55" s="1033">
        <f>ENERO!V55+FEBRERO!AL55</f>
        <v>-24802080</v>
      </c>
      <c r="W55" s="1033">
        <f>ENERO!W55+FEBRERO!AM55</f>
        <v>24802080</v>
      </c>
      <c r="X55" s="1086">
        <f t="shared" si="57"/>
        <v>0</v>
      </c>
      <c r="Y55" s="1087">
        <f>ENERO!AA55</f>
        <v>0</v>
      </c>
      <c r="Z55" s="1020">
        <v>0</v>
      </c>
      <c r="AA55" s="1088">
        <f t="shared" si="58"/>
        <v>0</v>
      </c>
      <c r="AB55" s="1087">
        <f>ENERO!AD55</f>
        <v>0</v>
      </c>
      <c r="AC55" s="1020">
        <v>0</v>
      </c>
      <c r="AD55" s="1086">
        <f t="shared" si="59"/>
        <v>0</v>
      </c>
      <c r="AE55" s="1087">
        <f>ENERO!AG55</f>
        <v>0</v>
      </c>
      <c r="AF55" s="1020">
        <v>0</v>
      </c>
      <c r="AG55" s="1086">
        <f t="shared" si="60"/>
        <v>0</v>
      </c>
      <c r="AH55" s="1087">
        <f t="shared" si="61"/>
        <v>0</v>
      </c>
      <c r="AI55" s="1033">
        <f t="shared" si="62"/>
        <v>0</v>
      </c>
      <c r="AJ55" s="1086">
        <f t="shared" si="63"/>
        <v>0</v>
      </c>
      <c r="AK55" s="909"/>
      <c r="AL55" s="1089">
        <v>-24802080</v>
      </c>
      <c r="AM55" s="1023">
        <v>24802080</v>
      </c>
      <c r="AN55" s="909"/>
      <c r="AO55" s="863"/>
      <c r="AP55" s="1197"/>
      <c r="AQ55" s="863"/>
      <c r="AR55" s="863"/>
      <c r="AS55" s="863"/>
      <c r="AT55" s="863"/>
      <c r="AU55" s="863"/>
      <c r="AV55" s="863"/>
      <c r="AW55" s="863"/>
      <c r="AX55" s="863"/>
      <c r="AY55" s="863"/>
      <c r="AZ55" s="863"/>
      <c r="BA55" s="1035"/>
      <c r="BF55" s="1035"/>
      <c r="BG55" s="1035"/>
      <c r="BH55" s="1035"/>
      <c r="BI55" s="1035"/>
      <c r="BJ55" s="1035"/>
      <c r="BK55" s="1035"/>
      <c r="BL55" s="1035"/>
      <c r="BM55" s="1035"/>
      <c r="BN55" s="1035"/>
      <c r="BO55" s="1035"/>
      <c r="BP55" s="1035"/>
      <c r="BQ55" s="1035"/>
    </row>
    <row r="56" spans="1:70" s="1127" customFormat="1" ht="24.95" customHeight="1">
      <c r="A56" s="1014" t="str">
        <f>+IF(ENERO!A56=0,"",ENERO!A56)</f>
        <v>1130110-2</v>
      </c>
      <c r="B56" s="1150" t="str">
        <f>+IF(ENERO!B56=0,"",ENERO!B56)</f>
        <v>Vigencia Anterior</v>
      </c>
      <c r="C56" s="1016">
        <f>+ENERO!C56</f>
        <v>0</v>
      </c>
      <c r="D56" s="1017">
        <f>ENERO!D56+FEBRERO!P56</f>
        <v>0</v>
      </c>
      <c r="E56" s="1017">
        <f>ENERO!E56+FEBRERO!Q56</f>
        <v>0</v>
      </c>
      <c r="F56" s="1017">
        <f>SUM(C56:E56)</f>
        <v>0</v>
      </c>
      <c r="G56" s="1017">
        <f>ENERO!I56</f>
        <v>0</v>
      </c>
      <c r="H56" s="1020">
        <v>0</v>
      </c>
      <c r="I56" s="1017">
        <f>SUM(G56:H56)</f>
        <v>0</v>
      </c>
      <c r="J56" s="1017">
        <f>ENERO!L56</f>
        <v>0</v>
      </c>
      <c r="K56" s="1020">
        <v>0</v>
      </c>
      <c r="L56" s="1017">
        <f>SUM(J56:K56)</f>
        <v>0</v>
      </c>
      <c r="M56" s="1017">
        <f>F56-I56</f>
        <v>0</v>
      </c>
      <c r="N56" s="1018">
        <f>F56-L56</f>
        <v>0</v>
      </c>
      <c r="O56" s="1035"/>
      <c r="P56" s="1022">
        <v>0</v>
      </c>
      <c r="Q56" s="1023">
        <v>0</v>
      </c>
      <c r="R56" s="909"/>
      <c r="S56" s="1000" t="str">
        <f>+IF(ENERO!S56=0,"",ENERO!S56)</f>
        <v/>
      </c>
      <c r="T56" s="1001" t="str">
        <f>+IF(ENERO!T56=0,"",ENERO!T56)</f>
        <v/>
      </c>
      <c r="U56" s="1002"/>
      <c r="V56" s="1003"/>
      <c r="W56" s="1003"/>
      <c r="X56" s="1004"/>
      <c r="Y56" s="1002"/>
      <c r="Z56" s="1003"/>
      <c r="AA56" s="1003"/>
      <c r="AB56" s="1002"/>
      <c r="AC56" s="1003"/>
      <c r="AD56" s="1004"/>
      <c r="AE56" s="1002"/>
      <c r="AF56" s="1003"/>
      <c r="AG56" s="1004"/>
      <c r="AH56" s="1002"/>
      <c r="AI56" s="1003"/>
      <c r="AJ56" s="1004"/>
      <c r="AK56" s="1029"/>
      <c r="AL56" s="1195"/>
      <c r="AM56" s="1196"/>
      <c r="AN56" s="909"/>
      <c r="AO56" s="863"/>
      <c r="AP56" s="863"/>
      <c r="AQ56" s="863"/>
      <c r="AR56" s="863"/>
      <c r="AS56" s="863"/>
      <c r="AT56" s="863"/>
      <c r="AU56" s="863"/>
      <c r="AV56" s="863"/>
      <c r="AW56" s="863"/>
      <c r="AX56" s="863"/>
      <c r="AY56" s="863"/>
      <c r="AZ56" s="863"/>
      <c r="BA56" s="1035"/>
      <c r="BF56" s="1035"/>
      <c r="BG56" s="1035"/>
      <c r="BH56" s="1035"/>
      <c r="BI56" s="1035"/>
      <c r="BJ56" s="1035"/>
      <c r="BK56" s="1035"/>
      <c r="BL56" s="1035"/>
      <c r="BM56" s="1035"/>
      <c r="BN56" s="1035"/>
      <c r="BO56" s="1035"/>
      <c r="BP56" s="1035"/>
      <c r="BQ56" s="1035"/>
      <c r="BR56" s="1035"/>
    </row>
    <row r="57" spans="1:70" s="1035" customFormat="1" ht="24.95" customHeight="1">
      <c r="A57" s="1104">
        <f>+IF(ENERO!A57=0,"",ENERO!A57)</f>
        <v>1130111</v>
      </c>
      <c r="B57" s="1138" t="str">
        <f>+IF(ENERO!B57=0,"",ENERO!B57)</f>
        <v>IPS PRIVADAS</v>
      </c>
      <c r="C57" s="1106">
        <f t="shared" ref="C57:N57" si="66">SUM(C58:C59)</f>
        <v>133639169</v>
      </c>
      <c r="D57" s="1139">
        <f t="shared" si="66"/>
        <v>0</v>
      </c>
      <c r="E57" s="1139">
        <f t="shared" si="66"/>
        <v>0</v>
      </c>
      <c r="F57" s="1139">
        <f t="shared" si="66"/>
        <v>133639169</v>
      </c>
      <c r="G57" s="1139">
        <f t="shared" si="66"/>
        <v>0</v>
      </c>
      <c r="H57" s="1139">
        <f t="shared" si="66"/>
        <v>176960</v>
      </c>
      <c r="I57" s="1139">
        <f t="shared" si="66"/>
        <v>176960</v>
      </c>
      <c r="J57" s="1139">
        <f t="shared" si="66"/>
        <v>0</v>
      </c>
      <c r="K57" s="1139">
        <f t="shared" si="66"/>
        <v>176960</v>
      </c>
      <c r="L57" s="1139">
        <f t="shared" si="66"/>
        <v>176960</v>
      </c>
      <c r="M57" s="1139">
        <f t="shared" si="66"/>
        <v>133462209</v>
      </c>
      <c r="N57" s="1107">
        <f t="shared" si="66"/>
        <v>133462209</v>
      </c>
      <c r="P57" s="1106">
        <f>SUM(P58:P59)</f>
        <v>0</v>
      </c>
      <c r="Q57" s="1107">
        <f>SUM(Q58:Q59)</f>
        <v>0</v>
      </c>
      <c r="R57" s="909"/>
      <c r="S57" s="1073">
        <f>+IF(ENERO!S57=0,"",ENERO!S57)</f>
        <v>1010400</v>
      </c>
      <c r="T57" s="1074" t="str">
        <f>+IF(ENERO!T57=0,"",ENERO!T57)</f>
        <v>Contribuciones Inherentes nómina del Sector Publico</v>
      </c>
      <c r="U57" s="1046">
        <f t="shared" ref="U57:AJ57" si="67">U58+U61</f>
        <v>31192586</v>
      </c>
      <c r="V57" s="1047">
        <f t="shared" si="67"/>
        <v>0</v>
      </c>
      <c r="W57" s="1047">
        <f t="shared" si="67"/>
        <v>0</v>
      </c>
      <c r="X57" s="1048">
        <f t="shared" si="67"/>
        <v>31192586</v>
      </c>
      <c r="Y57" s="1046">
        <f t="shared" si="67"/>
        <v>1901241</v>
      </c>
      <c r="Z57" s="1047">
        <f t="shared" si="67"/>
        <v>1902350</v>
      </c>
      <c r="AA57" s="1049">
        <f t="shared" si="67"/>
        <v>3803591</v>
      </c>
      <c r="AB57" s="1046">
        <f t="shared" si="67"/>
        <v>1901241</v>
      </c>
      <c r="AC57" s="1047">
        <f t="shared" si="67"/>
        <v>1902350</v>
      </c>
      <c r="AD57" s="1048">
        <f t="shared" si="67"/>
        <v>3803591</v>
      </c>
      <c r="AE57" s="1046">
        <f t="shared" si="67"/>
        <v>1901241</v>
      </c>
      <c r="AF57" s="1047">
        <f t="shared" si="67"/>
        <v>1902350</v>
      </c>
      <c r="AG57" s="1048">
        <f t="shared" si="67"/>
        <v>3803591</v>
      </c>
      <c r="AH57" s="1046">
        <f t="shared" si="67"/>
        <v>27388995</v>
      </c>
      <c r="AI57" s="1047">
        <f t="shared" si="67"/>
        <v>27388995</v>
      </c>
      <c r="AJ57" s="1048">
        <f t="shared" si="67"/>
        <v>27388995</v>
      </c>
      <c r="AK57" s="909"/>
      <c r="AL57" s="1050">
        <f>AL58+AL61</f>
        <v>0</v>
      </c>
      <c r="AM57" s="1048">
        <f>AM58+AM61</f>
        <v>0</v>
      </c>
      <c r="AN57" s="909"/>
      <c r="AO57" s="863"/>
      <c r="AP57" s="863"/>
      <c r="AQ57" s="863"/>
      <c r="AR57" s="863"/>
      <c r="AS57" s="863"/>
      <c r="AT57" s="863"/>
      <c r="AU57" s="863"/>
      <c r="AV57" s="863"/>
      <c r="AW57" s="863"/>
      <c r="AX57" s="863"/>
      <c r="AY57" s="863"/>
      <c r="AZ57" s="863"/>
      <c r="BR57" s="1127"/>
    </row>
    <row r="58" spans="1:70" s="1127" customFormat="1" ht="24.95" customHeight="1">
      <c r="A58" s="1014" t="str">
        <f>+IF(ENERO!A58=0,"",ENERO!A58)</f>
        <v>1130111-1</v>
      </c>
      <c r="B58" s="1150" t="str">
        <f>+CONCATENATE("Vigencia ",INSTRUCCIONES!$F$3)</f>
        <v>Vigencia 2017</v>
      </c>
      <c r="C58" s="1016">
        <f>+ENERO!C58</f>
        <v>133639169</v>
      </c>
      <c r="D58" s="1017">
        <f>ENERO!D58+FEBRERO!P58</f>
        <v>0</v>
      </c>
      <c r="E58" s="1017">
        <f>ENERO!E58+FEBRERO!Q58</f>
        <v>0</v>
      </c>
      <c r="F58" s="1017">
        <f>SUM(C58:E58)</f>
        <v>133639169</v>
      </c>
      <c r="G58" s="1017">
        <f>ENERO!I58</f>
        <v>0</v>
      </c>
      <c r="H58" s="1020">
        <v>0</v>
      </c>
      <c r="I58" s="1017">
        <f>SUM(G58:H58)</f>
        <v>0</v>
      </c>
      <c r="J58" s="1017">
        <f>ENERO!L58</f>
        <v>0</v>
      </c>
      <c r="K58" s="1020">
        <v>0</v>
      </c>
      <c r="L58" s="1017">
        <f>SUM(J58:K58)</f>
        <v>0</v>
      </c>
      <c r="M58" s="1017">
        <f>F58-I58</f>
        <v>133639169</v>
      </c>
      <c r="N58" s="1018">
        <f>F58-L58</f>
        <v>133639169</v>
      </c>
      <c r="O58" s="1035"/>
      <c r="P58" s="1022">
        <v>0</v>
      </c>
      <c r="Q58" s="1023">
        <v>0</v>
      </c>
      <c r="R58" s="909"/>
      <c r="S58" s="1083">
        <f>+IF(ENERO!S58=0,"",ENERO!S58)</f>
        <v>1010402</v>
      </c>
      <c r="T58" s="1084" t="str">
        <f>+IF(ENERO!T58=0,"",ENERO!T58)</f>
        <v>Contribuciones - Otros</v>
      </c>
      <c r="U58" s="1085">
        <f t="shared" ref="U58:AJ58" si="68">SUM(U59:U60)</f>
        <v>31192586</v>
      </c>
      <c r="V58" s="1033">
        <f t="shared" si="68"/>
        <v>0</v>
      </c>
      <c r="W58" s="1033">
        <f t="shared" si="68"/>
        <v>0</v>
      </c>
      <c r="X58" s="1086">
        <f t="shared" si="68"/>
        <v>31192586</v>
      </c>
      <c r="Y58" s="1087">
        <f t="shared" si="68"/>
        <v>1901241</v>
      </c>
      <c r="Z58" s="1198">
        <f t="shared" si="68"/>
        <v>1902350</v>
      </c>
      <c r="AA58" s="1088">
        <f t="shared" si="68"/>
        <v>3803591</v>
      </c>
      <c r="AB58" s="1087">
        <f t="shared" si="68"/>
        <v>1901241</v>
      </c>
      <c r="AC58" s="1198">
        <f t="shared" si="68"/>
        <v>1902350</v>
      </c>
      <c r="AD58" s="1086">
        <f t="shared" si="68"/>
        <v>3803591</v>
      </c>
      <c r="AE58" s="1087">
        <f t="shared" si="68"/>
        <v>1901241</v>
      </c>
      <c r="AF58" s="1198">
        <f t="shared" si="68"/>
        <v>1902350</v>
      </c>
      <c r="AG58" s="1086">
        <f t="shared" si="68"/>
        <v>3803591</v>
      </c>
      <c r="AH58" s="1087">
        <f t="shared" si="68"/>
        <v>27388995</v>
      </c>
      <c r="AI58" s="1033">
        <f t="shared" si="68"/>
        <v>27388995</v>
      </c>
      <c r="AJ58" s="1086">
        <f t="shared" si="68"/>
        <v>27388995</v>
      </c>
      <c r="AK58" s="909"/>
      <c r="AL58" s="1117">
        <f>SUM(AL59:AL60)</f>
        <v>0</v>
      </c>
      <c r="AM58" s="1118">
        <f>SUM(AM59:AM60)</f>
        <v>0</v>
      </c>
      <c r="AN58" s="909"/>
      <c r="AO58" s="1199"/>
      <c r="AP58" s="1197"/>
      <c r="AQ58" s="863"/>
      <c r="AR58" s="863"/>
      <c r="AS58" s="863"/>
      <c r="AT58" s="863"/>
      <c r="AU58" s="863"/>
      <c r="AV58" s="863"/>
      <c r="AW58" s="863"/>
      <c r="AX58" s="863"/>
      <c r="AY58" s="863"/>
      <c r="AZ58" s="863"/>
      <c r="BA58" s="1035"/>
      <c r="BF58" s="1035"/>
      <c r="BG58" s="1035"/>
      <c r="BH58" s="1035"/>
      <c r="BI58" s="1035"/>
      <c r="BJ58" s="1035"/>
      <c r="BK58" s="1035"/>
      <c r="BL58" s="1035"/>
      <c r="BM58" s="1035"/>
      <c r="BN58" s="1035"/>
      <c r="BO58" s="1035"/>
      <c r="BP58" s="1035"/>
      <c r="BQ58" s="1035"/>
    </row>
    <row r="59" spans="1:70" s="1127" customFormat="1" ht="24.95" customHeight="1">
      <c r="A59" s="1014" t="str">
        <f>+IF(ENERO!A59=0,"",ENERO!A59)</f>
        <v>1130111-2</v>
      </c>
      <c r="B59" s="1150" t="str">
        <f>+IF(ENERO!B59=0,"",ENERO!B59)</f>
        <v>Vigencia Anterior</v>
      </c>
      <c r="C59" s="1016">
        <f>+ENERO!C59</f>
        <v>0</v>
      </c>
      <c r="D59" s="1017">
        <f>ENERO!D59+FEBRERO!P59</f>
        <v>0</v>
      </c>
      <c r="E59" s="1017">
        <f>ENERO!E59+FEBRERO!Q59</f>
        <v>0</v>
      </c>
      <c r="F59" s="1017">
        <f>SUM(C59:E59)</f>
        <v>0</v>
      </c>
      <c r="G59" s="1017">
        <f>ENERO!I59</f>
        <v>0</v>
      </c>
      <c r="H59" s="1020">
        <v>176960</v>
      </c>
      <c r="I59" s="1017">
        <f>SUM(G59:H59)</f>
        <v>176960</v>
      </c>
      <c r="J59" s="1017">
        <f>ENERO!L59</f>
        <v>0</v>
      </c>
      <c r="K59" s="1020">
        <v>176960</v>
      </c>
      <c r="L59" s="1017">
        <f>SUM(J59:K59)</f>
        <v>176960</v>
      </c>
      <c r="M59" s="1017">
        <f>F59-I59</f>
        <v>-176960</v>
      </c>
      <c r="N59" s="1018">
        <f>F59-L59</f>
        <v>-176960</v>
      </c>
      <c r="O59" s="1035"/>
      <c r="P59" s="1022">
        <v>0</v>
      </c>
      <c r="Q59" s="1023">
        <v>0</v>
      </c>
      <c r="R59" s="909"/>
      <c r="S59" s="1130" t="str">
        <f>+IF(ENERO!S59=0,"",ENERO!S59)</f>
        <v>1010402-1</v>
      </c>
      <c r="T59" s="1084" t="str">
        <f>+IF(ENERO!T59=0,"",ENERO!T59)</f>
        <v>S.E.N.A.</v>
      </c>
      <c r="U59" s="1085">
        <f>+ENERO!U59</f>
        <v>18775492</v>
      </c>
      <c r="V59" s="1033">
        <f>ENERO!V59+FEBRERO!AL59</f>
        <v>0</v>
      </c>
      <c r="W59" s="1033">
        <f>ENERO!W59+FEBRERO!AM59</f>
        <v>0</v>
      </c>
      <c r="X59" s="1086">
        <f>SUM(U59:W59)</f>
        <v>18775492</v>
      </c>
      <c r="Y59" s="1087">
        <f>ENERO!AA59</f>
        <v>760140</v>
      </c>
      <c r="Z59" s="1020">
        <v>760940</v>
      </c>
      <c r="AA59" s="1088">
        <f>SUM(Y59:Z59)</f>
        <v>1521080</v>
      </c>
      <c r="AB59" s="1087">
        <f>ENERO!AD59</f>
        <v>760140</v>
      </c>
      <c r="AC59" s="1020">
        <v>760940</v>
      </c>
      <c r="AD59" s="1086">
        <f>SUM(AB59:AC59)</f>
        <v>1521080</v>
      </c>
      <c r="AE59" s="1087">
        <f>ENERO!AG59</f>
        <v>760140</v>
      </c>
      <c r="AF59" s="1020">
        <v>760940</v>
      </c>
      <c r="AG59" s="1086">
        <f>SUM(AE59:AF59)</f>
        <v>1521080</v>
      </c>
      <c r="AH59" s="1087">
        <f>X59-AA59</f>
        <v>17254412</v>
      </c>
      <c r="AI59" s="1033">
        <f>X59-AD59</f>
        <v>17254412</v>
      </c>
      <c r="AJ59" s="1086">
        <f>X59-AG59</f>
        <v>17254412</v>
      </c>
      <c r="AK59" s="909"/>
      <c r="AL59" s="1089">
        <v>0</v>
      </c>
      <c r="AM59" s="1023">
        <v>0</v>
      </c>
      <c r="AN59" s="909"/>
      <c r="AO59" s="863"/>
      <c r="AP59" s="863"/>
      <c r="AQ59" s="863"/>
      <c r="AR59" s="863"/>
      <c r="AS59" s="863"/>
      <c r="AT59" s="863"/>
      <c r="AU59" s="863"/>
      <c r="AV59" s="863"/>
      <c r="AW59" s="863"/>
      <c r="AX59" s="863"/>
      <c r="AY59" s="863"/>
      <c r="AZ59" s="863"/>
      <c r="BA59" s="1035"/>
      <c r="BF59" s="1035"/>
      <c r="BG59" s="1035"/>
      <c r="BH59" s="1035"/>
      <c r="BI59" s="1035"/>
      <c r="BJ59" s="1035"/>
      <c r="BK59" s="1035"/>
      <c r="BL59" s="1035"/>
      <c r="BM59" s="1035"/>
      <c r="BN59" s="1035"/>
      <c r="BO59" s="1035"/>
      <c r="BP59" s="1035"/>
      <c r="BQ59" s="1035"/>
      <c r="BR59" s="1035"/>
    </row>
    <row r="60" spans="1:70" s="1035" customFormat="1" ht="24.95" customHeight="1">
      <c r="A60" s="1104">
        <f>+IF(ENERO!A60=0,"",ENERO!A60)</f>
        <v>1130112</v>
      </c>
      <c r="B60" s="1138" t="str">
        <f>+IF(ENERO!B60=0,"",ENERO!B60)</f>
        <v>IPS PUBLICAS</v>
      </c>
      <c r="C60" s="1106">
        <f t="shared" ref="C60:N60" si="69">SUM(C61:C62)</f>
        <v>45194994</v>
      </c>
      <c r="D60" s="1139">
        <f t="shared" si="69"/>
        <v>0</v>
      </c>
      <c r="E60" s="1139">
        <f t="shared" si="69"/>
        <v>0</v>
      </c>
      <c r="F60" s="1139">
        <f t="shared" si="69"/>
        <v>45194994</v>
      </c>
      <c r="G60" s="1139">
        <f t="shared" si="69"/>
        <v>229102295</v>
      </c>
      <c r="H60" s="1139">
        <f t="shared" si="69"/>
        <v>762510</v>
      </c>
      <c r="I60" s="1139">
        <f t="shared" si="69"/>
        <v>229864805</v>
      </c>
      <c r="J60" s="1139">
        <f t="shared" si="69"/>
        <v>95525</v>
      </c>
      <c r="K60" s="1139">
        <f t="shared" si="69"/>
        <v>0</v>
      </c>
      <c r="L60" s="1139">
        <f t="shared" si="69"/>
        <v>95525</v>
      </c>
      <c r="M60" s="1139">
        <f t="shared" si="69"/>
        <v>-184669811</v>
      </c>
      <c r="N60" s="1107">
        <f t="shared" si="69"/>
        <v>45099469</v>
      </c>
      <c r="P60" s="1106">
        <f>SUM(P61:P62)</f>
        <v>0</v>
      </c>
      <c r="Q60" s="1107">
        <f>SUM(Q61:Q62)</f>
        <v>0</v>
      </c>
      <c r="R60" s="909"/>
      <c r="S60" s="1130" t="str">
        <f>+IF(ENERO!S60=0,"",ENERO!S60)</f>
        <v>1010402-2</v>
      </c>
      <c r="T60" s="1084" t="str">
        <f>+IF(ENERO!T60=0,"",ENERO!T60)</f>
        <v>I.C.B.F.</v>
      </c>
      <c r="U60" s="1085">
        <f>+ENERO!U60</f>
        <v>12417094</v>
      </c>
      <c r="V60" s="1033">
        <f>ENERO!V60+FEBRERO!AL60</f>
        <v>0</v>
      </c>
      <c r="W60" s="1033">
        <f>ENERO!W60+FEBRERO!AM60</f>
        <v>0</v>
      </c>
      <c r="X60" s="1086">
        <f>SUM(U60:W60)</f>
        <v>12417094</v>
      </c>
      <c r="Y60" s="1087">
        <f>ENERO!AA60</f>
        <v>1141101</v>
      </c>
      <c r="Z60" s="1020">
        <v>1141410</v>
      </c>
      <c r="AA60" s="1088">
        <f>SUM(Y60:Z60)</f>
        <v>2282511</v>
      </c>
      <c r="AB60" s="1087">
        <f>ENERO!AD60</f>
        <v>1141101</v>
      </c>
      <c r="AC60" s="1020">
        <v>1141410</v>
      </c>
      <c r="AD60" s="1086">
        <f>SUM(AB60:AC60)</f>
        <v>2282511</v>
      </c>
      <c r="AE60" s="1087">
        <f>ENERO!AG60</f>
        <v>1141101</v>
      </c>
      <c r="AF60" s="1020">
        <v>1141410</v>
      </c>
      <c r="AG60" s="1086">
        <f>SUM(AE60:AF60)</f>
        <v>2282511</v>
      </c>
      <c r="AH60" s="1087">
        <f>X60-AA60</f>
        <v>10134583</v>
      </c>
      <c r="AI60" s="1033">
        <f>X60-AD60</f>
        <v>10134583</v>
      </c>
      <c r="AJ60" s="1086">
        <f>X60-AG60</f>
        <v>10134583</v>
      </c>
      <c r="AK60" s="909"/>
      <c r="AL60" s="1089">
        <v>0</v>
      </c>
      <c r="AM60" s="1023">
        <v>0</v>
      </c>
      <c r="AN60" s="909"/>
      <c r="AO60" s="863"/>
      <c r="AP60" s="863"/>
      <c r="AQ60" s="863"/>
      <c r="AR60" s="863"/>
      <c r="AS60" s="863"/>
      <c r="AT60" s="863"/>
      <c r="AU60" s="863"/>
      <c r="AV60" s="863"/>
      <c r="AW60" s="863"/>
      <c r="AX60" s="863"/>
      <c r="AY60" s="863"/>
      <c r="AZ60" s="863"/>
      <c r="BR60" s="1127"/>
    </row>
    <row r="61" spans="1:70" s="1127" customFormat="1" ht="24.95" customHeight="1">
      <c r="A61" s="1014" t="str">
        <f>+IF(ENERO!A61=0,"",ENERO!A61)</f>
        <v>1130112-1</v>
      </c>
      <c r="B61" s="1150" t="str">
        <f>+CONCATENATE("Vigencia ",INSTRUCCIONES!$F$3)</f>
        <v>Vigencia 2017</v>
      </c>
      <c r="C61" s="1016">
        <f>+ENERO!C61</f>
        <v>45194994</v>
      </c>
      <c r="D61" s="1017">
        <f>ENERO!D61+FEBRERO!P61</f>
        <v>0</v>
      </c>
      <c r="E61" s="1017">
        <f>ENERO!E61+FEBRERO!Q61</f>
        <v>0</v>
      </c>
      <c r="F61" s="1017">
        <f>SUM(C61:E61)</f>
        <v>45194994</v>
      </c>
      <c r="G61" s="1017">
        <f>ENERO!I61</f>
        <v>229006770</v>
      </c>
      <c r="H61" s="1020">
        <v>762510</v>
      </c>
      <c r="I61" s="1017">
        <f>SUM(G61:H61)</f>
        <v>229769280</v>
      </c>
      <c r="J61" s="1017">
        <f>ENERO!L61</f>
        <v>0</v>
      </c>
      <c r="K61" s="1020">
        <v>0</v>
      </c>
      <c r="L61" s="1017">
        <f>SUM(J61:K61)</f>
        <v>0</v>
      </c>
      <c r="M61" s="1017">
        <f>F61-I61</f>
        <v>-184574286</v>
      </c>
      <c r="N61" s="1018">
        <f>F61-L61</f>
        <v>45194994</v>
      </c>
      <c r="O61" s="1035"/>
      <c r="P61" s="1022">
        <v>0</v>
      </c>
      <c r="Q61" s="1023">
        <v>0</v>
      </c>
      <c r="R61" s="909"/>
      <c r="S61" s="1083">
        <f>+IF(ENERO!S61=0,"",ENERO!S61)</f>
        <v>1010499</v>
      </c>
      <c r="T61" s="1084" t="str">
        <f>+IF(ENERO!T61=0,"",ENERO!T61)</f>
        <v>Vigencias Anteriores</v>
      </c>
      <c r="U61" s="1085">
        <f>+ENERO!U61</f>
        <v>0</v>
      </c>
      <c r="V61" s="1033">
        <f>ENERO!V61+FEBRERO!AL61</f>
        <v>0</v>
      </c>
      <c r="W61" s="1033">
        <f>ENERO!W61+FEBRERO!AM61</f>
        <v>0</v>
      </c>
      <c r="X61" s="1086">
        <f>SUM(U61:W61)</f>
        <v>0</v>
      </c>
      <c r="Y61" s="1087">
        <f>ENERO!AA61</f>
        <v>0</v>
      </c>
      <c r="Z61" s="1020">
        <v>0</v>
      </c>
      <c r="AA61" s="1088">
        <f>SUM(Y61:Z61)</f>
        <v>0</v>
      </c>
      <c r="AB61" s="1087">
        <f>ENERO!AD61</f>
        <v>0</v>
      </c>
      <c r="AC61" s="1020">
        <v>0</v>
      </c>
      <c r="AD61" s="1086">
        <f>SUM(AB61:AC61)</f>
        <v>0</v>
      </c>
      <c r="AE61" s="1087">
        <f>ENERO!AG61</f>
        <v>0</v>
      </c>
      <c r="AF61" s="1020">
        <v>0</v>
      </c>
      <c r="AG61" s="1086">
        <f>SUM(AE61:AF61)</f>
        <v>0</v>
      </c>
      <c r="AH61" s="1087">
        <f>X61-AA61</f>
        <v>0</v>
      </c>
      <c r="AI61" s="1033">
        <f>X61-AD61</f>
        <v>0</v>
      </c>
      <c r="AJ61" s="1086">
        <f>X61-AG61</f>
        <v>0</v>
      </c>
      <c r="AK61" s="909"/>
      <c r="AL61" s="1089">
        <v>0</v>
      </c>
      <c r="AM61" s="1023">
        <v>0</v>
      </c>
      <c r="AN61" s="909"/>
      <c r="AO61" s="863"/>
      <c r="AP61" s="1197"/>
      <c r="AQ61" s="863"/>
      <c r="AR61" s="863"/>
      <c r="AS61" s="863"/>
      <c r="AT61" s="863"/>
      <c r="AU61" s="1197"/>
      <c r="AV61" s="1197"/>
      <c r="AW61" s="863"/>
      <c r="AX61" s="863"/>
      <c r="AY61" s="863"/>
      <c r="AZ61" s="863"/>
      <c r="BA61" s="1035"/>
      <c r="BF61" s="1035"/>
      <c r="BG61" s="1035"/>
      <c r="BH61" s="1035"/>
      <c r="BI61" s="1035"/>
      <c r="BJ61" s="1035"/>
      <c r="BK61" s="1035"/>
      <c r="BL61" s="1035"/>
      <c r="BM61" s="1035"/>
      <c r="BN61" s="1035"/>
      <c r="BO61" s="1035"/>
      <c r="BP61" s="1035"/>
      <c r="BQ61" s="1035"/>
    </row>
    <row r="62" spans="1:70" s="1127" customFormat="1" ht="24.95" customHeight="1">
      <c r="A62" s="1014" t="str">
        <f>+IF(ENERO!A62=0,"",ENERO!A62)</f>
        <v>1130112-2</v>
      </c>
      <c r="B62" s="1150" t="str">
        <f>+IF(ENERO!B62=0,"",ENERO!B62)</f>
        <v>Vigencia Anterior</v>
      </c>
      <c r="C62" s="1016">
        <f>+ENERO!C62</f>
        <v>0</v>
      </c>
      <c r="D62" s="1017">
        <f>ENERO!D62+FEBRERO!P62</f>
        <v>0</v>
      </c>
      <c r="E62" s="1017">
        <f>ENERO!E62+FEBRERO!Q62</f>
        <v>0</v>
      </c>
      <c r="F62" s="1017">
        <f>SUM(C62:E62)</f>
        <v>0</v>
      </c>
      <c r="G62" s="1017">
        <f>ENERO!I62</f>
        <v>95525</v>
      </c>
      <c r="H62" s="1020">
        <v>0</v>
      </c>
      <c r="I62" s="1017">
        <f>SUM(G62:H62)</f>
        <v>95525</v>
      </c>
      <c r="J62" s="1017">
        <f>ENERO!L62</f>
        <v>95525</v>
      </c>
      <c r="K62" s="1020">
        <v>0</v>
      </c>
      <c r="L62" s="1017">
        <f>SUM(J62:K62)</f>
        <v>95525</v>
      </c>
      <c r="M62" s="1017">
        <f>F62-I62</f>
        <v>-95525</v>
      </c>
      <c r="N62" s="1018">
        <f>F62-L62</f>
        <v>-95525</v>
      </c>
      <c r="O62" s="1035"/>
      <c r="P62" s="1022">
        <v>0</v>
      </c>
      <c r="Q62" s="1023">
        <v>0</v>
      </c>
      <c r="R62" s="909"/>
      <c r="S62" s="1000" t="str">
        <f>+IF(ENERO!S62=0,"",ENERO!S62)</f>
        <v/>
      </c>
      <c r="T62" s="1001" t="str">
        <f>+IF(ENERO!T62=0,"",ENERO!T62)</f>
        <v/>
      </c>
      <c r="U62" s="1002"/>
      <c r="V62" s="1003"/>
      <c r="W62" s="1003"/>
      <c r="X62" s="1004"/>
      <c r="Y62" s="1002"/>
      <c r="Z62" s="1003"/>
      <c r="AA62" s="1003"/>
      <c r="AB62" s="1002"/>
      <c r="AC62" s="1003"/>
      <c r="AD62" s="1004"/>
      <c r="AE62" s="1002"/>
      <c r="AF62" s="1003"/>
      <c r="AG62" s="1004"/>
      <c r="AH62" s="1002"/>
      <c r="AI62" s="1003"/>
      <c r="AJ62" s="1004"/>
      <c r="AK62" s="1029"/>
      <c r="AL62" s="1195"/>
      <c r="AM62" s="1196"/>
      <c r="AN62" s="909"/>
      <c r="AO62" s="863"/>
      <c r="AP62" s="863"/>
      <c r="AQ62" s="863"/>
      <c r="AR62" s="863"/>
      <c r="AS62" s="863"/>
      <c r="AT62" s="863"/>
      <c r="AU62" s="863"/>
      <c r="AV62" s="863"/>
      <c r="AW62" s="863"/>
      <c r="AX62" s="863"/>
      <c r="AY62" s="863"/>
      <c r="AZ62" s="863"/>
      <c r="BA62" s="1035"/>
      <c r="BF62" s="1035"/>
      <c r="BG62" s="1035"/>
      <c r="BH62" s="1035"/>
      <c r="BI62" s="1035"/>
      <c r="BJ62" s="1035"/>
      <c r="BK62" s="1035"/>
      <c r="BL62" s="1035"/>
      <c r="BM62" s="1035"/>
      <c r="BN62" s="1035"/>
      <c r="BO62" s="1035"/>
      <c r="BP62" s="1035"/>
      <c r="BQ62" s="1035"/>
      <c r="BR62" s="1035"/>
    </row>
    <row r="63" spans="1:70" s="1035" customFormat="1" ht="24.95" customHeight="1">
      <c r="A63" s="1104">
        <f>+IF(ENERO!A63=0,"",ENERO!A63)</f>
        <v>1130113</v>
      </c>
      <c r="B63" s="1138" t="str">
        <f>+IF(ENERO!B63=0,"",ENERO!B63)</f>
        <v>COMPAÑIAS DE SEGUROS  - ACCIDENTES DE TRANSITO (SOAT)</v>
      </c>
      <c r="C63" s="1106">
        <f t="shared" ref="C63:N63" si="70">SUM(C64:C65)</f>
        <v>5110724757</v>
      </c>
      <c r="D63" s="1139">
        <f t="shared" si="70"/>
        <v>0</v>
      </c>
      <c r="E63" s="1139">
        <f t="shared" si="70"/>
        <v>21044349</v>
      </c>
      <c r="F63" s="1139">
        <f t="shared" si="70"/>
        <v>5131769106</v>
      </c>
      <c r="G63" s="1139">
        <f t="shared" si="70"/>
        <v>432001607</v>
      </c>
      <c r="H63" s="1139">
        <f t="shared" si="70"/>
        <v>311948093</v>
      </c>
      <c r="I63" s="1139">
        <f t="shared" si="70"/>
        <v>743949700</v>
      </c>
      <c r="J63" s="1139">
        <f t="shared" si="70"/>
        <v>161649672</v>
      </c>
      <c r="K63" s="1139">
        <f t="shared" si="70"/>
        <v>212058043</v>
      </c>
      <c r="L63" s="1139">
        <f t="shared" si="70"/>
        <v>373707715</v>
      </c>
      <c r="M63" s="1139">
        <f t="shared" si="70"/>
        <v>4387819406</v>
      </c>
      <c r="N63" s="1107">
        <f t="shared" si="70"/>
        <v>4758061391</v>
      </c>
      <c r="P63" s="1106">
        <f>SUM(P64:P65)</f>
        <v>0</v>
      </c>
      <c r="Q63" s="1107">
        <f>SUM(Q64:Q65)</f>
        <v>0</v>
      </c>
      <c r="R63" s="909"/>
      <c r="S63" s="1044">
        <f>+IF(ENERO!S63=0,"",ENERO!S63)</f>
        <v>1020010</v>
      </c>
      <c r="T63" s="1045" t="str">
        <f>+IF(ENERO!T63=0,"",ENERO!T63)</f>
        <v>Gastos de Operación</v>
      </c>
      <c r="U63" s="1046">
        <f t="shared" ref="U63:AJ63" si="71">U65+U83+U90+U104</f>
        <v>23745928633</v>
      </c>
      <c r="V63" s="1047">
        <f t="shared" si="71"/>
        <v>-1494755478</v>
      </c>
      <c r="W63" s="1047">
        <f t="shared" si="71"/>
        <v>78539920</v>
      </c>
      <c r="X63" s="1048">
        <f t="shared" si="71"/>
        <v>22329713075</v>
      </c>
      <c r="Y63" s="1046">
        <f t="shared" si="71"/>
        <v>9930851751</v>
      </c>
      <c r="Z63" s="1047">
        <f t="shared" si="71"/>
        <v>2770844326</v>
      </c>
      <c r="AA63" s="1049">
        <f t="shared" si="71"/>
        <v>12701696077</v>
      </c>
      <c r="AB63" s="1046">
        <f t="shared" si="71"/>
        <v>2098336468</v>
      </c>
      <c r="AC63" s="1047">
        <f t="shared" si="71"/>
        <v>3644118266</v>
      </c>
      <c r="AD63" s="1048">
        <f t="shared" si="71"/>
        <v>5742454734</v>
      </c>
      <c r="AE63" s="1046">
        <f t="shared" si="71"/>
        <v>1303531805</v>
      </c>
      <c r="AF63" s="1047">
        <f t="shared" si="71"/>
        <v>1709846363</v>
      </c>
      <c r="AG63" s="1048">
        <f t="shared" si="71"/>
        <v>3013378168</v>
      </c>
      <c r="AH63" s="1046">
        <f t="shared" si="71"/>
        <v>9628016998</v>
      </c>
      <c r="AI63" s="1047">
        <f t="shared" si="71"/>
        <v>16587258341</v>
      </c>
      <c r="AJ63" s="1048">
        <f t="shared" si="71"/>
        <v>19316334907</v>
      </c>
      <c r="AK63" s="909"/>
      <c r="AL63" s="1050">
        <f>AL65+AL83+AL90+AL104</f>
        <v>-1494755478</v>
      </c>
      <c r="AM63" s="1048">
        <f>AM65+AM83+AM90+AM104</f>
        <v>78539920</v>
      </c>
      <c r="AN63" s="909"/>
      <c r="AO63" s="863"/>
      <c r="AP63" s="863"/>
      <c r="AQ63" s="863"/>
      <c r="AR63" s="863"/>
      <c r="AS63" s="863"/>
      <c r="AT63" s="863"/>
      <c r="AU63" s="863"/>
      <c r="AV63" s="863"/>
      <c r="AW63" s="863"/>
      <c r="AX63" s="863"/>
      <c r="AY63" s="863"/>
      <c r="AZ63" s="863"/>
      <c r="BR63" s="1127"/>
    </row>
    <row r="64" spans="1:70" s="1127" customFormat="1" ht="24.95" customHeight="1">
      <c r="A64" s="1014" t="str">
        <f>+IF(ENERO!A64=0,"",ENERO!A64)</f>
        <v>1130113-1</v>
      </c>
      <c r="B64" s="1150" t="str">
        <f>+CONCATENATE("Vigencia ",INSTRUCCIONES!$F$3)</f>
        <v>Vigencia 2017</v>
      </c>
      <c r="C64" s="1016">
        <f>+ENERO!C64</f>
        <v>5110724757</v>
      </c>
      <c r="D64" s="1017">
        <f>ENERO!D64+FEBRERO!P64</f>
        <v>0</v>
      </c>
      <c r="E64" s="1017">
        <f>ENERO!E64+FEBRERO!Q64</f>
        <v>0</v>
      </c>
      <c r="F64" s="1017">
        <f>SUM(C64:E64)</f>
        <v>5110724757</v>
      </c>
      <c r="G64" s="1017">
        <f>ENERO!I64</f>
        <v>270351935</v>
      </c>
      <c r="H64" s="1020">
        <v>99890050</v>
      </c>
      <c r="I64" s="1017">
        <f>SUM(G64:H64)</f>
        <v>370241985</v>
      </c>
      <c r="J64" s="1017">
        <f>ENERO!L64</f>
        <v>0</v>
      </c>
      <c r="K64" s="1020">
        <v>0</v>
      </c>
      <c r="L64" s="1017">
        <f>SUM(J64:K64)</f>
        <v>0</v>
      </c>
      <c r="M64" s="1017">
        <f>F64-I64</f>
        <v>4740482772</v>
      </c>
      <c r="N64" s="1018">
        <f>F64-L64</f>
        <v>5110724757</v>
      </c>
      <c r="O64" s="1035"/>
      <c r="P64" s="1022">
        <v>0</v>
      </c>
      <c r="Q64" s="1023">
        <v>0</v>
      </c>
      <c r="R64" s="909"/>
      <c r="S64" s="1000" t="str">
        <f>+IF(ENERO!S64=0,"",ENERO!S64)</f>
        <v/>
      </c>
      <c r="T64" s="1001" t="str">
        <f>+IF(ENERO!T64=0,"",ENERO!T64)</f>
        <v/>
      </c>
      <c r="U64" s="1002"/>
      <c r="V64" s="1003"/>
      <c r="W64" s="1003"/>
      <c r="X64" s="1004"/>
      <c r="Y64" s="1002"/>
      <c r="Z64" s="1003"/>
      <c r="AA64" s="1003"/>
      <c r="AB64" s="1002"/>
      <c r="AC64" s="1003"/>
      <c r="AD64" s="1004"/>
      <c r="AE64" s="1002"/>
      <c r="AF64" s="1003"/>
      <c r="AG64" s="1004"/>
      <c r="AH64" s="1002"/>
      <c r="AI64" s="1003"/>
      <c r="AJ64" s="1004"/>
      <c r="AK64" s="909"/>
      <c r="AL64" s="1065"/>
      <c r="AM64" s="1066"/>
      <c r="AN64" s="909"/>
      <c r="AO64" s="863"/>
      <c r="AP64" s="863"/>
      <c r="AQ64" s="863"/>
      <c r="AR64" s="863"/>
      <c r="AS64" s="863"/>
      <c r="AT64" s="863"/>
      <c r="AU64" s="863"/>
      <c r="AV64" s="863"/>
      <c r="AW64" s="863"/>
      <c r="AX64" s="863"/>
      <c r="AY64" s="863"/>
      <c r="AZ64" s="863"/>
      <c r="BA64" s="1035"/>
      <c r="BB64" s="1035"/>
      <c r="BC64" s="1035"/>
      <c r="BD64" s="1035"/>
      <c r="BE64" s="1035"/>
      <c r="BF64" s="1035"/>
      <c r="BG64" s="1035"/>
      <c r="BH64" s="1035"/>
      <c r="BI64" s="1035"/>
      <c r="BJ64" s="1035"/>
      <c r="BK64" s="1035"/>
      <c r="BL64" s="1035"/>
      <c r="BM64" s="1035"/>
      <c r="BN64" s="1035"/>
      <c r="BO64" s="1035"/>
      <c r="BP64" s="1035"/>
      <c r="BQ64" s="1035"/>
    </row>
    <row r="65" spans="1:70" s="1127" customFormat="1" ht="24.95" customHeight="1">
      <c r="A65" s="1014" t="str">
        <f>+IF(ENERO!A65=0,"",ENERO!A65)</f>
        <v>1130113-2</v>
      </c>
      <c r="B65" s="1150" t="str">
        <f>+IF(ENERO!B65=0,"",ENERO!B65)</f>
        <v>Vigencia Anterior</v>
      </c>
      <c r="C65" s="1016">
        <f>+ENERO!C65</f>
        <v>0</v>
      </c>
      <c r="D65" s="1017">
        <f>ENERO!D65+FEBRERO!P65</f>
        <v>0</v>
      </c>
      <c r="E65" s="1017">
        <f>ENERO!E65+FEBRERO!Q65</f>
        <v>21044349</v>
      </c>
      <c r="F65" s="1017">
        <f>SUM(C65:E65)</f>
        <v>21044349</v>
      </c>
      <c r="G65" s="1017">
        <f>ENERO!I65</f>
        <v>161649672</v>
      </c>
      <c r="H65" s="1020">
        <v>212058043</v>
      </c>
      <c r="I65" s="1017">
        <f>SUM(G65:H65)</f>
        <v>373707715</v>
      </c>
      <c r="J65" s="1017">
        <f>ENERO!L65</f>
        <v>161649672</v>
      </c>
      <c r="K65" s="1020">
        <v>212058043</v>
      </c>
      <c r="L65" s="1017">
        <f>SUM(J65:K65)</f>
        <v>373707715</v>
      </c>
      <c r="M65" s="1017">
        <f>F65-I65</f>
        <v>-352663366</v>
      </c>
      <c r="N65" s="1018">
        <f>F65-L65</f>
        <v>-352663366</v>
      </c>
      <c r="O65" s="1035"/>
      <c r="P65" s="1022">
        <v>0</v>
      </c>
      <c r="Q65" s="1023">
        <v>0</v>
      </c>
      <c r="R65" s="909"/>
      <c r="S65" s="1073">
        <f>+IF(ENERO!S65=0,"",ENERO!S65)</f>
        <v>1020100</v>
      </c>
      <c r="T65" s="1074" t="str">
        <f>+IF(ENERO!T65=0,"",ENERO!T65)</f>
        <v>Servicios Personales Asociados a Nómina</v>
      </c>
      <c r="U65" s="1046">
        <f t="shared" ref="U65:AJ65" si="72">SUM(U66:U69)+U81</f>
        <v>1210753694</v>
      </c>
      <c r="V65" s="1047">
        <f t="shared" si="72"/>
        <v>0</v>
      </c>
      <c r="W65" s="1047">
        <f t="shared" si="72"/>
        <v>0</v>
      </c>
      <c r="X65" s="1048">
        <f t="shared" si="72"/>
        <v>1210753694</v>
      </c>
      <c r="Y65" s="1046">
        <f t="shared" si="72"/>
        <v>82527238</v>
      </c>
      <c r="Z65" s="1047">
        <f t="shared" si="72"/>
        <v>114168123</v>
      </c>
      <c r="AA65" s="1049">
        <f t="shared" si="72"/>
        <v>196695361</v>
      </c>
      <c r="AB65" s="1046">
        <f t="shared" si="72"/>
        <v>82527238</v>
      </c>
      <c r="AC65" s="1047">
        <f t="shared" si="72"/>
        <v>114168123</v>
      </c>
      <c r="AD65" s="1048">
        <f t="shared" si="72"/>
        <v>196695361</v>
      </c>
      <c r="AE65" s="1046">
        <f t="shared" si="72"/>
        <v>82527238</v>
      </c>
      <c r="AF65" s="1047">
        <f t="shared" si="72"/>
        <v>114168123</v>
      </c>
      <c r="AG65" s="1048">
        <f t="shared" si="72"/>
        <v>196695361</v>
      </c>
      <c r="AH65" s="1046">
        <f t="shared" si="72"/>
        <v>1014058333</v>
      </c>
      <c r="AI65" s="1047">
        <f t="shared" si="72"/>
        <v>1014058333</v>
      </c>
      <c r="AJ65" s="1048">
        <f t="shared" si="72"/>
        <v>1014058333</v>
      </c>
      <c r="AK65" s="909"/>
      <c r="AL65" s="1050">
        <f>SUM(AL66:AL69)+AL81</f>
        <v>0</v>
      </c>
      <c r="AM65" s="1048">
        <f>SUM(AM66:AM69)+AM81</f>
        <v>0</v>
      </c>
      <c r="AN65" s="909"/>
      <c r="AO65" s="863"/>
      <c r="AP65" s="863"/>
      <c r="AQ65" s="863"/>
      <c r="AR65" s="863"/>
      <c r="AS65" s="863"/>
      <c r="AT65" s="863"/>
      <c r="AU65" s="863"/>
      <c r="AV65" s="863"/>
      <c r="AW65" s="863"/>
      <c r="AX65" s="863"/>
      <c r="AY65" s="863"/>
      <c r="AZ65" s="863"/>
      <c r="BA65" s="1035"/>
      <c r="BB65" s="1035"/>
      <c r="BC65" s="1035"/>
      <c r="BD65" s="1035"/>
      <c r="BE65" s="1035"/>
      <c r="BF65" s="1035"/>
      <c r="BG65" s="1035"/>
      <c r="BH65" s="1035"/>
      <c r="BI65" s="1035"/>
      <c r="BJ65" s="1035"/>
      <c r="BK65" s="1035"/>
      <c r="BL65" s="1035"/>
      <c r="BM65" s="1035"/>
      <c r="BN65" s="1035"/>
      <c r="BO65" s="1035"/>
      <c r="BP65" s="1035"/>
      <c r="BQ65" s="1035"/>
      <c r="BR65" s="1035"/>
    </row>
    <row r="66" spans="1:70" s="1035" customFormat="1" ht="24.95" customHeight="1">
      <c r="A66" s="1104">
        <f>+IF(ENERO!A66=0,"",ENERO!A66)</f>
        <v>1130114</v>
      </c>
      <c r="B66" s="1138" t="str">
        <f>+IF(ENERO!B66=0,"",ENERO!B66)</f>
        <v xml:space="preserve">COMPAÑIAS DE SEGUROS  - PLANES DE SALUD  </v>
      </c>
      <c r="C66" s="1106">
        <f t="shared" ref="C66:N66" si="73">SUM(C67:C68)</f>
        <v>0</v>
      </c>
      <c r="D66" s="1139">
        <f t="shared" si="73"/>
        <v>0</v>
      </c>
      <c r="E66" s="1139">
        <f t="shared" si="73"/>
        <v>0</v>
      </c>
      <c r="F66" s="1139">
        <f t="shared" si="73"/>
        <v>0</v>
      </c>
      <c r="G66" s="1139">
        <f t="shared" si="73"/>
        <v>71783512</v>
      </c>
      <c r="H66" s="1139">
        <f t="shared" si="73"/>
        <v>16615739</v>
      </c>
      <c r="I66" s="1139">
        <f t="shared" si="73"/>
        <v>88399251</v>
      </c>
      <c r="J66" s="1139">
        <f t="shared" si="73"/>
        <v>2889705</v>
      </c>
      <c r="K66" s="1139">
        <f t="shared" si="73"/>
        <v>4215634</v>
      </c>
      <c r="L66" s="1139">
        <f t="shared" si="73"/>
        <v>7105339</v>
      </c>
      <c r="M66" s="1139">
        <f t="shared" si="73"/>
        <v>-88399251</v>
      </c>
      <c r="N66" s="1107">
        <f t="shared" si="73"/>
        <v>-7105339</v>
      </c>
      <c r="P66" s="1106">
        <f>SUM(P67:P68)</f>
        <v>0</v>
      </c>
      <c r="Q66" s="1107">
        <f>SUM(Q67:Q68)</f>
        <v>0</v>
      </c>
      <c r="R66" s="909"/>
      <c r="S66" s="1083">
        <f>+IF(ENERO!S66=0,"",ENERO!S66)</f>
        <v>1020101</v>
      </c>
      <c r="T66" s="1084" t="str">
        <f>+IF(ENERO!T66=0,"",ENERO!T66)</f>
        <v>Sueldos del Personal de nómina</v>
      </c>
      <c r="U66" s="1085">
        <f>+ENERO!U66</f>
        <v>893219355</v>
      </c>
      <c r="V66" s="1033">
        <f>ENERO!V66+FEBRERO!AL66</f>
        <v>0</v>
      </c>
      <c r="W66" s="1033">
        <f>ENERO!W66+FEBRERO!AM66</f>
        <v>0</v>
      </c>
      <c r="X66" s="1086">
        <f>SUM(U66:W66)</f>
        <v>893219355</v>
      </c>
      <c r="Y66" s="1087">
        <f>ENERO!AA66</f>
        <v>63309395</v>
      </c>
      <c r="Z66" s="1020">
        <v>67676703</v>
      </c>
      <c r="AA66" s="1088">
        <f>SUM(Y66:Z66)</f>
        <v>130986098</v>
      </c>
      <c r="AB66" s="1087">
        <f>ENERO!AD66</f>
        <v>63309395</v>
      </c>
      <c r="AC66" s="1020">
        <v>67676703</v>
      </c>
      <c r="AD66" s="1086">
        <f>SUM(AB66:AC66)</f>
        <v>130986098</v>
      </c>
      <c r="AE66" s="1087">
        <f>ENERO!AG66</f>
        <v>63309395</v>
      </c>
      <c r="AF66" s="1020">
        <v>67676703</v>
      </c>
      <c r="AG66" s="1086">
        <f>SUM(AE66:AF66)</f>
        <v>130986098</v>
      </c>
      <c r="AH66" s="1087">
        <f>X66-AA66</f>
        <v>762233257</v>
      </c>
      <c r="AI66" s="1033">
        <f>X66-AD66</f>
        <v>762233257</v>
      </c>
      <c r="AJ66" s="1086">
        <f>X66-AG66</f>
        <v>762233257</v>
      </c>
      <c r="AK66" s="909"/>
      <c r="AL66" s="1089">
        <v>0</v>
      </c>
      <c r="AM66" s="1023">
        <v>0</v>
      </c>
      <c r="AN66" s="909"/>
      <c r="AO66" s="863"/>
      <c r="AP66" s="863"/>
      <c r="AQ66" s="863"/>
      <c r="AR66" s="863"/>
      <c r="AS66" s="863"/>
      <c r="AT66" s="863"/>
      <c r="AU66" s="863"/>
      <c r="AV66" s="863"/>
      <c r="AW66" s="863"/>
      <c r="AX66" s="863"/>
      <c r="AY66" s="863"/>
      <c r="AZ66" s="863"/>
      <c r="BR66" s="1127"/>
    </row>
    <row r="67" spans="1:70" s="1127" customFormat="1" ht="24.95" customHeight="1">
      <c r="A67" s="1014" t="str">
        <f>+IF(ENERO!A67=0,"",ENERO!A67)</f>
        <v>1130114-1</v>
      </c>
      <c r="B67" s="1150" t="str">
        <f>+CONCATENATE("Vigencia ",INSTRUCCIONES!$F$3)</f>
        <v>Vigencia 2017</v>
      </c>
      <c r="C67" s="1016">
        <f>+ENERO!C67</f>
        <v>0</v>
      </c>
      <c r="D67" s="1017">
        <f>ENERO!D67+FEBRERO!P67</f>
        <v>0</v>
      </c>
      <c r="E67" s="1017">
        <f>ENERO!E67+FEBRERO!Q67</f>
        <v>0</v>
      </c>
      <c r="F67" s="1017">
        <f>SUM(C67:E67)</f>
        <v>0</v>
      </c>
      <c r="G67" s="1017">
        <f>ENERO!I67</f>
        <v>68893807</v>
      </c>
      <c r="H67" s="1020">
        <v>12400105</v>
      </c>
      <c r="I67" s="1017">
        <f>SUM(G67:H67)</f>
        <v>81293912</v>
      </c>
      <c r="J67" s="1017">
        <f>ENERO!L67</f>
        <v>0</v>
      </c>
      <c r="K67" s="1020">
        <v>0</v>
      </c>
      <c r="L67" s="1017">
        <f>SUM(J67:K67)</f>
        <v>0</v>
      </c>
      <c r="M67" s="1017">
        <f>F67-I67</f>
        <v>-81293912</v>
      </c>
      <c r="N67" s="1018">
        <f>F67-L67</f>
        <v>0</v>
      </c>
      <c r="O67" s="1035"/>
      <c r="P67" s="1022">
        <v>0</v>
      </c>
      <c r="Q67" s="1023">
        <v>0</v>
      </c>
      <c r="R67" s="909"/>
      <c r="S67" s="1083">
        <f>+IF(ENERO!S67=0,"",ENERO!S67)</f>
        <v>1020102</v>
      </c>
      <c r="T67" s="1084" t="str">
        <f>+IF(ENERO!T67=0,"",ENERO!T67)</f>
        <v>Horas Extras,Dominic.,Festivos y Rec. Nocturnos</v>
      </c>
      <c r="U67" s="1085">
        <f>+ENERO!U67</f>
        <v>36988810</v>
      </c>
      <c r="V67" s="1033">
        <f>ENERO!V67+FEBRERO!AL67</f>
        <v>0</v>
      </c>
      <c r="W67" s="1033">
        <f>ENERO!W67+FEBRERO!AM67</f>
        <v>0</v>
      </c>
      <c r="X67" s="1086">
        <f>SUM(U67:W67)</f>
        <v>36988810</v>
      </c>
      <c r="Y67" s="1087">
        <f>ENERO!AA67</f>
        <v>6841937</v>
      </c>
      <c r="Z67" s="1020">
        <v>5979019</v>
      </c>
      <c r="AA67" s="1088">
        <f>SUM(Y67:Z67)</f>
        <v>12820956</v>
      </c>
      <c r="AB67" s="1087">
        <f>ENERO!AD67</f>
        <v>6841937</v>
      </c>
      <c r="AC67" s="1020">
        <v>5979019</v>
      </c>
      <c r="AD67" s="1086">
        <f>SUM(AB67:AC67)</f>
        <v>12820956</v>
      </c>
      <c r="AE67" s="1087">
        <f>ENERO!AG67</f>
        <v>6841937</v>
      </c>
      <c r="AF67" s="1020">
        <v>5979019</v>
      </c>
      <c r="AG67" s="1086">
        <f>SUM(AE67:AF67)</f>
        <v>12820956</v>
      </c>
      <c r="AH67" s="1087">
        <f>X67-AA67</f>
        <v>24167854</v>
      </c>
      <c r="AI67" s="1033">
        <f>X67-AD67</f>
        <v>24167854</v>
      </c>
      <c r="AJ67" s="1086">
        <f>X67-AG67</f>
        <v>24167854</v>
      </c>
      <c r="AK67" s="909"/>
      <c r="AL67" s="1089">
        <v>0</v>
      </c>
      <c r="AM67" s="1023">
        <v>0</v>
      </c>
      <c r="AN67" s="909"/>
      <c r="AO67" s="863"/>
      <c r="AP67" s="863"/>
      <c r="AQ67" s="863"/>
      <c r="AR67" s="863"/>
      <c r="AS67" s="863"/>
      <c r="AT67" s="863"/>
      <c r="AU67" s="863"/>
      <c r="AV67" s="863"/>
      <c r="AW67" s="863"/>
      <c r="AX67" s="863"/>
      <c r="AY67" s="863"/>
      <c r="AZ67" s="863"/>
      <c r="BA67" s="1035"/>
      <c r="BB67" s="1035"/>
      <c r="BC67" s="1035"/>
      <c r="BD67" s="1035"/>
      <c r="BE67" s="1035"/>
      <c r="BF67" s="1035"/>
      <c r="BG67" s="1035"/>
      <c r="BH67" s="1035"/>
      <c r="BI67" s="1035"/>
      <c r="BJ67" s="1035"/>
      <c r="BK67" s="1035"/>
      <c r="BL67" s="1035"/>
      <c r="BM67" s="1035"/>
      <c r="BN67" s="1035"/>
      <c r="BO67" s="1035"/>
      <c r="BP67" s="1035"/>
      <c r="BQ67" s="1035"/>
    </row>
    <row r="68" spans="1:70" s="1127" customFormat="1" ht="24.95" customHeight="1">
      <c r="A68" s="1014" t="str">
        <f>+IF(ENERO!A68=0,"",ENERO!A68)</f>
        <v>1130114-2</v>
      </c>
      <c r="B68" s="1150" t="str">
        <f>+IF(ENERO!B68=0,"",ENERO!B68)</f>
        <v>Vigencia Anterior</v>
      </c>
      <c r="C68" s="1016">
        <f>+ENERO!C68</f>
        <v>0</v>
      </c>
      <c r="D68" s="1017">
        <f>ENERO!D68+FEBRERO!P68</f>
        <v>0</v>
      </c>
      <c r="E68" s="1017">
        <f>ENERO!E68+FEBRERO!Q68</f>
        <v>0</v>
      </c>
      <c r="F68" s="1017">
        <f>SUM(C68:E68)</f>
        <v>0</v>
      </c>
      <c r="G68" s="1017">
        <f>ENERO!I68</f>
        <v>2889705</v>
      </c>
      <c r="H68" s="1020">
        <v>4215634</v>
      </c>
      <c r="I68" s="1017">
        <f>SUM(G68:H68)</f>
        <v>7105339</v>
      </c>
      <c r="J68" s="1017">
        <f>ENERO!L68</f>
        <v>2889705</v>
      </c>
      <c r="K68" s="1020">
        <v>4215634</v>
      </c>
      <c r="L68" s="1017">
        <f>SUM(J68:K68)</f>
        <v>7105339</v>
      </c>
      <c r="M68" s="1017">
        <f>F68-I68</f>
        <v>-7105339</v>
      </c>
      <c r="N68" s="1018">
        <f>F68-L68</f>
        <v>-7105339</v>
      </c>
      <c r="O68" s="1035"/>
      <c r="P68" s="1022">
        <v>0</v>
      </c>
      <c r="Q68" s="1023">
        <v>0</v>
      </c>
      <c r="R68" s="909"/>
      <c r="S68" s="1083">
        <f>+IF(ENERO!S68=0,"",ENERO!S68)</f>
        <v>1020103</v>
      </c>
      <c r="T68" s="1084" t="str">
        <f>+IF(ENERO!T68=0,"",ENERO!T68)</f>
        <v>Prima Técnica</v>
      </c>
      <c r="U68" s="1085">
        <f>+ENERO!U68</f>
        <v>0</v>
      </c>
      <c r="V68" s="1033">
        <f>ENERO!V68+FEBRERO!AL68</f>
        <v>0</v>
      </c>
      <c r="W68" s="1033">
        <f>ENERO!W68+FEBRERO!AM68</f>
        <v>0</v>
      </c>
      <c r="X68" s="1086">
        <f>SUM(U68:W68)</f>
        <v>0</v>
      </c>
      <c r="Y68" s="1087">
        <f>ENERO!AA68</f>
        <v>0</v>
      </c>
      <c r="Z68" s="1020">
        <v>0</v>
      </c>
      <c r="AA68" s="1088">
        <f>SUM(Y68:Z68)</f>
        <v>0</v>
      </c>
      <c r="AB68" s="1087">
        <f>ENERO!AD68</f>
        <v>0</v>
      </c>
      <c r="AC68" s="1020">
        <v>0</v>
      </c>
      <c r="AD68" s="1086">
        <f>SUM(AB68:AC68)</f>
        <v>0</v>
      </c>
      <c r="AE68" s="1087">
        <f>ENERO!AG68</f>
        <v>0</v>
      </c>
      <c r="AF68" s="1020">
        <v>0</v>
      </c>
      <c r="AG68" s="1086">
        <f>SUM(AE68:AF68)</f>
        <v>0</v>
      </c>
      <c r="AH68" s="1087">
        <f>X68-AA68</f>
        <v>0</v>
      </c>
      <c r="AI68" s="1033">
        <f>X68-AD68</f>
        <v>0</v>
      </c>
      <c r="AJ68" s="1086">
        <f>X68-AG68</f>
        <v>0</v>
      </c>
      <c r="AK68" s="909"/>
      <c r="AL68" s="1089">
        <v>0</v>
      </c>
      <c r="AM68" s="1023">
        <v>0</v>
      </c>
      <c r="AN68" s="909"/>
      <c r="AO68" s="863"/>
      <c r="AP68" s="863"/>
      <c r="AQ68" s="863"/>
      <c r="AR68" s="863"/>
      <c r="AS68" s="863"/>
      <c r="AT68" s="863"/>
      <c r="AU68" s="863"/>
      <c r="AV68" s="863"/>
      <c r="AW68" s="863"/>
      <c r="AX68" s="863"/>
      <c r="AY68" s="863"/>
      <c r="AZ68" s="863"/>
      <c r="BA68" s="1035"/>
      <c r="BB68" s="1035"/>
      <c r="BC68" s="1035"/>
      <c r="BD68" s="1035"/>
      <c r="BE68" s="1035"/>
      <c r="BF68" s="1035"/>
      <c r="BG68" s="1035"/>
      <c r="BH68" s="1035"/>
      <c r="BI68" s="1035"/>
      <c r="BJ68" s="1035"/>
      <c r="BK68" s="1035"/>
      <c r="BL68" s="1035"/>
      <c r="BM68" s="1035"/>
      <c r="BN68" s="1035"/>
      <c r="BO68" s="1035"/>
      <c r="BP68" s="1035"/>
      <c r="BQ68" s="1035"/>
      <c r="BR68" s="1035"/>
    </row>
    <row r="69" spans="1:70" s="1035" customFormat="1" ht="24.95" customHeight="1">
      <c r="A69" s="1104">
        <f>+IF(ENERO!A69=0,"",ENERO!A69)</f>
        <v>1130115</v>
      </c>
      <c r="B69" s="1138" t="str">
        <f>+IF(ENERO!B69=0,"",ENERO!B69)</f>
        <v>ENTIDADES DE REGIMEN ESPECIAL (Magisterio, Fuerza Pca.)</v>
      </c>
      <c r="C69" s="1106">
        <f t="shared" ref="C69:N69" si="74">SUM(C70:C71)</f>
        <v>1373481412</v>
      </c>
      <c r="D69" s="1139">
        <f t="shared" si="74"/>
        <v>0</v>
      </c>
      <c r="E69" s="1139">
        <f t="shared" si="74"/>
        <v>117256520</v>
      </c>
      <c r="F69" s="1139">
        <f t="shared" si="74"/>
        <v>1490737932</v>
      </c>
      <c r="G69" s="1139">
        <f t="shared" si="74"/>
        <v>433673164</v>
      </c>
      <c r="H69" s="1139">
        <f t="shared" si="74"/>
        <v>525692522</v>
      </c>
      <c r="I69" s="1139">
        <f t="shared" si="74"/>
        <v>959365686</v>
      </c>
      <c r="J69" s="1139">
        <f t="shared" si="74"/>
        <v>121657583</v>
      </c>
      <c r="K69" s="1139">
        <f t="shared" si="74"/>
        <v>306419824</v>
      </c>
      <c r="L69" s="1139">
        <f t="shared" si="74"/>
        <v>428077407</v>
      </c>
      <c r="M69" s="1139">
        <f t="shared" si="74"/>
        <v>531372246</v>
      </c>
      <c r="N69" s="1107">
        <f t="shared" si="74"/>
        <v>1062660525</v>
      </c>
      <c r="P69" s="1106">
        <f>SUM(P70:P71)</f>
        <v>0</v>
      </c>
      <c r="Q69" s="1107">
        <f>SUM(Q70:Q71)</f>
        <v>0</v>
      </c>
      <c r="R69" s="909"/>
      <c r="S69" s="1083">
        <f>+IF(ENERO!S69=0,"",ENERO!S69)</f>
        <v>1020104</v>
      </c>
      <c r="T69" s="1084" t="str">
        <f>+IF(ENERO!T69=0,"",ENERO!T69)</f>
        <v>Otros</v>
      </c>
      <c r="U69" s="1085">
        <f t="shared" ref="U69:AJ69" si="75">SUM(U70:U80)</f>
        <v>280545529</v>
      </c>
      <c r="V69" s="1033">
        <f t="shared" si="75"/>
        <v>0</v>
      </c>
      <c r="W69" s="1033">
        <f t="shared" si="75"/>
        <v>0</v>
      </c>
      <c r="X69" s="1086">
        <f t="shared" si="75"/>
        <v>280545529</v>
      </c>
      <c r="Y69" s="1087">
        <f t="shared" si="75"/>
        <v>12375906</v>
      </c>
      <c r="Z69" s="1198">
        <f t="shared" si="75"/>
        <v>40512401</v>
      </c>
      <c r="AA69" s="1088">
        <f t="shared" si="75"/>
        <v>52888307</v>
      </c>
      <c r="AB69" s="1087">
        <f t="shared" si="75"/>
        <v>12375906</v>
      </c>
      <c r="AC69" s="1198">
        <f t="shared" si="75"/>
        <v>40512401</v>
      </c>
      <c r="AD69" s="1086">
        <f t="shared" si="75"/>
        <v>52888307</v>
      </c>
      <c r="AE69" s="1087">
        <f t="shared" si="75"/>
        <v>12375906</v>
      </c>
      <c r="AF69" s="1198">
        <f t="shared" si="75"/>
        <v>40512401</v>
      </c>
      <c r="AG69" s="1086">
        <f t="shared" si="75"/>
        <v>52888307</v>
      </c>
      <c r="AH69" s="1087">
        <f t="shared" si="75"/>
        <v>227657222</v>
      </c>
      <c r="AI69" s="1033">
        <f t="shared" si="75"/>
        <v>227657222</v>
      </c>
      <c r="AJ69" s="1086">
        <f t="shared" si="75"/>
        <v>227657222</v>
      </c>
      <c r="AK69" s="909"/>
      <c r="AL69" s="1117">
        <f>SUM(AL70:AL80)</f>
        <v>0</v>
      </c>
      <c r="AM69" s="1118">
        <f>SUM(AM70:AM80)</f>
        <v>0</v>
      </c>
      <c r="AN69" s="909"/>
      <c r="AO69" s="863"/>
      <c r="AP69" s="863"/>
      <c r="AQ69" s="863"/>
      <c r="AR69" s="863"/>
      <c r="AS69" s="863"/>
      <c r="AT69" s="863"/>
      <c r="AU69" s="863"/>
      <c r="AV69" s="863"/>
      <c r="AW69" s="863"/>
      <c r="AX69" s="863"/>
      <c r="AY69" s="863"/>
      <c r="AZ69" s="863"/>
      <c r="BR69" s="1127"/>
    </row>
    <row r="70" spans="1:70" s="1127" customFormat="1" ht="24.95" customHeight="1">
      <c r="A70" s="1014" t="str">
        <f>+IF(ENERO!A70=0,"",ENERO!A70)</f>
        <v>1130115-1</v>
      </c>
      <c r="B70" s="1150" t="str">
        <f>+CONCATENATE("Vigencia ",INSTRUCCIONES!$F$3)</f>
        <v>Vigencia 2017</v>
      </c>
      <c r="C70" s="1016">
        <f>+ENERO!C70</f>
        <v>1373481412</v>
      </c>
      <c r="D70" s="1017">
        <f>ENERO!D70+FEBRERO!P70</f>
        <v>0</v>
      </c>
      <c r="E70" s="1017">
        <f>ENERO!E70+FEBRERO!Q70</f>
        <v>0</v>
      </c>
      <c r="F70" s="1017">
        <f>SUM(C70:E70)</f>
        <v>1373481412</v>
      </c>
      <c r="G70" s="1017">
        <f>ENERO!I70</f>
        <v>312015581</v>
      </c>
      <c r="H70" s="1020">
        <v>219272698</v>
      </c>
      <c r="I70" s="1017">
        <f>SUM(G70:H70)</f>
        <v>531288279</v>
      </c>
      <c r="J70" s="1017">
        <f>ENERO!L70</f>
        <v>0</v>
      </c>
      <c r="K70" s="1020">
        <v>0</v>
      </c>
      <c r="L70" s="1017">
        <f>SUM(J70:K70)</f>
        <v>0</v>
      </c>
      <c r="M70" s="1017">
        <f>F70-I70</f>
        <v>842193133</v>
      </c>
      <c r="N70" s="1018">
        <f>F70-L70</f>
        <v>1373481412</v>
      </c>
      <c r="O70" s="1035"/>
      <c r="P70" s="1022">
        <v>0</v>
      </c>
      <c r="Q70" s="1023">
        <v>0</v>
      </c>
      <c r="R70" s="909"/>
      <c r="S70" s="1130" t="str">
        <f>+IF(ENERO!S70=0,"",ENERO!S70)</f>
        <v>1020104-1</v>
      </c>
      <c r="T70" s="1131" t="str">
        <f>+IF(ENERO!T70=0,"",ENERO!T70)</f>
        <v xml:space="preserve">Prima de Navidad </v>
      </c>
      <c r="U70" s="1085">
        <f>+ENERO!U70</f>
        <v>72165521</v>
      </c>
      <c r="V70" s="1033">
        <f>ENERO!V70+FEBRERO!AL70</f>
        <v>0</v>
      </c>
      <c r="W70" s="1033">
        <f>ENERO!W70+FEBRERO!AM70</f>
        <v>0</v>
      </c>
      <c r="X70" s="1086">
        <f t="shared" ref="X70:X81" si="76">SUM(U70:W70)</f>
        <v>72165521</v>
      </c>
      <c r="Y70" s="1087">
        <f>ENERO!AA70</f>
        <v>0</v>
      </c>
      <c r="Z70" s="1020">
        <v>0</v>
      </c>
      <c r="AA70" s="1088">
        <f t="shared" ref="AA70:AA81" si="77">SUM(Y70:Z70)</f>
        <v>0</v>
      </c>
      <c r="AB70" s="1087">
        <f>ENERO!AD70</f>
        <v>0</v>
      </c>
      <c r="AC70" s="1020">
        <v>0</v>
      </c>
      <c r="AD70" s="1086">
        <f t="shared" ref="AD70:AD81" si="78">SUM(AB70:AC70)</f>
        <v>0</v>
      </c>
      <c r="AE70" s="1087">
        <f>ENERO!AG70</f>
        <v>0</v>
      </c>
      <c r="AF70" s="1020">
        <v>0</v>
      </c>
      <c r="AG70" s="1086">
        <f t="shared" ref="AG70:AG81" si="79">SUM(AE70:AF70)</f>
        <v>0</v>
      </c>
      <c r="AH70" s="1087">
        <f t="shared" ref="AH70:AH81" si="80">X70-AA70</f>
        <v>72165521</v>
      </c>
      <c r="AI70" s="1033">
        <f t="shared" ref="AI70:AI81" si="81">X70-AD70</f>
        <v>72165521</v>
      </c>
      <c r="AJ70" s="1086">
        <f t="shared" ref="AJ70:AJ81" si="82">X70-AG70</f>
        <v>72165521</v>
      </c>
      <c r="AK70" s="909"/>
      <c r="AL70" s="1089">
        <v>0</v>
      </c>
      <c r="AM70" s="1023">
        <v>0</v>
      </c>
      <c r="AN70" s="909"/>
      <c r="AO70" s="863"/>
      <c r="AP70" s="863"/>
      <c r="AQ70" s="863"/>
      <c r="AR70" s="863"/>
      <c r="AS70" s="863"/>
      <c r="AT70" s="863"/>
      <c r="AU70" s="863"/>
      <c r="AV70" s="863"/>
      <c r="AW70" s="863"/>
      <c r="AX70" s="863"/>
      <c r="AY70" s="863"/>
      <c r="AZ70" s="863"/>
      <c r="BA70" s="1035"/>
      <c r="BB70" s="1035"/>
      <c r="BC70" s="1035"/>
      <c r="BD70" s="1035"/>
      <c r="BE70" s="1035"/>
      <c r="BF70" s="1035"/>
      <c r="BG70" s="1035"/>
      <c r="BH70" s="1035"/>
      <c r="BI70" s="1035"/>
      <c r="BJ70" s="1035"/>
      <c r="BK70" s="1035"/>
      <c r="BL70" s="1035"/>
      <c r="BM70" s="1035"/>
      <c r="BN70" s="1035"/>
      <c r="BO70" s="1035"/>
      <c r="BP70" s="1035"/>
      <c r="BQ70" s="1035"/>
    </row>
    <row r="71" spans="1:70" s="1127" customFormat="1" ht="24.95" customHeight="1">
      <c r="A71" s="1014" t="str">
        <f>+IF(ENERO!A71=0,"",ENERO!A71)</f>
        <v>1130115-2</v>
      </c>
      <c r="B71" s="1150" t="str">
        <f>+IF(ENERO!B71=0,"",ENERO!B71)</f>
        <v>Vigencia Anterior</v>
      </c>
      <c r="C71" s="1016">
        <f>+ENERO!C71</f>
        <v>0</v>
      </c>
      <c r="D71" s="1017">
        <f>ENERO!D71+FEBRERO!P71</f>
        <v>0</v>
      </c>
      <c r="E71" s="1017">
        <f>ENERO!E71+FEBRERO!Q71</f>
        <v>117256520</v>
      </c>
      <c r="F71" s="1017">
        <f>SUM(C71:E71)</f>
        <v>117256520</v>
      </c>
      <c r="G71" s="1017">
        <f>ENERO!I71</f>
        <v>121657583</v>
      </c>
      <c r="H71" s="1020">
        <v>306419824</v>
      </c>
      <c r="I71" s="1017">
        <f>SUM(G71:H71)</f>
        <v>428077407</v>
      </c>
      <c r="J71" s="1017">
        <f>ENERO!L71</f>
        <v>121657583</v>
      </c>
      <c r="K71" s="1020">
        <v>306419824</v>
      </c>
      <c r="L71" s="1017">
        <f>SUM(J71:K71)</f>
        <v>428077407</v>
      </c>
      <c r="M71" s="1017">
        <f>F71-I71</f>
        <v>-310820887</v>
      </c>
      <c r="N71" s="1018">
        <f>F71-L71</f>
        <v>-310820887</v>
      </c>
      <c r="O71" s="1035"/>
      <c r="P71" s="1022">
        <v>0</v>
      </c>
      <c r="Q71" s="1023">
        <v>0</v>
      </c>
      <c r="R71" s="909"/>
      <c r="S71" s="1130" t="str">
        <f>+IF(ENERO!S71=0,"",ENERO!S71)</f>
        <v>1020104-2</v>
      </c>
      <c r="T71" s="1131" t="str">
        <f>+IF(ENERO!T71=0,"",ENERO!T71)</f>
        <v>Prima Vida Cara</v>
      </c>
      <c r="U71" s="1085">
        <f>+ENERO!U71</f>
        <v>65329386</v>
      </c>
      <c r="V71" s="1033">
        <f>ENERO!V71+FEBRERO!AL71</f>
        <v>0</v>
      </c>
      <c r="W71" s="1033">
        <f>ENERO!W71+FEBRERO!AM71</f>
        <v>0</v>
      </c>
      <c r="X71" s="1086">
        <f t="shared" si="76"/>
        <v>65329386</v>
      </c>
      <c r="Y71" s="1087">
        <f>ENERO!AA71</f>
        <v>0</v>
      </c>
      <c r="Z71" s="1020">
        <v>32455774</v>
      </c>
      <c r="AA71" s="1088">
        <f t="shared" si="77"/>
        <v>32455774</v>
      </c>
      <c r="AB71" s="1087">
        <f>ENERO!AD71</f>
        <v>0</v>
      </c>
      <c r="AC71" s="1020">
        <v>32455774</v>
      </c>
      <c r="AD71" s="1086">
        <f t="shared" si="78"/>
        <v>32455774</v>
      </c>
      <c r="AE71" s="1087">
        <f>ENERO!AG71</f>
        <v>0</v>
      </c>
      <c r="AF71" s="1020">
        <v>32455774</v>
      </c>
      <c r="AG71" s="1086">
        <f t="shared" si="79"/>
        <v>32455774</v>
      </c>
      <c r="AH71" s="1087">
        <f t="shared" si="80"/>
        <v>32873612</v>
      </c>
      <c r="AI71" s="1033">
        <f t="shared" si="81"/>
        <v>32873612</v>
      </c>
      <c r="AJ71" s="1086">
        <f t="shared" si="82"/>
        <v>32873612</v>
      </c>
      <c r="AK71" s="909"/>
      <c r="AL71" s="1089">
        <v>0</v>
      </c>
      <c r="AM71" s="1023">
        <v>0</v>
      </c>
      <c r="AN71" s="909"/>
      <c r="AO71" s="863"/>
      <c r="AP71" s="863"/>
      <c r="AQ71" s="863"/>
      <c r="AR71" s="863"/>
      <c r="AS71" s="863"/>
      <c r="AT71" s="863"/>
      <c r="AU71" s="863"/>
      <c r="AV71" s="863"/>
      <c r="AW71" s="863"/>
      <c r="AX71" s="863"/>
      <c r="AY71" s="863"/>
      <c r="AZ71" s="863"/>
      <c r="BA71" s="1035"/>
      <c r="BB71" s="1035"/>
      <c r="BC71" s="1035"/>
      <c r="BD71" s="1035"/>
      <c r="BE71" s="1035"/>
      <c r="BF71" s="1035"/>
      <c r="BG71" s="1035"/>
      <c r="BH71" s="1035"/>
      <c r="BI71" s="1035"/>
      <c r="BJ71" s="1035"/>
      <c r="BK71" s="1035"/>
      <c r="BL71" s="1035"/>
      <c r="BM71" s="1035"/>
      <c r="BN71" s="1035"/>
      <c r="BO71" s="1035"/>
      <c r="BP71" s="1035"/>
      <c r="BQ71" s="1035"/>
      <c r="BR71" s="1035"/>
    </row>
    <row r="72" spans="1:70" s="1035" customFormat="1" ht="24.95" customHeight="1">
      <c r="A72" s="1104">
        <f>+IF(ENERO!A72=0,"",ENERO!A72)</f>
        <v>1130116</v>
      </c>
      <c r="B72" s="1138" t="str">
        <f>+IF(ENERO!B72=0,"",ENERO!B72)</f>
        <v>ADMINISTRADORAS DE RIESGOS PROFESIONALES</v>
      </c>
      <c r="C72" s="1106">
        <f t="shared" ref="C72:N72" si="83">SUM(C73:C74)</f>
        <v>474083630</v>
      </c>
      <c r="D72" s="1139">
        <f t="shared" si="83"/>
        <v>0</v>
      </c>
      <c r="E72" s="1139">
        <f t="shared" si="83"/>
        <v>2426919</v>
      </c>
      <c r="F72" s="1139">
        <f t="shared" si="83"/>
        <v>476510549</v>
      </c>
      <c r="G72" s="1139">
        <f t="shared" si="83"/>
        <v>34773759</v>
      </c>
      <c r="H72" s="1139">
        <f t="shared" si="83"/>
        <v>44111093</v>
      </c>
      <c r="I72" s="1139">
        <f t="shared" si="83"/>
        <v>78884852</v>
      </c>
      <c r="J72" s="1139">
        <f t="shared" si="83"/>
        <v>25024641</v>
      </c>
      <c r="K72" s="1139">
        <f t="shared" si="83"/>
        <v>32148149</v>
      </c>
      <c r="L72" s="1139">
        <f t="shared" si="83"/>
        <v>57172790</v>
      </c>
      <c r="M72" s="1139">
        <f t="shared" si="83"/>
        <v>397625697</v>
      </c>
      <c r="N72" s="1107">
        <f t="shared" si="83"/>
        <v>419337759</v>
      </c>
      <c r="P72" s="1106">
        <f>SUM(P73:P74)</f>
        <v>0</v>
      </c>
      <c r="Q72" s="1107">
        <f>SUM(Q73:Q74)</f>
        <v>0</v>
      </c>
      <c r="R72" s="909"/>
      <c r="S72" s="1130" t="str">
        <f>+IF(ENERO!S72=0,"",ENERO!S72)</f>
        <v>1020104-3</v>
      </c>
      <c r="T72" s="1131" t="str">
        <f>+IF(ENERO!T72=0,"",ENERO!T72)</f>
        <v>Prima de Vacaciones</v>
      </c>
      <c r="U72" s="1085">
        <f>+ENERO!U72</f>
        <v>34829886</v>
      </c>
      <c r="V72" s="1033">
        <f>ENERO!V72+FEBRERO!AL72</f>
        <v>0</v>
      </c>
      <c r="W72" s="1033">
        <f>ENERO!W72+FEBRERO!AM72</f>
        <v>0</v>
      </c>
      <c r="X72" s="1086">
        <f t="shared" si="76"/>
        <v>34829886</v>
      </c>
      <c r="Y72" s="1087">
        <f>ENERO!AA72</f>
        <v>4228052</v>
      </c>
      <c r="Z72" s="1020">
        <v>851905</v>
      </c>
      <c r="AA72" s="1088">
        <f t="shared" si="77"/>
        <v>5079957</v>
      </c>
      <c r="AB72" s="1087">
        <f>ENERO!AD72</f>
        <v>4228052</v>
      </c>
      <c r="AC72" s="1020">
        <v>851905</v>
      </c>
      <c r="AD72" s="1086">
        <f t="shared" si="78"/>
        <v>5079957</v>
      </c>
      <c r="AE72" s="1087">
        <f>ENERO!AG72</f>
        <v>4228052</v>
      </c>
      <c r="AF72" s="1020">
        <v>851905</v>
      </c>
      <c r="AG72" s="1086">
        <f t="shared" si="79"/>
        <v>5079957</v>
      </c>
      <c r="AH72" s="1087">
        <f t="shared" si="80"/>
        <v>29749929</v>
      </c>
      <c r="AI72" s="1033">
        <f t="shared" si="81"/>
        <v>29749929</v>
      </c>
      <c r="AJ72" s="1086">
        <f t="shared" si="82"/>
        <v>29749929</v>
      </c>
      <c r="AK72" s="909"/>
      <c r="AL72" s="1089">
        <v>0</v>
      </c>
      <c r="AM72" s="1023">
        <v>0</v>
      </c>
      <c r="AN72" s="909"/>
      <c r="AO72" s="863"/>
      <c r="AP72" s="863"/>
      <c r="AQ72" s="863"/>
      <c r="AR72" s="863"/>
      <c r="AS72" s="863"/>
      <c r="AT72" s="863"/>
      <c r="AU72" s="863"/>
      <c r="AV72" s="863"/>
      <c r="AW72" s="863"/>
      <c r="AX72" s="863"/>
      <c r="AY72" s="863"/>
      <c r="AZ72" s="863"/>
      <c r="BR72" s="1127"/>
    </row>
    <row r="73" spans="1:70" s="1127" customFormat="1" ht="24.95" customHeight="1">
      <c r="A73" s="1014" t="str">
        <f>+IF(ENERO!A73=0,"",ENERO!A73)</f>
        <v>1130116-1</v>
      </c>
      <c r="B73" s="1150" t="str">
        <f>+CONCATENATE("Vigencia ",INSTRUCCIONES!$F$3)</f>
        <v>Vigencia 2017</v>
      </c>
      <c r="C73" s="1016">
        <f>+ENERO!C73</f>
        <v>474083630</v>
      </c>
      <c r="D73" s="1017">
        <f>ENERO!D73+FEBRERO!P73</f>
        <v>0</v>
      </c>
      <c r="E73" s="1017">
        <f>ENERO!E73+FEBRERO!Q73</f>
        <v>0</v>
      </c>
      <c r="F73" s="1017">
        <f>SUM(C73:E73)</f>
        <v>474083630</v>
      </c>
      <c r="G73" s="1017">
        <f>ENERO!I73</f>
        <v>9749118</v>
      </c>
      <c r="H73" s="1020">
        <v>11962944</v>
      </c>
      <c r="I73" s="1017">
        <f>SUM(G73:H73)</f>
        <v>21712062</v>
      </c>
      <c r="J73" s="1017">
        <f>ENERO!L73</f>
        <v>0</v>
      </c>
      <c r="K73" s="1020">
        <v>0</v>
      </c>
      <c r="L73" s="1017">
        <f>SUM(J73:K73)</f>
        <v>0</v>
      </c>
      <c r="M73" s="1017">
        <f>F73-I73</f>
        <v>452371568</v>
      </c>
      <c r="N73" s="1018">
        <f>F73-L73</f>
        <v>474083630</v>
      </c>
      <c r="O73" s="1035"/>
      <c r="P73" s="1022">
        <v>0</v>
      </c>
      <c r="Q73" s="1023">
        <v>0</v>
      </c>
      <c r="R73" s="909"/>
      <c r="S73" s="1130" t="str">
        <f>+IF(ENERO!S73=0,"",ENERO!S73)</f>
        <v>1020104-4</v>
      </c>
      <c r="T73" s="1131" t="str">
        <f>+IF(ENERO!T73=0,"",ENERO!T73)</f>
        <v>Prima Clima</v>
      </c>
      <c r="U73" s="1085">
        <f>+ENERO!U73</f>
        <v>0</v>
      </c>
      <c r="V73" s="1033">
        <f>ENERO!V73+FEBRERO!AL73</f>
        <v>0</v>
      </c>
      <c r="W73" s="1033">
        <f>ENERO!W73+FEBRERO!AM73</f>
        <v>0</v>
      </c>
      <c r="X73" s="1086">
        <f t="shared" si="76"/>
        <v>0</v>
      </c>
      <c r="Y73" s="1087">
        <f>ENERO!AA73</f>
        <v>0</v>
      </c>
      <c r="Z73" s="1020">
        <v>0</v>
      </c>
      <c r="AA73" s="1088">
        <f t="shared" si="77"/>
        <v>0</v>
      </c>
      <c r="AB73" s="1087">
        <f>ENERO!AD73</f>
        <v>0</v>
      </c>
      <c r="AC73" s="1020">
        <v>0</v>
      </c>
      <c r="AD73" s="1086">
        <f t="shared" si="78"/>
        <v>0</v>
      </c>
      <c r="AE73" s="1087">
        <f>ENERO!AG73</f>
        <v>0</v>
      </c>
      <c r="AF73" s="1020">
        <v>0</v>
      </c>
      <c r="AG73" s="1086">
        <f t="shared" si="79"/>
        <v>0</v>
      </c>
      <c r="AH73" s="1087">
        <f t="shared" si="80"/>
        <v>0</v>
      </c>
      <c r="AI73" s="1033">
        <f t="shared" si="81"/>
        <v>0</v>
      </c>
      <c r="AJ73" s="1086">
        <f t="shared" si="82"/>
        <v>0</v>
      </c>
      <c r="AK73" s="909"/>
      <c r="AL73" s="1089">
        <v>0</v>
      </c>
      <c r="AM73" s="1023">
        <v>0</v>
      </c>
      <c r="AN73" s="909"/>
      <c r="AO73" s="863"/>
      <c r="AP73" s="863"/>
      <c r="AQ73" s="863"/>
      <c r="AR73" s="863"/>
      <c r="AS73" s="863"/>
      <c r="AT73" s="863"/>
      <c r="AU73" s="863"/>
      <c r="AV73" s="863"/>
      <c r="AW73" s="863"/>
      <c r="AX73" s="863"/>
      <c r="AY73" s="863"/>
      <c r="AZ73" s="863"/>
      <c r="BA73" s="1035"/>
      <c r="BB73" s="1035"/>
      <c r="BC73" s="1035"/>
      <c r="BD73" s="1035"/>
      <c r="BE73" s="1035"/>
      <c r="BF73" s="1035"/>
      <c r="BG73" s="1035"/>
      <c r="BH73" s="1035"/>
      <c r="BI73" s="1035"/>
      <c r="BJ73" s="1035"/>
      <c r="BK73" s="1035"/>
      <c r="BL73" s="1035"/>
      <c r="BM73" s="1035"/>
      <c r="BN73" s="1035"/>
      <c r="BO73" s="1035"/>
      <c r="BP73" s="1035"/>
      <c r="BQ73" s="1035"/>
    </row>
    <row r="74" spans="1:70" s="1127" customFormat="1" ht="24.95" customHeight="1">
      <c r="A74" s="1014" t="str">
        <f>+IF(ENERO!A74=0,"",ENERO!A74)</f>
        <v>1130116-2</v>
      </c>
      <c r="B74" s="1150" t="str">
        <f>+IF(ENERO!B74=0,"",ENERO!B74)</f>
        <v>Vigencia Anterior</v>
      </c>
      <c r="C74" s="1016">
        <f>+ENERO!C74</f>
        <v>0</v>
      </c>
      <c r="D74" s="1017">
        <f>ENERO!D74+FEBRERO!P74</f>
        <v>0</v>
      </c>
      <c r="E74" s="1017">
        <f>ENERO!E74+FEBRERO!Q74</f>
        <v>2426919</v>
      </c>
      <c r="F74" s="1017">
        <f>SUM(C74:E74)</f>
        <v>2426919</v>
      </c>
      <c r="G74" s="1017">
        <f>ENERO!I74</f>
        <v>25024641</v>
      </c>
      <c r="H74" s="1020">
        <v>32148149</v>
      </c>
      <c r="I74" s="1017">
        <f>SUM(G74:H74)</f>
        <v>57172790</v>
      </c>
      <c r="J74" s="1017">
        <f>ENERO!L74</f>
        <v>25024641</v>
      </c>
      <c r="K74" s="1020">
        <v>32148149</v>
      </c>
      <c r="L74" s="1017">
        <f>SUM(J74:K74)</f>
        <v>57172790</v>
      </c>
      <c r="M74" s="1017">
        <f>F74-I74</f>
        <v>-54745871</v>
      </c>
      <c r="N74" s="1018">
        <f>F74-L74</f>
        <v>-54745871</v>
      </c>
      <c r="O74" s="1035"/>
      <c r="P74" s="1022">
        <v>0</v>
      </c>
      <c r="Q74" s="1023">
        <v>0</v>
      </c>
      <c r="R74" s="909"/>
      <c r="S74" s="1130" t="str">
        <f>+IF(ENERO!S74=0,"",ENERO!S74)</f>
        <v>1020104-5</v>
      </c>
      <c r="T74" s="1131" t="str">
        <f>+IF(ENERO!T74=0,"",ENERO!T74)</f>
        <v>Prima de Servicios</v>
      </c>
      <c r="U74" s="1085">
        <f>+ENERO!U74</f>
        <v>36082760</v>
      </c>
      <c r="V74" s="1033">
        <f>ENERO!V74+FEBRERO!AL74</f>
        <v>0</v>
      </c>
      <c r="W74" s="1033">
        <f>ENERO!W74+FEBRERO!AM74</f>
        <v>0</v>
      </c>
      <c r="X74" s="1086">
        <f t="shared" si="76"/>
        <v>36082760</v>
      </c>
      <c r="Y74" s="1087">
        <f>ENERO!AA74</f>
        <v>0</v>
      </c>
      <c r="Z74" s="1020">
        <v>0</v>
      </c>
      <c r="AA74" s="1088">
        <f t="shared" si="77"/>
        <v>0</v>
      </c>
      <c r="AB74" s="1087">
        <f>ENERO!AD74</f>
        <v>0</v>
      </c>
      <c r="AC74" s="1020">
        <v>0</v>
      </c>
      <c r="AD74" s="1086">
        <f t="shared" si="78"/>
        <v>0</v>
      </c>
      <c r="AE74" s="1087">
        <f>ENERO!AG74</f>
        <v>0</v>
      </c>
      <c r="AF74" s="1020">
        <v>0</v>
      </c>
      <c r="AG74" s="1086">
        <f t="shared" si="79"/>
        <v>0</v>
      </c>
      <c r="AH74" s="1087">
        <f t="shared" si="80"/>
        <v>36082760</v>
      </c>
      <c r="AI74" s="1033">
        <f t="shared" si="81"/>
        <v>36082760</v>
      </c>
      <c r="AJ74" s="1086">
        <f t="shared" si="82"/>
        <v>36082760</v>
      </c>
      <c r="AK74" s="909"/>
      <c r="AL74" s="1089">
        <v>0</v>
      </c>
      <c r="AM74" s="1023">
        <v>0</v>
      </c>
      <c r="AN74" s="909"/>
      <c r="AO74" s="863"/>
      <c r="AP74" s="863"/>
      <c r="AQ74" s="863"/>
      <c r="AR74" s="863"/>
      <c r="AS74" s="863"/>
      <c r="AT74" s="863"/>
      <c r="AU74" s="863"/>
      <c r="AV74" s="863"/>
      <c r="AW74" s="863"/>
      <c r="AX74" s="863"/>
      <c r="AY74" s="863"/>
      <c r="AZ74" s="863"/>
      <c r="BA74" s="1035"/>
      <c r="BB74" s="1035"/>
      <c r="BC74" s="1035"/>
      <c r="BD74" s="1035"/>
      <c r="BE74" s="1035"/>
      <c r="BF74" s="1035"/>
      <c r="BG74" s="1035"/>
      <c r="BH74" s="1035"/>
      <c r="BI74" s="1035"/>
      <c r="BJ74" s="1035"/>
      <c r="BK74" s="1035"/>
      <c r="BL74" s="1035"/>
      <c r="BM74" s="1035"/>
      <c r="BN74" s="1035"/>
      <c r="BO74" s="1035"/>
      <c r="BP74" s="1035"/>
      <c r="BQ74" s="1035"/>
      <c r="BR74" s="1035"/>
    </row>
    <row r="75" spans="1:70" s="1035" customFormat="1" ht="24.95" customHeight="1">
      <c r="A75" s="1104">
        <f>+IF(ENERO!A75=0,"",ENERO!A75)</f>
        <v>1130117</v>
      </c>
      <c r="B75" s="1138" t="str">
        <f>+IF(ENERO!B75=0,"",ENERO!B75)</f>
        <v>CUOTAS DE RECUPERACION</v>
      </c>
      <c r="C75" s="1106">
        <f t="shared" ref="C75:N75" si="84">SUM(C76:C77)</f>
        <v>52000000</v>
      </c>
      <c r="D75" s="1139">
        <f t="shared" si="84"/>
        <v>0</v>
      </c>
      <c r="E75" s="1139">
        <f t="shared" si="84"/>
        <v>0</v>
      </c>
      <c r="F75" s="1139">
        <f t="shared" si="84"/>
        <v>52000000</v>
      </c>
      <c r="G75" s="1139">
        <f t="shared" si="84"/>
        <v>0</v>
      </c>
      <c r="H75" s="1139">
        <f t="shared" si="84"/>
        <v>3082186</v>
      </c>
      <c r="I75" s="1139">
        <f t="shared" si="84"/>
        <v>3082186</v>
      </c>
      <c r="J75" s="1139">
        <f t="shared" si="84"/>
        <v>0</v>
      </c>
      <c r="K75" s="1139">
        <f t="shared" si="84"/>
        <v>1309149</v>
      </c>
      <c r="L75" s="1139">
        <f t="shared" si="84"/>
        <v>1309149</v>
      </c>
      <c r="M75" s="1139">
        <f t="shared" si="84"/>
        <v>48917814</v>
      </c>
      <c r="N75" s="1107">
        <f t="shared" si="84"/>
        <v>50690851</v>
      </c>
      <c r="P75" s="1106">
        <f>SUM(P76:P77)</f>
        <v>0</v>
      </c>
      <c r="Q75" s="1107">
        <f>SUM(Q76:Q77)</f>
        <v>0</v>
      </c>
      <c r="R75" s="909"/>
      <c r="S75" s="1130" t="str">
        <f>+IF(ENERO!S75=0,"",ENERO!S75)</f>
        <v>1020104-8</v>
      </c>
      <c r="T75" s="1131" t="str">
        <f>+IF(ENERO!T75=0,"",ENERO!T75)</f>
        <v>Bonific. por Servicios Prestados</v>
      </c>
      <c r="U75" s="1085">
        <f>+ENERO!U75</f>
        <v>17770724</v>
      </c>
      <c r="V75" s="1033">
        <f>ENERO!V75+FEBRERO!AL75</f>
        <v>0</v>
      </c>
      <c r="W75" s="1033">
        <f>ENERO!W75+FEBRERO!AM75</f>
        <v>0</v>
      </c>
      <c r="X75" s="1086">
        <f t="shared" si="76"/>
        <v>17770724</v>
      </c>
      <c r="Y75" s="1087">
        <f>ENERO!AA75</f>
        <v>1158866</v>
      </c>
      <c r="Z75" s="1020">
        <v>0</v>
      </c>
      <c r="AA75" s="1088">
        <f t="shared" si="77"/>
        <v>1158866</v>
      </c>
      <c r="AB75" s="1087">
        <f>ENERO!AD75</f>
        <v>1158866</v>
      </c>
      <c r="AC75" s="1020">
        <v>0</v>
      </c>
      <c r="AD75" s="1086">
        <f t="shared" si="78"/>
        <v>1158866</v>
      </c>
      <c r="AE75" s="1087">
        <f>ENERO!AG75</f>
        <v>1158866</v>
      </c>
      <c r="AF75" s="1020">
        <v>0</v>
      </c>
      <c r="AG75" s="1086">
        <f t="shared" si="79"/>
        <v>1158866</v>
      </c>
      <c r="AH75" s="1087">
        <f t="shared" si="80"/>
        <v>16611858</v>
      </c>
      <c r="AI75" s="1033">
        <f t="shared" si="81"/>
        <v>16611858</v>
      </c>
      <c r="AJ75" s="1086">
        <f t="shared" si="82"/>
        <v>16611858</v>
      </c>
      <c r="AK75" s="909"/>
      <c r="AL75" s="1089">
        <v>0</v>
      </c>
      <c r="AM75" s="1023">
        <v>0</v>
      </c>
      <c r="AN75" s="909"/>
      <c r="AO75" s="863"/>
      <c r="AP75" s="863"/>
      <c r="AQ75" s="863"/>
      <c r="AR75" s="863"/>
      <c r="AS75" s="863"/>
      <c r="AT75" s="863"/>
      <c r="AU75" s="863"/>
      <c r="AV75" s="863"/>
      <c r="AW75" s="863"/>
      <c r="AX75" s="863"/>
      <c r="AY75" s="863"/>
      <c r="AZ75" s="863"/>
      <c r="BR75" s="1127"/>
    </row>
    <row r="76" spans="1:70" s="1127" customFormat="1" ht="24.95" customHeight="1">
      <c r="A76" s="1014" t="str">
        <f>+IF(ENERO!A76=0,"",ENERO!A76)</f>
        <v>1130117-1</v>
      </c>
      <c r="B76" s="1150" t="str">
        <f>+CONCATENATE("Vigencia ",INSTRUCCIONES!$F$3)</f>
        <v>Vigencia 2017</v>
      </c>
      <c r="C76" s="1016">
        <f>+ENERO!C76</f>
        <v>52000000</v>
      </c>
      <c r="D76" s="1017">
        <f>ENERO!D76+FEBRERO!P76</f>
        <v>0</v>
      </c>
      <c r="E76" s="1017">
        <f>ENERO!E76+FEBRERO!Q76</f>
        <v>0</v>
      </c>
      <c r="F76" s="1017">
        <f t="shared" ref="F76:F83" si="85">SUM(C76:E76)</f>
        <v>52000000</v>
      </c>
      <c r="G76" s="1017">
        <f>ENERO!I76</f>
        <v>0</v>
      </c>
      <c r="H76" s="1020">
        <v>2479437</v>
      </c>
      <c r="I76" s="1017">
        <f t="shared" ref="I76:I83" si="86">SUM(G76:H76)</f>
        <v>2479437</v>
      </c>
      <c r="J76" s="1017">
        <f>ENERO!L76</f>
        <v>0</v>
      </c>
      <c r="K76" s="1020">
        <v>706400</v>
      </c>
      <c r="L76" s="1017">
        <f t="shared" ref="L76:L83" si="87">SUM(J76:K76)</f>
        <v>706400</v>
      </c>
      <c r="M76" s="1017">
        <f t="shared" ref="M76:M83" si="88">F76-I76</f>
        <v>49520563</v>
      </c>
      <c r="N76" s="1018">
        <f t="shared" ref="N76:N83" si="89">F76-L76</f>
        <v>51293600</v>
      </c>
      <c r="O76" s="1035"/>
      <c r="P76" s="1022">
        <v>0</v>
      </c>
      <c r="Q76" s="1023">
        <v>0</v>
      </c>
      <c r="R76" s="909"/>
      <c r="S76" s="1130" t="str">
        <f>+IF(ENERO!S76=0,"",ENERO!S76)</f>
        <v>1020104-9</v>
      </c>
      <c r="T76" s="1131" t="str">
        <f>+IF(ENERO!T76=0,"",ENERO!T76)</f>
        <v>Auxilio de Transporte</v>
      </c>
      <c r="U76" s="1085">
        <f>+ENERO!U76</f>
        <v>1703268</v>
      </c>
      <c r="V76" s="1033">
        <f>ENERO!V76+FEBRERO!AL76</f>
        <v>0</v>
      </c>
      <c r="W76" s="1033">
        <f>ENERO!W76+FEBRERO!AM76</f>
        <v>0</v>
      </c>
      <c r="X76" s="1086">
        <f t="shared" si="76"/>
        <v>1703268</v>
      </c>
      <c r="Y76" s="1087">
        <f>ENERO!AA76</f>
        <v>182878</v>
      </c>
      <c r="Z76" s="1020">
        <v>166280</v>
      </c>
      <c r="AA76" s="1088">
        <f t="shared" si="77"/>
        <v>349158</v>
      </c>
      <c r="AB76" s="1087">
        <f>ENERO!AD76</f>
        <v>182878</v>
      </c>
      <c r="AC76" s="1020">
        <v>166280</v>
      </c>
      <c r="AD76" s="1086">
        <f t="shared" si="78"/>
        <v>349158</v>
      </c>
      <c r="AE76" s="1087">
        <f>ENERO!AG76</f>
        <v>182878</v>
      </c>
      <c r="AF76" s="1020">
        <v>166280</v>
      </c>
      <c r="AG76" s="1086">
        <f t="shared" si="79"/>
        <v>349158</v>
      </c>
      <c r="AH76" s="1087">
        <f t="shared" si="80"/>
        <v>1354110</v>
      </c>
      <c r="AI76" s="1033">
        <f t="shared" si="81"/>
        <v>1354110</v>
      </c>
      <c r="AJ76" s="1086">
        <f t="shared" si="82"/>
        <v>1354110</v>
      </c>
      <c r="AK76" s="909"/>
      <c r="AL76" s="1089">
        <v>0</v>
      </c>
      <c r="AM76" s="1023">
        <v>0</v>
      </c>
      <c r="AN76" s="909"/>
      <c r="AO76" s="863"/>
      <c r="AP76" s="863"/>
      <c r="AQ76" s="1200"/>
      <c r="AR76" s="863"/>
      <c r="AS76" s="863"/>
      <c r="AT76" s="863"/>
      <c r="AU76" s="863"/>
      <c r="AV76" s="863"/>
      <c r="AW76" s="863"/>
      <c r="AX76" s="863"/>
      <c r="AY76" s="863"/>
      <c r="AZ76" s="863"/>
      <c r="BA76" s="1035"/>
      <c r="BB76" s="1035"/>
      <c r="BC76" s="1035"/>
      <c r="BD76" s="1035"/>
      <c r="BE76" s="1035"/>
      <c r="BF76" s="1035"/>
      <c r="BG76" s="1035"/>
      <c r="BH76" s="1035"/>
      <c r="BI76" s="1035"/>
      <c r="BJ76" s="1035"/>
      <c r="BK76" s="1035"/>
      <c r="BL76" s="1035"/>
      <c r="BM76" s="1035"/>
      <c r="BN76" s="1035"/>
      <c r="BO76" s="1035"/>
      <c r="BP76" s="1035"/>
      <c r="BQ76" s="1035"/>
    </row>
    <row r="77" spans="1:70" s="1127" customFormat="1" ht="24.95" customHeight="1">
      <c r="A77" s="1014" t="str">
        <f>+IF(ENERO!A77=0,"",ENERO!A77)</f>
        <v>1130117-2</v>
      </c>
      <c r="B77" s="1150" t="str">
        <f>+IF(ENERO!B77=0,"",ENERO!B77)</f>
        <v>Vigencia Anterior</v>
      </c>
      <c r="C77" s="1016">
        <f>+ENERO!C77</f>
        <v>0</v>
      </c>
      <c r="D77" s="1017">
        <f>ENERO!D77+FEBRERO!P77</f>
        <v>0</v>
      </c>
      <c r="E77" s="1017">
        <f>ENERO!E77+FEBRERO!Q77</f>
        <v>0</v>
      </c>
      <c r="F77" s="1017">
        <f t="shared" si="85"/>
        <v>0</v>
      </c>
      <c r="G77" s="1017">
        <f>ENERO!I77</f>
        <v>0</v>
      </c>
      <c r="H77" s="1020">
        <v>602749</v>
      </c>
      <c r="I77" s="1017">
        <f t="shared" si="86"/>
        <v>602749</v>
      </c>
      <c r="J77" s="1017">
        <f>ENERO!L77</f>
        <v>0</v>
      </c>
      <c r="K77" s="1020">
        <v>602749</v>
      </c>
      <c r="L77" s="1017">
        <f t="shared" si="87"/>
        <v>602749</v>
      </c>
      <c r="M77" s="1017">
        <f t="shared" si="88"/>
        <v>-602749</v>
      </c>
      <c r="N77" s="1018">
        <f t="shared" si="89"/>
        <v>-602749</v>
      </c>
      <c r="O77" s="1035"/>
      <c r="P77" s="1022">
        <v>0</v>
      </c>
      <c r="Q77" s="1023">
        <v>0</v>
      </c>
      <c r="R77" s="909"/>
      <c r="S77" s="1130" t="str">
        <f>+IF(ENERO!S77=0,"",ENERO!S77)</f>
        <v>1020104-10</v>
      </c>
      <c r="T77" s="1131" t="str">
        <f>+IF(ENERO!T77=0,"",ENERO!T77)</f>
        <v>Subsidio de Alimentación</v>
      </c>
      <c r="U77" s="1085">
        <f>+ENERO!U77</f>
        <v>1200000</v>
      </c>
      <c r="V77" s="1033">
        <f>ENERO!V77+FEBRERO!AL77</f>
        <v>0</v>
      </c>
      <c r="W77" s="1033">
        <f>ENERO!W77+FEBRERO!AM77</f>
        <v>0</v>
      </c>
      <c r="X77" s="1086">
        <f t="shared" si="76"/>
        <v>1200000</v>
      </c>
      <c r="Y77" s="1087">
        <f>ENERO!AA77</f>
        <v>91178</v>
      </c>
      <c r="Z77" s="1020">
        <v>107268</v>
      </c>
      <c r="AA77" s="1088">
        <f t="shared" si="77"/>
        <v>198446</v>
      </c>
      <c r="AB77" s="1087">
        <f>ENERO!AD77</f>
        <v>91178</v>
      </c>
      <c r="AC77" s="1020">
        <v>107268</v>
      </c>
      <c r="AD77" s="1086">
        <f t="shared" si="78"/>
        <v>198446</v>
      </c>
      <c r="AE77" s="1087">
        <f>ENERO!AG77</f>
        <v>91178</v>
      </c>
      <c r="AF77" s="1020">
        <v>107268</v>
      </c>
      <c r="AG77" s="1086">
        <f t="shared" si="79"/>
        <v>198446</v>
      </c>
      <c r="AH77" s="1087">
        <f t="shared" si="80"/>
        <v>1001554</v>
      </c>
      <c r="AI77" s="1033">
        <f t="shared" si="81"/>
        <v>1001554</v>
      </c>
      <c r="AJ77" s="1086">
        <f t="shared" si="82"/>
        <v>1001554</v>
      </c>
      <c r="AK77" s="909"/>
      <c r="AL77" s="1089">
        <v>0</v>
      </c>
      <c r="AM77" s="1023">
        <v>0</v>
      </c>
      <c r="AN77" s="909"/>
      <c r="AO77" s="863"/>
      <c r="AP77" s="863"/>
      <c r="AQ77" s="863"/>
      <c r="AR77" s="863"/>
      <c r="AS77" s="863"/>
      <c r="AT77" s="863"/>
      <c r="AU77" s="863"/>
      <c r="AV77" s="863"/>
      <c r="AW77" s="863"/>
      <c r="AX77" s="863"/>
      <c r="AY77" s="863"/>
      <c r="AZ77" s="863"/>
      <c r="BA77" s="1035"/>
      <c r="BB77" s="1035"/>
      <c r="BC77" s="1035"/>
      <c r="BD77" s="1035"/>
      <c r="BE77" s="1035"/>
      <c r="BF77" s="1035"/>
      <c r="BG77" s="1035"/>
      <c r="BH77" s="1035"/>
      <c r="BI77" s="1035"/>
      <c r="BJ77" s="1035"/>
      <c r="BK77" s="1035"/>
      <c r="BL77" s="1035"/>
      <c r="BM77" s="1035"/>
      <c r="BN77" s="1035"/>
      <c r="BO77" s="1035"/>
      <c r="BP77" s="1035"/>
      <c r="BQ77" s="1035"/>
      <c r="BR77" s="1035"/>
    </row>
    <row r="78" spans="1:70" s="1127" customFormat="1" ht="24.95" customHeight="1">
      <c r="A78" s="1104">
        <f>+IF(ENERO!A78=0,"",ENERO!A78)</f>
        <v>1130118</v>
      </c>
      <c r="B78" s="1138" t="str">
        <f>+IF(ENERO!B78=0,"",ENERO!B78)</f>
        <v>PARTICULARES   (Venta de Contado)</v>
      </c>
      <c r="C78" s="1106">
        <f>SUM(C79:C80)</f>
        <v>435000000</v>
      </c>
      <c r="D78" s="1139">
        <f>SUM(D79:D80)</f>
        <v>0</v>
      </c>
      <c r="E78" s="1139">
        <f>SUM(E79:E80)</f>
        <v>246500</v>
      </c>
      <c r="F78" s="1139">
        <f t="shared" si="85"/>
        <v>435246500</v>
      </c>
      <c r="G78" s="1139">
        <f>SUM(G79:G80)</f>
        <v>68084919</v>
      </c>
      <c r="H78" s="1139">
        <f>SUM(H79:H80)</f>
        <v>55625996</v>
      </c>
      <c r="I78" s="1139">
        <f t="shared" si="86"/>
        <v>123710915</v>
      </c>
      <c r="J78" s="1139">
        <f>SUM(J79:J80)</f>
        <v>68084919</v>
      </c>
      <c r="K78" s="1139">
        <f>SUM(K79:K80)</f>
        <v>55625996</v>
      </c>
      <c r="L78" s="1139">
        <f t="shared" si="87"/>
        <v>123710915</v>
      </c>
      <c r="M78" s="1139">
        <f t="shared" si="88"/>
        <v>311535585</v>
      </c>
      <c r="N78" s="1107">
        <f t="shared" si="89"/>
        <v>311535585</v>
      </c>
      <c r="O78" s="1035"/>
      <c r="P78" s="1106">
        <f>SUM(P79:P80)</f>
        <v>0</v>
      </c>
      <c r="Q78" s="1107">
        <f>SUM(Q79:Q80)</f>
        <v>0</v>
      </c>
      <c r="R78" s="909"/>
      <c r="S78" s="1130" t="str">
        <f>+IF(ENERO!S78=0,"",ENERO!S78)</f>
        <v>1020104-12</v>
      </c>
      <c r="T78" s="1131" t="str">
        <f>+IF(ENERO!T78=0,"",ENERO!T78)</f>
        <v>Indemnizaciones por Vacaciones o Supresión de Cargos por Reestructuración</v>
      </c>
      <c r="U78" s="1085">
        <f>+ENERO!U78</f>
        <v>0</v>
      </c>
      <c r="V78" s="1033">
        <f>ENERO!V78+FEBRERO!AL78</f>
        <v>0</v>
      </c>
      <c r="W78" s="1033">
        <f>ENERO!W78+FEBRERO!AM78</f>
        <v>0</v>
      </c>
      <c r="X78" s="1086">
        <f t="shared" si="76"/>
        <v>0</v>
      </c>
      <c r="Y78" s="1087">
        <f>ENERO!AA78</f>
        <v>0</v>
      </c>
      <c r="Z78" s="1020">
        <v>0</v>
      </c>
      <c r="AA78" s="1088">
        <f t="shared" si="77"/>
        <v>0</v>
      </c>
      <c r="AB78" s="1087">
        <f>ENERO!AD78</f>
        <v>0</v>
      </c>
      <c r="AC78" s="1020">
        <v>0</v>
      </c>
      <c r="AD78" s="1086">
        <f t="shared" si="78"/>
        <v>0</v>
      </c>
      <c r="AE78" s="1087">
        <f>ENERO!AG78</f>
        <v>0</v>
      </c>
      <c r="AF78" s="1020">
        <v>0</v>
      </c>
      <c r="AG78" s="1086">
        <f t="shared" si="79"/>
        <v>0</v>
      </c>
      <c r="AH78" s="1087">
        <f t="shared" si="80"/>
        <v>0</v>
      </c>
      <c r="AI78" s="1033">
        <f t="shared" si="81"/>
        <v>0</v>
      </c>
      <c r="AJ78" s="1086">
        <f t="shared" si="82"/>
        <v>0</v>
      </c>
      <c r="AK78" s="909"/>
      <c r="AL78" s="1089">
        <v>0</v>
      </c>
      <c r="AM78" s="1023">
        <v>0</v>
      </c>
      <c r="AN78" s="909"/>
      <c r="AO78" s="863"/>
      <c r="AP78" s="863"/>
      <c r="AQ78" s="863"/>
      <c r="AR78" s="863"/>
      <c r="AS78" s="863"/>
      <c r="AT78" s="863"/>
      <c r="AU78" s="863"/>
      <c r="AV78" s="863"/>
      <c r="AW78" s="863"/>
      <c r="AX78" s="863"/>
      <c r="AY78" s="863"/>
      <c r="AZ78" s="863"/>
      <c r="BA78" s="1035"/>
      <c r="BB78" s="1035"/>
      <c r="BC78" s="1035"/>
      <c r="BD78" s="1035"/>
      <c r="BE78" s="1035"/>
      <c r="BF78" s="1035"/>
      <c r="BG78" s="1035"/>
      <c r="BH78" s="1035"/>
      <c r="BI78" s="1035"/>
      <c r="BJ78" s="1035"/>
      <c r="BK78" s="1035"/>
      <c r="BL78" s="1035"/>
      <c r="BM78" s="1035"/>
      <c r="BN78" s="1035"/>
      <c r="BO78" s="1035"/>
      <c r="BP78" s="1035"/>
      <c r="BQ78" s="1035"/>
    </row>
    <row r="79" spans="1:70" s="1035" customFormat="1" ht="24.95" customHeight="1">
      <c r="A79" s="1014" t="str">
        <f>+IF(ENERO!A79=0,"",ENERO!A79)</f>
        <v>1130118-1</v>
      </c>
      <c r="B79" s="1150" t="str">
        <f>+CONCATENATE("Vigencia ",INSTRUCCIONES!$F$3)</f>
        <v>Vigencia 2017</v>
      </c>
      <c r="C79" s="1016">
        <f>+ENERO!C79</f>
        <v>435000000</v>
      </c>
      <c r="D79" s="1017">
        <f>ENERO!D79+FEBRERO!P79</f>
        <v>0</v>
      </c>
      <c r="E79" s="1017">
        <f>ENERO!E79+FEBRERO!Q79</f>
        <v>0</v>
      </c>
      <c r="F79" s="1017">
        <f t="shared" si="85"/>
        <v>435000000</v>
      </c>
      <c r="G79" s="1017">
        <f>ENERO!I79</f>
        <v>68084919</v>
      </c>
      <c r="H79" s="1020">
        <v>53909396</v>
      </c>
      <c r="I79" s="1017">
        <f t="shared" si="86"/>
        <v>121994315</v>
      </c>
      <c r="J79" s="1017">
        <f>ENERO!L79</f>
        <v>68084919</v>
      </c>
      <c r="K79" s="1020">
        <v>53909396</v>
      </c>
      <c r="L79" s="1017">
        <f t="shared" si="87"/>
        <v>121994315</v>
      </c>
      <c r="M79" s="1017">
        <f t="shared" si="88"/>
        <v>313005685</v>
      </c>
      <c r="N79" s="1018">
        <f t="shared" si="89"/>
        <v>313005685</v>
      </c>
      <c r="P79" s="1022">
        <v>0</v>
      </c>
      <c r="Q79" s="1023">
        <v>0</v>
      </c>
      <c r="R79" s="909"/>
      <c r="S79" s="1130" t="str">
        <f>+IF(ENERO!S79=0,"",ENERO!S79)</f>
        <v>1020104-13</v>
      </c>
      <c r="T79" s="1131" t="str">
        <f>+IF(ENERO!T79=0,"",ENERO!T79)</f>
        <v>Bonificación Especial por Recreación</v>
      </c>
      <c r="U79" s="1085">
        <f>+ENERO!U79</f>
        <v>2582164</v>
      </c>
      <c r="V79" s="1033">
        <f>ENERO!V79+FEBRERO!AL79</f>
        <v>0</v>
      </c>
      <c r="W79" s="1033">
        <f>ENERO!W79+FEBRERO!AM79</f>
        <v>0</v>
      </c>
      <c r="X79" s="1086">
        <f t="shared" si="76"/>
        <v>2582164</v>
      </c>
      <c r="Y79" s="1087">
        <f>ENERO!AA79</f>
        <v>563740</v>
      </c>
      <c r="Z79" s="1020">
        <v>110368</v>
      </c>
      <c r="AA79" s="1088">
        <f t="shared" si="77"/>
        <v>674108</v>
      </c>
      <c r="AB79" s="1087">
        <f>ENERO!AD79</f>
        <v>563740</v>
      </c>
      <c r="AC79" s="1020">
        <v>110368</v>
      </c>
      <c r="AD79" s="1086">
        <f t="shared" si="78"/>
        <v>674108</v>
      </c>
      <c r="AE79" s="1087">
        <f>ENERO!AG79</f>
        <v>563740</v>
      </c>
      <c r="AF79" s="1020">
        <v>110368</v>
      </c>
      <c r="AG79" s="1086">
        <f t="shared" si="79"/>
        <v>674108</v>
      </c>
      <c r="AH79" s="1087">
        <f t="shared" si="80"/>
        <v>1908056</v>
      </c>
      <c r="AI79" s="1033">
        <f t="shared" si="81"/>
        <v>1908056</v>
      </c>
      <c r="AJ79" s="1086">
        <f t="shared" si="82"/>
        <v>1908056</v>
      </c>
      <c r="AK79" s="909"/>
      <c r="AL79" s="1089">
        <v>0</v>
      </c>
      <c r="AM79" s="1023">
        <v>0</v>
      </c>
      <c r="AN79" s="909"/>
      <c r="AO79" s="863"/>
      <c r="AP79" s="863"/>
      <c r="AQ79" s="863"/>
      <c r="AR79" s="863"/>
      <c r="AS79" s="863"/>
      <c r="AT79" s="863"/>
      <c r="AU79" s="863"/>
      <c r="AV79" s="863"/>
      <c r="AW79" s="863"/>
      <c r="AX79" s="863"/>
      <c r="AY79" s="863"/>
      <c r="AZ79" s="863"/>
      <c r="BL79" s="909"/>
      <c r="BR79" s="1127"/>
    </row>
    <row r="80" spans="1:70" s="909" customFormat="1" ht="24.95" customHeight="1">
      <c r="A80" s="1014" t="str">
        <f>+IF(ENERO!A80=0,"",ENERO!A80)</f>
        <v>1130118-2</v>
      </c>
      <c r="B80" s="1150" t="str">
        <f>+IF(ENERO!B80=0,"",ENERO!B80)</f>
        <v>Vigencia Anterior</v>
      </c>
      <c r="C80" s="1016">
        <f>+ENERO!C80</f>
        <v>0</v>
      </c>
      <c r="D80" s="1017">
        <f>ENERO!D80+FEBRERO!P80</f>
        <v>0</v>
      </c>
      <c r="E80" s="1017">
        <f>ENERO!E80+FEBRERO!Q80</f>
        <v>246500</v>
      </c>
      <c r="F80" s="1017">
        <f t="shared" si="85"/>
        <v>246500</v>
      </c>
      <c r="G80" s="1017">
        <f>ENERO!I80</f>
        <v>0</v>
      </c>
      <c r="H80" s="1020">
        <v>1716600</v>
      </c>
      <c r="I80" s="1017">
        <f t="shared" si="86"/>
        <v>1716600</v>
      </c>
      <c r="J80" s="1017">
        <f>ENERO!L80</f>
        <v>0</v>
      </c>
      <c r="K80" s="1020">
        <v>1716600</v>
      </c>
      <c r="L80" s="1017">
        <f t="shared" si="87"/>
        <v>1716600</v>
      </c>
      <c r="M80" s="1017">
        <f t="shared" si="88"/>
        <v>-1470100</v>
      </c>
      <c r="N80" s="1018">
        <f t="shared" si="89"/>
        <v>-1470100</v>
      </c>
      <c r="O80" s="1035"/>
      <c r="P80" s="1022">
        <v>0</v>
      </c>
      <c r="Q80" s="1023">
        <v>0</v>
      </c>
      <c r="S80" s="1130" t="str">
        <f>+IF(ENERO!S80=0,"",ENERO!S80)</f>
        <v>1020104-14</v>
      </c>
      <c r="T80" s="1131" t="str">
        <f>+IF(ENERO!T80=0,"",ENERO!T80)</f>
        <v/>
      </c>
      <c r="U80" s="1085">
        <f>+ENERO!U80</f>
        <v>48881820</v>
      </c>
      <c r="V80" s="1033">
        <f>ENERO!V80+FEBRERO!AL80</f>
        <v>0</v>
      </c>
      <c r="W80" s="1033">
        <f>ENERO!W80+FEBRERO!AM80</f>
        <v>0</v>
      </c>
      <c r="X80" s="1086">
        <f t="shared" si="76"/>
        <v>48881820</v>
      </c>
      <c r="Y80" s="1087">
        <f>ENERO!AA80</f>
        <v>6151192</v>
      </c>
      <c r="Z80" s="1020">
        <v>6820806</v>
      </c>
      <c r="AA80" s="1088">
        <f t="shared" si="77"/>
        <v>12971998</v>
      </c>
      <c r="AB80" s="1087">
        <f>ENERO!AD80</f>
        <v>6151192</v>
      </c>
      <c r="AC80" s="1020">
        <v>6820806</v>
      </c>
      <c r="AD80" s="1086">
        <f t="shared" si="78"/>
        <v>12971998</v>
      </c>
      <c r="AE80" s="1087">
        <f>ENERO!AG80</f>
        <v>6151192</v>
      </c>
      <c r="AF80" s="1020">
        <v>6820806</v>
      </c>
      <c r="AG80" s="1086">
        <f t="shared" si="79"/>
        <v>12971998</v>
      </c>
      <c r="AH80" s="1087">
        <f t="shared" si="80"/>
        <v>35909822</v>
      </c>
      <c r="AI80" s="1033">
        <f t="shared" si="81"/>
        <v>35909822</v>
      </c>
      <c r="AJ80" s="1086">
        <f t="shared" si="82"/>
        <v>35909822</v>
      </c>
      <c r="AL80" s="1089">
        <v>0</v>
      </c>
      <c r="AM80" s="1023">
        <v>0</v>
      </c>
      <c r="AO80" s="863"/>
      <c r="AP80" s="863"/>
      <c r="AQ80" s="863"/>
      <c r="AR80" s="863"/>
      <c r="AS80" s="863"/>
      <c r="AT80" s="863"/>
      <c r="AU80" s="863"/>
      <c r="AV80" s="863"/>
      <c r="AW80" s="863"/>
      <c r="AX80" s="863"/>
      <c r="AY80" s="863"/>
      <c r="AZ80" s="863"/>
      <c r="BA80" s="1035"/>
      <c r="BC80" s="1035"/>
      <c r="BD80" s="1035"/>
      <c r="BE80" s="1035"/>
      <c r="BL80" s="1035"/>
      <c r="BM80" s="1035"/>
      <c r="BN80" s="1035"/>
      <c r="BO80" s="1035"/>
      <c r="BP80" s="1035"/>
      <c r="BQ80" s="1035"/>
      <c r="BR80" s="1127"/>
    </row>
    <row r="81" spans="1:70" s="1035" customFormat="1" ht="24.95" customHeight="1">
      <c r="A81" s="1104">
        <f>+IF(ENERO!A81=0,"",ENERO!A81)</f>
        <v>1130119</v>
      </c>
      <c r="B81" s="1201" t="str">
        <f>+IF(ENERO!B81=0,"",ENERO!B81)</f>
        <v>Digitar nombre de Nuevo Rubro. Si lo Requiere</v>
      </c>
      <c r="C81" s="1106">
        <f>ENERO!C81</f>
        <v>0</v>
      </c>
      <c r="D81" s="1139">
        <f t="shared" ref="D81:Q81" si="90">SUM(D82:D83)</f>
        <v>0</v>
      </c>
      <c r="E81" s="1139">
        <f t="shared" si="90"/>
        <v>0</v>
      </c>
      <c r="F81" s="1139">
        <f t="shared" si="90"/>
        <v>0</v>
      </c>
      <c r="G81" s="1139">
        <f t="shared" si="90"/>
        <v>0</v>
      </c>
      <c r="H81" s="1139">
        <f t="shared" si="90"/>
        <v>0</v>
      </c>
      <c r="I81" s="1139">
        <f t="shared" si="90"/>
        <v>0</v>
      </c>
      <c r="J81" s="1139">
        <f t="shared" si="90"/>
        <v>0</v>
      </c>
      <c r="K81" s="1139">
        <f t="shared" si="90"/>
        <v>0</v>
      </c>
      <c r="L81" s="1139">
        <f t="shared" si="90"/>
        <v>0</v>
      </c>
      <c r="M81" s="1139">
        <f t="shared" si="90"/>
        <v>0</v>
      </c>
      <c r="N81" s="1107">
        <f t="shared" si="90"/>
        <v>0</v>
      </c>
      <c r="P81" s="1106">
        <f t="shared" si="90"/>
        <v>0</v>
      </c>
      <c r="Q81" s="1107">
        <f t="shared" si="90"/>
        <v>0</v>
      </c>
      <c r="R81" s="909"/>
      <c r="S81" s="1083">
        <f>+IF(ENERO!S81=0,"",ENERO!S81)</f>
        <v>1020199</v>
      </c>
      <c r="T81" s="1084" t="str">
        <f>+IF(ENERO!T81=0,"",ENERO!T81)</f>
        <v>Vigencias Anteriores</v>
      </c>
      <c r="U81" s="1085">
        <f>+ENERO!U81</f>
        <v>0</v>
      </c>
      <c r="V81" s="1033">
        <f>ENERO!V81+FEBRERO!AL81</f>
        <v>0</v>
      </c>
      <c r="W81" s="1033">
        <f>ENERO!W81+FEBRERO!AM81</f>
        <v>0</v>
      </c>
      <c r="X81" s="1086">
        <f t="shared" si="76"/>
        <v>0</v>
      </c>
      <c r="Y81" s="1087">
        <f>ENERO!AA81</f>
        <v>0</v>
      </c>
      <c r="Z81" s="1020">
        <v>0</v>
      </c>
      <c r="AA81" s="1088">
        <f t="shared" si="77"/>
        <v>0</v>
      </c>
      <c r="AB81" s="1087">
        <f>ENERO!AD81</f>
        <v>0</v>
      </c>
      <c r="AC81" s="1020">
        <v>0</v>
      </c>
      <c r="AD81" s="1086">
        <f t="shared" si="78"/>
        <v>0</v>
      </c>
      <c r="AE81" s="1087">
        <f>ENERO!AG81</f>
        <v>0</v>
      </c>
      <c r="AF81" s="1020">
        <v>0</v>
      </c>
      <c r="AG81" s="1086">
        <f t="shared" si="79"/>
        <v>0</v>
      </c>
      <c r="AH81" s="1087">
        <f t="shared" si="80"/>
        <v>0</v>
      </c>
      <c r="AI81" s="1033">
        <f t="shared" si="81"/>
        <v>0</v>
      </c>
      <c r="AJ81" s="1086">
        <f t="shared" si="82"/>
        <v>0</v>
      </c>
      <c r="AK81" s="909"/>
      <c r="AL81" s="1089">
        <v>0</v>
      </c>
      <c r="AM81" s="1023">
        <v>0</v>
      </c>
      <c r="AN81" s="909"/>
      <c r="AO81" s="863"/>
      <c r="AP81" s="863"/>
      <c r="AQ81" s="863"/>
      <c r="AR81" s="863"/>
      <c r="AS81" s="863"/>
      <c r="AT81" s="863"/>
      <c r="AU81" s="863"/>
      <c r="AV81" s="863"/>
      <c r="AW81" s="863"/>
      <c r="AX81" s="863"/>
      <c r="AY81" s="863"/>
      <c r="AZ81" s="863"/>
      <c r="BA81" s="909"/>
      <c r="BC81" s="909"/>
      <c r="BD81" s="909"/>
      <c r="BE81" s="909"/>
    </row>
    <row r="82" spans="1:70" s="1035" customFormat="1" ht="24.95" customHeight="1">
      <c r="A82" s="1014" t="str">
        <f>+IF(ENERO!A82=0,"",ENERO!A82)</f>
        <v>1130119-1</v>
      </c>
      <c r="B82" s="1150" t="str">
        <f>+CONCATENATE("Vigencia ",INSTRUCCIONES!$F$3)</f>
        <v>Vigencia 2017</v>
      </c>
      <c r="C82" s="1016">
        <f>+ENERO!C82</f>
        <v>0</v>
      </c>
      <c r="D82" s="1017">
        <f>ENERO!D82+FEBRERO!P82</f>
        <v>0</v>
      </c>
      <c r="E82" s="1017">
        <f>ENERO!E82+FEBRERO!Q82</f>
        <v>0</v>
      </c>
      <c r="F82" s="1017">
        <f t="shared" si="85"/>
        <v>0</v>
      </c>
      <c r="G82" s="1017">
        <f>ENERO!I82</f>
        <v>0</v>
      </c>
      <c r="H82" s="1020">
        <f>+H79-K79</f>
        <v>0</v>
      </c>
      <c r="I82" s="1017">
        <f t="shared" si="86"/>
        <v>0</v>
      </c>
      <c r="J82" s="1017">
        <f>ENERO!L82</f>
        <v>0</v>
      </c>
      <c r="K82" s="1020">
        <v>0</v>
      </c>
      <c r="L82" s="1017">
        <f t="shared" si="87"/>
        <v>0</v>
      </c>
      <c r="M82" s="1017">
        <f t="shared" si="88"/>
        <v>0</v>
      </c>
      <c r="N82" s="1018">
        <f t="shared" si="89"/>
        <v>0</v>
      </c>
      <c r="P82" s="1022">
        <v>0</v>
      </c>
      <c r="Q82" s="1023">
        <v>0</v>
      </c>
      <c r="R82" s="909"/>
      <c r="S82" s="1000" t="str">
        <f>+IF(ENERO!S82=0,"",ENERO!S82)</f>
        <v/>
      </c>
      <c r="T82" s="1001" t="str">
        <f>+IF(ENERO!T82=0,"",ENERO!T82)</f>
        <v/>
      </c>
      <c r="U82" s="1002"/>
      <c r="V82" s="1003"/>
      <c r="W82" s="1003"/>
      <c r="X82" s="1004"/>
      <c r="Y82" s="1002"/>
      <c r="Z82" s="1003"/>
      <c r="AA82" s="1003"/>
      <c r="AB82" s="1002"/>
      <c r="AC82" s="1003"/>
      <c r="AD82" s="1004"/>
      <c r="AE82" s="1002"/>
      <c r="AF82" s="1003"/>
      <c r="AG82" s="1004"/>
      <c r="AH82" s="1002"/>
      <c r="AI82" s="1003"/>
      <c r="AJ82" s="1004"/>
      <c r="AK82" s="909"/>
      <c r="AL82" s="1195"/>
      <c r="AM82" s="1196"/>
      <c r="AN82" s="909"/>
      <c r="AO82" s="863"/>
      <c r="AP82" s="863"/>
      <c r="AQ82" s="863"/>
      <c r="AR82" s="863"/>
      <c r="AS82" s="863"/>
      <c r="AT82" s="863"/>
      <c r="AU82" s="863"/>
      <c r="AV82" s="863"/>
      <c r="AW82" s="863"/>
      <c r="AX82" s="863"/>
      <c r="AY82" s="863"/>
      <c r="AZ82" s="863"/>
      <c r="BN82" s="909"/>
      <c r="BO82" s="909"/>
      <c r="BP82" s="909"/>
      <c r="BQ82" s="909"/>
      <c r="BR82" s="909"/>
    </row>
    <row r="83" spans="1:70" s="1035" customFormat="1" ht="24.95" customHeight="1" thickBot="1">
      <c r="A83" s="1014" t="str">
        <f>+IF(ENERO!A83=0,"",ENERO!A83)</f>
        <v>1130119-2</v>
      </c>
      <c r="B83" s="1202" t="str">
        <f>+IF(ENERO!B83=0,"",ENERO!B83)</f>
        <v>Vigencia Anterior</v>
      </c>
      <c r="C83" s="1057">
        <f>+ENERO!C83</f>
        <v>0</v>
      </c>
      <c r="D83" s="1058">
        <f>ENERO!D83+FEBRERO!P83</f>
        <v>0</v>
      </c>
      <c r="E83" s="1058">
        <f>ENERO!E83+FEBRERO!Q83</f>
        <v>0</v>
      </c>
      <c r="F83" s="1058">
        <f t="shared" si="85"/>
        <v>0</v>
      </c>
      <c r="G83" s="1058">
        <f>ENERO!I83</f>
        <v>0</v>
      </c>
      <c r="H83" s="1061">
        <v>0</v>
      </c>
      <c r="I83" s="1058">
        <f t="shared" si="86"/>
        <v>0</v>
      </c>
      <c r="J83" s="1058">
        <f>ENERO!L83</f>
        <v>0</v>
      </c>
      <c r="K83" s="1061">
        <v>0</v>
      </c>
      <c r="L83" s="1058">
        <f t="shared" si="87"/>
        <v>0</v>
      </c>
      <c r="M83" s="1058">
        <f t="shared" si="88"/>
        <v>0</v>
      </c>
      <c r="N83" s="1059">
        <f t="shared" si="89"/>
        <v>0</v>
      </c>
      <c r="P83" s="1022">
        <v>0</v>
      </c>
      <c r="Q83" s="1023">
        <v>0</v>
      </c>
      <c r="R83" s="909"/>
      <c r="S83" s="1073">
        <f>+IF(ENERO!S83=0,"",ENERO!S83)</f>
        <v>1020200</v>
      </c>
      <c r="T83" s="1074" t="str">
        <f>+IF(ENERO!T83=0,"",ENERO!T83)</f>
        <v>Servicios Personales Indirectos</v>
      </c>
      <c r="U83" s="1046">
        <f t="shared" ref="U83:AJ83" si="91">SUM(U84:U88)</f>
        <v>22232471701</v>
      </c>
      <c r="V83" s="1047">
        <f t="shared" si="91"/>
        <v>-1416215558</v>
      </c>
      <c r="W83" s="1047">
        <f t="shared" si="91"/>
        <v>0</v>
      </c>
      <c r="X83" s="1048">
        <f t="shared" si="91"/>
        <v>20816256143</v>
      </c>
      <c r="Y83" s="1046">
        <f t="shared" si="91"/>
        <v>9825618109</v>
      </c>
      <c r="Z83" s="1047">
        <f t="shared" si="91"/>
        <v>2633966351</v>
      </c>
      <c r="AA83" s="1049">
        <f t="shared" si="91"/>
        <v>12459584460</v>
      </c>
      <c r="AB83" s="1046">
        <f t="shared" si="91"/>
        <v>1993102826</v>
      </c>
      <c r="AC83" s="1047">
        <f t="shared" si="91"/>
        <v>3507240291</v>
      </c>
      <c r="AD83" s="1048">
        <f t="shared" si="91"/>
        <v>5500343117</v>
      </c>
      <c r="AE83" s="1046">
        <f t="shared" si="91"/>
        <v>1198298163</v>
      </c>
      <c r="AF83" s="1047">
        <f t="shared" si="91"/>
        <v>1572968388</v>
      </c>
      <c r="AG83" s="1048">
        <f t="shared" si="91"/>
        <v>2771266551</v>
      </c>
      <c r="AH83" s="1046">
        <f t="shared" si="91"/>
        <v>8356671683</v>
      </c>
      <c r="AI83" s="1047">
        <f t="shared" si="91"/>
        <v>15315913026</v>
      </c>
      <c r="AJ83" s="1048">
        <f t="shared" si="91"/>
        <v>18044989592</v>
      </c>
      <c r="AK83" s="909"/>
      <c r="AL83" s="1050">
        <f>SUM(AL84:AL88)</f>
        <v>-1416215558</v>
      </c>
      <c r="AM83" s="1048">
        <f>SUM(AM84:AM88)</f>
        <v>0</v>
      </c>
      <c r="AN83" s="909"/>
      <c r="AO83" s="863"/>
      <c r="AP83" s="863"/>
      <c r="AQ83" s="863"/>
      <c r="AR83" s="863"/>
      <c r="AS83" s="863"/>
      <c r="AT83" s="863"/>
      <c r="AU83" s="863"/>
      <c r="AV83" s="863"/>
      <c r="AW83" s="863"/>
      <c r="AX83" s="863"/>
      <c r="AY83" s="863"/>
      <c r="AZ83" s="863"/>
      <c r="BM83" s="909"/>
    </row>
    <row r="84" spans="1:70" s="1035" customFormat="1" ht="24.95" customHeight="1" thickBot="1">
      <c r="A84" s="1203" t="str">
        <f>+IF(ENERO!A84=0,"",ENERO!A84)</f>
        <v/>
      </c>
      <c r="B84" s="1204" t="str">
        <f>+IF(ENERO!B84=0,"",ENERO!B84)</f>
        <v/>
      </c>
      <c r="C84" s="863"/>
      <c r="D84" s="863"/>
      <c r="E84" s="863"/>
      <c r="F84" s="863"/>
      <c r="G84" s="863"/>
      <c r="H84" s="863"/>
      <c r="I84" s="863"/>
      <c r="J84" s="863"/>
      <c r="K84" s="863"/>
      <c r="L84" s="863"/>
      <c r="M84" s="863"/>
      <c r="N84" s="1101"/>
      <c r="O84" s="1205"/>
      <c r="P84" s="1206"/>
      <c r="Q84" s="1070"/>
      <c r="R84" s="909"/>
      <c r="S84" s="1083" t="str">
        <f>+IF(ENERO!S84=0,"",ENERO!S84)</f>
        <v>1020200-1</v>
      </c>
      <c r="T84" s="1084" t="str">
        <f>+IF(ENERO!T84=0,"",ENERO!T84)</f>
        <v>Remuneración y Honorarios por Servicios Técnicos y Profesionales</v>
      </c>
      <c r="U84" s="1085">
        <f>+ENERO!U84</f>
        <v>1000000000</v>
      </c>
      <c r="V84" s="1033">
        <f>ENERO!V84+FEBRERO!AL84</f>
        <v>411628287</v>
      </c>
      <c r="W84" s="1033">
        <f>ENERO!W84+FEBRERO!AM84</f>
        <v>0</v>
      </c>
      <c r="X84" s="1086">
        <f>SUM(U84:W84)</f>
        <v>1411628287</v>
      </c>
      <c r="Y84" s="1087">
        <f>ENERO!AA84</f>
        <v>806325800</v>
      </c>
      <c r="Z84" s="1020">
        <v>575232000</v>
      </c>
      <c r="AA84" s="1088">
        <f>SUM(Y84:Z84)</f>
        <v>1381557800</v>
      </c>
      <c r="AB84" s="1087">
        <f>ENERO!AD84</f>
        <v>276784000</v>
      </c>
      <c r="AC84" s="1020">
        <v>271796000</v>
      </c>
      <c r="AD84" s="1086">
        <f>SUM(AB84:AC84)</f>
        <v>548580000</v>
      </c>
      <c r="AE84" s="1087">
        <f>ENERO!AG84</f>
        <v>0</v>
      </c>
      <c r="AF84" s="1020">
        <v>239643128</v>
      </c>
      <c r="AG84" s="1086">
        <f>SUM(AE84:AF84)</f>
        <v>239643128</v>
      </c>
      <c r="AH84" s="1087">
        <f>X84-AA84</f>
        <v>30070487</v>
      </c>
      <c r="AI84" s="1033">
        <f>X84-AD84</f>
        <v>863048287</v>
      </c>
      <c r="AJ84" s="1086">
        <f>X84-AG84</f>
        <v>1171985159</v>
      </c>
      <c r="AK84" s="909"/>
      <c r="AL84" s="1089">
        <f>450000000-38371713</f>
        <v>411628287</v>
      </c>
      <c r="AM84" s="1023">
        <v>0</v>
      </c>
      <c r="AN84" s="909"/>
      <c r="AO84" s="863"/>
      <c r="AP84" s="863"/>
      <c r="AQ84" s="863"/>
      <c r="AR84" s="863"/>
      <c r="AS84" s="863"/>
      <c r="AT84" s="863"/>
      <c r="AU84" s="863"/>
      <c r="AV84" s="863"/>
      <c r="AW84" s="863"/>
      <c r="AX84" s="863"/>
      <c r="AY84" s="863"/>
      <c r="AZ84" s="863"/>
    </row>
    <row r="85" spans="1:70" s="1035" customFormat="1" ht="24.95" customHeight="1">
      <c r="A85" s="1207">
        <f>+IF(ENERO!A85=0,"",ENERO!A85)</f>
        <v>11302</v>
      </c>
      <c r="B85" s="1208" t="str">
        <f>+IF(ENERO!B85=0,"",ENERO!B85)</f>
        <v>Otras Ventas de Servicios de Salud</v>
      </c>
      <c r="C85" s="1209">
        <f t="shared" ref="C85:N85" si="92">SUM(C86:C92)</f>
        <v>0</v>
      </c>
      <c r="D85" s="1210">
        <f t="shared" si="92"/>
        <v>0</v>
      </c>
      <c r="E85" s="1210">
        <f t="shared" si="92"/>
        <v>0</v>
      </c>
      <c r="F85" s="1210">
        <f t="shared" si="92"/>
        <v>0</v>
      </c>
      <c r="G85" s="1210">
        <f t="shared" si="92"/>
        <v>0</v>
      </c>
      <c r="H85" s="1210">
        <f t="shared" si="92"/>
        <v>0</v>
      </c>
      <c r="I85" s="1210">
        <f t="shared" si="92"/>
        <v>0</v>
      </c>
      <c r="J85" s="1210">
        <f t="shared" si="92"/>
        <v>0</v>
      </c>
      <c r="K85" s="1210">
        <f t="shared" si="92"/>
        <v>0</v>
      </c>
      <c r="L85" s="1210">
        <f t="shared" si="92"/>
        <v>0</v>
      </c>
      <c r="M85" s="1210">
        <f t="shared" si="92"/>
        <v>0</v>
      </c>
      <c r="N85" s="1211">
        <f t="shared" si="92"/>
        <v>0</v>
      </c>
      <c r="P85" s="1106">
        <f>SUM(P86:P92)</f>
        <v>0</v>
      </c>
      <c r="Q85" s="1107">
        <f>SUM(Q86:Q92)</f>
        <v>0</v>
      </c>
      <c r="R85" s="909"/>
      <c r="S85" s="1083" t="str">
        <f>+IF(ENERO!S85=0,"",ENERO!S85)</f>
        <v>1020200-2</v>
      </c>
      <c r="T85" s="1084" t="str">
        <f>+IF(ENERO!T85=0,"",ENERO!T85)</f>
        <v>Personal Supernumerario</v>
      </c>
      <c r="U85" s="1085">
        <f>+ENERO!U85</f>
        <v>0</v>
      </c>
      <c r="V85" s="1033">
        <f>ENERO!V85+FEBRERO!AL85</f>
        <v>0</v>
      </c>
      <c r="W85" s="1033">
        <f>ENERO!W85+FEBRERO!AM85</f>
        <v>0</v>
      </c>
      <c r="X85" s="1086">
        <f>SUM(U85:W85)</f>
        <v>0</v>
      </c>
      <c r="Y85" s="1087">
        <f>ENERO!AA85</f>
        <v>0</v>
      </c>
      <c r="Z85" s="1020">
        <v>0</v>
      </c>
      <c r="AA85" s="1088">
        <f>SUM(Y85:Z85)</f>
        <v>0</v>
      </c>
      <c r="AB85" s="1087">
        <f>ENERO!AD85</f>
        <v>0</v>
      </c>
      <c r="AC85" s="1020">
        <v>0</v>
      </c>
      <c r="AD85" s="1086">
        <f>SUM(AB85:AC85)</f>
        <v>0</v>
      </c>
      <c r="AE85" s="1087">
        <f>ENERO!AG85</f>
        <v>0</v>
      </c>
      <c r="AF85" s="1020">
        <v>0</v>
      </c>
      <c r="AG85" s="1086">
        <f>SUM(AE85:AF85)</f>
        <v>0</v>
      </c>
      <c r="AH85" s="1087">
        <f>X85-AA85</f>
        <v>0</v>
      </c>
      <c r="AI85" s="1033">
        <f>X85-AD85</f>
        <v>0</v>
      </c>
      <c r="AJ85" s="1086">
        <f>X85-AG85</f>
        <v>0</v>
      </c>
      <c r="AK85" s="909"/>
      <c r="AL85" s="1089">
        <v>0</v>
      </c>
      <c r="AM85" s="1023">
        <v>0</v>
      </c>
      <c r="AN85" s="909"/>
      <c r="AO85" s="863"/>
      <c r="AP85" s="863"/>
      <c r="AQ85" s="863"/>
      <c r="AR85" s="863"/>
      <c r="AS85" s="863"/>
      <c r="AT85" s="863"/>
      <c r="AU85" s="863"/>
      <c r="AV85" s="863"/>
      <c r="AW85" s="863"/>
      <c r="AX85" s="863"/>
      <c r="AY85" s="863"/>
      <c r="AZ85" s="863"/>
      <c r="BL85" s="909"/>
    </row>
    <row r="86" spans="1:70" s="909" customFormat="1" ht="24.95" customHeight="1">
      <c r="A86" s="1212">
        <f>+IF(ENERO!A86=0,"",ENERO!A86)</f>
        <v>1130201</v>
      </c>
      <c r="B86" s="1213" t="str">
        <f>+IF(ENERO!B86=0,"",ENERO!B86)</f>
        <v/>
      </c>
      <c r="C86" s="1214">
        <f>+ENERO!C86</f>
        <v>0</v>
      </c>
      <c r="D86" s="1017">
        <f>ENERO!D86+FEBRERO!P86</f>
        <v>0</v>
      </c>
      <c r="E86" s="1017">
        <f>ENERO!E86+FEBRERO!Q86</f>
        <v>0</v>
      </c>
      <c r="F86" s="1017">
        <f t="shared" ref="F86:F92" si="93">SUM(C86:E86)</f>
        <v>0</v>
      </c>
      <c r="G86" s="1017">
        <f>ENERO!I86</f>
        <v>0</v>
      </c>
      <c r="H86" s="1020">
        <v>0</v>
      </c>
      <c r="I86" s="1017">
        <f t="shared" ref="I86:I92" si="94">SUM(G86:H86)</f>
        <v>0</v>
      </c>
      <c r="J86" s="1017">
        <f>ENERO!L86</f>
        <v>0</v>
      </c>
      <c r="K86" s="1020">
        <v>0</v>
      </c>
      <c r="L86" s="1017">
        <f t="shared" ref="L86:L92" si="95">SUM(J86:K86)</f>
        <v>0</v>
      </c>
      <c r="M86" s="1017">
        <f t="shared" ref="M86:M92" si="96">F86-I86</f>
        <v>0</v>
      </c>
      <c r="N86" s="1018">
        <f t="shared" ref="N86:N92" si="97">F86-L86</f>
        <v>0</v>
      </c>
      <c r="O86" s="1035"/>
      <c r="P86" s="1022">
        <v>0</v>
      </c>
      <c r="Q86" s="1023">
        <v>0</v>
      </c>
      <c r="S86" s="1083" t="str">
        <f>+IF(ENERO!S86=0,"",ENERO!S86)</f>
        <v>1020200-4</v>
      </c>
      <c r="T86" s="1084" t="str">
        <f>+IF(ENERO!T86=0,"",ENERO!T86)</f>
        <v>Otros Honorarios</v>
      </c>
      <c r="U86" s="1085">
        <f>+ENERO!U86</f>
        <v>19000000000</v>
      </c>
      <c r="V86" s="1033">
        <f>ENERO!V86+FEBRERO!AL86</f>
        <v>-2116817483</v>
      </c>
      <c r="W86" s="1033">
        <f>ENERO!W86+FEBRERO!AM86</f>
        <v>0</v>
      </c>
      <c r="X86" s="1086">
        <f>SUM(U86:W86)</f>
        <v>16883182517</v>
      </c>
      <c r="Y86" s="1087">
        <f>ENERO!AA86</f>
        <v>7820994146</v>
      </c>
      <c r="Z86" s="1020">
        <v>784736000</v>
      </c>
      <c r="AA86" s="1088">
        <f>SUM(Y86:Z86)</f>
        <v>8605730146</v>
      </c>
      <c r="AB86" s="1087">
        <f>ENERO!AD86</f>
        <v>518020663</v>
      </c>
      <c r="AC86" s="1020">
        <v>1961445940</v>
      </c>
      <c r="AD86" s="1086">
        <f>SUM(AB86:AC86)</f>
        <v>2479466603</v>
      </c>
      <c r="AE86" s="1087">
        <f>ENERO!AG86</f>
        <v>0</v>
      </c>
      <c r="AF86" s="1020">
        <v>59326909</v>
      </c>
      <c r="AG86" s="1086">
        <f>SUM(AE86:AF86)</f>
        <v>59326909</v>
      </c>
      <c r="AH86" s="1087">
        <f>X86-AA86</f>
        <v>8277452371</v>
      </c>
      <c r="AI86" s="1033">
        <f>X86-AD86</f>
        <v>14403715914</v>
      </c>
      <c r="AJ86" s="1086">
        <f>X86-AG86</f>
        <v>16823855608</v>
      </c>
      <c r="AL86" s="1089">
        <v>-2116817483</v>
      </c>
      <c r="AM86" s="1023">
        <v>0</v>
      </c>
      <c r="AO86" s="863"/>
      <c r="AP86" s="863"/>
      <c r="AQ86" s="863"/>
      <c r="AR86" s="863"/>
      <c r="AS86" s="863"/>
      <c r="AT86" s="863"/>
      <c r="AU86" s="863"/>
      <c r="AV86" s="863"/>
      <c r="AW86" s="863"/>
      <c r="AX86" s="863"/>
      <c r="AY86" s="863"/>
      <c r="AZ86" s="863"/>
      <c r="BA86" s="1035"/>
      <c r="BC86" s="1035"/>
      <c r="BD86" s="1035"/>
      <c r="BE86" s="1035"/>
      <c r="BL86" s="1035"/>
      <c r="BM86" s="1035"/>
      <c r="BN86" s="1035"/>
      <c r="BO86" s="1035"/>
      <c r="BP86" s="1035"/>
      <c r="BQ86" s="1035"/>
      <c r="BR86" s="1035"/>
    </row>
    <row r="87" spans="1:70" s="1035" customFormat="1" ht="24.95" customHeight="1">
      <c r="A87" s="1212">
        <f>+IF(ENERO!A87=0,"",ENERO!A87)</f>
        <v>1130202</v>
      </c>
      <c r="B87" s="1213" t="str">
        <f>+IF(ENERO!B87=0,"",ENERO!B87)</f>
        <v/>
      </c>
      <c r="C87" s="1214">
        <f>+ENERO!C87</f>
        <v>0</v>
      </c>
      <c r="D87" s="1017">
        <f>ENERO!D87+FEBRERO!P87</f>
        <v>0</v>
      </c>
      <c r="E87" s="1017">
        <f>ENERO!E87+FEBRERO!Q87</f>
        <v>0</v>
      </c>
      <c r="F87" s="1017">
        <f t="shared" si="93"/>
        <v>0</v>
      </c>
      <c r="G87" s="1017">
        <f>ENERO!I87</f>
        <v>0</v>
      </c>
      <c r="H87" s="1020">
        <v>0</v>
      </c>
      <c r="I87" s="1017">
        <f t="shared" si="94"/>
        <v>0</v>
      </c>
      <c r="J87" s="1017">
        <f>ENERO!L87</f>
        <v>0</v>
      </c>
      <c r="K87" s="1020">
        <v>0</v>
      </c>
      <c r="L87" s="1017">
        <f t="shared" si="95"/>
        <v>0</v>
      </c>
      <c r="M87" s="1017">
        <f t="shared" si="96"/>
        <v>0</v>
      </c>
      <c r="N87" s="1018">
        <f t="shared" si="97"/>
        <v>0</v>
      </c>
      <c r="P87" s="1022">
        <v>0</v>
      </c>
      <c r="Q87" s="1023">
        <v>0</v>
      </c>
      <c r="R87" s="909"/>
      <c r="S87" s="1083" t="str">
        <f>+IF(ENERO!S87=0,"",ENERO!S87)</f>
        <v/>
      </c>
      <c r="T87" s="1084" t="str">
        <f>+IF(ENERO!T87=0,"",ENERO!T87)</f>
        <v/>
      </c>
      <c r="U87" s="1085">
        <f>+ENERO!U87</f>
        <v>0</v>
      </c>
      <c r="V87" s="1033">
        <f>ENERO!V87+FEBRERO!AL87</f>
        <v>0</v>
      </c>
      <c r="W87" s="1033">
        <f>ENERO!W87+FEBRERO!AM87</f>
        <v>0</v>
      </c>
      <c r="X87" s="1086">
        <f>SUM(U87:W87)</f>
        <v>0</v>
      </c>
      <c r="Y87" s="1087">
        <f>ENERO!AA87</f>
        <v>0</v>
      </c>
      <c r="Z87" s="1020">
        <v>0</v>
      </c>
      <c r="AA87" s="1088">
        <f>SUM(Y87:Z87)</f>
        <v>0</v>
      </c>
      <c r="AB87" s="1087">
        <f>ENERO!AD87</f>
        <v>0</v>
      </c>
      <c r="AC87" s="1020">
        <v>0</v>
      </c>
      <c r="AD87" s="1086">
        <f>SUM(AB87:AC87)</f>
        <v>0</v>
      </c>
      <c r="AE87" s="1087">
        <f>ENERO!AG87</f>
        <v>0</v>
      </c>
      <c r="AF87" s="1020">
        <v>0</v>
      </c>
      <c r="AG87" s="1086">
        <f>SUM(AE87:AF87)</f>
        <v>0</v>
      </c>
      <c r="AH87" s="1087">
        <f>X87-AA87</f>
        <v>0</v>
      </c>
      <c r="AI87" s="1033">
        <f>X87-AD87</f>
        <v>0</v>
      </c>
      <c r="AJ87" s="1086">
        <f>X87-AG87</f>
        <v>0</v>
      </c>
      <c r="AK87" s="909"/>
      <c r="AL87" s="1089">
        <v>0</v>
      </c>
      <c r="AM87" s="1023">
        <v>0</v>
      </c>
      <c r="AN87" s="909"/>
      <c r="AO87" s="863"/>
      <c r="AP87" s="863"/>
      <c r="AQ87" s="863"/>
      <c r="AR87" s="863"/>
      <c r="AS87" s="863"/>
      <c r="AT87" s="863"/>
      <c r="AU87" s="863"/>
      <c r="AV87" s="863"/>
      <c r="AW87" s="863"/>
      <c r="AX87" s="863"/>
      <c r="AY87" s="863"/>
      <c r="AZ87" s="863"/>
      <c r="BA87" s="909"/>
      <c r="BC87" s="909"/>
      <c r="BD87" s="909"/>
      <c r="BE87" s="909"/>
    </row>
    <row r="88" spans="1:70" s="1035" customFormat="1" ht="24.95" customHeight="1">
      <c r="A88" s="1212">
        <f>+IF(ENERO!A88=0,"",ENERO!A88)</f>
        <v>1130203</v>
      </c>
      <c r="B88" s="1215" t="str">
        <f>+IF(ENERO!B88=0,"",ENERO!B88)</f>
        <v>CONVENIOS CON LA NACION LIGADOS A LA VENTA DE SERVICIOS</v>
      </c>
      <c r="C88" s="1214">
        <f>+ENERO!C88</f>
        <v>0</v>
      </c>
      <c r="D88" s="1017">
        <f>ENERO!D88+FEBRERO!P88</f>
        <v>0</v>
      </c>
      <c r="E88" s="1017">
        <f>ENERO!E88+FEBRERO!Q88</f>
        <v>0</v>
      </c>
      <c r="F88" s="1017">
        <f t="shared" si="93"/>
        <v>0</v>
      </c>
      <c r="G88" s="1017">
        <f>ENERO!I88</f>
        <v>0</v>
      </c>
      <c r="H88" s="1020">
        <v>0</v>
      </c>
      <c r="I88" s="1017">
        <f t="shared" si="94"/>
        <v>0</v>
      </c>
      <c r="J88" s="1017">
        <f>ENERO!L88</f>
        <v>0</v>
      </c>
      <c r="K88" s="1020">
        <v>0</v>
      </c>
      <c r="L88" s="1017">
        <f t="shared" si="95"/>
        <v>0</v>
      </c>
      <c r="M88" s="1017">
        <f t="shared" si="96"/>
        <v>0</v>
      </c>
      <c r="N88" s="1018">
        <f t="shared" si="97"/>
        <v>0</v>
      </c>
      <c r="P88" s="1022">
        <v>0</v>
      </c>
      <c r="Q88" s="1023">
        <v>0</v>
      </c>
      <c r="R88" s="909"/>
      <c r="S88" s="1083">
        <f>+IF(ENERO!S88=0,"",ENERO!S88)</f>
        <v>1020299</v>
      </c>
      <c r="T88" s="1084" t="str">
        <f>+IF(ENERO!T88=0,"",ENERO!T88)</f>
        <v>Vigencias Anteriores</v>
      </c>
      <c r="U88" s="1085">
        <f>+ENERO!U88</f>
        <v>2232471701</v>
      </c>
      <c r="V88" s="1033">
        <f>ENERO!V88+FEBRERO!AL88</f>
        <v>288973638</v>
      </c>
      <c r="W88" s="1033">
        <f>ENERO!W88+FEBRERO!AM88</f>
        <v>0</v>
      </c>
      <c r="X88" s="1086">
        <f>SUM(U88:W88)</f>
        <v>2521445339</v>
      </c>
      <c r="Y88" s="1087">
        <f>ENERO!AA88</f>
        <v>1198298163</v>
      </c>
      <c r="Z88" s="1020">
        <v>1273998351</v>
      </c>
      <c r="AA88" s="1088">
        <f>SUM(Y88:Z88)</f>
        <v>2472296514</v>
      </c>
      <c r="AB88" s="1087">
        <f>ENERO!AD88</f>
        <v>1198298163</v>
      </c>
      <c r="AC88" s="1020">
        <v>1273998351</v>
      </c>
      <c r="AD88" s="1086">
        <f>SUM(AB88:AC88)</f>
        <v>2472296514</v>
      </c>
      <c r="AE88" s="1087">
        <f>ENERO!AG88</f>
        <v>1198298163</v>
      </c>
      <c r="AF88" s="1020">
        <v>1273998351</v>
      </c>
      <c r="AG88" s="1086">
        <f>SUM(AE88:AF88)</f>
        <v>2472296514</v>
      </c>
      <c r="AH88" s="1087">
        <f>X88-AA88</f>
        <v>49148825</v>
      </c>
      <c r="AI88" s="1033">
        <f>X88-AD88</f>
        <v>49148825</v>
      </c>
      <c r="AJ88" s="1086">
        <f>X88-AG88</f>
        <v>49148825</v>
      </c>
      <c r="AK88" s="909"/>
      <c r="AL88" s="1089">
        <f>566371713-277398075</f>
        <v>288973638</v>
      </c>
      <c r="AM88" s="1023">
        <v>0</v>
      </c>
      <c r="AN88" s="909"/>
      <c r="AO88" s="863"/>
      <c r="AP88" s="863"/>
      <c r="AQ88" s="863"/>
      <c r="AR88" s="863"/>
      <c r="AS88" s="863"/>
      <c r="AT88" s="863"/>
      <c r="AU88" s="863"/>
      <c r="AV88" s="863"/>
      <c r="AW88" s="863"/>
      <c r="AX88" s="863"/>
      <c r="AY88" s="863"/>
      <c r="AZ88" s="863"/>
      <c r="BN88" s="909"/>
      <c r="BO88" s="909"/>
      <c r="BP88" s="909"/>
      <c r="BQ88" s="909"/>
      <c r="BR88" s="909"/>
    </row>
    <row r="89" spans="1:70" s="1035" customFormat="1" ht="24.95" customHeight="1">
      <c r="A89" s="1212">
        <f>+IF(ENERO!A89=0,"",ENERO!A89)</f>
        <v>1130204</v>
      </c>
      <c r="B89" s="1215" t="str">
        <f>+IF(ENERO!B89=0,"",ENERO!B89)</f>
        <v>CONVENIOS CON EL DEPARTAMENTO LIGADOS A LA VENTA SERVICIOS</v>
      </c>
      <c r="C89" s="1214">
        <f>+ENERO!C89</f>
        <v>0</v>
      </c>
      <c r="D89" s="1017">
        <f>ENERO!D89+FEBRERO!P89</f>
        <v>0</v>
      </c>
      <c r="E89" s="1017">
        <f>ENERO!E89+FEBRERO!Q89</f>
        <v>0</v>
      </c>
      <c r="F89" s="1017">
        <f t="shared" si="93"/>
        <v>0</v>
      </c>
      <c r="G89" s="1017">
        <f>ENERO!I89</f>
        <v>0</v>
      </c>
      <c r="H89" s="1020">
        <v>0</v>
      </c>
      <c r="I89" s="1017">
        <f t="shared" si="94"/>
        <v>0</v>
      </c>
      <c r="J89" s="1017">
        <f>ENERO!L89</f>
        <v>0</v>
      </c>
      <c r="K89" s="1020">
        <v>0</v>
      </c>
      <c r="L89" s="1017">
        <f t="shared" si="95"/>
        <v>0</v>
      </c>
      <c r="M89" s="1017">
        <f t="shared" si="96"/>
        <v>0</v>
      </c>
      <c r="N89" s="1018">
        <f t="shared" si="97"/>
        <v>0</v>
      </c>
      <c r="P89" s="1022">
        <v>0</v>
      </c>
      <c r="Q89" s="1023">
        <v>0</v>
      </c>
      <c r="R89" s="909"/>
      <c r="S89" s="1000" t="str">
        <f>+IF(ENERO!S89=0,"",ENERO!S89)</f>
        <v/>
      </c>
      <c r="T89" s="1001" t="str">
        <f>+IF(ENERO!T89=0,"",ENERO!T89)</f>
        <v/>
      </c>
      <c r="U89" s="1002"/>
      <c r="V89" s="1003"/>
      <c r="W89" s="1003"/>
      <c r="X89" s="1004"/>
      <c r="Y89" s="1002"/>
      <c r="Z89" s="1003"/>
      <c r="AA89" s="1003"/>
      <c r="AB89" s="1002"/>
      <c r="AC89" s="1003"/>
      <c r="AD89" s="1004"/>
      <c r="AE89" s="1002"/>
      <c r="AF89" s="1003"/>
      <c r="AG89" s="1004"/>
      <c r="AH89" s="1002"/>
      <c r="AI89" s="1003"/>
      <c r="AJ89" s="1004"/>
      <c r="AK89" s="909"/>
      <c r="AL89" s="1195"/>
      <c r="AM89" s="1196"/>
      <c r="AN89" s="909"/>
      <c r="AO89" s="863"/>
      <c r="AP89" s="863"/>
      <c r="AQ89" s="863"/>
      <c r="AR89" s="863"/>
      <c r="AS89" s="863"/>
      <c r="AT89" s="863"/>
      <c r="AU89" s="863"/>
      <c r="AV89" s="863"/>
      <c r="AW89" s="863"/>
      <c r="AX89" s="863"/>
      <c r="AY89" s="863"/>
      <c r="AZ89" s="863"/>
      <c r="BM89" s="909"/>
    </row>
    <row r="90" spans="1:70" s="1205" customFormat="1" ht="24.95" customHeight="1">
      <c r="A90" s="1212">
        <f>+IF(ENERO!A90=0,"",ENERO!A90)</f>
        <v>1130205</v>
      </c>
      <c r="B90" s="1215" t="str">
        <f>+IF(ENERO!B90=0,"",ENERO!B90)</f>
        <v>CONVENIOS CON EL MUNICIPIO LIGADOS A LA VENTA DE SERVICIOS</v>
      </c>
      <c r="C90" s="1214">
        <f>+ENERO!C90</f>
        <v>0</v>
      </c>
      <c r="D90" s="1017">
        <f>ENERO!D90+FEBRERO!P90</f>
        <v>0</v>
      </c>
      <c r="E90" s="1017">
        <f>ENERO!E90+FEBRERO!Q90</f>
        <v>0</v>
      </c>
      <c r="F90" s="1017">
        <f t="shared" si="93"/>
        <v>0</v>
      </c>
      <c r="G90" s="1017">
        <f>ENERO!I90</f>
        <v>0</v>
      </c>
      <c r="H90" s="1020">
        <v>0</v>
      </c>
      <c r="I90" s="1017">
        <f t="shared" si="94"/>
        <v>0</v>
      </c>
      <c r="J90" s="1017">
        <f>ENERO!L90</f>
        <v>0</v>
      </c>
      <c r="K90" s="1020">
        <v>0</v>
      </c>
      <c r="L90" s="1017">
        <f t="shared" si="95"/>
        <v>0</v>
      </c>
      <c r="M90" s="1017">
        <f t="shared" si="96"/>
        <v>0</v>
      </c>
      <c r="N90" s="1018">
        <f t="shared" si="97"/>
        <v>0</v>
      </c>
      <c r="O90" s="1035"/>
      <c r="P90" s="1022">
        <v>0</v>
      </c>
      <c r="Q90" s="1023">
        <v>0</v>
      </c>
      <c r="R90" s="1216"/>
      <c r="S90" s="1073">
        <f>+IF(ENERO!S90=0,"",ENERO!S90)</f>
        <v>1020300</v>
      </c>
      <c r="T90" s="1074" t="str">
        <f>+IF(ENERO!T90=0,"",ENERO!T90)</f>
        <v>Contribuciones Inherentes nómina al Sector Privado</v>
      </c>
      <c r="U90" s="1046">
        <f t="shared" ref="U90:AJ90" si="98">U91+U96+U102</f>
        <v>259627762</v>
      </c>
      <c r="V90" s="1047">
        <f t="shared" si="98"/>
        <v>-78539920</v>
      </c>
      <c r="W90" s="1047">
        <f t="shared" si="98"/>
        <v>78539920</v>
      </c>
      <c r="X90" s="1048">
        <f t="shared" si="98"/>
        <v>259627762</v>
      </c>
      <c r="Y90" s="1046">
        <f t="shared" si="98"/>
        <v>19106182</v>
      </c>
      <c r="Z90" s="1047">
        <f t="shared" si="98"/>
        <v>19109052</v>
      </c>
      <c r="AA90" s="1049">
        <f t="shared" si="98"/>
        <v>38215234</v>
      </c>
      <c r="AB90" s="1046">
        <f t="shared" si="98"/>
        <v>19106182</v>
      </c>
      <c r="AC90" s="1047">
        <f t="shared" si="98"/>
        <v>19109052</v>
      </c>
      <c r="AD90" s="1048">
        <f t="shared" si="98"/>
        <v>38215234</v>
      </c>
      <c r="AE90" s="1046">
        <f t="shared" si="98"/>
        <v>19106182</v>
      </c>
      <c r="AF90" s="1047">
        <f t="shared" si="98"/>
        <v>19109052</v>
      </c>
      <c r="AG90" s="1048">
        <f t="shared" si="98"/>
        <v>38215234</v>
      </c>
      <c r="AH90" s="1046">
        <f t="shared" si="98"/>
        <v>221412528</v>
      </c>
      <c r="AI90" s="1047">
        <f t="shared" si="98"/>
        <v>221412528</v>
      </c>
      <c r="AJ90" s="1048">
        <f t="shared" si="98"/>
        <v>221412528</v>
      </c>
      <c r="AK90" s="909"/>
      <c r="AL90" s="1050">
        <f>AL91+AL96+AL102</f>
        <v>-78539920</v>
      </c>
      <c r="AM90" s="1048">
        <f>AM91+AM96+AM102</f>
        <v>78539920</v>
      </c>
      <c r="AN90" s="1216"/>
      <c r="AO90" s="1217"/>
      <c r="AP90" s="1217"/>
      <c r="AQ90" s="1217"/>
      <c r="AR90" s="1217"/>
      <c r="AS90" s="1217"/>
      <c r="AT90" s="1217"/>
      <c r="AU90" s="1217"/>
      <c r="AV90" s="1217"/>
      <c r="AW90" s="1217"/>
      <c r="AX90" s="1217"/>
      <c r="AY90" s="1217"/>
      <c r="AZ90" s="1217"/>
      <c r="BM90" s="1035"/>
      <c r="BN90" s="1035"/>
      <c r="BO90" s="1035"/>
      <c r="BP90" s="1035"/>
      <c r="BQ90" s="1035"/>
      <c r="BR90" s="1035"/>
    </row>
    <row r="91" spans="1:70" s="1205" customFormat="1" ht="24.95" customHeight="1">
      <c r="A91" s="1212">
        <f>+IF(ENERO!A91=0,"",ENERO!A91)</f>
        <v>1130206</v>
      </c>
      <c r="B91" s="1215" t="str">
        <f>+IF(ENERO!B91=0,"",ENERO!B91)</f>
        <v>OTROS CONVENIOS LIGADOS A LA VENTA DE SERVICIOS</v>
      </c>
      <c r="C91" s="1214">
        <f>+ENERO!C91</f>
        <v>0</v>
      </c>
      <c r="D91" s="1017">
        <f>ENERO!D91+FEBRERO!P91</f>
        <v>0</v>
      </c>
      <c r="E91" s="1017">
        <f>ENERO!E91+FEBRERO!Q91</f>
        <v>0</v>
      </c>
      <c r="F91" s="1017">
        <f t="shared" si="93"/>
        <v>0</v>
      </c>
      <c r="G91" s="1017">
        <f>ENERO!I91</f>
        <v>0</v>
      </c>
      <c r="H91" s="1020">
        <v>0</v>
      </c>
      <c r="I91" s="1017">
        <f t="shared" si="94"/>
        <v>0</v>
      </c>
      <c r="J91" s="1017">
        <f>ENERO!L91</f>
        <v>0</v>
      </c>
      <c r="K91" s="1020">
        <v>0</v>
      </c>
      <c r="L91" s="1017">
        <f t="shared" si="95"/>
        <v>0</v>
      </c>
      <c r="M91" s="1017">
        <f t="shared" si="96"/>
        <v>0</v>
      </c>
      <c r="N91" s="1018">
        <f t="shared" si="97"/>
        <v>0</v>
      </c>
      <c r="O91" s="1035"/>
      <c r="P91" s="1022">
        <v>0</v>
      </c>
      <c r="Q91" s="1023">
        <v>0</v>
      </c>
      <c r="R91" s="1216"/>
      <c r="S91" s="1083">
        <f>+IF(ENERO!S91=0,"",ENERO!S91)</f>
        <v>1020301</v>
      </c>
      <c r="T91" s="1084" t="str">
        <f>+IF(ENERO!T91=0,"",ENERO!T91)</f>
        <v>Contribuciones - SGP - Aportes Patronales - Cuentas Maestras</v>
      </c>
      <c r="U91" s="1085">
        <f t="shared" ref="U91:AJ91" si="99">SUM(U92:U95)</f>
        <v>0</v>
      </c>
      <c r="V91" s="1033">
        <f t="shared" si="99"/>
        <v>0</v>
      </c>
      <c r="W91" s="1033">
        <f t="shared" si="99"/>
        <v>0</v>
      </c>
      <c r="X91" s="1086">
        <f t="shared" si="99"/>
        <v>0</v>
      </c>
      <c r="Y91" s="1087">
        <f t="shared" si="99"/>
        <v>0</v>
      </c>
      <c r="Z91" s="1198">
        <f t="shared" si="99"/>
        <v>0</v>
      </c>
      <c r="AA91" s="1088">
        <f t="shared" si="99"/>
        <v>0</v>
      </c>
      <c r="AB91" s="1087">
        <f t="shared" si="99"/>
        <v>0</v>
      </c>
      <c r="AC91" s="1198">
        <f t="shared" si="99"/>
        <v>0</v>
      </c>
      <c r="AD91" s="1086">
        <f t="shared" si="99"/>
        <v>0</v>
      </c>
      <c r="AE91" s="1087">
        <f t="shared" si="99"/>
        <v>0</v>
      </c>
      <c r="AF91" s="1198">
        <f t="shared" si="99"/>
        <v>0</v>
      </c>
      <c r="AG91" s="1086">
        <f t="shared" si="99"/>
        <v>0</v>
      </c>
      <c r="AH91" s="1087">
        <f t="shared" si="99"/>
        <v>0</v>
      </c>
      <c r="AI91" s="1033">
        <f t="shared" si="99"/>
        <v>0</v>
      </c>
      <c r="AJ91" s="1086">
        <f t="shared" si="99"/>
        <v>0</v>
      </c>
      <c r="AK91" s="909"/>
      <c r="AL91" s="1117">
        <f>SUM(AL92:AL95)</f>
        <v>0</v>
      </c>
      <c r="AM91" s="1118">
        <f>SUM(AM92:AM95)</f>
        <v>0</v>
      </c>
      <c r="AN91" s="1216"/>
      <c r="AO91" s="1217"/>
      <c r="AP91" s="1217"/>
      <c r="AQ91" s="1217"/>
      <c r="AR91" s="1217"/>
      <c r="AS91" s="1217"/>
      <c r="AT91" s="1217"/>
      <c r="AU91" s="1217"/>
      <c r="AV91" s="1217"/>
      <c r="AW91" s="1217"/>
      <c r="AX91" s="1217"/>
      <c r="AY91" s="1217"/>
      <c r="AZ91" s="1217"/>
      <c r="BL91" s="1216"/>
      <c r="BM91" s="1035"/>
      <c r="BN91" s="1035"/>
      <c r="BO91" s="1035"/>
      <c r="BP91" s="1035"/>
      <c r="BQ91" s="1035"/>
      <c r="BR91" s="1035"/>
    </row>
    <row r="92" spans="1:70" s="1205" customFormat="1" ht="24.95" customHeight="1" thickBot="1">
      <c r="A92" s="1212">
        <f>+IF(ENERO!A92=0,"",ENERO!A92)</f>
        <v>1130207</v>
      </c>
      <c r="B92" s="1218" t="str">
        <f>+IF(ENERO!B92=0,"",ENERO!B92)</f>
        <v>Vigencia Anterior</v>
      </c>
      <c r="C92" s="1219">
        <f>+ENERO!C92</f>
        <v>0</v>
      </c>
      <c r="D92" s="1058">
        <f>ENERO!D92+FEBRERO!P92</f>
        <v>0</v>
      </c>
      <c r="E92" s="1058">
        <f>ENERO!E92+FEBRERO!Q92</f>
        <v>0</v>
      </c>
      <c r="F92" s="1058">
        <f t="shared" si="93"/>
        <v>0</v>
      </c>
      <c r="G92" s="1058">
        <f>ENERO!I92</f>
        <v>0</v>
      </c>
      <c r="H92" s="1061">
        <v>0</v>
      </c>
      <c r="I92" s="1058">
        <f t="shared" si="94"/>
        <v>0</v>
      </c>
      <c r="J92" s="1058">
        <f>ENERO!L92</f>
        <v>0</v>
      </c>
      <c r="K92" s="1061">
        <v>0</v>
      </c>
      <c r="L92" s="1058">
        <f t="shared" si="95"/>
        <v>0</v>
      </c>
      <c r="M92" s="1058">
        <f t="shared" si="96"/>
        <v>0</v>
      </c>
      <c r="N92" s="1059">
        <f t="shared" si="97"/>
        <v>0</v>
      </c>
      <c r="O92" s="1035"/>
      <c r="P92" s="1022">
        <v>0</v>
      </c>
      <c r="Q92" s="1023">
        <v>0</v>
      </c>
      <c r="R92" s="1216"/>
      <c r="S92" s="1130" t="str">
        <f>+IF(ENERO!S92=0,"",ENERO!S92)</f>
        <v>1020301-1</v>
      </c>
      <c r="T92" s="1131" t="str">
        <f>+IF(ENERO!T92=0,"",ENERO!T92)</f>
        <v>E.P.S. - Aportes cuentas maestras</v>
      </c>
      <c r="U92" s="1085">
        <f>+ENERO!U92</f>
        <v>0</v>
      </c>
      <c r="V92" s="1033">
        <f>ENERO!V92+FEBRERO!AL92</f>
        <v>0</v>
      </c>
      <c r="W92" s="1033">
        <f>ENERO!W92+FEBRERO!AM92</f>
        <v>0</v>
      </c>
      <c r="X92" s="1086">
        <f>SUM(U92:W92)</f>
        <v>0</v>
      </c>
      <c r="Y92" s="1087">
        <f>ENERO!AA92</f>
        <v>0</v>
      </c>
      <c r="Z92" s="1020">
        <v>0</v>
      </c>
      <c r="AA92" s="1088">
        <f>SUM(Y92:Z92)</f>
        <v>0</v>
      </c>
      <c r="AB92" s="1087">
        <f>ENERO!AD92</f>
        <v>0</v>
      </c>
      <c r="AC92" s="1020">
        <v>0</v>
      </c>
      <c r="AD92" s="1086">
        <f>SUM(AB92:AC92)</f>
        <v>0</v>
      </c>
      <c r="AE92" s="1087">
        <f>ENERO!AG92</f>
        <v>0</v>
      </c>
      <c r="AF92" s="1020">
        <v>0</v>
      </c>
      <c r="AG92" s="1086">
        <f>SUM(AE92:AF92)</f>
        <v>0</v>
      </c>
      <c r="AH92" s="1087">
        <f>X92-AA92</f>
        <v>0</v>
      </c>
      <c r="AI92" s="1033">
        <f>X92-AD92</f>
        <v>0</v>
      </c>
      <c r="AJ92" s="1086">
        <f>X92-AG92</f>
        <v>0</v>
      </c>
      <c r="AK92" s="909"/>
      <c r="AL92" s="1089">
        <v>0</v>
      </c>
      <c r="AM92" s="1023">
        <v>0</v>
      </c>
      <c r="AN92" s="1216"/>
      <c r="AO92" s="1217"/>
      <c r="AP92" s="1217"/>
      <c r="AQ92" s="1217"/>
      <c r="AR92" s="1217"/>
      <c r="AS92" s="1217"/>
      <c r="AT92" s="1217"/>
      <c r="AU92" s="1217"/>
      <c r="AV92" s="1217"/>
      <c r="AW92" s="1217"/>
      <c r="AX92" s="1217"/>
      <c r="AY92" s="1217"/>
      <c r="AZ92" s="1217"/>
      <c r="BL92" s="1216"/>
    </row>
    <row r="93" spans="1:70" s="1205" customFormat="1" ht="24.95" customHeight="1" thickBot="1">
      <c r="A93" s="1203" t="str">
        <f>+IF(ENERO!A93=0,"",ENERO!A93)</f>
        <v/>
      </c>
      <c r="B93" s="1204" t="str">
        <f>+IF(ENERO!B93=0,"",ENERO!B93)</f>
        <v/>
      </c>
      <c r="C93" s="863"/>
      <c r="D93" s="863"/>
      <c r="E93" s="863"/>
      <c r="F93" s="863"/>
      <c r="G93" s="863"/>
      <c r="H93" s="863"/>
      <c r="I93" s="863"/>
      <c r="J93" s="863"/>
      <c r="K93" s="863"/>
      <c r="L93" s="863"/>
      <c r="M93" s="863"/>
      <c r="N93" s="1101"/>
      <c r="P93" s="1206"/>
      <c r="Q93" s="1070"/>
      <c r="R93" s="1216"/>
      <c r="S93" s="1130" t="str">
        <f>+IF(ENERO!S93=0,"",ENERO!S93)</f>
        <v>1020301-2</v>
      </c>
      <c r="T93" s="1131" t="str">
        <f>+IF(ENERO!T93=0,"",ENERO!T93)</f>
        <v>Fondos pensionales - Aportes cuentas maestras</v>
      </c>
      <c r="U93" s="1085">
        <f>+ENERO!U93</f>
        <v>0</v>
      </c>
      <c r="V93" s="1033">
        <f>ENERO!V93+FEBRERO!AL93</f>
        <v>0</v>
      </c>
      <c r="W93" s="1033">
        <f>ENERO!W93+FEBRERO!AM93</f>
        <v>0</v>
      </c>
      <c r="X93" s="1086">
        <f>SUM(U93:W93)</f>
        <v>0</v>
      </c>
      <c r="Y93" s="1087">
        <f>ENERO!AA93</f>
        <v>0</v>
      </c>
      <c r="Z93" s="1020">
        <v>0</v>
      </c>
      <c r="AA93" s="1088">
        <f>SUM(Y93:Z93)</f>
        <v>0</v>
      </c>
      <c r="AB93" s="1087">
        <f>ENERO!AD93</f>
        <v>0</v>
      </c>
      <c r="AC93" s="1020">
        <v>0</v>
      </c>
      <c r="AD93" s="1086">
        <f>SUM(AB93:AC93)</f>
        <v>0</v>
      </c>
      <c r="AE93" s="1087">
        <f>ENERO!AG93</f>
        <v>0</v>
      </c>
      <c r="AF93" s="1020">
        <v>0</v>
      </c>
      <c r="AG93" s="1086">
        <f>SUM(AE93:AF93)</f>
        <v>0</v>
      </c>
      <c r="AH93" s="1087">
        <f>X93-AA93</f>
        <v>0</v>
      </c>
      <c r="AI93" s="1033">
        <f>X93-AD93</f>
        <v>0</v>
      </c>
      <c r="AJ93" s="1086">
        <f>X93-AG93</f>
        <v>0</v>
      </c>
      <c r="AK93" s="909"/>
      <c r="AL93" s="1089">
        <v>0</v>
      </c>
      <c r="AM93" s="1023">
        <v>0</v>
      </c>
      <c r="AN93" s="1216"/>
      <c r="AO93" s="1217"/>
      <c r="AP93" s="1217"/>
      <c r="AQ93" s="1217"/>
      <c r="AR93" s="1217"/>
      <c r="AS93" s="1217"/>
      <c r="AT93" s="1217"/>
      <c r="AU93" s="1217"/>
      <c r="AV93" s="1217"/>
      <c r="AW93" s="1217"/>
      <c r="AX93" s="1217"/>
      <c r="AY93" s="1217"/>
      <c r="AZ93" s="1217"/>
      <c r="BL93" s="1216"/>
    </row>
    <row r="94" spans="1:70" s="1205" customFormat="1" ht="42" customHeight="1">
      <c r="A94" s="1220">
        <f>+IF(ENERO!A94=0,"",ENERO!A94)</f>
        <v>11303</v>
      </c>
      <c r="B94" s="1221" t="str">
        <f>+IF(ENERO!B94=0,"",ENERO!B94)</f>
        <v>Aportes (No ligados a la venta de servicios de salud)</v>
      </c>
      <c r="C94" s="1209">
        <f>SUM(C95:C102)</f>
        <v>0</v>
      </c>
      <c r="D94" s="1210">
        <f t="shared" ref="D94:N94" si="100">SUM(D95:D102)</f>
        <v>0</v>
      </c>
      <c r="E94" s="1210">
        <f t="shared" si="100"/>
        <v>0</v>
      </c>
      <c r="F94" s="1210">
        <f t="shared" si="100"/>
        <v>0</v>
      </c>
      <c r="G94" s="1210">
        <f t="shared" si="100"/>
        <v>0</v>
      </c>
      <c r="H94" s="1210">
        <f t="shared" si="100"/>
        <v>0</v>
      </c>
      <c r="I94" s="1210">
        <f t="shared" si="100"/>
        <v>0</v>
      </c>
      <c r="J94" s="1210">
        <f t="shared" si="100"/>
        <v>0</v>
      </c>
      <c r="K94" s="1210">
        <f t="shared" si="100"/>
        <v>0</v>
      </c>
      <c r="L94" s="1210">
        <f t="shared" si="100"/>
        <v>0</v>
      </c>
      <c r="M94" s="1210">
        <f t="shared" si="100"/>
        <v>0</v>
      </c>
      <c r="N94" s="1211">
        <f t="shared" si="100"/>
        <v>0</v>
      </c>
      <c r="O94" s="1035"/>
      <c r="P94" s="1106">
        <f>SUM(P95:P102)</f>
        <v>0</v>
      </c>
      <c r="Q94" s="1107">
        <f>SUM(Q95:Q102)</f>
        <v>0</v>
      </c>
      <c r="R94" s="1216"/>
      <c r="S94" s="1130" t="str">
        <f>+IF(ENERO!S94=0,"",ENERO!S94)</f>
        <v>1020301-3</v>
      </c>
      <c r="T94" s="1131" t="str">
        <f>+IF(ENERO!T94=0,"",ENERO!T94)</f>
        <v>Fondos de cesantías - Aportes cuentas maestras</v>
      </c>
      <c r="U94" s="1085">
        <f>+ENERO!U94</f>
        <v>0</v>
      </c>
      <c r="V94" s="1033">
        <f>ENERO!V94+FEBRERO!AL94</f>
        <v>0</v>
      </c>
      <c r="W94" s="1033">
        <f>ENERO!W94+FEBRERO!AM94</f>
        <v>0</v>
      </c>
      <c r="X94" s="1086">
        <f>SUM(U94:W94)</f>
        <v>0</v>
      </c>
      <c r="Y94" s="1087">
        <f>ENERO!AA94</f>
        <v>0</v>
      </c>
      <c r="Z94" s="1020">
        <v>0</v>
      </c>
      <c r="AA94" s="1088">
        <f>SUM(Y94:Z94)</f>
        <v>0</v>
      </c>
      <c r="AB94" s="1087">
        <f>ENERO!AD94</f>
        <v>0</v>
      </c>
      <c r="AC94" s="1020">
        <v>0</v>
      </c>
      <c r="AD94" s="1086">
        <f>SUM(AB94:AC94)</f>
        <v>0</v>
      </c>
      <c r="AE94" s="1087">
        <f>ENERO!AG94</f>
        <v>0</v>
      </c>
      <c r="AF94" s="1020">
        <v>0</v>
      </c>
      <c r="AG94" s="1086">
        <f>SUM(AE94:AF94)</f>
        <v>0</v>
      </c>
      <c r="AH94" s="1087">
        <f>X94-AA94</f>
        <v>0</v>
      </c>
      <c r="AI94" s="1033">
        <f>X94-AD94</f>
        <v>0</v>
      </c>
      <c r="AJ94" s="1086">
        <f>X94-AG94</f>
        <v>0</v>
      </c>
      <c r="AK94" s="909"/>
      <c r="AL94" s="1089">
        <v>0</v>
      </c>
      <c r="AM94" s="1023">
        <v>0</v>
      </c>
      <c r="AN94" s="1216"/>
      <c r="AO94" s="1217"/>
      <c r="AP94" s="1217"/>
      <c r="AQ94" s="1217"/>
      <c r="AR94" s="1217"/>
      <c r="AS94" s="1217"/>
      <c r="AT94" s="1217"/>
      <c r="AU94" s="1217"/>
      <c r="AV94" s="1217"/>
      <c r="AW94" s="1217"/>
      <c r="AX94" s="1217"/>
      <c r="AY94" s="1217"/>
      <c r="AZ94" s="1217"/>
      <c r="BL94" s="1216"/>
    </row>
    <row r="95" spans="1:70" s="1205" customFormat="1" ht="24.95" customHeight="1">
      <c r="A95" s="1222" t="str">
        <f>+IF(ENERO!A95=0,"",ENERO!A95)</f>
        <v>11303-1</v>
      </c>
      <c r="B95" s="1223" t="str">
        <f>+IF(ENERO!B95=0,"",ENERO!B95)</f>
        <v>CONVENIOS CON LA NACION NO LIGADOS A LA VENTA DE SERVICIOS</v>
      </c>
      <c r="C95" s="1214">
        <f>+ENERO!C95</f>
        <v>0</v>
      </c>
      <c r="D95" s="1017">
        <f>ENERO!D95+FEBRERO!P95</f>
        <v>0</v>
      </c>
      <c r="E95" s="1017">
        <f>ENERO!E95+FEBRERO!Q95</f>
        <v>0</v>
      </c>
      <c r="F95" s="1017">
        <f t="shared" ref="F95:F102" si="101">SUM(C95:E95)</f>
        <v>0</v>
      </c>
      <c r="G95" s="1017">
        <f>ENERO!I95</f>
        <v>0</v>
      </c>
      <c r="H95" s="1020">
        <v>0</v>
      </c>
      <c r="I95" s="1017">
        <f t="shared" ref="I95:I102" si="102">SUM(G95:H95)</f>
        <v>0</v>
      </c>
      <c r="J95" s="1017">
        <f>ENERO!L95</f>
        <v>0</v>
      </c>
      <c r="K95" s="1020">
        <v>0</v>
      </c>
      <c r="L95" s="1017">
        <f t="shared" ref="L95:L102" si="103">SUM(J95:K95)</f>
        <v>0</v>
      </c>
      <c r="M95" s="1017">
        <f t="shared" ref="M95:M102" si="104">F95-I95</f>
        <v>0</v>
      </c>
      <c r="N95" s="1018">
        <f t="shared" ref="N95:N102" si="105">F95-L95</f>
        <v>0</v>
      </c>
      <c r="O95" s="1035"/>
      <c r="P95" s="1022">
        <v>0</v>
      </c>
      <c r="Q95" s="1023">
        <v>0</v>
      </c>
      <c r="R95" s="1216"/>
      <c r="S95" s="1130" t="str">
        <f>+IF(ENERO!S95=0,"",ENERO!S95)</f>
        <v>1020301-4</v>
      </c>
      <c r="T95" s="1131" t="str">
        <f>+IF(ENERO!T95=0,"",ENERO!T95)</f>
        <v>Riesgos laborales - Aportes cuentas maestras</v>
      </c>
      <c r="U95" s="1085">
        <f>+ENERO!U95</f>
        <v>0</v>
      </c>
      <c r="V95" s="1033">
        <f>ENERO!V95+FEBRERO!AL95</f>
        <v>0</v>
      </c>
      <c r="W95" s="1033">
        <f>ENERO!W95+FEBRERO!AM95</f>
        <v>0</v>
      </c>
      <c r="X95" s="1086">
        <f>SUM(U95:W95)</f>
        <v>0</v>
      </c>
      <c r="Y95" s="1087">
        <f>ENERO!AA95</f>
        <v>0</v>
      </c>
      <c r="Z95" s="1020">
        <v>0</v>
      </c>
      <c r="AA95" s="1088">
        <f>SUM(Y95:Z95)</f>
        <v>0</v>
      </c>
      <c r="AB95" s="1087">
        <f>ENERO!AD95</f>
        <v>0</v>
      </c>
      <c r="AC95" s="1020">
        <v>0</v>
      </c>
      <c r="AD95" s="1086">
        <f>SUM(AB95:AC95)</f>
        <v>0</v>
      </c>
      <c r="AE95" s="1087">
        <f>ENERO!AG95</f>
        <v>0</v>
      </c>
      <c r="AF95" s="1020">
        <v>0</v>
      </c>
      <c r="AG95" s="1086">
        <f>SUM(AE95:AF95)</f>
        <v>0</v>
      </c>
      <c r="AH95" s="1087">
        <f>X95-AA95</f>
        <v>0</v>
      </c>
      <c r="AI95" s="1033">
        <f>X95-AD95</f>
        <v>0</v>
      </c>
      <c r="AJ95" s="1086">
        <f>X95-AG95</f>
        <v>0</v>
      </c>
      <c r="AK95" s="909"/>
      <c r="AL95" s="1089">
        <v>0</v>
      </c>
      <c r="AM95" s="1023">
        <v>0</v>
      </c>
      <c r="AN95" s="1216"/>
      <c r="AO95" s="1217"/>
      <c r="AP95" s="1217"/>
      <c r="AQ95" s="1217"/>
      <c r="AR95" s="1217"/>
      <c r="AS95" s="1217"/>
      <c r="AT95" s="1217"/>
      <c r="AU95" s="1217"/>
      <c r="AV95" s="1217"/>
      <c r="AW95" s="1217"/>
      <c r="AX95" s="1217"/>
      <c r="AY95" s="1217"/>
      <c r="AZ95" s="1217"/>
      <c r="BL95" s="1216"/>
    </row>
    <row r="96" spans="1:70" s="1216" customFormat="1" ht="24.95" customHeight="1">
      <c r="A96" s="1222" t="str">
        <f>+IF(ENERO!A96=0,"",ENERO!A96)</f>
        <v>11303-2</v>
      </c>
      <c r="B96" s="1223" t="str">
        <f>+IF(ENERO!B96=0,"",ENERO!B96)</f>
        <v>CONVENIOS CON EL DEPARTAMENTO NO LIGADOS A LA VENTA SERVICIOS</v>
      </c>
      <c r="C96" s="1214">
        <f>+ENERO!C96</f>
        <v>0</v>
      </c>
      <c r="D96" s="1017">
        <f>ENERO!D96+FEBRERO!P96</f>
        <v>0</v>
      </c>
      <c r="E96" s="1017">
        <f>ENERO!E96+FEBRERO!Q96</f>
        <v>0</v>
      </c>
      <c r="F96" s="1017">
        <f t="shared" si="101"/>
        <v>0</v>
      </c>
      <c r="G96" s="1017">
        <f>ENERO!I96</f>
        <v>0</v>
      </c>
      <c r="H96" s="1020">
        <v>0</v>
      </c>
      <c r="I96" s="1017">
        <f t="shared" si="102"/>
        <v>0</v>
      </c>
      <c r="J96" s="1017">
        <f>ENERO!L96</f>
        <v>0</v>
      </c>
      <c r="K96" s="1020">
        <v>0</v>
      </c>
      <c r="L96" s="1017">
        <f t="shared" si="103"/>
        <v>0</v>
      </c>
      <c r="M96" s="1017">
        <f t="shared" si="104"/>
        <v>0</v>
      </c>
      <c r="N96" s="1018">
        <f t="shared" si="105"/>
        <v>0</v>
      </c>
      <c r="O96" s="1035"/>
      <c r="P96" s="1022">
        <v>0</v>
      </c>
      <c r="Q96" s="1023">
        <v>0</v>
      </c>
      <c r="S96" s="1083">
        <f>+IF(ENERO!S96=0,"",ENERO!S96)</f>
        <v>1020302</v>
      </c>
      <c r="T96" s="1084" t="str">
        <f>+IF(ENERO!T96=0,"",ENERO!T96)</f>
        <v>Contribuciones - Otros</v>
      </c>
      <c r="U96" s="1085">
        <f t="shared" ref="U96:AJ96" si="106">SUM(U97:U101)</f>
        <v>259627762</v>
      </c>
      <c r="V96" s="1033">
        <f t="shared" si="106"/>
        <v>0</v>
      </c>
      <c r="W96" s="1033">
        <f t="shared" si="106"/>
        <v>0</v>
      </c>
      <c r="X96" s="1086">
        <f t="shared" si="106"/>
        <v>259627762</v>
      </c>
      <c r="Y96" s="1087">
        <f t="shared" si="106"/>
        <v>19106182</v>
      </c>
      <c r="Z96" s="1198">
        <f t="shared" si="106"/>
        <v>19109052</v>
      </c>
      <c r="AA96" s="1088">
        <f t="shared" si="106"/>
        <v>38215234</v>
      </c>
      <c r="AB96" s="1087">
        <f t="shared" si="106"/>
        <v>19106182</v>
      </c>
      <c r="AC96" s="1198">
        <f t="shared" si="106"/>
        <v>19109052</v>
      </c>
      <c r="AD96" s="1086">
        <f t="shared" si="106"/>
        <v>38215234</v>
      </c>
      <c r="AE96" s="1087">
        <f t="shared" si="106"/>
        <v>19106182</v>
      </c>
      <c r="AF96" s="1198">
        <f t="shared" si="106"/>
        <v>19109052</v>
      </c>
      <c r="AG96" s="1086">
        <f t="shared" si="106"/>
        <v>38215234</v>
      </c>
      <c r="AH96" s="1087">
        <f t="shared" si="106"/>
        <v>221412528</v>
      </c>
      <c r="AI96" s="1033">
        <f t="shared" si="106"/>
        <v>221412528</v>
      </c>
      <c r="AJ96" s="1086">
        <f t="shared" si="106"/>
        <v>221412528</v>
      </c>
      <c r="AL96" s="1224">
        <f>SUM(AL97:AL101)</f>
        <v>0</v>
      </c>
      <c r="AM96" s="1225">
        <f>SUM(AM97:AM101)</f>
        <v>0</v>
      </c>
      <c r="AO96" s="1217"/>
      <c r="AP96" s="1217"/>
      <c r="AQ96" s="1217"/>
      <c r="AR96" s="1217"/>
      <c r="AS96" s="1217"/>
      <c r="AT96" s="1217"/>
      <c r="AU96" s="1217"/>
      <c r="AV96" s="1217"/>
      <c r="AW96" s="1217"/>
      <c r="AX96" s="1217"/>
      <c r="AY96" s="1217"/>
      <c r="AZ96" s="1217"/>
      <c r="BA96" s="1205"/>
      <c r="BC96" s="1205"/>
      <c r="BD96" s="1205"/>
      <c r="BE96" s="1205"/>
      <c r="BL96" s="1205"/>
      <c r="BM96" s="1205"/>
      <c r="BN96" s="1205"/>
      <c r="BO96" s="1205"/>
      <c r="BP96" s="1205"/>
      <c r="BQ96" s="1205"/>
      <c r="BR96" s="1205"/>
    </row>
    <row r="97" spans="1:70" s="1205" customFormat="1" ht="24.95" customHeight="1">
      <c r="A97" s="1222" t="str">
        <f>+IF(ENERO!A97=0,"",ENERO!A97)</f>
        <v>11303-3</v>
      </c>
      <c r="B97" s="1223" t="str">
        <f>+IF(ENERO!B97=0,"",ENERO!B97)</f>
        <v>CONVENIOS CON EL MUNICIPIO NO LIGADOS A LA VENTA DE SERVICIOS</v>
      </c>
      <c r="C97" s="1214">
        <f>+ENERO!C97</f>
        <v>0</v>
      </c>
      <c r="D97" s="1017">
        <f>ENERO!D97+FEBRERO!P97</f>
        <v>0</v>
      </c>
      <c r="E97" s="1017">
        <f>ENERO!E97+FEBRERO!Q97</f>
        <v>0</v>
      </c>
      <c r="F97" s="1017">
        <f t="shared" si="101"/>
        <v>0</v>
      </c>
      <c r="G97" s="1017">
        <f>ENERO!I97</f>
        <v>0</v>
      </c>
      <c r="H97" s="1020">
        <v>0</v>
      </c>
      <c r="I97" s="1017">
        <f t="shared" si="102"/>
        <v>0</v>
      </c>
      <c r="J97" s="1017">
        <f>ENERO!L97</f>
        <v>0</v>
      </c>
      <c r="K97" s="1020">
        <v>0</v>
      </c>
      <c r="L97" s="1017">
        <f t="shared" si="103"/>
        <v>0</v>
      </c>
      <c r="M97" s="1017">
        <f t="shared" si="104"/>
        <v>0</v>
      </c>
      <c r="N97" s="1018">
        <f t="shared" si="105"/>
        <v>0</v>
      </c>
      <c r="O97" s="1035"/>
      <c r="P97" s="1022">
        <v>0</v>
      </c>
      <c r="Q97" s="1023">
        <v>0</v>
      </c>
      <c r="R97" s="1216"/>
      <c r="S97" s="1130" t="str">
        <f>+IF(ENERO!S97=0,"",ENERO!S97)</f>
        <v>1020302-1</v>
      </c>
      <c r="T97" s="1131" t="str">
        <f>+IF(ENERO!T97=0,"",ENERO!T97)</f>
        <v>Aportes a E.P.S.- Con sit. Fondos</v>
      </c>
      <c r="U97" s="1085">
        <f>+ENERO!U97</f>
        <v>52772649</v>
      </c>
      <c r="V97" s="1033">
        <f>ENERO!V97+FEBRERO!AL97</f>
        <v>0</v>
      </c>
      <c r="W97" s="1033">
        <f>ENERO!W97+FEBRERO!AM97</f>
        <v>0</v>
      </c>
      <c r="X97" s="1086">
        <f t="shared" ref="X97:X102" si="107">SUM(U97:W97)</f>
        <v>52772649</v>
      </c>
      <c r="Y97" s="1087">
        <f>ENERO!AA97</f>
        <v>6120421</v>
      </c>
      <c r="Z97" s="1020">
        <v>6121360</v>
      </c>
      <c r="AA97" s="1088">
        <f t="shared" ref="AA97:AA102" si="108">SUM(Y97:Z97)</f>
        <v>12241781</v>
      </c>
      <c r="AB97" s="1087">
        <f>ENERO!AD97</f>
        <v>6120421</v>
      </c>
      <c r="AC97" s="1020">
        <v>6121360</v>
      </c>
      <c r="AD97" s="1086">
        <f t="shared" ref="AD97:AD102" si="109">SUM(AB97:AC97)</f>
        <v>12241781</v>
      </c>
      <c r="AE97" s="1087">
        <f>ENERO!AG97</f>
        <v>6120421</v>
      </c>
      <c r="AF97" s="1020">
        <v>6121360</v>
      </c>
      <c r="AG97" s="1086">
        <f t="shared" ref="AG97:AG102" si="110">SUM(AE97:AF97)</f>
        <v>12241781</v>
      </c>
      <c r="AH97" s="1087">
        <f t="shared" ref="AH97:AH102" si="111">X97-AA97</f>
        <v>40530868</v>
      </c>
      <c r="AI97" s="1033">
        <f t="shared" ref="AI97:AI102" si="112">X97-AD97</f>
        <v>40530868</v>
      </c>
      <c r="AJ97" s="1086">
        <f t="shared" ref="AJ97:AJ102" si="113">X97-AG97</f>
        <v>40530868</v>
      </c>
      <c r="AK97" s="1216"/>
      <c r="AL97" s="1089">
        <v>0</v>
      </c>
      <c r="AM97" s="1023">
        <v>0</v>
      </c>
      <c r="AN97" s="1216"/>
      <c r="AO97" s="1217"/>
      <c r="AP97" s="1217"/>
      <c r="AQ97" s="1217"/>
      <c r="AR97" s="1217"/>
      <c r="AS97" s="1217"/>
      <c r="AT97" s="1217"/>
      <c r="AU97" s="1217"/>
      <c r="AV97" s="1217"/>
      <c r="AW97" s="1217"/>
      <c r="AX97" s="1217"/>
      <c r="AY97" s="1217"/>
      <c r="AZ97" s="1217"/>
      <c r="BC97" s="1216"/>
      <c r="BD97" s="1216"/>
      <c r="BE97" s="1216"/>
    </row>
    <row r="98" spans="1:70" s="1205" customFormat="1" ht="24.95" customHeight="1">
      <c r="A98" s="1222" t="str">
        <f>+IF(ENERO!A98=0,"",ENERO!A98)</f>
        <v>11303-4</v>
      </c>
      <c r="B98" s="1223" t="str">
        <f>+IF(ENERO!B98=0,"",ENERO!B98)</f>
        <v>OTROS CONVENIOS NO LIGADOS A LA VENTA DE SERVICIOS</v>
      </c>
      <c r="C98" s="1214">
        <f>+ENERO!C98</f>
        <v>0</v>
      </c>
      <c r="D98" s="1017">
        <f>ENERO!D98+FEBRERO!P98</f>
        <v>0</v>
      </c>
      <c r="E98" s="1017">
        <f>ENERO!E98+FEBRERO!Q98</f>
        <v>0</v>
      </c>
      <c r="F98" s="1017">
        <f t="shared" si="101"/>
        <v>0</v>
      </c>
      <c r="G98" s="1017">
        <f>ENERO!I98</f>
        <v>0</v>
      </c>
      <c r="H98" s="1020">
        <v>0</v>
      </c>
      <c r="I98" s="1017">
        <f t="shared" si="102"/>
        <v>0</v>
      </c>
      <c r="J98" s="1017">
        <f>ENERO!L98</f>
        <v>0</v>
      </c>
      <c r="K98" s="1020">
        <v>0</v>
      </c>
      <c r="L98" s="1017">
        <f t="shared" si="103"/>
        <v>0</v>
      </c>
      <c r="M98" s="1017">
        <f t="shared" si="104"/>
        <v>0</v>
      </c>
      <c r="N98" s="1018">
        <f t="shared" si="105"/>
        <v>0</v>
      </c>
      <c r="O98" s="1035"/>
      <c r="P98" s="1022">
        <v>0</v>
      </c>
      <c r="Q98" s="1023">
        <v>0</v>
      </c>
      <c r="R98" s="1216"/>
      <c r="S98" s="1130" t="str">
        <f>+IF(ENERO!S98=0,"",ENERO!S98)</f>
        <v>1020302-2</v>
      </c>
      <c r="T98" s="1131" t="str">
        <f>+IF(ENERO!T98=0,"",ENERO!T98)</f>
        <v>Aportes Fondos Pensionales - Con Sit. Fondos</v>
      </c>
      <c r="U98" s="1085">
        <f>+ENERO!U98</f>
        <v>103712246</v>
      </c>
      <c r="V98" s="1033">
        <f>ENERO!V98+FEBRERO!AL98</f>
        <v>0</v>
      </c>
      <c r="W98" s="1033">
        <f>ENERO!W98+FEBRERO!AM98</f>
        <v>0</v>
      </c>
      <c r="X98" s="1086">
        <f t="shared" si="107"/>
        <v>103712246</v>
      </c>
      <c r="Y98" s="1087">
        <f>ENERO!AA98</f>
        <v>8640761</v>
      </c>
      <c r="Z98" s="1020">
        <v>8641920</v>
      </c>
      <c r="AA98" s="1088">
        <f t="shared" si="108"/>
        <v>17282681</v>
      </c>
      <c r="AB98" s="1087">
        <f>ENERO!AD98</f>
        <v>8640761</v>
      </c>
      <c r="AC98" s="1020">
        <v>8641920</v>
      </c>
      <c r="AD98" s="1086">
        <f t="shared" si="109"/>
        <v>17282681</v>
      </c>
      <c r="AE98" s="1087">
        <f>ENERO!AG98</f>
        <v>8640761</v>
      </c>
      <c r="AF98" s="1020">
        <v>8641920</v>
      </c>
      <c r="AG98" s="1086">
        <f t="shared" si="110"/>
        <v>17282681</v>
      </c>
      <c r="AH98" s="1087">
        <f t="shared" si="111"/>
        <v>86429565</v>
      </c>
      <c r="AI98" s="1033">
        <f t="shared" si="112"/>
        <v>86429565</v>
      </c>
      <c r="AJ98" s="1086">
        <f t="shared" si="113"/>
        <v>86429565</v>
      </c>
      <c r="AK98" s="1216"/>
      <c r="AL98" s="1089">
        <v>0</v>
      </c>
      <c r="AM98" s="1023">
        <v>0</v>
      </c>
      <c r="AN98" s="1216"/>
      <c r="AO98" s="1217"/>
      <c r="AP98" s="1217"/>
      <c r="AQ98" s="1217"/>
      <c r="AR98" s="1217"/>
      <c r="AS98" s="1217"/>
      <c r="AT98" s="1217"/>
      <c r="AU98" s="1217"/>
      <c r="AV98" s="1217"/>
      <c r="AW98" s="1217"/>
      <c r="AX98" s="1217"/>
      <c r="AY98" s="1217"/>
      <c r="AZ98" s="1217"/>
      <c r="BN98" s="1216"/>
      <c r="BO98" s="1216"/>
      <c r="BP98" s="1216"/>
      <c r="BQ98" s="1216"/>
      <c r="BR98" s="1216"/>
    </row>
    <row r="99" spans="1:70" s="1205" customFormat="1" ht="24.95" customHeight="1">
      <c r="A99" s="1222" t="str">
        <f>+IF(ENERO!A99=0,"",ENERO!A99)</f>
        <v>11303-5</v>
      </c>
      <c r="B99" s="1223" t="str">
        <f>+IF(ENERO!B99=0,"",ENERO!B99)</f>
        <v>APORTES PATRONALES - MUNICIPIO / DEPARTAMENTO</v>
      </c>
      <c r="C99" s="1214">
        <f>+ENERO!C99</f>
        <v>0</v>
      </c>
      <c r="D99" s="1017">
        <f>ENERO!D99+FEBRERO!P99</f>
        <v>0</v>
      </c>
      <c r="E99" s="1017">
        <f>ENERO!E99+FEBRERO!Q99</f>
        <v>0</v>
      </c>
      <c r="F99" s="1017">
        <f t="shared" si="101"/>
        <v>0</v>
      </c>
      <c r="G99" s="1017">
        <f>ENERO!I99</f>
        <v>0</v>
      </c>
      <c r="H99" s="1226">
        <v>0</v>
      </c>
      <c r="I99" s="1017">
        <f t="shared" si="102"/>
        <v>0</v>
      </c>
      <c r="J99" s="1017">
        <f>ENERO!L99</f>
        <v>0</v>
      </c>
      <c r="K99" s="1226">
        <v>0</v>
      </c>
      <c r="L99" s="1017">
        <f t="shared" si="103"/>
        <v>0</v>
      </c>
      <c r="M99" s="1017">
        <f t="shared" si="104"/>
        <v>0</v>
      </c>
      <c r="N99" s="1018">
        <f t="shared" si="105"/>
        <v>0</v>
      </c>
      <c r="O99" s="1035"/>
      <c r="P99" s="1016">
        <v>0</v>
      </c>
      <c r="Q99" s="1227">
        <v>0</v>
      </c>
      <c r="R99" s="1216"/>
      <c r="S99" s="1130" t="str">
        <f>+IF(ENERO!S99=0,"",ENERO!S99)</f>
        <v>1020302-3</v>
      </c>
      <c r="T99" s="1131" t="str">
        <f>+IF(ENERO!T99=0,"",ENERO!T99)</f>
        <v xml:space="preserve">Aportes a Fondos de Cesantia - Con Sit. de Fondos </v>
      </c>
      <c r="U99" s="1085">
        <f>+ENERO!U99</f>
        <v>72193404</v>
      </c>
      <c r="V99" s="1033">
        <f>ENERO!V99+FEBRERO!AL99</f>
        <v>0</v>
      </c>
      <c r="W99" s="1033">
        <f>ENERO!W99+FEBRERO!AM99</f>
        <v>0</v>
      </c>
      <c r="X99" s="1086">
        <f t="shared" si="107"/>
        <v>72193404</v>
      </c>
      <c r="Y99" s="1087">
        <f>ENERO!AA99</f>
        <v>0</v>
      </c>
      <c r="Z99" s="1020">
        <v>0</v>
      </c>
      <c r="AA99" s="1088">
        <f t="shared" si="108"/>
        <v>0</v>
      </c>
      <c r="AB99" s="1087">
        <f>ENERO!AD99</f>
        <v>0</v>
      </c>
      <c r="AC99" s="1020">
        <v>0</v>
      </c>
      <c r="AD99" s="1086">
        <f t="shared" si="109"/>
        <v>0</v>
      </c>
      <c r="AE99" s="1087">
        <f>ENERO!AG99</f>
        <v>0</v>
      </c>
      <c r="AF99" s="1020">
        <v>0</v>
      </c>
      <c r="AG99" s="1086">
        <f t="shared" si="110"/>
        <v>0</v>
      </c>
      <c r="AH99" s="1087">
        <f t="shared" si="111"/>
        <v>72193404</v>
      </c>
      <c r="AI99" s="1033">
        <f t="shared" si="112"/>
        <v>72193404</v>
      </c>
      <c r="AJ99" s="1086">
        <f t="shared" si="113"/>
        <v>72193404</v>
      </c>
      <c r="AK99" s="1216"/>
      <c r="AL99" s="1089">
        <v>0</v>
      </c>
      <c r="AM99" s="1023">
        <v>0</v>
      </c>
      <c r="AN99" s="1216"/>
      <c r="AO99" s="1217"/>
      <c r="AP99" s="1217"/>
      <c r="AQ99" s="1217"/>
      <c r="AR99" s="1217"/>
      <c r="AS99" s="1217"/>
      <c r="AT99" s="1217"/>
      <c r="AU99" s="1217"/>
      <c r="AV99" s="1217"/>
      <c r="AW99" s="1217"/>
      <c r="AX99" s="1217"/>
      <c r="AY99" s="1217"/>
      <c r="AZ99" s="1217"/>
      <c r="BM99" s="1216"/>
    </row>
    <row r="100" spans="1:70" s="1035" customFormat="1" ht="24.95" customHeight="1">
      <c r="A100" s="1222" t="str">
        <f>+IF(ENERO!A100=0,"",ENERO!A100)</f>
        <v>11303-6</v>
      </c>
      <c r="B100" s="1223" t="str">
        <f>+IF(ENERO!B100=0,"",ENERO!B100)</f>
        <v>RECURSOS PARA PROGRAMA DE SANEAMIENTO FINANCIERO</v>
      </c>
      <c r="C100" s="1214">
        <f>+ENERO!C100</f>
        <v>0</v>
      </c>
      <c r="D100" s="1017">
        <f>ENERO!D100+FEBRERO!P100</f>
        <v>0</v>
      </c>
      <c r="E100" s="1017">
        <f>ENERO!E100+FEBRERO!Q100</f>
        <v>0</v>
      </c>
      <c r="F100" s="1017">
        <f t="shared" si="101"/>
        <v>0</v>
      </c>
      <c r="G100" s="1017">
        <f>ENERO!I100</f>
        <v>0</v>
      </c>
      <c r="H100" s="1020">
        <v>0</v>
      </c>
      <c r="I100" s="1017">
        <f t="shared" si="102"/>
        <v>0</v>
      </c>
      <c r="J100" s="1017">
        <f>ENERO!L100</f>
        <v>0</v>
      </c>
      <c r="K100" s="1020">
        <v>0</v>
      </c>
      <c r="L100" s="1017">
        <f t="shared" si="103"/>
        <v>0</v>
      </c>
      <c r="M100" s="1017">
        <f t="shared" si="104"/>
        <v>0</v>
      </c>
      <c r="N100" s="1018">
        <f t="shared" si="105"/>
        <v>0</v>
      </c>
      <c r="P100" s="1022">
        <v>0</v>
      </c>
      <c r="Q100" s="1023">
        <v>0</v>
      </c>
      <c r="R100" s="909"/>
      <c r="S100" s="1130" t="str">
        <f>+IF(ENERO!S100=0,"",ENERO!S100)</f>
        <v>1020302-4</v>
      </c>
      <c r="T100" s="1131" t="str">
        <f>+IF(ENERO!T100=0,"",ENERO!T100)</f>
        <v>Aporte a ARL. - Con Sit. de Fondos</v>
      </c>
      <c r="U100" s="1085">
        <f>+ENERO!U100</f>
        <v>20885552</v>
      </c>
      <c r="V100" s="1033">
        <f>ENERO!V100+FEBRERO!AL100</f>
        <v>0</v>
      </c>
      <c r="W100" s="1033">
        <f>ENERO!W100+FEBRERO!AM100</f>
        <v>0</v>
      </c>
      <c r="X100" s="1086">
        <f t="shared" si="107"/>
        <v>20885552</v>
      </c>
      <c r="Y100" s="1087">
        <f>ENERO!AA100</f>
        <v>1465850</v>
      </c>
      <c r="Z100" s="1020">
        <v>1465132</v>
      </c>
      <c r="AA100" s="1088">
        <f t="shared" si="108"/>
        <v>2930982</v>
      </c>
      <c r="AB100" s="1087">
        <f>ENERO!AD100</f>
        <v>1465850</v>
      </c>
      <c r="AC100" s="1020">
        <v>1465132</v>
      </c>
      <c r="AD100" s="1086">
        <f t="shared" si="109"/>
        <v>2930982</v>
      </c>
      <c r="AE100" s="1087">
        <f>ENERO!AG100</f>
        <v>1465850</v>
      </c>
      <c r="AF100" s="1020">
        <v>1465132</v>
      </c>
      <c r="AG100" s="1086">
        <f t="shared" si="110"/>
        <v>2930982</v>
      </c>
      <c r="AH100" s="1087">
        <f t="shared" si="111"/>
        <v>17954570</v>
      </c>
      <c r="AI100" s="1033">
        <f t="shared" si="112"/>
        <v>17954570</v>
      </c>
      <c r="AJ100" s="1086">
        <f t="shared" si="113"/>
        <v>17954570</v>
      </c>
      <c r="AK100" s="1216"/>
      <c r="AL100" s="1089">
        <v>0</v>
      </c>
      <c r="AM100" s="1023">
        <v>0</v>
      </c>
      <c r="AN100" s="909"/>
      <c r="AO100" s="863"/>
      <c r="AP100" s="863"/>
      <c r="AQ100" s="863"/>
      <c r="AR100" s="863"/>
      <c r="AS100" s="863"/>
      <c r="AT100" s="863"/>
      <c r="AU100" s="863"/>
      <c r="AV100" s="863"/>
      <c r="AW100" s="863"/>
      <c r="AX100" s="863"/>
      <c r="AY100" s="863"/>
      <c r="AZ100" s="863"/>
      <c r="BM100" s="1205"/>
      <c r="BN100" s="1205"/>
      <c r="BO100" s="1205"/>
      <c r="BP100" s="1205"/>
      <c r="BQ100" s="1205"/>
      <c r="BR100" s="1205"/>
    </row>
    <row r="101" spans="1:70" s="1035" customFormat="1" ht="24.95" customHeight="1">
      <c r="A101" s="1222" t="str">
        <f>+IF(ENERO!A101=0,"",ENERO!A101)</f>
        <v>11303-7</v>
      </c>
      <c r="B101" s="1223" t="str">
        <f>+IF(ENERO!B101=0,"",ENERO!B101)</f>
        <v/>
      </c>
      <c r="C101" s="1214">
        <f>+ENERO!C101</f>
        <v>0</v>
      </c>
      <c r="D101" s="1017">
        <f>ENERO!D101+FEBRERO!P101</f>
        <v>0</v>
      </c>
      <c r="E101" s="1017">
        <f>ENERO!E101+FEBRERO!Q101</f>
        <v>0</v>
      </c>
      <c r="F101" s="1017">
        <f t="shared" si="101"/>
        <v>0</v>
      </c>
      <c r="G101" s="1017">
        <f>ENERO!I101</f>
        <v>0</v>
      </c>
      <c r="H101" s="1020">
        <v>0</v>
      </c>
      <c r="I101" s="1017">
        <f t="shared" si="102"/>
        <v>0</v>
      </c>
      <c r="J101" s="1017">
        <f>ENERO!L101</f>
        <v>0</v>
      </c>
      <c r="K101" s="1020">
        <v>0</v>
      </c>
      <c r="L101" s="1017">
        <f t="shared" si="103"/>
        <v>0</v>
      </c>
      <c r="M101" s="1017">
        <f t="shared" si="104"/>
        <v>0</v>
      </c>
      <c r="N101" s="1018">
        <f t="shared" si="105"/>
        <v>0</v>
      </c>
      <c r="P101" s="1022">
        <v>0</v>
      </c>
      <c r="Q101" s="1023">
        <v>0</v>
      </c>
      <c r="R101" s="909"/>
      <c r="S101" s="1130" t="str">
        <f>+IF(ENERO!S101=0,"",ENERO!S101)</f>
        <v>1020302-5</v>
      </c>
      <c r="T101" s="1131" t="str">
        <f>+IF(ENERO!T101=0,"",ENERO!T101)</f>
        <v>Aporte a Caja Compensación Familiar</v>
      </c>
      <c r="U101" s="1085">
        <f>+ENERO!U101</f>
        <v>10063911</v>
      </c>
      <c r="V101" s="1033">
        <f>ENERO!V101+FEBRERO!AL101</f>
        <v>0</v>
      </c>
      <c r="W101" s="1033">
        <f>ENERO!W101+FEBRERO!AM101</f>
        <v>0</v>
      </c>
      <c r="X101" s="1086">
        <f t="shared" si="107"/>
        <v>10063911</v>
      </c>
      <c r="Y101" s="1087">
        <f>ENERO!AA101</f>
        <v>2879150</v>
      </c>
      <c r="Z101" s="1020">
        <v>2880640</v>
      </c>
      <c r="AA101" s="1088">
        <f t="shared" si="108"/>
        <v>5759790</v>
      </c>
      <c r="AB101" s="1087">
        <f>ENERO!AD101</f>
        <v>2879150</v>
      </c>
      <c r="AC101" s="1020">
        <v>2880640</v>
      </c>
      <c r="AD101" s="1086">
        <f t="shared" si="109"/>
        <v>5759790</v>
      </c>
      <c r="AE101" s="1087">
        <f>ENERO!AG101</f>
        <v>2879150</v>
      </c>
      <c r="AF101" s="1020">
        <v>2880640</v>
      </c>
      <c r="AG101" s="1086">
        <f t="shared" si="110"/>
        <v>5759790</v>
      </c>
      <c r="AH101" s="1087">
        <f t="shared" si="111"/>
        <v>4304121</v>
      </c>
      <c r="AI101" s="1033">
        <f t="shared" si="112"/>
        <v>4304121</v>
      </c>
      <c r="AJ101" s="1086">
        <f t="shared" si="113"/>
        <v>4304121</v>
      </c>
      <c r="AK101" s="1216"/>
      <c r="AL101" s="1089">
        <v>0</v>
      </c>
      <c r="AM101" s="1023">
        <v>0</v>
      </c>
      <c r="AN101" s="909"/>
      <c r="AO101" s="863"/>
      <c r="AP101" s="863"/>
      <c r="AQ101" s="863"/>
      <c r="AR101" s="863"/>
      <c r="AS101" s="863"/>
      <c r="AT101" s="863"/>
      <c r="AU101" s="863"/>
      <c r="AV101" s="863"/>
      <c r="AW101" s="863"/>
      <c r="AX101" s="863"/>
      <c r="AY101" s="863"/>
      <c r="AZ101" s="863"/>
      <c r="BM101" s="1205"/>
      <c r="BN101" s="1205"/>
      <c r="BO101" s="1205"/>
      <c r="BP101" s="1205"/>
      <c r="BQ101" s="1205"/>
      <c r="BR101" s="1205"/>
    </row>
    <row r="102" spans="1:70" s="1035" customFormat="1" ht="24.95" customHeight="1" thickBot="1">
      <c r="A102" s="1222" t="str">
        <f>+IF(ENERO!A102=0,"",ENERO!A102)</f>
        <v>11303-8</v>
      </c>
      <c r="B102" s="1218" t="str">
        <f>+IF(ENERO!B102=0,"",ENERO!B102)</f>
        <v>Vigencia Anterior</v>
      </c>
      <c r="C102" s="1219">
        <f>+ENERO!C102</f>
        <v>0</v>
      </c>
      <c r="D102" s="1058">
        <f>ENERO!D102+FEBRERO!P102</f>
        <v>0</v>
      </c>
      <c r="E102" s="1058">
        <f>ENERO!E102+FEBRERO!Q102</f>
        <v>0</v>
      </c>
      <c r="F102" s="1058">
        <f t="shared" si="101"/>
        <v>0</v>
      </c>
      <c r="G102" s="1058">
        <f>ENERO!I102</f>
        <v>0</v>
      </c>
      <c r="H102" s="1061">
        <v>0</v>
      </c>
      <c r="I102" s="1058">
        <f t="shared" si="102"/>
        <v>0</v>
      </c>
      <c r="J102" s="1058">
        <f>ENERO!L102</f>
        <v>0</v>
      </c>
      <c r="K102" s="1061">
        <v>0</v>
      </c>
      <c r="L102" s="1058">
        <f t="shared" si="103"/>
        <v>0</v>
      </c>
      <c r="M102" s="1058">
        <f t="shared" si="104"/>
        <v>0</v>
      </c>
      <c r="N102" s="1059">
        <f t="shared" si="105"/>
        <v>0</v>
      </c>
      <c r="P102" s="1022">
        <v>0</v>
      </c>
      <c r="Q102" s="1023">
        <v>0</v>
      </c>
      <c r="R102" s="909"/>
      <c r="S102" s="1083">
        <f>+IF(ENERO!S102=0,"",ENERO!S102)</f>
        <v>1020399</v>
      </c>
      <c r="T102" s="1084" t="str">
        <f>+IF(ENERO!T102=0,"",ENERO!T102)</f>
        <v>Vigencias Anteriores</v>
      </c>
      <c r="U102" s="1085">
        <f>+ENERO!U102</f>
        <v>0</v>
      </c>
      <c r="V102" s="1033">
        <f>ENERO!V102+FEBRERO!AL102</f>
        <v>-78539920</v>
      </c>
      <c r="W102" s="1033">
        <f>ENERO!W102+FEBRERO!AM102</f>
        <v>78539920</v>
      </c>
      <c r="X102" s="1086">
        <f t="shared" si="107"/>
        <v>0</v>
      </c>
      <c r="Y102" s="1087">
        <f>ENERO!AA102</f>
        <v>0</v>
      </c>
      <c r="Z102" s="1020">
        <v>0</v>
      </c>
      <c r="AA102" s="1088">
        <f t="shared" si="108"/>
        <v>0</v>
      </c>
      <c r="AB102" s="1087">
        <f>ENERO!AD102</f>
        <v>0</v>
      </c>
      <c r="AC102" s="1020">
        <v>0</v>
      </c>
      <c r="AD102" s="1086">
        <f t="shared" si="109"/>
        <v>0</v>
      </c>
      <c r="AE102" s="1087">
        <f>ENERO!AG102</f>
        <v>0</v>
      </c>
      <c r="AF102" s="1020">
        <v>0</v>
      </c>
      <c r="AG102" s="1086">
        <f t="shared" si="110"/>
        <v>0</v>
      </c>
      <c r="AH102" s="1087">
        <f t="shared" si="111"/>
        <v>0</v>
      </c>
      <c r="AI102" s="1033">
        <f t="shared" si="112"/>
        <v>0</v>
      </c>
      <c r="AJ102" s="1086">
        <f t="shared" si="113"/>
        <v>0</v>
      </c>
      <c r="AK102" s="909"/>
      <c r="AL102" s="1089">
        <v>-78539920</v>
      </c>
      <c r="AM102" s="1023">
        <v>78539920</v>
      </c>
      <c r="AN102" s="909"/>
      <c r="AO102" s="863"/>
      <c r="AP102" s="863"/>
      <c r="AQ102" s="863"/>
      <c r="AR102" s="863"/>
      <c r="AS102" s="863"/>
      <c r="AT102" s="863"/>
      <c r="AU102" s="863"/>
      <c r="AV102" s="863"/>
      <c r="AW102" s="863"/>
      <c r="AX102" s="863"/>
      <c r="AY102" s="863"/>
      <c r="AZ102" s="863"/>
    </row>
    <row r="103" spans="1:70" s="1035" customFormat="1" ht="24.95" customHeight="1" thickBot="1">
      <c r="A103" s="1228" t="str">
        <f>+IF(ENERO!A103=0,"",ENERO!A103)</f>
        <v/>
      </c>
      <c r="B103" s="1229" t="str">
        <f>+IF(ENERO!B103=0,"",ENERO!B103)</f>
        <v/>
      </c>
      <c r="C103" s="1230"/>
      <c r="D103" s="1230"/>
      <c r="E103" s="1230"/>
      <c r="F103" s="1230"/>
      <c r="G103" s="1230"/>
      <c r="H103" s="1230"/>
      <c r="I103" s="1230"/>
      <c r="J103" s="1230"/>
      <c r="K103" s="1230"/>
      <c r="L103" s="1230"/>
      <c r="M103" s="1230"/>
      <c r="N103" s="1231"/>
      <c r="P103" s="1232"/>
      <c r="Q103" s="1231"/>
      <c r="R103" s="909"/>
      <c r="S103" s="1000" t="str">
        <f>+IF(ENERO!S103=0,"",ENERO!S103)</f>
        <v/>
      </c>
      <c r="T103" s="1001" t="str">
        <f>+IF(ENERO!T103=0,"",ENERO!T103)</f>
        <v/>
      </c>
      <c r="U103" s="1002"/>
      <c r="V103" s="1003"/>
      <c r="W103" s="1003"/>
      <c r="X103" s="1004"/>
      <c r="Y103" s="1002"/>
      <c r="Z103" s="1003"/>
      <c r="AA103" s="1003"/>
      <c r="AB103" s="1002"/>
      <c r="AC103" s="1003"/>
      <c r="AD103" s="1004"/>
      <c r="AE103" s="1002"/>
      <c r="AF103" s="1003"/>
      <c r="AG103" s="1004"/>
      <c r="AH103" s="1002"/>
      <c r="AI103" s="1003"/>
      <c r="AJ103" s="1004"/>
      <c r="AK103" s="909"/>
      <c r="AL103" s="1195"/>
      <c r="AM103" s="1196"/>
      <c r="AN103" s="909"/>
      <c r="AO103" s="863"/>
      <c r="AP103" s="863"/>
      <c r="AQ103" s="863"/>
      <c r="AR103" s="863"/>
      <c r="AS103" s="863"/>
      <c r="AT103" s="863"/>
      <c r="AU103" s="863"/>
      <c r="AV103" s="863"/>
      <c r="AW103" s="863"/>
      <c r="AX103" s="863"/>
      <c r="AY103" s="863"/>
      <c r="AZ103" s="863"/>
    </row>
    <row r="104" spans="1:70" s="1035" customFormat="1" ht="24.95" customHeight="1">
      <c r="A104" s="1220">
        <f>+IF(ENERO!A104=0,"",ENERO!A104)</f>
        <v>11304</v>
      </c>
      <c r="B104" s="1221" t="str">
        <f>+IF(ENERO!B104=0,"",ENERO!B104)</f>
        <v>Otros ingresos corrientes</v>
      </c>
      <c r="C104" s="1209">
        <f>SUM(C105:C111)</f>
        <v>667440000</v>
      </c>
      <c r="D104" s="1210">
        <f t="shared" ref="D104:N104" si="114">SUM(D105:D111)</f>
        <v>0</v>
      </c>
      <c r="E104" s="1210">
        <f t="shared" si="114"/>
        <v>0</v>
      </c>
      <c r="F104" s="1210">
        <f t="shared" si="114"/>
        <v>667440000</v>
      </c>
      <c r="G104" s="1210">
        <f t="shared" si="114"/>
        <v>147492645</v>
      </c>
      <c r="H104" s="1210">
        <f t="shared" si="114"/>
        <v>13535232</v>
      </c>
      <c r="I104" s="1210">
        <f t="shared" si="114"/>
        <v>161027877</v>
      </c>
      <c r="J104" s="1210">
        <f t="shared" si="114"/>
        <v>85344903</v>
      </c>
      <c r="K104" s="1210">
        <f t="shared" si="114"/>
        <v>13535232</v>
      </c>
      <c r="L104" s="1210">
        <f t="shared" si="114"/>
        <v>98880135</v>
      </c>
      <c r="M104" s="1210">
        <f t="shared" si="114"/>
        <v>506412123</v>
      </c>
      <c r="N104" s="1211">
        <f t="shared" si="114"/>
        <v>568559865</v>
      </c>
      <c r="P104" s="1106">
        <f>SUM(P105:P111)</f>
        <v>0</v>
      </c>
      <c r="Q104" s="1107">
        <f>SUM(Q105:Q111)</f>
        <v>0</v>
      </c>
      <c r="R104" s="909"/>
      <c r="S104" s="1073">
        <f>+IF(ENERO!S104=0,"",ENERO!S104)</f>
        <v>1020400</v>
      </c>
      <c r="T104" s="1074" t="str">
        <f>+IF(ENERO!T104=0,"",ENERO!T104)</f>
        <v>Contribuciones Inherentes nómina del Sector Publico</v>
      </c>
      <c r="U104" s="1046">
        <f t="shared" ref="U104:AJ104" si="115">U105+U108</f>
        <v>43075476</v>
      </c>
      <c r="V104" s="1047">
        <f t="shared" si="115"/>
        <v>0</v>
      </c>
      <c r="W104" s="1047">
        <f t="shared" si="115"/>
        <v>0</v>
      </c>
      <c r="X104" s="1048">
        <f t="shared" si="115"/>
        <v>43075476</v>
      </c>
      <c r="Y104" s="1046">
        <f t="shared" si="115"/>
        <v>3600222</v>
      </c>
      <c r="Z104" s="1047">
        <f t="shared" si="115"/>
        <v>3600800</v>
      </c>
      <c r="AA104" s="1049">
        <f t="shared" si="115"/>
        <v>7201022</v>
      </c>
      <c r="AB104" s="1046">
        <f t="shared" si="115"/>
        <v>3600222</v>
      </c>
      <c r="AC104" s="1047">
        <f t="shared" si="115"/>
        <v>3600800</v>
      </c>
      <c r="AD104" s="1048">
        <f t="shared" si="115"/>
        <v>7201022</v>
      </c>
      <c r="AE104" s="1046">
        <f t="shared" si="115"/>
        <v>3600222</v>
      </c>
      <c r="AF104" s="1047">
        <f t="shared" si="115"/>
        <v>3600800</v>
      </c>
      <c r="AG104" s="1048">
        <f t="shared" si="115"/>
        <v>7201022</v>
      </c>
      <c r="AH104" s="1046">
        <f t="shared" si="115"/>
        <v>35874454</v>
      </c>
      <c r="AI104" s="1047">
        <f t="shared" si="115"/>
        <v>35874454</v>
      </c>
      <c r="AJ104" s="1048">
        <f t="shared" si="115"/>
        <v>35874454</v>
      </c>
      <c r="AK104" s="909"/>
      <c r="AL104" s="1050">
        <f>AL105+AL108</f>
        <v>0</v>
      </c>
      <c r="AM104" s="1048">
        <f>AM105+AM108</f>
        <v>0</v>
      </c>
      <c r="AN104" s="909"/>
      <c r="AO104" s="863"/>
      <c r="AP104" s="863"/>
      <c r="AQ104" s="863"/>
      <c r="AR104" s="863"/>
      <c r="AS104" s="863"/>
      <c r="AT104" s="863"/>
      <c r="AU104" s="863"/>
      <c r="AV104" s="863"/>
      <c r="AW104" s="863"/>
      <c r="AX104" s="863"/>
      <c r="AY104" s="863"/>
      <c r="AZ104" s="863"/>
    </row>
    <row r="105" spans="1:70" s="1035" customFormat="1" ht="24.95" customHeight="1">
      <c r="A105" s="1222" t="str">
        <f>+IF(ENERO!A105=0,"",ENERO!A105)</f>
        <v>11304-1</v>
      </c>
      <c r="B105" s="1223" t="str">
        <f>+IF(ENERO!B105=0,"",ENERO!B105)</f>
        <v>ARRENDAMIENTO Y ALQUILER DE BIENES MUEBLES E INMUEBLES</v>
      </c>
      <c r="C105" s="1214">
        <f>+ENERO!C105</f>
        <v>667440000</v>
      </c>
      <c r="D105" s="1017">
        <f>ENERO!D105+FEBRERO!P105</f>
        <v>0</v>
      </c>
      <c r="E105" s="1017">
        <f>ENERO!E105+FEBRERO!Q105</f>
        <v>0</v>
      </c>
      <c r="F105" s="1017">
        <f t="shared" ref="F105:F111" si="116">SUM(C105:E105)</f>
        <v>667440000</v>
      </c>
      <c r="G105" s="1017">
        <f>ENERO!I105</f>
        <v>147492645</v>
      </c>
      <c r="H105" s="1020">
        <v>3332000</v>
      </c>
      <c r="I105" s="1017">
        <f t="shared" ref="I105:I111" si="117">SUM(G105:H105)</f>
        <v>150824645</v>
      </c>
      <c r="J105" s="1017">
        <f>ENERO!L105</f>
        <v>85344903</v>
      </c>
      <c r="K105" s="1020">
        <v>3332000</v>
      </c>
      <c r="L105" s="1017">
        <f t="shared" ref="L105:L111" si="118">SUM(J105:K105)</f>
        <v>88676903</v>
      </c>
      <c r="M105" s="1017">
        <f t="shared" ref="M105:M111" si="119">F105-I105</f>
        <v>516615355</v>
      </c>
      <c r="N105" s="1018">
        <f t="shared" ref="N105:N111" si="120">F105-L105</f>
        <v>578763097</v>
      </c>
      <c r="P105" s="1022">
        <v>0</v>
      </c>
      <c r="Q105" s="1023">
        <v>0</v>
      </c>
      <c r="R105" s="909"/>
      <c r="S105" s="1083">
        <f>+IF(ENERO!S105=0,"",ENERO!S105)</f>
        <v>1020402</v>
      </c>
      <c r="T105" s="1084" t="str">
        <f>+IF(ENERO!T105=0,"",ENERO!T105)</f>
        <v>Contribuciones - Otros</v>
      </c>
      <c r="U105" s="1085">
        <f t="shared" ref="U105:AJ105" si="121">SUM(U106:U107)</f>
        <v>43075476</v>
      </c>
      <c r="V105" s="1033">
        <f t="shared" si="121"/>
        <v>0</v>
      </c>
      <c r="W105" s="1033">
        <f t="shared" si="121"/>
        <v>0</v>
      </c>
      <c r="X105" s="1086">
        <f t="shared" si="121"/>
        <v>43075476</v>
      </c>
      <c r="Y105" s="1087">
        <f t="shared" si="121"/>
        <v>3600222</v>
      </c>
      <c r="Z105" s="1198">
        <f t="shared" si="121"/>
        <v>3600800</v>
      </c>
      <c r="AA105" s="1088">
        <f t="shared" si="121"/>
        <v>7201022</v>
      </c>
      <c r="AB105" s="1087">
        <f t="shared" si="121"/>
        <v>3600222</v>
      </c>
      <c r="AC105" s="1198">
        <f t="shared" si="121"/>
        <v>3600800</v>
      </c>
      <c r="AD105" s="1086">
        <f t="shared" si="121"/>
        <v>7201022</v>
      </c>
      <c r="AE105" s="1087">
        <f t="shared" si="121"/>
        <v>3600222</v>
      </c>
      <c r="AF105" s="1198">
        <f t="shared" si="121"/>
        <v>3600800</v>
      </c>
      <c r="AG105" s="1086">
        <f t="shared" si="121"/>
        <v>7201022</v>
      </c>
      <c r="AH105" s="1087">
        <f t="shared" si="121"/>
        <v>35874454</v>
      </c>
      <c r="AI105" s="1033">
        <f t="shared" si="121"/>
        <v>35874454</v>
      </c>
      <c r="AJ105" s="1086">
        <f t="shared" si="121"/>
        <v>35874454</v>
      </c>
      <c r="AK105" s="1029"/>
      <c r="AL105" s="1117">
        <f>SUM(AL106:AL107)</f>
        <v>0</v>
      </c>
      <c r="AM105" s="1118">
        <f>SUM(AM106:AM107)</f>
        <v>0</v>
      </c>
      <c r="AN105" s="909"/>
      <c r="AO105" s="863"/>
      <c r="AP105" s="863"/>
      <c r="AQ105" s="863"/>
      <c r="AR105" s="863"/>
      <c r="AS105" s="863"/>
      <c r="AT105" s="863"/>
      <c r="AU105" s="863"/>
      <c r="AV105" s="863"/>
      <c r="AW105" s="863"/>
      <c r="AX105" s="863"/>
      <c r="AY105" s="863"/>
      <c r="AZ105" s="863"/>
    </row>
    <row r="106" spans="1:70" s="1035" customFormat="1" ht="24.95" customHeight="1">
      <c r="A106" s="1222" t="str">
        <f>+IF(ENERO!A106=0,"",ENERO!A106)</f>
        <v>11304-2</v>
      </c>
      <c r="B106" s="1233" t="str">
        <f>+IF(ENERO!B106=0,"",ENERO!B106)</f>
        <v>COMERCIALIZACIÓN DE MERCANCÍAS</v>
      </c>
      <c r="C106" s="1214">
        <f>+ENERO!C106</f>
        <v>0</v>
      </c>
      <c r="D106" s="1017">
        <f>ENERO!D106+FEBRERO!P106</f>
        <v>0</v>
      </c>
      <c r="E106" s="1017">
        <f>ENERO!E106+FEBRERO!Q106</f>
        <v>0</v>
      </c>
      <c r="F106" s="1017">
        <f t="shared" si="116"/>
        <v>0</v>
      </c>
      <c r="G106" s="1017">
        <f>ENERO!I106</f>
        <v>0</v>
      </c>
      <c r="H106" s="1020">
        <v>0</v>
      </c>
      <c r="I106" s="1017">
        <f t="shared" si="117"/>
        <v>0</v>
      </c>
      <c r="J106" s="1017">
        <f>ENERO!L106</f>
        <v>0</v>
      </c>
      <c r="K106" s="1020">
        <v>0</v>
      </c>
      <c r="L106" s="1017">
        <f t="shared" si="118"/>
        <v>0</v>
      </c>
      <c r="M106" s="1017">
        <f t="shared" si="119"/>
        <v>0</v>
      </c>
      <c r="N106" s="1018">
        <f t="shared" si="120"/>
        <v>0</v>
      </c>
      <c r="P106" s="1022">
        <v>0</v>
      </c>
      <c r="Q106" s="1023">
        <v>0</v>
      </c>
      <c r="R106" s="909"/>
      <c r="S106" s="1130" t="str">
        <f>+IF(ENERO!S106=0,"",ENERO!S106)</f>
        <v>1020402-1</v>
      </c>
      <c r="T106" s="1084" t="str">
        <f>+IF(ENERO!T106=0,"",ENERO!T106)</f>
        <v>S.E.N.A.</v>
      </c>
      <c r="U106" s="1085">
        <f>+ENERO!U106</f>
        <v>25928061</v>
      </c>
      <c r="V106" s="1033">
        <f>ENERO!V106+FEBRERO!AL106</f>
        <v>0</v>
      </c>
      <c r="W106" s="1033">
        <f>ENERO!W106+FEBRERO!AM106</f>
        <v>0</v>
      </c>
      <c r="X106" s="1086">
        <f>SUM(U106:W106)</f>
        <v>25928061</v>
      </c>
      <c r="Y106" s="1087">
        <f>ENERO!AA106</f>
        <v>1440120</v>
      </c>
      <c r="Z106" s="1020">
        <v>1440320</v>
      </c>
      <c r="AA106" s="1088">
        <f>SUM(Y106:Z106)</f>
        <v>2880440</v>
      </c>
      <c r="AB106" s="1087">
        <f>ENERO!AD106</f>
        <v>1440120</v>
      </c>
      <c r="AC106" s="1020">
        <v>1440320</v>
      </c>
      <c r="AD106" s="1086">
        <f>SUM(AB106:AC106)</f>
        <v>2880440</v>
      </c>
      <c r="AE106" s="1087">
        <f>ENERO!AG106</f>
        <v>1440120</v>
      </c>
      <c r="AF106" s="1020">
        <v>1440320</v>
      </c>
      <c r="AG106" s="1086">
        <f>SUM(AE106:AF106)</f>
        <v>2880440</v>
      </c>
      <c r="AH106" s="1087">
        <f>X106-AA106</f>
        <v>23047621</v>
      </c>
      <c r="AI106" s="1033">
        <f>X106-AD106</f>
        <v>23047621</v>
      </c>
      <c r="AJ106" s="1086">
        <f>X106-AG106</f>
        <v>23047621</v>
      </c>
      <c r="AK106" s="909"/>
      <c r="AL106" s="1089">
        <v>0</v>
      </c>
      <c r="AM106" s="1023">
        <v>0</v>
      </c>
      <c r="AN106" s="909"/>
      <c r="AO106" s="863"/>
      <c r="AP106" s="863"/>
      <c r="AQ106" s="863"/>
      <c r="AR106" s="863"/>
      <c r="AS106" s="863"/>
      <c r="AT106" s="863"/>
      <c r="AU106" s="863"/>
      <c r="AV106" s="863"/>
      <c r="AW106" s="863"/>
      <c r="AX106" s="863"/>
      <c r="AY106" s="863"/>
      <c r="AZ106" s="863"/>
    </row>
    <row r="107" spans="1:70" s="1035" customFormat="1" ht="24.95" customHeight="1">
      <c r="A107" s="1222" t="str">
        <f>+IF(ENERO!A107=0,"",ENERO!A107)</f>
        <v>11304-3</v>
      </c>
      <c r="B107" s="1223" t="str">
        <f>+IF(ENERO!B107=0,"",ENERO!B107)</f>
        <v>Bienestar Social</v>
      </c>
      <c r="C107" s="1214">
        <f>+ENERO!C107</f>
        <v>0</v>
      </c>
      <c r="D107" s="1017">
        <f>ENERO!D107+FEBRERO!P107</f>
        <v>0</v>
      </c>
      <c r="E107" s="1017">
        <f>ENERO!E107+FEBRERO!Q107</f>
        <v>0</v>
      </c>
      <c r="F107" s="1017">
        <f t="shared" si="116"/>
        <v>0</v>
      </c>
      <c r="G107" s="1017">
        <f>ENERO!I107</f>
        <v>0</v>
      </c>
      <c r="H107" s="1020">
        <v>445983</v>
      </c>
      <c r="I107" s="1017">
        <f t="shared" si="117"/>
        <v>445983</v>
      </c>
      <c r="J107" s="1017">
        <f>ENERO!L107</f>
        <v>0</v>
      </c>
      <c r="K107" s="1020">
        <v>445983</v>
      </c>
      <c r="L107" s="1017">
        <f t="shared" si="118"/>
        <v>445983</v>
      </c>
      <c r="M107" s="1017">
        <f t="shared" si="119"/>
        <v>-445983</v>
      </c>
      <c r="N107" s="1018">
        <f t="shared" si="120"/>
        <v>-445983</v>
      </c>
      <c r="P107" s="1022">
        <v>0</v>
      </c>
      <c r="Q107" s="1023">
        <v>0</v>
      </c>
      <c r="R107" s="909"/>
      <c r="S107" s="1130" t="str">
        <f>+IF(ENERO!S107=0,"",ENERO!S107)</f>
        <v>1020402-2</v>
      </c>
      <c r="T107" s="1084" t="str">
        <f>+IF(ENERO!T107=0,"",ENERO!T107)</f>
        <v>I.C.B.F.</v>
      </c>
      <c r="U107" s="1085">
        <f>+ENERO!U107</f>
        <v>17147415</v>
      </c>
      <c r="V107" s="1033">
        <f>ENERO!V107+FEBRERO!AL107</f>
        <v>0</v>
      </c>
      <c r="W107" s="1033">
        <f>ENERO!W107+FEBRERO!AM107</f>
        <v>0</v>
      </c>
      <c r="X107" s="1086">
        <f>SUM(U107:W107)</f>
        <v>17147415</v>
      </c>
      <c r="Y107" s="1087">
        <f>ENERO!AA107</f>
        <v>2160102</v>
      </c>
      <c r="Z107" s="1020">
        <v>2160480</v>
      </c>
      <c r="AA107" s="1088">
        <f>SUM(Y107:Z107)</f>
        <v>4320582</v>
      </c>
      <c r="AB107" s="1087">
        <f>ENERO!AD107</f>
        <v>2160102</v>
      </c>
      <c r="AC107" s="1020">
        <v>2160480</v>
      </c>
      <c r="AD107" s="1086">
        <f>SUM(AB107:AC107)</f>
        <v>4320582</v>
      </c>
      <c r="AE107" s="1087">
        <f>ENERO!AG107</f>
        <v>2160102</v>
      </c>
      <c r="AF107" s="1020">
        <v>2160480</v>
      </c>
      <c r="AG107" s="1086">
        <f>SUM(AE107:AF107)</f>
        <v>4320582</v>
      </c>
      <c r="AH107" s="1087">
        <f>X107-AA107</f>
        <v>12826833</v>
      </c>
      <c r="AI107" s="1033">
        <f>X107-AD107</f>
        <v>12826833</v>
      </c>
      <c r="AJ107" s="1086">
        <f>X107-AG107</f>
        <v>12826833</v>
      </c>
      <c r="AK107" s="909"/>
      <c r="AL107" s="1089">
        <v>0</v>
      </c>
      <c r="AM107" s="1023">
        <v>0</v>
      </c>
      <c r="AN107" s="909"/>
      <c r="AO107" s="863"/>
      <c r="AP107" s="863"/>
      <c r="AQ107" s="863"/>
      <c r="AR107" s="863"/>
      <c r="AS107" s="863"/>
      <c r="AT107" s="863"/>
      <c r="AU107" s="863"/>
      <c r="AV107" s="863"/>
      <c r="AW107" s="863"/>
      <c r="AX107" s="863"/>
      <c r="AY107" s="863"/>
      <c r="AZ107" s="863"/>
    </row>
    <row r="108" spans="1:70" s="1035" customFormat="1" ht="24.95" customHeight="1">
      <c r="A108" s="1222" t="str">
        <f>+IF(ENERO!A108=0,"",ENERO!A108)</f>
        <v>11304-4</v>
      </c>
      <c r="B108" s="1223" t="str">
        <f>+IF(ENERO!B108=0,"",ENERO!B108)</f>
        <v>Fondo de la Vivienda</v>
      </c>
      <c r="C108" s="1214">
        <f>+ENERO!C108</f>
        <v>0</v>
      </c>
      <c r="D108" s="1017">
        <f>ENERO!D108+FEBRERO!P108</f>
        <v>0</v>
      </c>
      <c r="E108" s="1017">
        <f>ENERO!E108+FEBRERO!Q108</f>
        <v>0</v>
      </c>
      <c r="F108" s="1017">
        <f t="shared" si="116"/>
        <v>0</v>
      </c>
      <c r="G108" s="1017">
        <f>ENERO!I108</f>
        <v>0</v>
      </c>
      <c r="H108" s="1020">
        <v>6209057</v>
      </c>
      <c r="I108" s="1017">
        <f t="shared" si="117"/>
        <v>6209057</v>
      </c>
      <c r="J108" s="1017">
        <f>ENERO!L108</f>
        <v>0</v>
      </c>
      <c r="K108" s="1020">
        <v>6209057</v>
      </c>
      <c r="L108" s="1017">
        <f t="shared" si="118"/>
        <v>6209057</v>
      </c>
      <c r="M108" s="1017">
        <f t="shared" si="119"/>
        <v>-6209057</v>
      </c>
      <c r="N108" s="1018">
        <f t="shared" si="120"/>
        <v>-6209057</v>
      </c>
      <c r="P108" s="1022">
        <v>0</v>
      </c>
      <c r="Q108" s="1023">
        <v>0</v>
      </c>
      <c r="R108" s="909"/>
      <c r="S108" s="1083">
        <f>+IF(ENERO!S108=0,"",ENERO!S108)</f>
        <v>1020499</v>
      </c>
      <c r="T108" s="1084" t="str">
        <f>+IF(ENERO!T108=0,"",ENERO!T108)</f>
        <v>Vigencias Anteriores</v>
      </c>
      <c r="U108" s="1085">
        <f>+ENERO!U108</f>
        <v>0</v>
      </c>
      <c r="V108" s="1033">
        <f>ENERO!V108+FEBRERO!AL108</f>
        <v>0</v>
      </c>
      <c r="W108" s="1033">
        <f>ENERO!W108+FEBRERO!AM108</f>
        <v>0</v>
      </c>
      <c r="X108" s="1086">
        <f>SUM(U108:W108)</f>
        <v>0</v>
      </c>
      <c r="Y108" s="1087">
        <f>ENERO!AA108</f>
        <v>0</v>
      </c>
      <c r="Z108" s="1020">
        <v>0</v>
      </c>
      <c r="AA108" s="1088">
        <f>SUM(Y108:Z108)</f>
        <v>0</v>
      </c>
      <c r="AB108" s="1087">
        <f>ENERO!AD108</f>
        <v>0</v>
      </c>
      <c r="AC108" s="1020">
        <v>0</v>
      </c>
      <c r="AD108" s="1086">
        <f>SUM(AB108:AC108)</f>
        <v>0</v>
      </c>
      <c r="AE108" s="1087">
        <f>ENERO!AG108</f>
        <v>0</v>
      </c>
      <c r="AF108" s="1020">
        <v>0</v>
      </c>
      <c r="AG108" s="1086">
        <f>SUM(AE108:AF108)</f>
        <v>0</v>
      </c>
      <c r="AH108" s="1087">
        <f>X108-AA108</f>
        <v>0</v>
      </c>
      <c r="AI108" s="1033">
        <f>X108-AD108</f>
        <v>0</v>
      </c>
      <c r="AJ108" s="1086">
        <f>X108-AG108</f>
        <v>0</v>
      </c>
      <c r="AK108" s="909"/>
      <c r="AL108" s="1089">
        <v>0</v>
      </c>
      <c r="AM108" s="1023">
        <v>0</v>
      </c>
      <c r="AN108" s="909"/>
      <c r="AO108" s="863"/>
      <c r="AP108" s="863"/>
      <c r="AQ108" s="863"/>
      <c r="AR108" s="863"/>
      <c r="AS108" s="863"/>
      <c r="AT108" s="863"/>
      <c r="AU108" s="863"/>
      <c r="AV108" s="863"/>
      <c r="AW108" s="863"/>
      <c r="AX108" s="863"/>
      <c r="AY108" s="863"/>
      <c r="AZ108" s="863"/>
    </row>
    <row r="109" spans="1:70" s="1035" customFormat="1" ht="24.95" customHeight="1">
      <c r="A109" s="1222" t="str">
        <f>+IF(ENERO!A109=0,"",ENERO!A109)</f>
        <v>11304-5</v>
      </c>
      <c r="B109" s="1223" t="str">
        <f>+IF(ENERO!B109=0,"",ENERO!B109)</f>
        <v xml:space="preserve">Aprovechamientos </v>
      </c>
      <c r="C109" s="1214">
        <f>+ENERO!C109</f>
        <v>0</v>
      </c>
      <c r="D109" s="1017">
        <f>ENERO!D109+FEBRERO!P109</f>
        <v>0</v>
      </c>
      <c r="E109" s="1017">
        <f>ENERO!E109+FEBRERO!Q109</f>
        <v>0</v>
      </c>
      <c r="F109" s="1017">
        <f t="shared" si="116"/>
        <v>0</v>
      </c>
      <c r="G109" s="1017">
        <f>ENERO!I109</f>
        <v>0</v>
      </c>
      <c r="H109" s="1020">
        <v>0</v>
      </c>
      <c r="I109" s="1017">
        <f t="shared" si="117"/>
        <v>0</v>
      </c>
      <c r="J109" s="1017">
        <f>ENERO!L109</f>
        <v>0</v>
      </c>
      <c r="K109" s="1020">
        <v>0</v>
      </c>
      <c r="L109" s="1017">
        <f t="shared" si="118"/>
        <v>0</v>
      </c>
      <c r="M109" s="1017">
        <f t="shared" si="119"/>
        <v>0</v>
      </c>
      <c r="N109" s="1018">
        <f t="shared" si="120"/>
        <v>0</v>
      </c>
      <c r="P109" s="1022">
        <v>0</v>
      </c>
      <c r="Q109" s="1023">
        <v>0</v>
      </c>
      <c r="R109" s="909"/>
      <c r="S109" s="1000" t="str">
        <f>+IF(ENERO!S109=0,"",ENERO!S109)</f>
        <v/>
      </c>
      <c r="T109" s="1001" t="str">
        <f>+IF(ENERO!T109=0,"",ENERO!T109)</f>
        <v/>
      </c>
      <c r="U109" s="1002"/>
      <c r="V109" s="1003"/>
      <c r="W109" s="1003"/>
      <c r="X109" s="1004"/>
      <c r="Y109" s="1002"/>
      <c r="Z109" s="1003"/>
      <c r="AA109" s="1003"/>
      <c r="AB109" s="1002"/>
      <c r="AC109" s="1003"/>
      <c r="AD109" s="1004"/>
      <c r="AE109" s="1002"/>
      <c r="AF109" s="1003"/>
      <c r="AG109" s="1004"/>
      <c r="AH109" s="1002"/>
      <c r="AI109" s="1003"/>
      <c r="AJ109" s="1004"/>
      <c r="AK109" s="1029"/>
      <c r="AL109" s="1195"/>
      <c r="AM109" s="1196"/>
      <c r="AN109" s="909"/>
      <c r="AO109" s="863"/>
      <c r="AP109" s="863"/>
      <c r="AQ109" s="863"/>
      <c r="AR109" s="863"/>
      <c r="AS109" s="863"/>
      <c r="AT109" s="863"/>
      <c r="AU109" s="863"/>
      <c r="AV109" s="863"/>
      <c r="AW109" s="863"/>
      <c r="AX109" s="863"/>
      <c r="AY109" s="863"/>
      <c r="AZ109" s="863"/>
    </row>
    <row r="110" spans="1:70" s="1035" customFormat="1" ht="24.95" customHeight="1">
      <c r="A110" s="1222" t="str">
        <f>+IF(ENERO!A110=0,"",ENERO!A110)</f>
        <v>11304-6</v>
      </c>
      <c r="B110" s="1223" t="str">
        <f>+IF(ENERO!B110=0,"",ENERO!B110)</f>
        <v>Otros</v>
      </c>
      <c r="C110" s="1214">
        <f>+ENERO!C110</f>
        <v>0</v>
      </c>
      <c r="D110" s="1017">
        <f>ENERO!D110+FEBRERO!P110</f>
        <v>0</v>
      </c>
      <c r="E110" s="1017">
        <f>ENERO!E110+FEBRERO!Q110</f>
        <v>0</v>
      </c>
      <c r="F110" s="1017">
        <f t="shared" si="116"/>
        <v>0</v>
      </c>
      <c r="G110" s="1017">
        <f>ENERO!I110</f>
        <v>0</v>
      </c>
      <c r="H110" s="1020">
        <v>3548192</v>
      </c>
      <c r="I110" s="1017">
        <f t="shared" si="117"/>
        <v>3548192</v>
      </c>
      <c r="J110" s="1017">
        <f>ENERO!L110</f>
        <v>0</v>
      </c>
      <c r="K110" s="1020">
        <v>3548192</v>
      </c>
      <c r="L110" s="1017">
        <f t="shared" si="118"/>
        <v>3548192</v>
      </c>
      <c r="M110" s="1017">
        <f t="shared" si="119"/>
        <v>-3548192</v>
      </c>
      <c r="N110" s="1018">
        <f t="shared" si="120"/>
        <v>-3548192</v>
      </c>
      <c r="P110" s="1022">
        <v>0</v>
      </c>
      <c r="Q110" s="1023">
        <v>0</v>
      </c>
      <c r="R110" s="909"/>
      <c r="S110" s="1044">
        <f>+IF(ENERO!S110=0,"",ENERO!S110)</f>
        <v>2000000</v>
      </c>
      <c r="T110" s="1234" t="str">
        <f>+IF(ENERO!T110=0,"",ENERO!T110)</f>
        <v>GASTOS GENERALES</v>
      </c>
      <c r="U110" s="1235">
        <f t="shared" ref="U110:AJ110" si="122">U112+U145</f>
        <v>7574161274</v>
      </c>
      <c r="V110" s="1236">
        <f t="shared" si="122"/>
        <v>795787821</v>
      </c>
      <c r="W110" s="1236">
        <f t="shared" si="122"/>
        <v>396156707</v>
      </c>
      <c r="X110" s="1031">
        <f t="shared" si="122"/>
        <v>8766105802</v>
      </c>
      <c r="Y110" s="1235">
        <f t="shared" si="122"/>
        <v>3539513997</v>
      </c>
      <c r="Z110" s="1236">
        <f t="shared" si="122"/>
        <v>991292675</v>
      </c>
      <c r="AA110" s="1237">
        <f t="shared" si="122"/>
        <v>4530806672</v>
      </c>
      <c r="AB110" s="1235">
        <f t="shared" si="122"/>
        <v>554512473</v>
      </c>
      <c r="AC110" s="1236">
        <f t="shared" si="122"/>
        <v>1176605068</v>
      </c>
      <c r="AD110" s="1031">
        <f t="shared" si="122"/>
        <v>1731117541</v>
      </c>
      <c r="AE110" s="1235">
        <f t="shared" si="122"/>
        <v>328132038</v>
      </c>
      <c r="AF110" s="1236">
        <f t="shared" si="122"/>
        <v>723212450</v>
      </c>
      <c r="AG110" s="1031">
        <f t="shared" si="122"/>
        <v>1051344488</v>
      </c>
      <c r="AH110" s="1235">
        <f t="shared" si="122"/>
        <v>4235299130</v>
      </c>
      <c r="AI110" s="1236">
        <f t="shared" si="122"/>
        <v>7034988261</v>
      </c>
      <c r="AJ110" s="1031">
        <f t="shared" si="122"/>
        <v>7714761314</v>
      </c>
      <c r="AK110" s="1029"/>
      <c r="AL110" s="1050">
        <f>AL112+AL145</f>
        <v>795787821</v>
      </c>
      <c r="AM110" s="1048">
        <f>AM112+AM145</f>
        <v>26156707</v>
      </c>
      <c r="AN110" s="909"/>
      <c r="AO110" s="863"/>
      <c r="AP110" s="863"/>
      <c r="AQ110" s="863"/>
      <c r="AR110" s="863"/>
      <c r="AS110" s="863"/>
      <c r="AT110" s="863"/>
      <c r="AU110" s="863"/>
      <c r="AV110" s="863"/>
      <c r="AW110" s="863"/>
      <c r="AX110" s="863"/>
      <c r="AY110" s="863"/>
      <c r="AZ110" s="863"/>
    </row>
    <row r="111" spans="1:70" s="1035" customFormat="1" ht="24.95" customHeight="1" thickBot="1">
      <c r="A111" s="1222" t="str">
        <f>+IF(ENERO!A111=0,"",ENERO!A111)</f>
        <v>11304-7</v>
      </c>
      <c r="B111" s="1238" t="str">
        <f>+IF(ENERO!B111=0,"",ENERO!B111)</f>
        <v>Vigencia Anterior</v>
      </c>
      <c r="C111" s="1219">
        <f>+ENERO!C111</f>
        <v>0</v>
      </c>
      <c r="D111" s="1058">
        <f>ENERO!D111+FEBRERO!P111</f>
        <v>0</v>
      </c>
      <c r="E111" s="1058">
        <f>ENERO!E111+FEBRERO!Q111</f>
        <v>0</v>
      </c>
      <c r="F111" s="1058">
        <f t="shared" si="116"/>
        <v>0</v>
      </c>
      <c r="G111" s="1058">
        <f>ENERO!I111</f>
        <v>0</v>
      </c>
      <c r="H111" s="1061">
        <v>0</v>
      </c>
      <c r="I111" s="1058">
        <f t="shared" si="117"/>
        <v>0</v>
      </c>
      <c r="J111" s="1058">
        <f>ENERO!L111</f>
        <v>0</v>
      </c>
      <c r="K111" s="1061">
        <v>0</v>
      </c>
      <c r="L111" s="1058">
        <f t="shared" si="118"/>
        <v>0</v>
      </c>
      <c r="M111" s="1058">
        <f t="shared" si="119"/>
        <v>0</v>
      </c>
      <c r="N111" s="1059">
        <f t="shared" si="120"/>
        <v>0</v>
      </c>
      <c r="P111" s="1022">
        <v>0</v>
      </c>
      <c r="Q111" s="1023">
        <v>0</v>
      </c>
      <c r="R111" s="909"/>
      <c r="S111" s="1000" t="str">
        <f>+IF(ENERO!S111=0,"",ENERO!S111)</f>
        <v/>
      </c>
      <c r="T111" s="1001" t="str">
        <f>+IF(ENERO!T111=0,"",ENERO!T111)</f>
        <v/>
      </c>
      <c r="U111" s="1002"/>
      <c r="V111" s="1003"/>
      <c r="W111" s="1003"/>
      <c r="X111" s="1004"/>
      <c r="Y111" s="1002"/>
      <c r="Z111" s="1003"/>
      <c r="AA111" s="1003"/>
      <c r="AB111" s="1002"/>
      <c r="AC111" s="1003"/>
      <c r="AD111" s="1004"/>
      <c r="AE111" s="1002"/>
      <c r="AF111" s="1003"/>
      <c r="AG111" s="1004"/>
      <c r="AH111" s="1002"/>
      <c r="AI111" s="1003"/>
      <c r="AJ111" s="1004"/>
      <c r="AK111" s="909"/>
      <c r="AL111" s="1005"/>
      <c r="AM111" s="1006"/>
      <c r="AN111" s="909"/>
      <c r="AO111" s="863"/>
      <c r="AP111" s="863"/>
      <c r="AQ111" s="863"/>
      <c r="AR111" s="863"/>
      <c r="AS111" s="863"/>
      <c r="AT111" s="863"/>
      <c r="AU111" s="863"/>
      <c r="AV111" s="863"/>
      <c r="AW111" s="863"/>
      <c r="AX111" s="863"/>
      <c r="AY111" s="863"/>
      <c r="AZ111" s="863"/>
    </row>
    <row r="112" spans="1:70" s="1035" customFormat="1" ht="24.95" customHeight="1" thickBot="1">
      <c r="A112" s="1228" t="str">
        <f>+IF(ENERO!A112=0,"",ENERO!A112)</f>
        <v/>
      </c>
      <c r="B112" s="1229" t="str">
        <f>+IF(ENERO!B112=0,"",ENERO!B112)</f>
        <v/>
      </c>
      <c r="C112" s="1230"/>
      <c r="D112" s="1230"/>
      <c r="E112" s="1230"/>
      <c r="F112" s="1230"/>
      <c r="G112" s="1230"/>
      <c r="H112" s="1230"/>
      <c r="I112" s="1230"/>
      <c r="J112" s="1230"/>
      <c r="K112" s="1230"/>
      <c r="L112" s="1230"/>
      <c r="M112" s="1230"/>
      <c r="N112" s="1231"/>
      <c r="P112" s="1232"/>
      <c r="Q112" s="1231"/>
      <c r="R112" s="909"/>
      <c r="S112" s="1044">
        <f>+IF(ENERO!S112=0,"",ENERO!S112)</f>
        <v>2010000</v>
      </c>
      <c r="T112" s="1045" t="str">
        <f>+IF(ENERO!T112=0,"",ENERO!T112)</f>
        <v>Gastos de Administración</v>
      </c>
      <c r="U112" s="1046">
        <f t="shared" ref="U112:AJ112" si="123">U114+U123+U141</f>
        <v>4915028612</v>
      </c>
      <c r="V112" s="1047">
        <f t="shared" si="123"/>
        <v>1057185171</v>
      </c>
      <c r="W112" s="1047">
        <f t="shared" si="123"/>
        <v>346156707</v>
      </c>
      <c r="X112" s="1048">
        <f t="shared" si="123"/>
        <v>6318370490</v>
      </c>
      <c r="Y112" s="1046">
        <f t="shared" si="123"/>
        <v>3043878539</v>
      </c>
      <c r="Z112" s="1047">
        <f t="shared" si="123"/>
        <v>655840773</v>
      </c>
      <c r="AA112" s="1049">
        <f t="shared" si="123"/>
        <v>3699719312</v>
      </c>
      <c r="AB112" s="1046">
        <f t="shared" si="123"/>
        <v>451518699</v>
      </c>
      <c r="AC112" s="1047">
        <f t="shared" si="123"/>
        <v>1002432644</v>
      </c>
      <c r="AD112" s="1048">
        <f t="shared" si="123"/>
        <v>1453951343</v>
      </c>
      <c r="AE112" s="1046">
        <f t="shared" si="123"/>
        <v>264617528</v>
      </c>
      <c r="AF112" s="1047">
        <f t="shared" si="123"/>
        <v>611280655</v>
      </c>
      <c r="AG112" s="1048">
        <f t="shared" si="123"/>
        <v>875898183</v>
      </c>
      <c r="AH112" s="1046">
        <f t="shared" si="123"/>
        <v>2618651178</v>
      </c>
      <c r="AI112" s="1047">
        <f t="shared" si="123"/>
        <v>4864419147</v>
      </c>
      <c r="AJ112" s="1048">
        <f t="shared" si="123"/>
        <v>5442472307</v>
      </c>
      <c r="AK112" s="909"/>
      <c r="AL112" s="1050">
        <f>AL114+AL123+AL141</f>
        <v>1057185171</v>
      </c>
      <c r="AM112" s="1048">
        <f>AM114+AM123+AM141</f>
        <v>26156707</v>
      </c>
      <c r="AN112" s="909"/>
      <c r="AO112" s="863"/>
      <c r="AP112" s="863"/>
      <c r="AQ112" s="863"/>
      <c r="AR112" s="863"/>
      <c r="AS112" s="863"/>
      <c r="AT112" s="863"/>
      <c r="AU112" s="863"/>
      <c r="AV112" s="863"/>
      <c r="AW112" s="863"/>
      <c r="AX112" s="863"/>
      <c r="AY112" s="863"/>
      <c r="AZ112" s="863"/>
    </row>
    <row r="113" spans="1:52" s="1035" customFormat="1" ht="24.95" customHeight="1" thickBot="1">
      <c r="A113" s="931">
        <f>+IF(ENERO!A113=0,"",ENERO!A113)</f>
        <v>2000</v>
      </c>
      <c r="B113" s="1082" t="str">
        <f>+IF(ENERO!B113=0,"",ENERO!B113)</f>
        <v>INGRESOS DE CAPITAL</v>
      </c>
      <c r="C113" s="1239">
        <f>SUM(C115:C124)</f>
        <v>9052927194</v>
      </c>
      <c r="D113" s="1240">
        <f>SUM(D115:D124)</f>
        <v>0</v>
      </c>
      <c r="E113" s="1240">
        <f t="shared" ref="E113:N113" si="124">SUM(E115:E124)</f>
        <v>0</v>
      </c>
      <c r="F113" s="1240">
        <f t="shared" si="124"/>
        <v>9052927194</v>
      </c>
      <c r="G113" s="1240">
        <f t="shared" si="124"/>
        <v>0</v>
      </c>
      <c r="H113" s="1240">
        <f t="shared" si="124"/>
        <v>1411839</v>
      </c>
      <c r="I113" s="1240">
        <f t="shared" si="124"/>
        <v>1411839</v>
      </c>
      <c r="J113" s="1240">
        <f t="shared" si="124"/>
        <v>0</v>
      </c>
      <c r="K113" s="1240">
        <f t="shared" si="124"/>
        <v>1411839</v>
      </c>
      <c r="L113" s="1240">
        <f t="shared" si="124"/>
        <v>1411839</v>
      </c>
      <c r="M113" s="1240">
        <f t="shared" si="124"/>
        <v>9051515355</v>
      </c>
      <c r="N113" s="1241">
        <f t="shared" si="124"/>
        <v>9051515355</v>
      </c>
      <c r="O113" s="1205"/>
      <c r="P113" s="982">
        <f>SUM(P115:P124)</f>
        <v>0</v>
      </c>
      <c r="Q113" s="984">
        <f>SUM(Q115:Q124)</f>
        <v>0</v>
      </c>
      <c r="R113" s="909"/>
      <c r="S113" s="1000" t="str">
        <f>+IF(ENERO!S113=0,"",ENERO!S113)</f>
        <v/>
      </c>
      <c r="T113" s="1001" t="str">
        <f>+IF(ENERO!T113=0,"",ENERO!T113)</f>
        <v/>
      </c>
      <c r="U113" s="1002"/>
      <c r="V113" s="1003"/>
      <c r="W113" s="1003"/>
      <c r="X113" s="1004"/>
      <c r="Y113" s="1002"/>
      <c r="Z113" s="1003"/>
      <c r="AA113" s="1003"/>
      <c r="AB113" s="1002"/>
      <c r="AC113" s="1003"/>
      <c r="AD113" s="1004"/>
      <c r="AE113" s="1002"/>
      <c r="AF113" s="1003"/>
      <c r="AG113" s="1004"/>
      <c r="AH113" s="1002"/>
      <c r="AI113" s="1003"/>
      <c r="AJ113" s="1004"/>
      <c r="AK113" s="909"/>
      <c r="AL113" s="1005"/>
      <c r="AM113" s="1006"/>
      <c r="AN113" s="909"/>
      <c r="AO113" s="863"/>
      <c r="AP113" s="863"/>
      <c r="AQ113" s="863"/>
      <c r="AR113" s="863"/>
      <c r="AS113" s="863"/>
      <c r="AT113" s="863"/>
      <c r="AU113" s="863"/>
      <c r="AV113" s="863"/>
      <c r="AW113" s="863"/>
      <c r="AX113" s="863"/>
      <c r="AY113" s="863"/>
      <c r="AZ113" s="863"/>
    </row>
    <row r="114" spans="1:52" s="1035" customFormat="1" ht="24.95" customHeight="1" thickBot="1">
      <c r="A114" s="1228" t="str">
        <f>+IF(ENERO!A114=0,"",ENERO!A114)</f>
        <v/>
      </c>
      <c r="B114" s="1229" t="str">
        <f>+IF(ENERO!B114=0,"",ENERO!B114)</f>
        <v/>
      </c>
      <c r="C114" s="1230"/>
      <c r="D114" s="1230"/>
      <c r="E114" s="1230"/>
      <c r="F114" s="1230"/>
      <c r="G114" s="1230"/>
      <c r="H114" s="1230"/>
      <c r="I114" s="1230"/>
      <c r="J114" s="1230"/>
      <c r="K114" s="1230"/>
      <c r="L114" s="1230"/>
      <c r="M114" s="1230"/>
      <c r="N114" s="1231"/>
      <c r="P114" s="1232"/>
      <c r="Q114" s="1231"/>
      <c r="R114" s="909"/>
      <c r="S114" s="1073">
        <f>+IF(ENERO!S114=0,"",ENERO!S114)</f>
        <v>2010100</v>
      </c>
      <c r="T114" s="1074" t="str">
        <f>+IF(ENERO!T114=0,"",ENERO!T114)</f>
        <v>Adquisición de bienes</v>
      </c>
      <c r="U114" s="1046">
        <f t="shared" ref="U114:AJ114" si="125">SUM(U115:U121)</f>
        <v>256200000</v>
      </c>
      <c r="V114" s="1047">
        <f t="shared" si="125"/>
        <v>-7200430</v>
      </c>
      <c r="W114" s="1047">
        <f t="shared" si="125"/>
        <v>100000000</v>
      </c>
      <c r="X114" s="1048">
        <f t="shared" si="125"/>
        <v>348999570</v>
      </c>
      <c r="Y114" s="1046">
        <f t="shared" si="125"/>
        <v>138361697</v>
      </c>
      <c r="Z114" s="1047">
        <f t="shared" si="125"/>
        <v>61869307</v>
      </c>
      <c r="AA114" s="1049">
        <f t="shared" si="125"/>
        <v>200231004</v>
      </c>
      <c r="AB114" s="1046">
        <f t="shared" si="125"/>
        <v>120683633</v>
      </c>
      <c r="AC114" s="1047">
        <f t="shared" si="125"/>
        <v>61869295</v>
      </c>
      <c r="AD114" s="1048">
        <f t="shared" si="125"/>
        <v>182552928</v>
      </c>
      <c r="AE114" s="1046">
        <f t="shared" si="125"/>
        <v>94623107</v>
      </c>
      <c r="AF114" s="1047">
        <f t="shared" si="125"/>
        <v>9593066</v>
      </c>
      <c r="AG114" s="1048">
        <f t="shared" si="125"/>
        <v>104216173</v>
      </c>
      <c r="AH114" s="1046">
        <f t="shared" si="125"/>
        <v>148768566</v>
      </c>
      <c r="AI114" s="1047">
        <f t="shared" si="125"/>
        <v>166446642</v>
      </c>
      <c r="AJ114" s="1048">
        <f t="shared" si="125"/>
        <v>244783397</v>
      </c>
      <c r="AK114" s="909"/>
      <c r="AL114" s="1050">
        <f>SUM(AL115:AL121)</f>
        <v>-7200430</v>
      </c>
      <c r="AM114" s="1048">
        <f>SUM(AM115:AM121)</f>
        <v>0</v>
      </c>
      <c r="AN114" s="909"/>
      <c r="AO114" s="863"/>
      <c r="AP114" s="863"/>
      <c r="AQ114" s="863"/>
      <c r="AR114" s="863"/>
      <c r="AS114" s="863"/>
      <c r="AT114" s="863"/>
      <c r="AU114" s="863"/>
      <c r="AV114" s="863"/>
      <c r="AW114" s="863"/>
      <c r="AX114" s="863"/>
      <c r="AY114" s="863"/>
      <c r="AZ114" s="863"/>
    </row>
    <row r="115" spans="1:52" s="1035" customFormat="1" ht="24.95" customHeight="1">
      <c r="A115" s="1242">
        <f>+IF(ENERO!A115=0,"",ENERO!A115)</f>
        <v>2100</v>
      </c>
      <c r="B115" s="1213" t="str">
        <f>+IF(ENERO!B115=0,"",ENERO!B115)</f>
        <v>CREDITO INTERNO</v>
      </c>
      <c r="C115" s="1016">
        <f>+ENERO!C115</f>
        <v>0</v>
      </c>
      <c r="D115" s="1243">
        <f>ENERO!D115+FEBRERO!P115</f>
        <v>0</v>
      </c>
      <c r="E115" s="1243">
        <f>ENERO!E115+FEBRERO!Q115</f>
        <v>0</v>
      </c>
      <c r="F115" s="1244">
        <f t="shared" ref="F115:F124" si="126">SUM(C115:E115)</f>
        <v>0</v>
      </c>
      <c r="G115" s="1245">
        <f>ENERO!I115</f>
        <v>0</v>
      </c>
      <c r="H115" s="1020">
        <v>0</v>
      </c>
      <c r="I115" s="1244">
        <f t="shared" ref="I115:I124" si="127">SUM(G115:H115)</f>
        <v>0</v>
      </c>
      <c r="J115" s="1245">
        <f>ENERO!L115</f>
        <v>0</v>
      </c>
      <c r="K115" s="1020">
        <v>0</v>
      </c>
      <c r="L115" s="1246">
        <f t="shared" ref="L115:L124" si="128">SUM(J115:K115)</f>
        <v>0</v>
      </c>
      <c r="M115" s="1247">
        <f t="shared" ref="M115:M124" si="129">F115-I115</f>
        <v>0</v>
      </c>
      <c r="N115" s="1246">
        <f t="shared" ref="N115:N124" si="130">F115-L115</f>
        <v>0</v>
      </c>
      <c r="O115" s="1205"/>
      <c r="P115" s="1022">
        <v>0</v>
      </c>
      <c r="Q115" s="1023">
        <v>0</v>
      </c>
      <c r="R115" s="909"/>
      <c r="S115" s="1083" t="str">
        <f>+IF(ENERO!S115=0,"",ENERO!S115)</f>
        <v>2010100-1</v>
      </c>
      <c r="T115" s="1084" t="str">
        <f>+IF(ENERO!T115=0,"",ENERO!T115)</f>
        <v>Compra de Equipos</v>
      </c>
      <c r="U115" s="1085">
        <f>+ENERO!U115</f>
        <v>175000000</v>
      </c>
      <c r="V115" s="1033">
        <f>ENERO!V115+FEBRERO!AL115</f>
        <v>0</v>
      </c>
      <c r="W115" s="1033">
        <f>ENERO!W115+FEBRERO!AM115</f>
        <v>0</v>
      </c>
      <c r="X115" s="1086">
        <f t="shared" ref="X115:X121" si="131">SUM(U115:W115)</f>
        <v>175000000</v>
      </c>
      <c r="Y115" s="1087">
        <f>ENERO!AA115</f>
        <v>2284205</v>
      </c>
      <c r="Z115" s="1020">
        <v>42482770</v>
      </c>
      <c r="AA115" s="1088">
        <f t="shared" ref="AA115:AA121" si="132">SUM(Y115:Z115)</f>
        <v>44766975</v>
      </c>
      <c r="AB115" s="1087">
        <f>ENERO!AD115</f>
        <v>0</v>
      </c>
      <c r="AC115" s="1020">
        <v>42482770</v>
      </c>
      <c r="AD115" s="1086">
        <f t="shared" ref="AD115:AD121" si="133">SUM(AB115:AC115)</f>
        <v>42482770</v>
      </c>
      <c r="AE115" s="1087">
        <f>ENERO!AG115</f>
        <v>0</v>
      </c>
      <c r="AF115" s="1020">
        <v>2937815</v>
      </c>
      <c r="AG115" s="1086">
        <f t="shared" ref="AG115:AG121" si="134">SUM(AE115:AF115)</f>
        <v>2937815</v>
      </c>
      <c r="AH115" s="1087">
        <f t="shared" ref="AH115:AH121" si="135">X115-AA115</f>
        <v>130233025</v>
      </c>
      <c r="AI115" s="1033">
        <f t="shared" ref="AI115:AI121" si="136">X115-AD115</f>
        <v>132517230</v>
      </c>
      <c r="AJ115" s="1086">
        <f t="shared" ref="AJ115:AJ121" si="137">X115-AG115</f>
        <v>172062185</v>
      </c>
      <c r="AK115" s="909"/>
      <c r="AL115" s="1089">
        <v>0</v>
      </c>
      <c r="AM115" s="1023">
        <v>0</v>
      </c>
      <c r="AN115" s="909"/>
      <c r="AO115" s="863"/>
      <c r="AP115" s="863"/>
      <c r="AQ115" s="863"/>
      <c r="AR115" s="863"/>
      <c r="AS115" s="863"/>
      <c r="AT115" s="863"/>
      <c r="AU115" s="863"/>
      <c r="AV115" s="863"/>
      <c r="AW115" s="863"/>
      <c r="AX115" s="863"/>
      <c r="AY115" s="863"/>
      <c r="AZ115" s="863"/>
    </row>
    <row r="116" spans="1:52" s="1035" customFormat="1" ht="24.95" customHeight="1">
      <c r="A116" s="1242" t="str">
        <f>+IF(ENERO!A116=0,"",ENERO!A116)</f>
        <v>2100-1</v>
      </c>
      <c r="B116" s="1215" t="str">
        <f>+IF(ENERO!B116=0,"",ENERO!B116)</f>
        <v>Vigencia Anterior</v>
      </c>
      <c r="C116" s="1016">
        <f>+ENERO!C116</f>
        <v>0</v>
      </c>
      <c r="D116" s="1243">
        <f>ENERO!D116+FEBRERO!P116</f>
        <v>0</v>
      </c>
      <c r="E116" s="1243">
        <f>ENERO!E116+FEBRERO!Q116</f>
        <v>0</v>
      </c>
      <c r="F116" s="1244">
        <f t="shared" si="126"/>
        <v>0</v>
      </c>
      <c r="G116" s="1245">
        <f>ENERO!I116</f>
        <v>0</v>
      </c>
      <c r="H116" s="1020">
        <v>0</v>
      </c>
      <c r="I116" s="1244">
        <f t="shared" si="127"/>
        <v>0</v>
      </c>
      <c r="J116" s="1245">
        <f>ENERO!L116</f>
        <v>0</v>
      </c>
      <c r="K116" s="1020">
        <v>0</v>
      </c>
      <c r="L116" s="1246">
        <f t="shared" si="128"/>
        <v>0</v>
      </c>
      <c r="M116" s="1247">
        <f t="shared" si="129"/>
        <v>0</v>
      </c>
      <c r="N116" s="1246">
        <f t="shared" si="130"/>
        <v>0</v>
      </c>
      <c r="O116" s="1205"/>
      <c r="P116" s="1022">
        <v>0</v>
      </c>
      <c r="Q116" s="1023">
        <v>0</v>
      </c>
      <c r="R116" s="909"/>
      <c r="S116" s="1083" t="str">
        <f>+IF(ENERO!S116=0,"",ENERO!S116)</f>
        <v>2010100-2</v>
      </c>
      <c r="T116" s="1084" t="str">
        <f>+IF(ENERO!T116=0,"",ENERO!T116)</f>
        <v>Materiales</v>
      </c>
      <c r="U116" s="1085">
        <f>+ENERO!U116</f>
        <v>76200000</v>
      </c>
      <c r="V116" s="1033">
        <f>ENERO!V116+FEBRERO!AL116</f>
        <v>0</v>
      </c>
      <c r="W116" s="1033">
        <f>ENERO!W116+FEBRERO!AM116</f>
        <v>0</v>
      </c>
      <c r="X116" s="1086">
        <f t="shared" si="131"/>
        <v>76200000</v>
      </c>
      <c r="Y116" s="1087">
        <f>ENERO!AA116</f>
        <v>43277922</v>
      </c>
      <c r="Z116" s="1020">
        <v>19311392</v>
      </c>
      <c r="AA116" s="1088">
        <f t="shared" si="132"/>
        <v>62589314</v>
      </c>
      <c r="AB116" s="1087">
        <f>ENERO!AD116</f>
        <v>27884063</v>
      </c>
      <c r="AC116" s="1020">
        <v>19311380</v>
      </c>
      <c r="AD116" s="1086">
        <f t="shared" si="133"/>
        <v>47195443</v>
      </c>
      <c r="AE116" s="1087">
        <f>ENERO!AG116</f>
        <v>1823537</v>
      </c>
      <c r="AF116" s="1020">
        <v>6580106</v>
      </c>
      <c r="AG116" s="1086">
        <f t="shared" si="134"/>
        <v>8403643</v>
      </c>
      <c r="AH116" s="1087">
        <f t="shared" si="135"/>
        <v>13610686</v>
      </c>
      <c r="AI116" s="1033">
        <f t="shared" si="136"/>
        <v>29004557</v>
      </c>
      <c r="AJ116" s="1086">
        <f t="shared" si="137"/>
        <v>67796357</v>
      </c>
      <c r="AK116" s="909"/>
      <c r="AL116" s="1089">
        <v>0</v>
      </c>
      <c r="AM116" s="1023">
        <v>0</v>
      </c>
      <c r="AN116" s="909"/>
      <c r="AO116" s="863"/>
      <c r="AP116" s="863"/>
      <c r="AQ116" s="863"/>
      <c r="AR116" s="863"/>
      <c r="AS116" s="863"/>
      <c r="AT116" s="863"/>
      <c r="AU116" s="863"/>
      <c r="AV116" s="863"/>
      <c r="AW116" s="863"/>
      <c r="AX116" s="863"/>
      <c r="AY116" s="863"/>
      <c r="AZ116" s="863"/>
    </row>
    <row r="117" spans="1:52" s="1035" customFormat="1" ht="24.95" customHeight="1">
      <c r="A117" s="1242">
        <f>+IF(ENERO!A117=0,"",ENERO!A117)</f>
        <v>2200</v>
      </c>
      <c r="B117" s="1213" t="str">
        <f>+IF(ENERO!B117=0,"",ENERO!B117)</f>
        <v>CREDITO EXTERNO</v>
      </c>
      <c r="C117" s="1016">
        <f>+ENERO!C117</f>
        <v>0</v>
      </c>
      <c r="D117" s="1243">
        <f>ENERO!D117+FEBRERO!P117</f>
        <v>0</v>
      </c>
      <c r="E117" s="1243">
        <f>ENERO!E117+FEBRERO!Q117</f>
        <v>0</v>
      </c>
      <c r="F117" s="1244">
        <f t="shared" si="126"/>
        <v>0</v>
      </c>
      <c r="G117" s="1245">
        <f>ENERO!I117</f>
        <v>0</v>
      </c>
      <c r="H117" s="1020">
        <v>0</v>
      </c>
      <c r="I117" s="1244">
        <f t="shared" si="127"/>
        <v>0</v>
      </c>
      <c r="J117" s="1245">
        <f>ENERO!L117</f>
        <v>0</v>
      </c>
      <c r="K117" s="1020">
        <v>0</v>
      </c>
      <c r="L117" s="1246">
        <f t="shared" si="128"/>
        <v>0</v>
      </c>
      <c r="M117" s="1247">
        <f t="shared" si="129"/>
        <v>0</v>
      </c>
      <c r="N117" s="1246">
        <f t="shared" si="130"/>
        <v>0</v>
      </c>
      <c r="O117" s="1205"/>
      <c r="P117" s="1022">
        <v>0</v>
      </c>
      <c r="Q117" s="1023">
        <v>0</v>
      </c>
      <c r="R117" s="909"/>
      <c r="S117" s="1083" t="str">
        <f>+IF(ENERO!S117=0,"",ENERO!S117)</f>
        <v>2010100-3</v>
      </c>
      <c r="T117" s="1084" t="str">
        <f>+IF(ENERO!T117=0,"",ENERO!T117)</f>
        <v>Salud Ocupacional</v>
      </c>
      <c r="U117" s="1085">
        <f>+ENERO!U117</f>
        <v>5000000</v>
      </c>
      <c r="V117" s="1033">
        <f>ENERO!V117+FEBRERO!AL117</f>
        <v>0</v>
      </c>
      <c r="W117" s="1033">
        <f>ENERO!W117+FEBRERO!AM117</f>
        <v>0</v>
      </c>
      <c r="X117" s="1086">
        <f t="shared" si="131"/>
        <v>5000000</v>
      </c>
      <c r="Y117" s="1087">
        <f>ENERO!AA117</f>
        <v>0</v>
      </c>
      <c r="Z117" s="1020">
        <v>75145</v>
      </c>
      <c r="AA117" s="1088">
        <f t="shared" si="132"/>
        <v>75145</v>
      </c>
      <c r="AB117" s="1087">
        <f>ENERO!AD117</f>
        <v>0</v>
      </c>
      <c r="AC117" s="1020">
        <v>75145</v>
      </c>
      <c r="AD117" s="1086">
        <f t="shared" si="133"/>
        <v>75145</v>
      </c>
      <c r="AE117" s="1087">
        <f>ENERO!AG117</f>
        <v>0</v>
      </c>
      <c r="AF117" s="1020">
        <v>75145</v>
      </c>
      <c r="AG117" s="1086">
        <f t="shared" si="134"/>
        <v>75145</v>
      </c>
      <c r="AH117" s="1087">
        <f t="shared" si="135"/>
        <v>4924855</v>
      </c>
      <c r="AI117" s="1033">
        <f t="shared" si="136"/>
        <v>4924855</v>
      </c>
      <c r="AJ117" s="1086">
        <f t="shared" si="137"/>
        <v>4924855</v>
      </c>
      <c r="AK117" s="909"/>
      <c r="AL117" s="1089">
        <v>0</v>
      </c>
      <c r="AM117" s="1023">
        <v>0</v>
      </c>
      <c r="AN117" s="909"/>
      <c r="AO117" s="863"/>
      <c r="AP117" s="863"/>
      <c r="AQ117" s="863"/>
      <c r="AR117" s="863"/>
      <c r="AS117" s="863"/>
      <c r="AT117" s="863"/>
      <c r="AU117" s="863"/>
      <c r="AV117" s="863"/>
      <c r="AW117" s="863"/>
      <c r="AX117" s="863"/>
      <c r="AY117" s="863"/>
      <c r="AZ117" s="863"/>
    </row>
    <row r="118" spans="1:52" s="1035" customFormat="1" ht="24.95" customHeight="1">
      <c r="A118" s="1248" t="str">
        <f>+IF(ENERO!A118=0,"",ENERO!A118)</f>
        <v>2200-1</v>
      </c>
      <c r="B118" s="1215" t="str">
        <f>+IF(ENERO!B118=0,"",ENERO!B118)</f>
        <v>Vigencia Anterior</v>
      </c>
      <c r="C118" s="1016">
        <f>+ENERO!C118</f>
        <v>0</v>
      </c>
      <c r="D118" s="1243">
        <f>ENERO!D118+FEBRERO!P118</f>
        <v>0</v>
      </c>
      <c r="E118" s="1243">
        <f>ENERO!E118+FEBRERO!Q118</f>
        <v>0</v>
      </c>
      <c r="F118" s="1244">
        <f t="shared" si="126"/>
        <v>0</v>
      </c>
      <c r="G118" s="1245">
        <f>ENERO!I118</f>
        <v>0</v>
      </c>
      <c r="H118" s="1020">
        <v>0</v>
      </c>
      <c r="I118" s="1244">
        <f t="shared" si="127"/>
        <v>0</v>
      </c>
      <c r="J118" s="1245">
        <f>ENERO!L118</f>
        <v>0</v>
      </c>
      <c r="K118" s="1020">
        <v>0</v>
      </c>
      <c r="L118" s="1246">
        <f t="shared" si="128"/>
        <v>0</v>
      </c>
      <c r="M118" s="1247">
        <f t="shared" si="129"/>
        <v>0</v>
      </c>
      <c r="N118" s="1246">
        <f t="shared" si="130"/>
        <v>0</v>
      </c>
      <c r="O118" s="1205"/>
      <c r="P118" s="1022">
        <v>0</v>
      </c>
      <c r="Q118" s="1023">
        <v>0</v>
      </c>
      <c r="R118" s="909"/>
      <c r="S118" s="1083" t="str">
        <f>+IF(ENERO!S118=0,"",ENERO!S118)</f>
        <v>2010100-4</v>
      </c>
      <c r="T118" s="1084" t="str">
        <f>+IF(ENERO!T118=0,"",ENERO!T118)</f>
        <v/>
      </c>
      <c r="U118" s="1085">
        <f>+ENERO!U118</f>
        <v>0</v>
      </c>
      <c r="V118" s="1033">
        <f>ENERO!V118+FEBRERO!AL118</f>
        <v>0</v>
      </c>
      <c r="W118" s="1033">
        <f>ENERO!W118+FEBRERO!AM118</f>
        <v>0</v>
      </c>
      <c r="X118" s="1086">
        <f t="shared" si="131"/>
        <v>0</v>
      </c>
      <c r="Y118" s="1087">
        <f>ENERO!AA118</f>
        <v>0</v>
      </c>
      <c r="Z118" s="1020">
        <v>0</v>
      </c>
      <c r="AA118" s="1088">
        <f t="shared" si="132"/>
        <v>0</v>
      </c>
      <c r="AB118" s="1087">
        <f>ENERO!AD118</f>
        <v>0</v>
      </c>
      <c r="AC118" s="1020">
        <v>0</v>
      </c>
      <c r="AD118" s="1086">
        <f t="shared" si="133"/>
        <v>0</v>
      </c>
      <c r="AE118" s="1087">
        <f>ENERO!AG118</f>
        <v>0</v>
      </c>
      <c r="AF118" s="1020">
        <v>0</v>
      </c>
      <c r="AG118" s="1086">
        <f t="shared" si="134"/>
        <v>0</v>
      </c>
      <c r="AH118" s="1087">
        <f t="shared" si="135"/>
        <v>0</v>
      </c>
      <c r="AI118" s="1033">
        <f t="shared" si="136"/>
        <v>0</v>
      </c>
      <c r="AJ118" s="1086">
        <f t="shared" si="137"/>
        <v>0</v>
      </c>
      <c r="AK118" s="909"/>
      <c r="AL118" s="1089">
        <v>0</v>
      </c>
      <c r="AM118" s="1023">
        <v>0</v>
      </c>
      <c r="AN118" s="909"/>
      <c r="AO118" s="863"/>
      <c r="AP118" s="863"/>
      <c r="AQ118" s="863"/>
      <c r="AR118" s="863"/>
      <c r="AS118" s="863"/>
      <c r="AT118" s="863"/>
      <c r="AU118" s="863"/>
      <c r="AV118" s="863"/>
      <c r="AW118" s="863"/>
      <c r="AX118" s="863"/>
      <c r="AY118" s="863"/>
      <c r="AZ118" s="863"/>
    </row>
    <row r="119" spans="1:52" s="1035" customFormat="1" ht="24.95" customHeight="1">
      <c r="A119" s="1242">
        <f>+IF(ENERO!A119=0,"",ENERO!A119)</f>
        <v>2300</v>
      </c>
      <c r="B119" s="1213" t="str">
        <f>+IF(ENERO!B119=0,"",ENERO!B119)</f>
        <v>RENDIMIENTOS FINANCIEROS</v>
      </c>
      <c r="C119" s="1016">
        <f>+ENERO!C119</f>
        <v>0</v>
      </c>
      <c r="D119" s="1243">
        <f>ENERO!D119+FEBRERO!P119</f>
        <v>0</v>
      </c>
      <c r="E119" s="1243">
        <f>ENERO!E119+FEBRERO!Q119</f>
        <v>0</v>
      </c>
      <c r="F119" s="1244">
        <f t="shared" si="126"/>
        <v>0</v>
      </c>
      <c r="G119" s="1019">
        <f>ENERO!I119</f>
        <v>0</v>
      </c>
      <c r="H119" s="1020">
        <v>1411839</v>
      </c>
      <c r="I119" s="1249">
        <f t="shared" si="127"/>
        <v>1411839</v>
      </c>
      <c r="J119" s="1019">
        <f>ENERO!L119</f>
        <v>0</v>
      </c>
      <c r="K119" s="1020">
        <v>1411839</v>
      </c>
      <c r="L119" s="1018">
        <f t="shared" si="128"/>
        <v>1411839</v>
      </c>
      <c r="M119" s="1155">
        <f t="shared" si="129"/>
        <v>-1411839</v>
      </c>
      <c r="N119" s="1018">
        <f t="shared" si="130"/>
        <v>-1411839</v>
      </c>
      <c r="O119" s="1205"/>
      <c r="P119" s="1022">
        <v>0</v>
      </c>
      <c r="Q119" s="1023">
        <v>0</v>
      </c>
      <c r="R119" s="909"/>
      <c r="S119" s="1083" t="str">
        <f>+IF(ENERO!S119=0,"",ENERO!S119)</f>
        <v>2010100-5</v>
      </c>
      <c r="T119" s="1084" t="str">
        <f>+IF(ENERO!T119=0,"",ENERO!T119)</f>
        <v/>
      </c>
      <c r="U119" s="1085">
        <f>+ENERO!U119</f>
        <v>0</v>
      </c>
      <c r="V119" s="1033">
        <f>ENERO!V119+FEBRERO!AL119</f>
        <v>0</v>
      </c>
      <c r="W119" s="1033">
        <f>ENERO!W119+FEBRERO!AM119</f>
        <v>0</v>
      </c>
      <c r="X119" s="1086">
        <f t="shared" si="131"/>
        <v>0</v>
      </c>
      <c r="Y119" s="1087">
        <f>ENERO!AA119</f>
        <v>0</v>
      </c>
      <c r="Z119" s="1020">
        <v>0</v>
      </c>
      <c r="AA119" s="1088">
        <f t="shared" si="132"/>
        <v>0</v>
      </c>
      <c r="AB119" s="1087">
        <f>ENERO!AD119</f>
        <v>0</v>
      </c>
      <c r="AC119" s="1020">
        <v>0</v>
      </c>
      <c r="AD119" s="1086">
        <f t="shared" si="133"/>
        <v>0</v>
      </c>
      <c r="AE119" s="1087">
        <f>ENERO!AG119</f>
        <v>0</v>
      </c>
      <c r="AF119" s="1020">
        <v>0</v>
      </c>
      <c r="AG119" s="1086">
        <f t="shared" si="134"/>
        <v>0</v>
      </c>
      <c r="AH119" s="1087">
        <f t="shared" si="135"/>
        <v>0</v>
      </c>
      <c r="AI119" s="1033">
        <f t="shared" si="136"/>
        <v>0</v>
      </c>
      <c r="AJ119" s="1086">
        <f t="shared" si="137"/>
        <v>0</v>
      </c>
      <c r="AK119" s="909"/>
      <c r="AL119" s="1089">
        <v>0</v>
      </c>
      <c r="AM119" s="1023">
        <v>0</v>
      </c>
      <c r="AN119" s="909"/>
      <c r="AO119" s="863"/>
      <c r="AP119" s="863"/>
      <c r="AQ119" s="863"/>
      <c r="AR119" s="863"/>
      <c r="AS119" s="863"/>
      <c r="AT119" s="863"/>
      <c r="AU119" s="863"/>
      <c r="AV119" s="863"/>
      <c r="AW119" s="863"/>
      <c r="AX119" s="863"/>
      <c r="AY119" s="863"/>
      <c r="AZ119" s="863"/>
    </row>
    <row r="120" spans="1:52" s="1035" customFormat="1" ht="24.95" customHeight="1">
      <c r="A120" s="1250">
        <f>+IF(ENERO!A120=0,"",ENERO!A120)</f>
        <v>2400</v>
      </c>
      <c r="B120" s="1215" t="str">
        <f>+IF(ENERO!B120=0,"",ENERO!B120)</f>
        <v>VENTA DE ACTIVOS</v>
      </c>
      <c r="C120" s="1016">
        <f>+ENERO!C120</f>
        <v>0</v>
      </c>
      <c r="D120" s="1243">
        <f>ENERO!D120+FEBRERO!P120</f>
        <v>0</v>
      </c>
      <c r="E120" s="1243">
        <f>ENERO!E120+FEBRERO!Q120</f>
        <v>0</v>
      </c>
      <c r="F120" s="1244">
        <f t="shared" si="126"/>
        <v>0</v>
      </c>
      <c r="G120" s="1019">
        <f>ENERO!I120</f>
        <v>0</v>
      </c>
      <c r="H120" s="1020">
        <v>0</v>
      </c>
      <c r="I120" s="1249">
        <f t="shared" si="127"/>
        <v>0</v>
      </c>
      <c r="J120" s="1019">
        <f>ENERO!L120</f>
        <v>0</v>
      </c>
      <c r="K120" s="1020">
        <v>0</v>
      </c>
      <c r="L120" s="1018">
        <f t="shared" si="128"/>
        <v>0</v>
      </c>
      <c r="M120" s="1155">
        <f t="shared" si="129"/>
        <v>0</v>
      </c>
      <c r="N120" s="1018">
        <f t="shared" si="130"/>
        <v>0</v>
      </c>
      <c r="P120" s="1022">
        <v>0</v>
      </c>
      <c r="Q120" s="1023">
        <v>0</v>
      </c>
      <c r="R120" s="909"/>
      <c r="S120" s="1083" t="str">
        <f>+IF(ENERO!S120=0,"",ENERO!S120)</f>
        <v>2010100-6</v>
      </c>
      <c r="T120" s="1084" t="str">
        <f>+IF(ENERO!T120=0,"",ENERO!T120)</f>
        <v/>
      </c>
      <c r="U120" s="1085">
        <f>+ENERO!U120</f>
        <v>0</v>
      </c>
      <c r="V120" s="1033">
        <f>ENERO!V120+FEBRERO!AL120</f>
        <v>0</v>
      </c>
      <c r="W120" s="1033">
        <f>ENERO!W120+FEBRERO!AM120</f>
        <v>0</v>
      </c>
      <c r="X120" s="1086">
        <f t="shared" si="131"/>
        <v>0</v>
      </c>
      <c r="Y120" s="1087">
        <f>ENERO!AA120</f>
        <v>0</v>
      </c>
      <c r="Z120" s="1020">
        <v>0</v>
      </c>
      <c r="AA120" s="1088">
        <f t="shared" si="132"/>
        <v>0</v>
      </c>
      <c r="AB120" s="1087">
        <f>ENERO!AD120</f>
        <v>0</v>
      </c>
      <c r="AC120" s="1020">
        <v>0</v>
      </c>
      <c r="AD120" s="1086">
        <f t="shared" si="133"/>
        <v>0</v>
      </c>
      <c r="AE120" s="1087">
        <f>ENERO!AG120</f>
        <v>0</v>
      </c>
      <c r="AF120" s="1020">
        <v>0</v>
      </c>
      <c r="AG120" s="1086">
        <f t="shared" si="134"/>
        <v>0</v>
      </c>
      <c r="AH120" s="1087">
        <f t="shared" si="135"/>
        <v>0</v>
      </c>
      <c r="AI120" s="1033">
        <f t="shared" si="136"/>
        <v>0</v>
      </c>
      <c r="AJ120" s="1086">
        <f t="shared" si="137"/>
        <v>0</v>
      </c>
      <c r="AK120" s="909"/>
      <c r="AL120" s="1089">
        <v>0</v>
      </c>
      <c r="AM120" s="1023">
        <v>0</v>
      </c>
      <c r="AN120" s="909"/>
      <c r="AO120" s="863"/>
      <c r="AP120" s="863"/>
      <c r="AQ120" s="863"/>
      <c r="AR120" s="863"/>
      <c r="AS120" s="863"/>
      <c r="AT120" s="863"/>
      <c r="AU120" s="863"/>
      <c r="AV120" s="863"/>
      <c r="AW120" s="863"/>
      <c r="AX120" s="863"/>
      <c r="AY120" s="863"/>
      <c r="AZ120" s="863"/>
    </row>
    <row r="121" spans="1:52" s="1035" customFormat="1" ht="24.95" customHeight="1">
      <c r="A121" s="1250">
        <f>+IF(ENERO!A121=0,"",ENERO!A121)</f>
        <v>2500</v>
      </c>
      <c r="B121" s="1215" t="str">
        <f>+IF(ENERO!B121=0,"",ENERO!B121)</f>
        <v>DONACIONES</v>
      </c>
      <c r="C121" s="1016">
        <f>+ENERO!C121</f>
        <v>0</v>
      </c>
      <c r="D121" s="1243">
        <f>ENERO!D121+FEBRERO!P121</f>
        <v>0</v>
      </c>
      <c r="E121" s="1243">
        <f>ENERO!E121+FEBRERO!Q121</f>
        <v>0</v>
      </c>
      <c r="F121" s="1244">
        <f t="shared" si="126"/>
        <v>0</v>
      </c>
      <c r="G121" s="1019">
        <f>ENERO!I121</f>
        <v>0</v>
      </c>
      <c r="H121" s="1020">
        <v>0</v>
      </c>
      <c r="I121" s="1249">
        <f t="shared" si="127"/>
        <v>0</v>
      </c>
      <c r="J121" s="1019">
        <f>ENERO!L121</f>
        <v>0</v>
      </c>
      <c r="K121" s="1020">
        <v>0</v>
      </c>
      <c r="L121" s="1018">
        <f t="shared" si="128"/>
        <v>0</v>
      </c>
      <c r="M121" s="1155">
        <f t="shared" si="129"/>
        <v>0</v>
      </c>
      <c r="N121" s="1018">
        <f t="shared" si="130"/>
        <v>0</v>
      </c>
      <c r="P121" s="1022">
        <v>0</v>
      </c>
      <c r="Q121" s="1023">
        <v>0</v>
      </c>
      <c r="R121" s="909"/>
      <c r="S121" s="1083">
        <f>+IF(ENERO!S121=0,"",ENERO!S121)</f>
        <v>2010199</v>
      </c>
      <c r="T121" s="1084" t="str">
        <f>+IF(ENERO!T121=0,"",ENERO!T121)</f>
        <v>Vigencias Anteriores</v>
      </c>
      <c r="U121" s="1085">
        <f>+ENERO!U121</f>
        <v>0</v>
      </c>
      <c r="V121" s="1033">
        <f>ENERO!V121+FEBRERO!AL121</f>
        <v>-7200430</v>
      </c>
      <c r="W121" s="1033">
        <f>ENERO!W121+FEBRERO!AM121</f>
        <v>100000000</v>
      </c>
      <c r="X121" s="1086">
        <f t="shared" si="131"/>
        <v>92799570</v>
      </c>
      <c r="Y121" s="1087">
        <f>ENERO!AA121</f>
        <v>92799570</v>
      </c>
      <c r="Z121" s="1020">
        <v>0</v>
      </c>
      <c r="AA121" s="1088">
        <f t="shared" si="132"/>
        <v>92799570</v>
      </c>
      <c r="AB121" s="1087">
        <f>ENERO!AD121</f>
        <v>92799570</v>
      </c>
      <c r="AC121" s="1020">
        <v>0</v>
      </c>
      <c r="AD121" s="1086">
        <f t="shared" si="133"/>
        <v>92799570</v>
      </c>
      <c r="AE121" s="1087">
        <f>ENERO!AG121</f>
        <v>92799570</v>
      </c>
      <c r="AF121" s="1020">
        <v>0</v>
      </c>
      <c r="AG121" s="1086">
        <f t="shared" si="134"/>
        <v>92799570</v>
      </c>
      <c r="AH121" s="1087">
        <f t="shared" si="135"/>
        <v>0</v>
      </c>
      <c r="AI121" s="1033">
        <f t="shared" si="136"/>
        <v>0</v>
      </c>
      <c r="AJ121" s="1086">
        <f t="shared" si="137"/>
        <v>0</v>
      </c>
      <c r="AK121" s="909"/>
      <c r="AL121" s="1089">
        <v>-7200430</v>
      </c>
      <c r="AM121" s="1023">
        <v>0</v>
      </c>
      <c r="AN121" s="909"/>
      <c r="AO121" s="863"/>
      <c r="AP121" s="863"/>
      <c r="AQ121" s="863"/>
      <c r="AR121" s="863"/>
      <c r="AS121" s="863"/>
      <c r="AT121" s="863"/>
      <c r="AU121" s="863"/>
      <c r="AV121" s="863"/>
      <c r="AW121" s="863"/>
      <c r="AX121" s="863"/>
      <c r="AY121" s="863"/>
      <c r="AZ121" s="863"/>
    </row>
    <row r="122" spans="1:52" s="1035" customFormat="1" ht="24.95" customHeight="1">
      <c r="A122" s="1250">
        <f>+IF(ENERO!A122=0,"",ENERO!A122)</f>
        <v>2600</v>
      </c>
      <c r="B122" s="1215" t="str">
        <f>+IF(ENERO!B122=0,"",ENERO!B122)</f>
        <v>RECUPERACIÓN DE CARTERA (AÑO 2015 Y ANTERIORES)</v>
      </c>
      <c r="C122" s="1016">
        <f>+ENERO!C122</f>
        <v>9052927194</v>
      </c>
      <c r="D122" s="1243">
        <f>ENERO!D122+FEBRERO!P122</f>
        <v>0</v>
      </c>
      <c r="E122" s="1243">
        <f>ENERO!E122+FEBRERO!Q122</f>
        <v>0</v>
      </c>
      <c r="F122" s="1244">
        <f t="shared" si="126"/>
        <v>9052927194</v>
      </c>
      <c r="G122" s="1019">
        <f>ENERO!I122</f>
        <v>0</v>
      </c>
      <c r="H122" s="1020">
        <v>0</v>
      </c>
      <c r="I122" s="1249">
        <f t="shared" si="127"/>
        <v>0</v>
      </c>
      <c r="J122" s="1019">
        <f>ENERO!L122</f>
        <v>0</v>
      </c>
      <c r="K122" s="1020">
        <v>0</v>
      </c>
      <c r="L122" s="1018">
        <f t="shared" si="128"/>
        <v>0</v>
      </c>
      <c r="M122" s="1155">
        <f t="shared" si="129"/>
        <v>9052927194</v>
      </c>
      <c r="N122" s="1018">
        <f t="shared" si="130"/>
        <v>9052927194</v>
      </c>
      <c r="P122" s="1022">
        <v>0</v>
      </c>
      <c r="Q122" s="1023">
        <v>0</v>
      </c>
      <c r="R122" s="909"/>
      <c r="S122" s="1000" t="str">
        <f>+IF(ENERO!S122=0,"",ENERO!S122)</f>
        <v/>
      </c>
      <c r="T122" s="1001" t="str">
        <f>+IF(ENERO!T122=0,"",ENERO!T122)</f>
        <v/>
      </c>
      <c r="U122" s="1002"/>
      <c r="V122" s="1003"/>
      <c r="W122" s="1003"/>
      <c r="X122" s="1004"/>
      <c r="Y122" s="1002"/>
      <c r="Z122" s="1003"/>
      <c r="AA122" s="1003"/>
      <c r="AB122" s="1002"/>
      <c r="AC122" s="1003"/>
      <c r="AD122" s="1004"/>
      <c r="AE122" s="1002"/>
      <c r="AF122" s="1003"/>
      <c r="AG122" s="1004"/>
      <c r="AH122" s="1002"/>
      <c r="AI122" s="1003"/>
      <c r="AJ122" s="1004"/>
      <c r="AK122" s="909"/>
      <c r="AL122" s="1195"/>
      <c r="AM122" s="1196"/>
      <c r="AN122" s="909"/>
      <c r="AO122" s="863"/>
      <c r="AP122" s="863"/>
      <c r="AQ122" s="863"/>
      <c r="AR122" s="863"/>
      <c r="AS122" s="863"/>
      <c r="AT122" s="863"/>
      <c r="AU122" s="863"/>
      <c r="AV122" s="863"/>
      <c r="AW122" s="863"/>
      <c r="AX122" s="863"/>
      <c r="AY122" s="863"/>
      <c r="AZ122" s="863"/>
    </row>
    <row r="123" spans="1:52" s="1035" customFormat="1" ht="24.95" customHeight="1">
      <c r="A123" s="1251">
        <f>+IF(ENERO!A123=0,"",ENERO!A123)</f>
        <v>2700</v>
      </c>
      <c r="B123" s="1215" t="str">
        <f>+IF(ENERO!B123=0,"",ENERO!B123)</f>
        <v>OTROS INGRESOS DE CAPITAL</v>
      </c>
      <c r="C123" s="1016">
        <f>+ENERO!C123</f>
        <v>0</v>
      </c>
      <c r="D123" s="1243">
        <f>ENERO!D123+FEBRERO!P123</f>
        <v>0</v>
      </c>
      <c r="E123" s="1243">
        <f>ENERO!E123+FEBRERO!Q123</f>
        <v>0</v>
      </c>
      <c r="F123" s="1244">
        <f t="shared" si="126"/>
        <v>0</v>
      </c>
      <c r="G123" s="1019">
        <f>ENERO!I123</f>
        <v>0</v>
      </c>
      <c r="H123" s="1020">
        <v>0</v>
      </c>
      <c r="I123" s="1249">
        <f t="shared" si="127"/>
        <v>0</v>
      </c>
      <c r="J123" s="1019">
        <f>ENERO!L123</f>
        <v>0</v>
      </c>
      <c r="K123" s="1020">
        <v>0</v>
      </c>
      <c r="L123" s="1018">
        <f t="shared" si="128"/>
        <v>0</v>
      </c>
      <c r="M123" s="1155">
        <f t="shared" si="129"/>
        <v>0</v>
      </c>
      <c r="N123" s="1018">
        <f t="shared" si="130"/>
        <v>0</v>
      </c>
      <c r="P123" s="1022">
        <v>0</v>
      </c>
      <c r="Q123" s="1023">
        <v>0</v>
      </c>
      <c r="R123" s="909"/>
      <c r="S123" s="1073">
        <f>+IF(ENERO!S123=0,"",ENERO!S123)</f>
        <v>2010200</v>
      </c>
      <c r="T123" s="1074" t="str">
        <f>+IF(ENERO!T123=0,"",ENERO!T123)</f>
        <v>Adquisición de Servicios</v>
      </c>
      <c r="U123" s="1046">
        <f t="shared" ref="U123:AJ123" si="138">SUM(U124:U139)</f>
        <v>4658828612</v>
      </c>
      <c r="V123" s="1047">
        <f t="shared" si="138"/>
        <v>1064385601</v>
      </c>
      <c r="W123" s="1047">
        <f t="shared" si="138"/>
        <v>246156707</v>
      </c>
      <c r="X123" s="1048">
        <f t="shared" si="138"/>
        <v>5969370920</v>
      </c>
      <c r="Y123" s="1046">
        <f t="shared" si="138"/>
        <v>2905516842</v>
      </c>
      <c r="Z123" s="1047">
        <f t="shared" si="138"/>
        <v>593971466</v>
      </c>
      <c r="AA123" s="1049">
        <f t="shared" si="138"/>
        <v>3499488308</v>
      </c>
      <c r="AB123" s="1046">
        <f t="shared" si="138"/>
        <v>330835066</v>
      </c>
      <c r="AC123" s="1047">
        <f t="shared" si="138"/>
        <v>940563349</v>
      </c>
      <c r="AD123" s="1048">
        <f t="shared" si="138"/>
        <v>1271398415</v>
      </c>
      <c r="AE123" s="1046">
        <f t="shared" si="138"/>
        <v>169994421</v>
      </c>
      <c r="AF123" s="1047">
        <f t="shared" si="138"/>
        <v>601687589</v>
      </c>
      <c r="AG123" s="1048">
        <f t="shared" si="138"/>
        <v>771682010</v>
      </c>
      <c r="AH123" s="1046">
        <f t="shared" si="138"/>
        <v>2469882612</v>
      </c>
      <c r="AI123" s="1047">
        <f t="shared" si="138"/>
        <v>4697972505</v>
      </c>
      <c r="AJ123" s="1048">
        <f t="shared" si="138"/>
        <v>5197688910</v>
      </c>
      <c r="AK123" s="909"/>
      <c r="AL123" s="1050">
        <f>SUM(AL124:AL139)</f>
        <v>1064385601</v>
      </c>
      <c r="AM123" s="1048">
        <f>SUM(AM124:AM139)</f>
        <v>26156707</v>
      </c>
      <c r="AN123" s="909"/>
      <c r="AO123" s="863"/>
      <c r="AP123" s="863"/>
      <c r="AQ123" s="863"/>
      <c r="AR123" s="863"/>
      <c r="AS123" s="863"/>
      <c r="AT123" s="863"/>
      <c r="AU123" s="863"/>
      <c r="AV123" s="863"/>
      <c r="AW123" s="863"/>
      <c r="AX123" s="863"/>
      <c r="AY123" s="863"/>
      <c r="AZ123" s="863"/>
    </row>
    <row r="124" spans="1:52" s="1035" customFormat="1" ht="24.95" customHeight="1" thickBot="1">
      <c r="A124" s="1252">
        <f>+IF(ENERO!A124=0,"",ENERO!A124)</f>
        <v>2800</v>
      </c>
      <c r="B124" s="1253" t="str">
        <f>+IF(ENERO!B124=0,"",ENERO!B124)</f>
        <v/>
      </c>
      <c r="C124" s="1057">
        <f>+ENERO!C124</f>
        <v>0</v>
      </c>
      <c r="D124" s="1254">
        <f>ENERO!D124+FEBRERO!P124</f>
        <v>0</v>
      </c>
      <c r="E124" s="1254">
        <f>ENERO!E124+FEBRERO!Q124</f>
        <v>0</v>
      </c>
      <c r="F124" s="1255">
        <f t="shared" si="126"/>
        <v>0</v>
      </c>
      <c r="G124" s="1060">
        <f>ENERO!I124</f>
        <v>0</v>
      </c>
      <c r="H124" s="1061">
        <v>0</v>
      </c>
      <c r="I124" s="1256">
        <f t="shared" si="127"/>
        <v>0</v>
      </c>
      <c r="J124" s="1060">
        <f>ENERO!L124</f>
        <v>0</v>
      </c>
      <c r="K124" s="1061">
        <v>0</v>
      </c>
      <c r="L124" s="1059">
        <f t="shared" si="128"/>
        <v>0</v>
      </c>
      <c r="M124" s="1257">
        <f t="shared" si="129"/>
        <v>0</v>
      </c>
      <c r="N124" s="1059">
        <f t="shared" si="130"/>
        <v>0</v>
      </c>
      <c r="P124" s="1063">
        <v>0</v>
      </c>
      <c r="Q124" s="1064">
        <v>0</v>
      </c>
      <c r="R124" s="909"/>
      <c r="S124" s="1083" t="str">
        <f>+IF(ENERO!S124=0,"",ENERO!S124)</f>
        <v>2010200-1</v>
      </c>
      <c r="T124" s="1084" t="str">
        <f>+IF(ENERO!T124=0,"",ENERO!T124)</f>
        <v>Seguros</v>
      </c>
      <c r="U124" s="1085">
        <f>+ENERO!U124</f>
        <v>350000000</v>
      </c>
      <c r="V124" s="1033">
        <f>ENERO!V124+FEBRERO!AL124</f>
        <v>0</v>
      </c>
      <c r="W124" s="1033">
        <f>ENERO!W124+FEBRERO!AM124</f>
        <v>0</v>
      </c>
      <c r="X124" s="1086">
        <f t="shared" ref="X124:X139" si="139">SUM(U124:W124)</f>
        <v>350000000</v>
      </c>
      <c r="Y124" s="1087">
        <f>ENERO!AA124</f>
        <v>350000000</v>
      </c>
      <c r="Z124" s="1020">
        <v>0</v>
      </c>
      <c r="AA124" s="1088">
        <f t="shared" ref="AA124:AA139" si="140">SUM(Y124:Z124)</f>
        <v>350000000</v>
      </c>
      <c r="AB124" s="1087">
        <f>ENERO!AD124</f>
        <v>0</v>
      </c>
      <c r="AC124" s="1020">
        <v>349965143</v>
      </c>
      <c r="AD124" s="1086">
        <f t="shared" ref="AD124:AD139" si="141">SUM(AB124:AC124)</f>
        <v>349965143</v>
      </c>
      <c r="AE124" s="1087">
        <f>ENERO!AG124</f>
        <v>0</v>
      </c>
      <c r="AF124" s="1020">
        <v>303525978</v>
      </c>
      <c r="AG124" s="1086">
        <f t="shared" ref="AG124:AG139" si="142">SUM(AE124:AF124)</f>
        <v>303525978</v>
      </c>
      <c r="AH124" s="1087">
        <f t="shared" ref="AH124:AH139" si="143">X124-AA124</f>
        <v>0</v>
      </c>
      <c r="AI124" s="1033">
        <f t="shared" ref="AI124:AI139" si="144">X124-AD124</f>
        <v>34857</v>
      </c>
      <c r="AJ124" s="1086">
        <f t="shared" ref="AJ124:AJ139" si="145">X124-AG124</f>
        <v>46474022</v>
      </c>
      <c r="AK124" s="909"/>
      <c r="AL124" s="1089">
        <v>0</v>
      </c>
      <c r="AM124" s="1023">
        <v>0</v>
      </c>
      <c r="AN124" s="909"/>
      <c r="AO124" s="863"/>
      <c r="AP124" s="863"/>
      <c r="AQ124" s="863"/>
      <c r="AR124" s="863"/>
      <c r="AS124" s="863"/>
      <c r="AT124" s="863"/>
      <c r="AU124" s="863"/>
      <c r="AV124" s="863"/>
      <c r="AW124" s="863"/>
      <c r="AX124" s="863"/>
      <c r="AY124" s="863"/>
      <c r="AZ124" s="863"/>
    </row>
    <row r="125" spans="1:52" s="1035" customFormat="1" ht="24.95" customHeight="1" thickBot="1">
      <c r="A125" s="1228"/>
      <c r="B125" s="1229"/>
      <c r="C125" s="1230"/>
      <c r="D125" s="1230"/>
      <c r="E125" s="1230"/>
      <c r="F125" s="1230"/>
      <c r="G125" s="1230"/>
      <c r="H125" s="1230"/>
      <c r="I125" s="1230"/>
      <c r="J125" s="1230"/>
      <c r="K125" s="1230"/>
      <c r="L125" s="1230"/>
      <c r="M125" s="1230"/>
      <c r="N125" s="1231"/>
      <c r="P125" s="1232"/>
      <c r="Q125" s="1231"/>
      <c r="R125" s="909"/>
      <c r="S125" s="1083" t="str">
        <f>+IF(ENERO!S125=0,"",ENERO!S125)</f>
        <v>2010200-2</v>
      </c>
      <c r="T125" s="1084" t="str">
        <f>+IF(ENERO!T125=0,"",ENERO!T125)</f>
        <v>Impresos y Publicaciones</v>
      </c>
      <c r="U125" s="1085">
        <f>+ENERO!U125</f>
        <v>60000000</v>
      </c>
      <c r="V125" s="1033">
        <f>ENERO!V125+FEBRERO!AL125</f>
        <v>0</v>
      </c>
      <c r="W125" s="1033">
        <f>ENERO!W125+FEBRERO!AM125</f>
        <v>0</v>
      </c>
      <c r="X125" s="1086">
        <f t="shared" si="139"/>
        <v>60000000</v>
      </c>
      <c r="Y125" s="1087">
        <f>ENERO!AA125</f>
        <v>2450000</v>
      </c>
      <c r="Z125" s="1020">
        <v>32925000</v>
      </c>
      <c r="AA125" s="1088">
        <f t="shared" si="140"/>
        <v>35375000</v>
      </c>
      <c r="AB125" s="1087">
        <f>ENERO!AD125</f>
        <v>2450000</v>
      </c>
      <c r="AC125" s="1020">
        <v>0</v>
      </c>
      <c r="AD125" s="1086">
        <f t="shared" si="141"/>
        <v>2450000</v>
      </c>
      <c r="AE125" s="1087">
        <f>ENERO!AG125</f>
        <v>0</v>
      </c>
      <c r="AF125" s="1020">
        <v>0</v>
      </c>
      <c r="AG125" s="1086">
        <f t="shared" si="142"/>
        <v>0</v>
      </c>
      <c r="AH125" s="1087">
        <f t="shared" si="143"/>
        <v>24625000</v>
      </c>
      <c r="AI125" s="1033">
        <f t="shared" si="144"/>
        <v>57550000</v>
      </c>
      <c r="AJ125" s="1086">
        <f t="shared" si="145"/>
        <v>60000000</v>
      </c>
      <c r="AK125" s="909"/>
      <c r="AL125" s="1089">
        <v>0</v>
      </c>
      <c r="AM125" s="1023">
        <v>0</v>
      </c>
      <c r="AN125" s="909"/>
      <c r="AO125" s="863"/>
      <c r="AP125" s="863"/>
      <c r="AQ125" s="863"/>
      <c r="AR125" s="863"/>
      <c r="AS125" s="863"/>
      <c r="AT125" s="863"/>
      <c r="AU125" s="863"/>
      <c r="AV125" s="863"/>
      <c r="AW125" s="863"/>
      <c r="AX125" s="863"/>
      <c r="AY125" s="863"/>
      <c r="AZ125" s="863"/>
    </row>
    <row r="126" spans="1:52" s="1035" customFormat="1" ht="24.95" customHeight="1" thickBot="1">
      <c r="A126" s="1258" t="s">
        <v>246</v>
      </c>
      <c r="B126" s="1259"/>
      <c r="C126" s="1260">
        <f t="shared" ref="C126:N126" si="146">C8-C128</f>
        <v>41169250887</v>
      </c>
      <c r="D126" s="1260">
        <f t="shared" si="146"/>
        <v>0</v>
      </c>
      <c r="E126" s="1260">
        <f t="shared" si="146"/>
        <v>617329922</v>
      </c>
      <c r="F126" s="1260">
        <f t="shared" si="146"/>
        <v>41786580809</v>
      </c>
      <c r="G126" s="1260">
        <f t="shared" si="146"/>
        <v>4488453019</v>
      </c>
      <c r="H126" s="1260">
        <f t="shared" si="146"/>
        <v>2985633717</v>
      </c>
      <c r="I126" s="1260">
        <f t="shared" si="146"/>
        <v>7474086736</v>
      </c>
      <c r="J126" s="1260">
        <f t="shared" si="146"/>
        <v>153429822</v>
      </c>
      <c r="K126" s="1260">
        <f t="shared" si="146"/>
        <v>687743560</v>
      </c>
      <c r="L126" s="1260">
        <f t="shared" si="146"/>
        <v>841173382</v>
      </c>
      <c r="M126" s="1260">
        <f t="shared" si="146"/>
        <v>43365421267</v>
      </c>
      <c r="N126" s="1261">
        <f t="shared" si="146"/>
        <v>40945407427</v>
      </c>
      <c r="P126" s="1262">
        <f>P8-P128</f>
        <v>0</v>
      </c>
      <c r="Q126" s="1263">
        <f>Q8-Q128</f>
        <v>617329922</v>
      </c>
      <c r="R126" s="909"/>
      <c r="S126" s="1083" t="str">
        <f>+IF(ENERO!S126=0,"",ENERO!S126)</f>
        <v>2010200-3</v>
      </c>
      <c r="T126" s="1084" t="str">
        <f>+IF(ENERO!T126=0,"",ENERO!T126)</f>
        <v xml:space="preserve">Servicios Públicos </v>
      </c>
      <c r="U126" s="1085">
        <f>+ENERO!U126</f>
        <v>904500000</v>
      </c>
      <c r="V126" s="1033">
        <f>ENERO!V126+FEBRERO!AL126</f>
        <v>0</v>
      </c>
      <c r="W126" s="1033">
        <f>ENERO!W126+FEBRERO!AM126</f>
        <v>0</v>
      </c>
      <c r="X126" s="1086">
        <f t="shared" si="139"/>
        <v>904500000</v>
      </c>
      <c r="Y126" s="1087">
        <f>ENERO!AA126</f>
        <v>125432021</v>
      </c>
      <c r="Z126" s="1020">
        <v>83753037</v>
      </c>
      <c r="AA126" s="1088">
        <f t="shared" si="140"/>
        <v>209185058</v>
      </c>
      <c r="AB126" s="1087">
        <f>ENERO!AD126</f>
        <v>125432021</v>
      </c>
      <c r="AC126" s="1020">
        <v>83753037</v>
      </c>
      <c r="AD126" s="1086">
        <f t="shared" si="141"/>
        <v>209185058</v>
      </c>
      <c r="AE126" s="1087">
        <f>ENERO!AG126</f>
        <v>124979682</v>
      </c>
      <c r="AF126" s="1020">
        <v>47753114</v>
      </c>
      <c r="AG126" s="1086">
        <f t="shared" si="142"/>
        <v>172732796</v>
      </c>
      <c r="AH126" s="1087">
        <f t="shared" si="143"/>
        <v>695314942</v>
      </c>
      <c r="AI126" s="1033">
        <f t="shared" si="144"/>
        <v>695314942</v>
      </c>
      <c r="AJ126" s="1086">
        <f t="shared" si="145"/>
        <v>731767204</v>
      </c>
      <c r="AK126" s="909"/>
      <c r="AL126" s="1089">
        <v>0</v>
      </c>
      <c r="AM126" s="1023">
        <v>0</v>
      </c>
      <c r="AN126" s="909"/>
      <c r="AO126" s="863"/>
      <c r="AP126" s="863"/>
      <c r="AQ126" s="863"/>
      <c r="AR126" s="863"/>
      <c r="AS126" s="863"/>
      <c r="AT126" s="863"/>
      <c r="AU126" s="863"/>
      <c r="AV126" s="863"/>
      <c r="AW126" s="863"/>
      <c r="AX126" s="863"/>
      <c r="AY126" s="863"/>
      <c r="AZ126" s="863"/>
    </row>
    <row r="127" spans="1:52" s="1035" customFormat="1" ht="24.95" customHeight="1" thickBot="1">
      <c r="A127" s="1228"/>
      <c r="B127" s="1229"/>
      <c r="C127" s="1230"/>
      <c r="D127" s="1230"/>
      <c r="E127" s="1230"/>
      <c r="F127" s="1230"/>
      <c r="G127" s="1230"/>
      <c r="H127" s="1230"/>
      <c r="I127" s="1230"/>
      <c r="J127" s="1230"/>
      <c r="K127" s="1230"/>
      <c r="L127" s="1230"/>
      <c r="M127" s="1230"/>
      <c r="N127" s="1231"/>
      <c r="P127" s="1232"/>
      <c r="Q127" s="1231"/>
      <c r="R127" s="909"/>
      <c r="S127" s="1083" t="str">
        <f>+IF(ENERO!S127=0,"",ENERO!S127)</f>
        <v>2010200-4</v>
      </c>
      <c r="T127" s="1084" t="str">
        <f>+IF(ENERO!T127=0,"",ENERO!T127)</f>
        <v>Comunicaciones y Transportes</v>
      </c>
      <c r="U127" s="1085">
        <f>+ENERO!U127</f>
        <v>35257108</v>
      </c>
      <c r="V127" s="1033">
        <f>ENERO!V127+FEBRERO!AL127</f>
        <v>0</v>
      </c>
      <c r="W127" s="1033">
        <f>ENERO!W127+FEBRERO!AM127</f>
        <v>0</v>
      </c>
      <c r="X127" s="1086">
        <f t="shared" si="139"/>
        <v>35257108</v>
      </c>
      <c r="Y127" s="1087">
        <f>ENERO!AA127</f>
        <v>666460</v>
      </c>
      <c r="Z127" s="1020">
        <v>21545512</v>
      </c>
      <c r="AA127" s="1088">
        <f t="shared" si="140"/>
        <v>22211972</v>
      </c>
      <c r="AB127" s="1087">
        <f>ENERO!AD127</f>
        <v>666460</v>
      </c>
      <c r="AC127" s="1020">
        <v>2363694</v>
      </c>
      <c r="AD127" s="1086">
        <f t="shared" si="141"/>
        <v>3030154</v>
      </c>
      <c r="AE127" s="1087">
        <f>ENERO!AG127</f>
        <v>666460</v>
      </c>
      <c r="AF127" s="1020">
        <v>1839055</v>
      </c>
      <c r="AG127" s="1086">
        <f t="shared" si="142"/>
        <v>2505515</v>
      </c>
      <c r="AH127" s="1087">
        <f t="shared" si="143"/>
        <v>13045136</v>
      </c>
      <c r="AI127" s="1033">
        <f t="shared" si="144"/>
        <v>32226954</v>
      </c>
      <c r="AJ127" s="1086">
        <f t="shared" si="145"/>
        <v>32751593</v>
      </c>
      <c r="AK127" s="909"/>
      <c r="AL127" s="1089">
        <v>0</v>
      </c>
      <c r="AM127" s="1023">
        <v>0</v>
      </c>
      <c r="AN127" s="909"/>
      <c r="AO127" s="863"/>
      <c r="AP127" s="863"/>
      <c r="AQ127" s="863"/>
      <c r="AR127" s="863"/>
      <c r="AS127" s="863"/>
      <c r="AT127" s="863"/>
      <c r="AU127" s="863"/>
      <c r="AV127" s="863"/>
      <c r="AW127" s="863"/>
      <c r="AX127" s="863"/>
      <c r="AY127" s="863"/>
      <c r="AZ127" s="863"/>
    </row>
    <row r="128" spans="1:52" s="1035" customFormat="1" ht="24.95" customHeight="1" thickBot="1">
      <c r="A128" s="1264" t="s">
        <v>249</v>
      </c>
      <c r="B128" s="1265"/>
      <c r="C128" s="1266">
        <f>SUMIF($B8:$B$122,$B$24,C8:C122)+C122</f>
        <v>9052927194</v>
      </c>
      <c r="D128" s="1266">
        <f>SUMIF($B8:$B$122,$B$24,D8:D122)+D122</f>
        <v>0</v>
      </c>
      <c r="E128" s="1266">
        <f>SUMIF($B8:$B$122,$B$24,E8:E122)+E122</f>
        <v>836836965</v>
      </c>
      <c r="F128" s="1266">
        <f>SUMIF($B8:$B$122,$B$24,F8:F122)+F122</f>
        <v>9889764159</v>
      </c>
      <c r="G128" s="1266">
        <f>SUMIF($B8:$B$122,$B$24,G8:G122)+G122</f>
        <v>1781366139</v>
      </c>
      <c r="H128" s="1266">
        <f>SUMIF($B8:$B$122,$B$24,H8:H122)+H122</f>
        <v>3589361311</v>
      </c>
      <c r="I128" s="1266">
        <f>SUMIF($B8:$B$122,$B$24,I8:I122)+I122</f>
        <v>5370727450</v>
      </c>
      <c r="J128" s="1266">
        <f>SUMIF($B8:$B$122,$B$24,J8:J122)+J1212</f>
        <v>1781366139</v>
      </c>
      <c r="K128" s="1266">
        <f>SUMIF($B8:$B$122,$B$24,K8:K122)+K122</f>
        <v>3589361311</v>
      </c>
      <c r="L128" s="1266">
        <f>SUMIF($B8:$B$122,$B$24,L8:L122)+L122</f>
        <v>5370727450</v>
      </c>
      <c r="M128" s="1266">
        <f>SUMIF($B8:$B$122,$B$24,M8:M122)+M12</f>
        <v>-4533890485</v>
      </c>
      <c r="N128" s="1267">
        <f>SUMIF($B8:$B$122,$B$24,N8:N122)+N122</f>
        <v>4519036709</v>
      </c>
      <c r="O128" s="1205"/>
      <c r="P128" s="1266">
        <f>SUMIF($B8:$B$122,$B$24,P8:P122)+P122</f>
        <v>0</v>
      </c>
      <c r="Q128" s="1268">
        <f>SUMIF($B8:$B$122,$B$24,Q8:Q122)+Q122</f>
        <v>0</v>
      </c>
      <c r="R128" s="909"/>
      <c r="S128" s="1083" t="str">
        <f>+IF(ENERO!S128=0,"",ENERO!S128)</f>
        <v>2010200-5</v>
      </c>
      <c r="T128" s="1084" t="str">
        <f>+IF(ENERO!T128=0,"",ENERO!T128)</f>
        <v>Viáticos y Gastos de Viaje</v>
      </c>
      <c r="U128" s="1085">
        <f>+ENERO!U128</f>
        <v>12609000</v>
      </c>
      <c r="V128" s="1033">
        <f>ENERO!V128+FEBRERO!AL128</f>
        <v>0</v>
      </c>
      <c r="W128" s="1033">
        <f>ENERO!W128+FEBRERO!AM128</f>
        <v>0</v>
      </c>
      <c r="X128" s="1086">
        <f t="shared" si="139"/>
        <v>12609000</v>
      </c>
      <c r="Y128" s="1087">
        <f>ENERO!AA128</f>
        <v>0</v>
      </c>
      <c r="Z128" s="1020">
        <v>1403874</v>
      </c>
      <c r="AA128" s="1088">
        <f t="shared" si="140"/>
        <v>1403874</v>
      </c>
      <c r="AB128" s="1087">
        <f>ENERO!AD128</f>
        <v>0</v>
      </c>
      <c r="AC128" s="1020">
        <v>1403874</v>
      </c>
      <c r="AD128" s="1086">
        <f t="shared" si="141"/>
        <v>1403874</v>
      </c>
      <c r="AE128" s="1087">
        <f>ENERO!AG128</f>
        <v>0</v>
      </c>
      <c r="AF128" s="1020">
        <v>1403874</v>
      </c>
      <c r="AG128" s="1086">
        <f t="shared" si="142"/>
        <v>1403874</v>
      </c>
      <c r="AH128" s="1087">
        <f t="shared" si="143"/>
        <v>11205126</v>
      </c>
      <c r="AI128" s="1033">
        <f t="shared" si="144"/>
        <v>11205126</v>
      </c>
      <c r="AJ128" s="1086">
        <f t="shared" si="145"/>
        <v>11205126</v>
      </c>
      <c r="AK128" s="909"/>
      <c r="AL128" s="1089">
        <v>0</v>
      </c>
      <c r="AM128" s="1023">
        <v>0</v>
      </c>
      <c r="AN128" s="909"/>
      <c r="AO128" s="863"/>
      <c r="AP128" s="863"/>
      <c r="AQ128" s="863"/>
      <c r="AR128" s="863"/>
      <c r="AS128" s="863"/>
      <c r="AT128" s="863"/>
      <c r="AU128" s="863"/>
      <c r="AV128" s="863"/>
      <c r="AW128" s="863"/>
      <c r="AX128" s="863"/>
      <c r="AY128" s="863"/>
      <c r="AZ128" s="863"/>
    </row>
    <row r="129" spans="1:52" s="1035" customFormat="1" ht="24.95" customHeight="1" thickBot="1">
      <c r="A129" s="1228"/>
      <c r="B129" s="1229"/>
      <c r="C129" s="1230"/>
      <c r="D129" s="1230"/>
      <c r="E129" s="1230"/>
      <c r="F129" s="1230"/>
      <c r="G129" s="1230"/>
      <c r="H129" s="1230"/>
      <c r="I129" s="1230"/>
      <c r="J129" s="1230"/>
      <c r="K129" s="1230"/>
      <c r="L129" s="1230"/>
      <c r="M129" s="1230"/>
      <c r="N129" s="1231"/>
      <c r="P129" s="1232"/>
      <c r="Q129" s="1231"/>
      <c r="R129" s="909"/>
      <c r="S129" s="1083" t="str">
        <f>+IF(ENERO!S129=0,"",ENERO!S129)</f>
        <v>2010200-6</v>
      </c>
      <c r="T129" s="1084" t="str">
        <f>+IF(ENERO!T129=0,"",ENERO!T129)</f>
        <v>Arrendamientos</v>
      </c>
      <c r="U129" s="1085">
        <f>+ENERO!U129</f>
        <v>1100000000</v>
      </c>
      <c r="V129" s="1033">
        <f>ENERO!V129+FEBRERO!AL129</f>
        <v>1164817483</v>
      </c>
      <c r="W129" s="1033">
        <f>ENERO!W129+FEBRERO!AM129</f>
        <v>0</v>
      </c>
      <c r="X129" s="1086">
        <f t="shared" si="139"/>
        <v>2264817483</v>
      </c>
      <c r="Y129" s="1087">
        <f>ENERO!AA129</f>
        <v>2264817483</v>
      </c>
      <c r="Z129" s="1020">
        <v>0</v>
      </c>
      <c r="AA129" s="1088">
        <f t="shared" si="140"/>
        <v>2264817483</v>
      </c>
      <c r="AB129" s="1087">
        <f>ENERO!AD129</f>
        <v>164378387</v>
      </c>
      <c r="AC129" s="1020">
        <v>244393238</v>
      </c>
      <c r="AD129" s="1086">
        <f t="shared" si="141"/>
        <v>408771625</v>
      </c>
      <c r="AE129" s="1087">
        <f>ENERO!AG129</f>
        <v>44348279</v>
      </c>
      <c r="AF129" s="1020">
        <v>30578800</v>
      </c>
      <c r="AG129" s="1086">
        <f t="shared" si="142"/>
        <v>74927079</v>
      </c>
      <c r="AH129" s="1087">
        <f t="shared" si="143"/>
        <v>0</v>
      </c>
      <c r="AI129" s="1033">
        <f t="shared" si="144"/>
        <v>1856045858</v>
      </c>
      <c r="AJ129" s="1086">
        <f t="shared" si="145"/>
        <v>2189890404</v>
      </c>
      <c r="AK129" s="909"/>
      <c r="AL129" s="1089">
        <v>1164817483</v>
      </c>
      <c r="AM129" s="1023">
        <v>0</v>
      </c>
      <c r="AN129" s="909"/>
      <c r="AO129" s="863"/>
      <c r="AP129" s="863"/>
      <c r="AQ129" s="863"/>
      <c r="AR129" s="863"/>
      <c r="AS129" s="863"/>
      <c r="AT129" s="863"/>
      <c r="AU129" s="863"/>
      <c r="AV129" s="863"/>
      <c r="AW129" s="863"/>
      <c r="AX129" s="863"/>
      <c r="AY129" s="863"/>
      <c r="AZ129" s="863"/>
    </row>
    <row r="130" spans="1:52" s="1035" customFormat="1" ht="24.95" customHeight="1" thickBot="1">
      <c r="A130" s="1269" t="s">
        <v>252</v>
      </c>
      <c r="B130" s="1270"/>
      <c r="C130" s="1271">
        <f t="shared" ref="C130:N130" si="147">C128+C126</f>
        <v>50222178081</v>
      </c>
      <c r="D130" s="1272">
        <f t="shared" si="147"/>
        <v>0</v>
      </c>
      <c r="E130" s="1272">
        <f t="shared" si="147"/>
        <v>1454166887</v>
      </c>
      <c r="F130" s="1273">
        <f t="shared" si="147"/>
        <v>51676344968</v>
      </c>
      <c r="G130" s="1271">
        <f t="shared" si="147"/>
        <v>6269819158</v>
      </c>
      <c r="H130" s="1272">
        <f t="shared" si="147"/>
        <v>6574995028</v>
      </c>
      <c r="I130" s="1273">
        <f t="shared" si="147"/>
        <v>12844814186</v>
      </c>
      <c r="J130" s="1271">
        <f t="shared" si="147"/>
        <v>1934795961</v>
      </c>
      <c r="K130" s="1272">
        <f t="shared" si="147"/>
        <v>4277104871</v>
      </c>
      <c r="L130" s="1273">
        <f t="shared" si="147"/>
        <v>6211900832</v>
      </c>
      <c r="M130" s="1271">
        <f t="shared" si="147"/>
        <v>38831530782</v>
      </c>
      <c r="N130" s="1273">
        <f t="shared" si="147"/>
        <v>45464444136</v>
      </c>
      <c r="P130" s="1262">
        <f>P128+P126</f>
        <v>0</v>
      </c>
      <c r="Q130" s="1263">
        <f>Q128+Q126</f>
        <v>617329922</v>
      </c>
      <c r="R130" s="909"/>
      <c r="S130" s="1083" t="str">
        <f>+IF(ENERO!S130=0,"",ENERO!S130)</f>
        <v>2010200-7</v>
      </c>
      <c r="T130" s="1084" t="str">
        <f>+IF(ENERO!T130=0,"",ENERO!T130)</f>
        <v>Vigilancia y Aseo</v>
      </c>
      <c r="U130" s="1085">
        <f>+ENERO!U130</f>
        <v>2121073970</v>
      </c>
      <c r="V130" s="1033">
        <f>ENERO!V130+FEBRERO!AL130</f>
        <v>-86000000</v>
      </c>
      <c r="W130" s="1033">
        <f>ENERO!W130+FEBRERO!AM130</f>
        <v>0</v>
      </c>
      <c r="X130" s="1086">
        <f t="shared" si="139"/>
        <v>2035073970</v>
      </c>
      <c r="Y130" s="1087">
        <f>ENERO!AA130</f>
        <v>162000000</v>
      </c>
      <c r="Z130" s="1020">
        <v>324191384</v>
      </c>
      <c r="AA130" s="1088">
        <f t="shared" si="140"/>
        <v>486191384</v>
      </c>
      <c r="AB130" s="1087">
        <f>ENERO!AD130</f>
        <v>37757320</v>
      </c>
      <c r="AC130" s="1020">
        <v>128531704</v>
      </c>
      <c r="AD130" s="1086">
        <f t="shared" si="141"/>
        <v>166289024</v>
      </c>
      <c r="AE130" s="1087">
        <f>ENERO!AG130</f>
        <v>0</v>
      </c>
      <c r="AF130" s="1020">
        <v>87797045</v>
      </c>
      <c r="AG130" s="1086">
        <f t="shared" si="142"/>
        <v>87797045</v>
      </c>
      <c r="AH130" s="1087">
        <f t="shared" si="143"/>
        <v>1548882586</v>
      </c>
      <c r="AI130" s="1033">
        <f t="shared" si="144"/>
        <v>1868784946</v>
      </c>
      <c r="AJ130" s="1086">
        <f t="shared" si="145"/>
        <v>1947276925</v>
      </c>
      <c r="AK130" s="909"/>
      <c r="AL130" s="1089">
        <v>-86000000</v>
      </c>
      <c r="AM130" s="1023">
        <v>0</v>
      </c>
      <c r="AN130" s="909"/>
      <c r="AO130" s="863"/>
      <c r="AP130" s="863"/>
      <c r="AQ130" s="863"/>
      <c r="AR130" s="863"/>
      <c r="AS130" s="863"/>
      <c r="AT130" s="863"/>
      <c r="AU130" s="863"/>
      <c r="AV130" s="863"/>
      <c r="AW130" s="863"/>
      <c r="AX130" s="863"/>
      <c r="AY130" s="863"/>
      <c r="AZ130" s="863"/>
    </row>
    <row r="131" spans="1:52" s="1035" customFormat="1" ht="24.95" customHeight="1">
      <c r="A131" s="1274"/>
      <c r="B131" s="1275"/>
      <c r="N131" s="909"/>
      <c r="R131" s="909"/>
      <c r="S131" s="1083" t="str">
        <f>+IF(ENERO!S131=0,"",ENERO!S131)</f>
        <v>2010200-8</v>
      </c>
      <c r="T131" s="1084" t="str">
        <f>+IF(ENERO!T131=0,"",ENERO!T131)</f>
        <v>Bienestar Social</v>
      </c>
      <c r="U131" s="1085">
        <f>+ENERO!U131</f>
        <v>45388534</v>
      </c>
      <c r="V131" s="1033">
        <f>ENERO!V131+FEBRERO!AL131</f>
        <v>0</v>
      </c>
      <c r="W131" s="1033">
        <f>ENERO!W131+FEBRERO!AM131</f>
        <v>26156707</v>
      </c>
      <c r="X131" s="1086">
        <f t="shared" si="139"/>
        <v>71545241</v>
      </c>
      <c r="Y131" s="1087">
        <f>ENERO!AA131</f>
        <v>0</v>
      </c>
      <c r="Z131" s="1020">
        <v>1228400</v>
      </c>
      <c r="AA131" s="1088">
        <f t="shared" si="140"/>
        <v>1228400</v>
      </c>
      <c r="AB131" s="1087">
        <f>ENERO!AD131</f>
        <v>0</v>
      </c>
      <c r="AC131" s="1020">
        <v>1228400</v>
      </c>
      <c r="AD131" s="1086">
        <f t="shared" si="141"/>
        <v>1228400</v>
      </c>
      <c r="AE131" s="1087">
        <f>ENERO!AG131</f>
        <v>0</v>
      </c>
      <c r="AF131" s="1020">
        <v>0</v>
      </c>
      <c r="AG131" s="1086">
        <f t="shared" si="142"/>
        <v>0</v>
      </c>
      <c r="AH131" s="1087">
        <f t="shared" si="143"/>
        <v>70316841</v>
      </c>
      <c r="AI131" s="1033">
        <f t="shared" si="144"/>
        <v>70316841</v>
      </c>
      <c r="AJ131" s="1086">
        <f t="shared" si="145"/>
        <v>71545241</v>
      </c>
      <c r="AK131" s="909"/>
      <c r="AL131" s="1089">
        <v>0</v>
      </c>
      <c r="AM131" s="1023">
        <v>26156707</v>
      </c>
      <c r="AN131" s="909"/>
      <c r="AO131" s="863"/>
      <c r="AP131" s="863"/>
      <c r="AQ131" s="863"/>
      <c r="AR131" s="863"/>
      <c r="AS131" s="863"/>
      <c r="AT131" s="863"/>
      <c r="AU131" s="863"/>
      <c r="AV131" s="863"/>
      <c r="AW131" s="863"/>
      <c r="AX131" s="863"/>
      <c r="AY131" s="863"/>
      <c r="AZ131" s="863"/>
    </row>
    <row r="132" spans="1:52" s="1035" customFormat="1" ht="24.95" customHeight="1">
      <c r="A132" s="1274"/>
      <c r="B132" s="1275"/>
      <c r="N132" s="909"/>
      <c r="R132" s="909"/>
      <c r="S132" s="1083" t="str">
        <f>+IF(ENERO!S132=0,"",ENERO!S132)</f>
        <v>2010200-9</v>
      </c>
      <c r="T132" s="1084" t="str">
        <f>+IF(ENERO!T132=0,"",ENERO!T132)</f>
        <v>Capacitación, estimulos, incentivos, programa de calidad</v>
      </c>
      <c r="U132" s="1085">
        <f>+ENERO!U132</f>
        <v>15000000</v>
      </c>
      <c r="V132" s="1033">
        <f>ENERO!V132+FEBRERO!AL132</f>
        <v>0</v>
      </c>
      <c r="W132" s="1033">
        <f>ENERO!W132+FEBRERO!AM132</f>
        <v>0</v>
      </c>
      <c r="X132" s="1086">
        <f t="shared" si="139"/>
        <v>15000000</v>
      </c>
      <c r="Y132" s="1087">
        <f>ENERO!AA132</f>
        <v>0</v>
      </c>
      <c r="Z132" s="1020">
        <v>0</v>
      </c>
      <c r="AA132" s="1088">
        <f t="shared" si="140"/>
        <v>0</v>
      </c>
      <c r="AB132" s="1087">
        <f>ENERO!AD132</f>
        <v>0</v>
      </c>
      <c r="AC132" s="1020">
        <v>0</v>
      </c>
      <c r="AD132" s="1086">
        <f t="shared" si="141"/>
        <v>0</v>
      </c>
      <c r="AE132" s="1087">
        <f>ENERO!AG132</f>
        <v>0</v>
      </c>
      <c r="AF132" s="1020">
        <v>0</v>
      </c>
      <c r="AG132" s="1086">
        <f t="shared" si="142"/>
        <v>0</v>
      </c>
      <c r="AH132" s="1087">
        <f t="shared" si="143"/>
        <v>15000000</v>
      </c>
      <c r="AI132" s="1033">
        <f t="shared" si="144"/>
        <v>15000000</v>
      </c>
      <c r="AJ132" s="1086">
        <f t="shared" si="145"/>
        <v>15000000</v>
      </c>
      <c r="AK132" s="909"/>
      <c r="AL132" s="1089">
        <v>0</v>
      </c>
      <c r="AM132" s="1023">
        <v>0</v>
      </c>
      <c r="AN132" s="909"/>
      <c r="AO132" s="863"/>
      <c r="AP132" s="863"/>
      <c r="AQ132" s="863"/>
      <c r="AR132" s="863"/>
      <c r="AS132" s="863"/>
      <c r="AT132" s="863"/>
      <c r="AU132" s="863"/>
      <c r="AV132" s="863"/>
      <c r="AW132" s="863"/>
      <c r="AX132" s="863"/>
      <c r="AY132" s="863"/>
      <c r="AZ132" s="863"/>
    </row>
    <row r="133" spans="1:52" s="1035" customFormat="1" ht="24.95" customHeight="1">
      <c r="A133" s="1274"/>
      <c r="B133" s="1275"/>
      <c r="N133" s="909"/>
      <c r="R133" s="909"/>
      <c r="S133" s="1083" t="str">
        <f>+IF(ENERO!S133=0,"",ENERO!S133)</f>
        <v>2010200-10</v>
      </c>
      <c r="T133" s="1084" t="str">
        <f>+IF(ENERO!T133=0,"",ENERO!T133)</f>
        <v>Pagos otras IPS</v>
      </c>
      <c r="U133" s="1085">
        <f>+ENERO!U133</f>
        <v>5000000</v>
      </c>
      <c r="V133" s="1033">
        <f>ENERO!V133+FEBRERO!AL133</f>
        <v>0</v>
      </c>
      <c r="W133" s="1033">
        <f>ENERO!W133+FEBRERO!AM133</f>
        <v>0</v>
      </c>
      <c r="X133" s="1086">
        <f t="shared" si="139"/>
        <v>5000000</v>
      </c>
      <c r="Y133" s="1087">
        <f>ENERO!AA133</f>
        <v>0</v>
      </c>
      <c r="Z133" s="1020">
        <v>0</v>
      </c>
      <c r="AA133" s="1088">
        <f t="shared" si="140"/>
        <v>0</v>
      </c>
      <c r="AB133" s="1087">
        <f>ENERO!AD133</f>
        <v>0</v>
      </c>
      <c r="AC133" s="1020">
        <v>0</v>
      </c>
      <c r="AD133" s="1086">
        <f t="shared" si="141"/>
        <v>0</v>
      </c>
      <c r="AE133" s="1087">
        <f>ENERO!AG133</f>
        <v>0</v>
      </c>
      <c r="AF133" s="1020">
        <v>0</v>
      </c>
      <c r="AG133" s="1086">
        <f t="shared" si="142"/>
        <v>0</v>
      </c>
      <c r="AH133" s="1087">
        <f t="shared" si="143"/>
        <v>5000000</v>
      </c>
      <c r="AI133" s="1033">
        <f t="shared" si="144"/>
        <v>5000000</v>
      </c>
      <c r="AJ133" s="1086">
        <f t="shared" si="145"/>
        <v>5000000</v>
      </c>
      <c r="AK133" s="909"/>
      <c r="AL133" s="1089">
        <v>0</v>
      </c>
      <c r="AM133" s="1023">
        <v>0</v>
      </c>
      <c r="AN133" s="909"/>
      <c r="AO133" s="863"/>
      <c r="AP133" s="863"/>
      <c r="AQ133" s="863"/>
      <c r="AR133" s="863"/>
      <c r="AS133" s="863"/>
      <c r="AT133" s="863"/>
      <c r="AU133" s="863"/>
      <c r="AV133" s="863"/>
      <c r="AW133" s="863"/>
      <c r="AX133" s="863"/>
      <c r="AY133" s="863"/>
      <c r="AZ133" s="863"/>
    </row>
    <row r="134" spans="1:52" s="1035" customFormat="1" ht="24.95" customHeight="1">
      <c r="A134" s="1274"/>
      <c r="B134" s="1275"/>
      <c r="N134" s="909"/>
      <c r="R134" s="909"/>
      <c r="S134" s="1083" t="str">
        <f>+IF(ENERO!S134=0,"",ENERO!S134)</f>
        <v>2010200-11</v>
      </c>
      <c r="T134" s="1084" t="str">
        <f>+IF(ENERO!T134=0,"",ENERO!T134)</f>
        <v>Gastos financieros</v>
      </c>
      <c r="U134" s="1085">
        <f>+ENERO!U134</f>
        <v>10000000</v>
      </c>
      <c r="V134" s="1033">
        <f>ENERO!V134+FEBRERO!AL134</f>
        <v>0</v>
      </c>
      <c r="W134" s="1033">
        <f>ENERO!W134+FEBRERO!AM134</f>
        <v>0</v>
      </c>
      <c r="X134" s="1086">
        <f t="shared" si="139"/>
        <v>10000000</v>
      </c>
      <c r="Y134" s="1087">
        <f>ENERO!AA134</f>
        <v>150878</v>
      </c>
      <c r="Z134" s="1020">
        <v>1404141</v>
      </c>
      <c r="AA134" s="1088">
        <f t="shared" si="140"/>
        <v>1555019</v>
      </c>
      <c r="AB134" s="1087">
        <f>ENERO!AD134</f>
        <v>150878</v>
      </c>
      <c r="AC134" s="1020">
        <v>1404141</v>
      </c>
      <c r="AD134" s="1086">
        <f t="shared" si="141"/>
        <v>1555019</v>
      </c>
      <c r="AE134" s="1087">
        <f>ENERO!AG134</f>
        <v>0</v>
      </c>
      <c r="AF134" s="1020">
        <v>1269605</v>
      </c>
      <c r="AG134" s="1086">
        <f t="shared" si="142"/>
        <v>1269605</v>
      </c>
      <c r="AH134" s="1087">
        <f t="shared" si="143"/>
        <v>8444981</v>
      </c>
      <c r="AI134" s="1033">
        <f t="shared" si="144"/>
        <v>8444981</v>
      </c>
      <c r="AJ134" s="1086">
        <f t="shared" si="145"/>
        <v>8730395</v>
      </c>
      <c r="AK134" s="909"/>
      <c r="AL134" s="1089">
        <v>0</v>
      </c>
      <c r="AM134" s="1023">
        <v>0</v>
      </c>
      <c r="AN134" s="909"/>
      <c r="AO134" s="863"/>
      <c r="AP134" s="863"/>
      <c r="AQ134" s="863"/>
      <c r="AR134" s="863"/>
      <c r="AS134" s="863"/>
      <c r="AT134" s="863"/>
      <c r="AU134" s="863"/>
      <c r="AV134" s="863"/>
      <c r="AW134" s="863"/>
      <c r="AX134" s="863"/>
      <c r="AY134" s="863"/>
      <c r="AZ134" s="863"/>
    </row>
    <row r="135" spans="1:52" s="1035" customFormat="1" ht="24.95" customHeight="1">
      <c r="A135" s="1274"/>
      <c r="B135" s="1275"/>
      <c r="N135" s="909"/>
      <c r="R135" s="909"/>
      <c r="S135" s="1083" t="str">
        <f>+IF(ENERO!S135=0,"",ENERO!S135)</f>
        <v>2010200-12</v>
      </c>
      <c r="T135" s="1084" t="str">
        <f>+IF(ENERO!T135=0,"",ENERO!T135)</f>
        <v/>
      </c>
      <c r="U135" s="1085">
        <f>+ENERO!U135</f>
        <v>0</v>
      </c>
      <c r="V135" s="1033">
        <f>ENERO!V135+FEBRERO!AL135</f>
        <v>0</v>
      </c>
      <c r="W135" s="1033">
        <f>ENERO!W135+FEBRERO!AM135</f>
        <v>0</v>
      </c>
      <c r="X135" s="1086">
        <f t="shared" si="139"/>
        <v>0</v>
      </c>
      <c r="Y135" s="1087">
        <f>ENERO!AA135</f>
        <v>0</v>
      </c>
      <c r="Z135" s="1020">
        <v>0</v>
      </c>
      <c r="AA135" s="1088">
        <f t="shared" si="140"/>
        <v>0</v>
      </c>
      <c r="AB135" s="1087">
        <f>ENERO!AD135</f>
        <v>0</v>
      </c>
      <c r="AC135" s="1020">
        <v>0</v>
      </c>
      <c r="AD135" s="1086">
        <f t="shared" si="141"/>
        <v>0</v>
      </c>
      <c r="AE135" s="1087">
        <f>ENERO!AG135</f>
        <v>0</v>
      </c>
      <c r="AF135" s="1020">
        <v>0</v>
      </c>
      <c r="AG135" s="1086">
        <f t="shared" si="142"/>
        <v>0</v>
      </c>
      <c r="AH135" s="1087">
        <f t="shared" si="143"/>
        <v>0</v>
      </c>
      <c r="AI135" s="1033">
        <f t="shared" si="144"/>
        <v>0</v>
      </c>
      <c r="AJ135" s="1086">
        <f t="shared" si="145"/>
        <v>0</v>
      </c>
      <c r="AK135" s="909"/>
      <c r="AL135" s="1089">
        <v>0</v>
      </c>
      <c r="AM135" s="1023">
        <v>0</v>
      </c>
      <c r="AN135" s="909"/>
      <c r="AO135" s="863"/>
      <c r="AP135" s="863"/>
      <c r="AQ135" s="863"/>
      <c r="AR135" s="863"/>
      <c r="AS135" s="863"/>
      <c r="AT135" s="863"/>
      <c r="AU135" s="863"/>
      <c r="AV135" s="863"/>
      <c r="AW135" s="863"/>
      <c r="AX135" s="863"/>
      <c r="AY135" s="863"/>
      <c r="AZ135" s="863"/>
    </row>
    <row r="136" spans="1:52" s="1035" customFormat="1" ht="24.95" customHeight="1">
      <c r="A136" s="1274"/>
      <c r="B136" s="1275"/>
      <c r="N136" s="909"/>
      <c r="R136" s="909"/>
      <c r="S136" s="1083" t="str">
        <f>+IF(ENERO!S136=0,"",ENERO!S136)</f>
        <v>2010200-13</v>
      </c>
      <c r="T136" s="1084" t="str">
        <f>+IF(ENERO!T136=0,"",ENERO!T136)</f>
        <v/>
      </c>
      <c r="U136" s="1085">
        <f>+ENERO!U136</f>
        <v>0</v>
      </c>
      <c r="V136" s="1033">
        <f>ENERO!V136+FEBRERO!AL136</f>
        <v>0</v>
      </c>
      <c r="W136" s="1033">
        <f>ENERO!W136+FEBRERO!AM136</f>
        <v>0</v>
      </c>
      <c r="X136" s="1086">
        <f t="shared" si="139"/>
        <v>0</v>
      </c>
      <c r="Y136" s="1087">
        <f>ENERO!AA136</f>
        <v>0</v>
      </c>
      <c r="Z136" s="1020">
        <v>0</v>
      </c>
      <c r="AA136" s="1088">
        <f t="shared" si="140"/>
        <v>0</v>
      </c>
      <c r="AB136" s="1087">
        <f>ENERO!AD136</f>
        <v>0</v>
      </c>
      <c r="AC136" s="1020">
        <v>0</v>
      </c>
      <c r="AD136" s="1086">
        <f t="shared" si="141"/>
        <v>0</v>
      </c>
      <c r="AE136" s="1087">
        <f>ENERO!AG136</f>
        <v>0</v>
      </c>
      <c r="AF136" s="1020">
        <v>0</v>
      </c>
      <c r="AG136" s="1086">
        <f t="shared" si="142"/>
        <v>0</v>
      </c>
      <c r="AH136" s="1087">
        <f t="shared" si="143"/>
        <v>0</v>
      </c>
      <c r="AI136" s="1033">
        <f t="shared" si="144"/>
        <v>0</v>
      </c>
      <c r="AJ136" s="1086">
        <f t="shared" si="145"/>
        <v>0</v>
      </c>
      <c r="AK136" s="909"/>
      <c r="AL136" s="1089">
        <v>0</v>
      </c>
      <c r="AM136" s="1023">
        <v>0</v>
      </c>
      <c r="AN136" s="909"/>
      <c r="AO136" s="863"/>
      <c r="AP136" s="863"/>
      <c r="AQ136" s="863"/>
      <c r="AR136" s="863"/>
      <c r="AS136" s="863"/>
      <c r="AT136" s="863"/>
      <c r="AU136" s="863"/>
      <c r="AV136" s="863"/>
      <c r="AW136" s="863"/>
      <c r="AX136" s="863"/>
      <c r="AY136" s="863"/>
      <c r="AZ136" s="863"/>
    </row>
    <row r="137" spans="1:52" s="1035" customFormat="1" ht="24.95" customHeight="1">
      <c r="A137" s="1274"/>
      <c r="B137" s="1275"/>
      <c r="N137" s="909"/>
      <c r="R137" s="909"/>
      <c r="S137" s="1083" t="str">
        <f>+IF(ENERO!S137=0,"",ENERO!S137)</f>
        <v>2010020-14</v>
      </c>
      <c r="T137" s="1084" t="str">
        <f>+IF(ENERO!T137=0,"",ENERO!T137)</f>
        <v/>
      </c>
      <c r="U137" s="1085">
        <f>+ENERO!U137</f>
        <v>0</v>
      </c>
      <c r="V137" s="1033">
        <f>ENERO!V137+FEBRERO!AL137</f>
        <v>0</v>
      </c>
      <c r="W137" s="1033">
        <f>ENERO!W137+FEBRERO!AM137</f>
        <v>0</v>
      </c>
      <c r="X137" s="1086">
        <f t="shared" si="139"/>
        <v>0</v>
      </c>
      <c r="Y137" s="1087">
        <f>ENERO!AA137</f>
        <v>0</v>
      </c>
      <c r="Z137" s="1020">
        <v>0</v>
      </c>
      <c r="AA137" s="1088">
        <f t="shared" si="140"/>
        <v>0</v>
      </c>
      <c r="AB137" s="1087">
        <f>ENERO!AD137</f>
        <v>0</v>
      </c>
      <c r="AC137" s="1020">
        <v>0</v>
      </c>
      <c r="AD137" s="1086">
        <f t="shared" si="141"/>
        <v>0</v>
      </c>
      <c r="AE137" s="1087">
        <f>ENERO!AG137</f>
        <v>0</v>
      </c>
      <c r="AF137" s="1020">
        <v>0</v>
      </c>
      <c r="AG137" s="1086">
        <f t="shared" si="142"/>
        <v>0</v>
      </c>
      <c r="AH137" s="1087">
        <f t="shared" si="143"/>
        <v>0</v>
      </c>
      <c r="AI137" s="1033">
        <f t="shared" si="144"/>
        <v>0</v>
      </c>
      <c r="AJ137" s="1086">
        <f t="shared" si="145"/>
        <v>0</v>
      </c>
      <c r="AK137" s="909"/>
      <c r="AL137" s="1089">
        <v>0</v>
      </c>
      <c r="AM137" s="1023">
        <v>0</v>
      </c>
      <c r="AN137" s="909"/>
      <c r="AO137" s="863"/>
      <c r="AP137" s="863"/>
      <c r="AQ137" s="863"/>
      <c r="AR137" s="863"/>
      <c r="AS137" s="863"/>
      <c r="AT137" s="863"/>
      <c r="AU137" s="863"/>
      <c r="AV137" s="863"/>
      <c r="AW137" s="863"/>
      <c r="AX137" s="863"/>
      <c r="AY137" s="863"/>
      <c r="AZ137" s="863"/>
    </row>
    <row r="138" spans="1:52" s="1035" customFormat="1" ht="24.95" customHeight="1">
      <c r="A138" s="1274"/>
      <c r="B138" s="1275"/>
      <c r="N138" s="909"/>
      <c r="R138" s="909"/>
      <c r="S138" s="1083" t="str">
        <f>+IF(ENERO!S138=0,"",ENERO!S138)</f>
        <v>2010200-15</v>
      </c>
      <c r="T138" s="1084" t="str">
        <f>+IF(ENERO!T138=0,"",ENERO!T138)</f>
        <v/>
      </c>
      <c r="U138" s="1085">
        <f>+ENERO!U138</f>
        <v>0</v>
      </c>
      <c r="V138" s="1033">
        <f>ENERO!V138+FEBRERO!AL138</f>
        <v>0</v>
      </c>
      <c r="W138" s="1033">
        <f>ENERO!W138+FEBRERO!AM138</f>
        <v>0</v>
      </c>
      <c r="X138" s="1086">
        <f t="shared" si="139"/>
        <v>0</v>
      </c>
      <c r="Y138" s="1087">
        <f>ENERO!AA138</f>
        <v>0</v>
      </c>
      <c r="Z138" s="1020">
        <v>0</v>
      </c>
      <c r="AA138" s="1088">
        <f t="shared" si="140"/>
        <v>0</v>
      </c>
      <c r="AB138" s="1087">
        <f>ENERO!AD138</f>
        <v>0</v>
      </c>
      <c r="AC138" s="1020">
        <v>0</v>
      </c>
      <c r="AD138" s="1086">
        <f t="shared" si="141"/>
        <v>0</v>
      </c>
      <c r="AE138" s="1087">
        <f>ENERO!AG138</f>
        <v>0</v>
      </c>
      <c r="AF138" s="1020">
        <v>0</v>
      </c>
      <c r="AG138" s="1086">
        <f t="shared" si="142"/>
        <v>0</v>
      </c>
      <c r="AH138" s="1087">
        <f t="shared" si="143"/>
        <v>0</v>
      </c>
      <c r="AI138" s="1033">
        <f t="shared" si="144"/>
        <v>0</v>
      </c>
      <c r="AJ138" s="1086">
        <f t="shared" si="145"/>
        <v>0</v>
      </c>
      <c r="AK138" s="909"/>
      <c r="AL138" s="1089">
        <v>0</v>
      </c>
      <c r="AM138" s="1023">
        <v>0</v>
      </c>
      <c r="AN138" s="909"/>
      <c r="AO138" s="863"/>
      <c r="AP138" s="863"/>
      <c r="AQ138" s="863"/>
      <c r="AR138" s="863"/>
      <c r="AS138" s="863"/>
      <c r="AT138" s="863"/>
      <c r="AU138" s="863"/>
      <c r="AV138" s="863"/>
      <c r="AW138" s="863"/>
      <c r="AX138" s="863"/>
      <c r="AY138" s="863"/>
      <c r="AZ138" s="863"/>
    </row>
    <row r="139" spans="1:52" s="1035" customFormat="1" ht="24.95" customHeight="1">
      <c r="A139" s="1274"/>
      <c r="B139" s="1275"/>
      <c r="N139" s="909"/>
      <c r="R139" s="909"/>
      <c r="S139" s="1083">
        <f>+IF(ENERO!S139=0,"",ENERO!S139)</f>
        <v>2010299</v>
      </c>
      <c r="T139" s="1084" t="str">
        <f>+IF(ENERO!T139=0,"",ENERO!T139)</f>
        <v>Vigencias Anteriores</v>
      </c>
      <c r="U139" s="1085">
        <f>+ENERO!U139</f>
        <v>0</v>
      </c>
      <c r="V139" s="1033">
        <f>ENERO!V139+FEBRERO!AL139</f>
        <v>-14431882</v>
      </c>
      <c r="W139" s="1033">
        <f>ENERO!W139+FEBRERO!AM139</f>
        <v>220000000</v>
      </c>
      <c r="X139" s="1086">
        <f t="shared" si="139"/>
        <v>205568118</v>
      </c>
      <c r="Y139" s="1087">
        <f>ENERO!AA139</f>
        <v>0</v>
      </c>
      <c r="Z139" s="1020">
        <v>127520118</v>
      </c>
      <c r="AA139" s="1088">
        <f t="shared" si="140"/>
        <v>127520118</v>
      </c>
      <c r="AB139" s="1087">
        <f>ENERO!AD139</f>
        <v>0</v>
      </c>
      <c r="AC139" s="1020">
        <v>127520118</v>
      </c>
      <c r="AD139" s="1086">
        <f t="shared" si="141"/>
        <v>127520118</v>
      </c>
      <c r="AE139" s="1087">
        <f>ENERO!AG139</f>
        <v>0</v>
      </c>
      <c r="AF139" s="1020">
        <v>127520118</v>
      </c>
      <c r="AG139" s="1086">
        <f t="shared" si="142"/>
        <v>127520118</v>
      </c>
      <c r="AH139" s="1087">
        <f t="shared" si="143"/>
        <v>78048000</v>
      </c>
      <c r="AI139" s="1033">
        <f t="shared" si="144"/>
        <v>78048000</v>
      </c>
      <c r="AJ139" s="1086">
        <f t="shared" si="145"/>
        <v>78048000</v>
      </c>
      <c r="AK139" s="909"/>
      <c r="AL139" s="1089">
        <v>-14431882</v>
      </c>
      <c r="AM139" s="1023">
        <v>0</v>
      </c>
      <c r="AN139" s="909"/>
      <c r="AO139" s="863"/>
      <c r="AP139" s="863"/>
      <c r="AQ139" s="863"/>
    </row>
    <row r="140" spans="1:52" s="1035" customFormat="1" ht="24.95" customHeight="1">
      <c r="A140" s="1274"/>
      <c r="B140" s="1275"/>
      <c r="N140" s="909"/>
      <c r="R140" s="909"/>
      <c r="S140" s="1000" t="str">
        <f>+IF(ENERO!S140=0,"",ENERO!S140)</f>
        <v/>
      </c>
      <c r="T140" s="1001" t="str">
        <f>+IF(ENERO!T140=0,"",ENERO!T140)</f>
        <v/>
      </c>
      <c r="U140" s="1002"/>
      <c r="V140" s="1003"/>
      <c r="W140" s="1003"/>
      <c r="X140" s="1004"/>
      <c r="Y140" s="1002"/>
      <c r="Z140" s="1003"/>
      <c r="AA140" s="1003"/>
      <c r="AB140" s="1002"/>
      <c r="AC140" s="1003"/>
      <c r="AD140" s="1004"/>
      <c r="AE140" s="1002"/>
      <c r="AF140" s="1003"/>
      <c r="AG140" s="1004"/>
      <c r="AH140" s="1002"/>
      <c r="AI140" s="1003"/>
      <c r="AJ140" s="1004"/>
      <c r="AK140" s="1029"/>
      <c r="AL140" s="1195"/>
      <c r="AM140" s="1196"/>
      <c r="AN140" s="909"/>
    </row>
    <row r="141" spans="1:52" s="1035" customFormat="1" ht="24.95" customHeight="1">
      <c r="A141" s="1274"/>
      <c r="B141" s="1275"/>
      <c r="N141" s="909"/>
      <c r="R141" s="909"/>
      <c r="S141" s="1073">
        <f>+IF(ENERO!S141=0,"",ENERO!S141)</f>
        <v>2010300</v>
      </c>
      <c r="T141" s="1074" t="str">
        <f>+IF(ENERO!T141=0,"",ENERO!T141)</f>
        <v>Impuestos y Multas</v>
      </c>
      <c r="U141" s="1046">
        <f t="shared" ref="U141:AJ141" si="148">U142+U143</f>
        <v>0</v>
      </c>
      <c r="V141" s="1047">
        <f t="shared" si="148"/>
        <v>0</v>
      </c>
      <c r="W141" s="1047">
        <f t="shared" si="148"/>
        <v>0</v>
      </c>
      <c r="X141" s="1048">
        <f t="shared" si="148"/>
        <v>0</v>
      </c>
      <c r="Y141" s="1046">
        <f t="shared" si="148"/>
        <v>0</v>
      </c>
      <c r="Z141" s="1047">
        <f t="shared" si="148"/>
        <v>0</v>
      </c>
      <c r="AA141" s="1049">
        <f t="shared" si="148"/>
        <v>0</v>
      </c>
      <c r="AB141" s="1046">
        <f t="shared" si="148"/>
        <v>0</v>
      </c>
      <c r="AC141" s="1047">
        <f t="shared" si="148"/>
        <v>0</v>
      </c>
      <c r="AD141" s="1048">
        <f t="shared" si="148"/>
        <v>0</v>
      </c>
      <c r="AE141" s="1046">
        <f t="shared" si="148"/>
        <v>0</v>
      </c>
      <c r="AF141" s="1047">
        <f t="shared" si="148"/>
        <v>0</v>
      </c>
      <c r="AG141" s="1048">
        <f t="shared" si="148"/>
        <v>0</v>
      </c>
      <c r="AH141" s="1046">
        <f t="shared" si="148"/>
        <v>0</v>
      </c>
      <c r="AI141" s="1047">
        <f t="shared" si="148"/>
        <v>0</v>
      </c>
      <c r="AJ141" s="1048">
        <f t="shared" si="148"/>
        <v>0</v>
      </c>
      <c r="AK141" s="1029"/>
      <c r="AL141" s="1050">
        <f>AL142+AL143</f>
        <v>0</v>
      </c>
      <c r="AM141" s="1048">
        <f>AM142+AM143</f>
        <v>0</v>
      </c>
      <c r="AN141" s="909"/>
    </row>
    <row r="142" spans="1:52" s="1035" customFormat="1" ht="24.95" customHeight="1">
      <c r="A142" s="1274"/>
      <c r="B142" s="1275"/>
      <c r="N142" s="909"/>
      <c r="R142" s="909"/>
      <c r="S142" s="1083" t="str">
        <f>+IF(ENERO!S142=0,"",ENERO!S142)</f>
        <v>2010300-1</v>
      </c>
      <c r="T142" s="1084" t="str">
        <f>+IF(ENERO!T142=0,"",ENERO!T142)</f>
        <v>Impuestos (Predial, Vehiculos, Otros)</v>
      </c>
      <c r="U142" s="1085">
        <f>+ENERO!U142</f>
        <v>0</v>
      </c>
      <c r="V142" s="1033">
        <f>ENERO!V142+FEBRERO!AL142</f>
        <v>0</v>
      </c>
      <c r="W142" s="1033">
        <f>ENERO!W142+FEBRERO!AM142</f>
        <v>0</v>
      </c>
      <c r="X142" s="1086">
        <f>SUM(U142:W142)</f>
        <v>0</v>
      </c>
      <c r="Y142" s="1087">
        <f>ENERO!AA142</f>
        <v>0</v>
      </c>
      <c r="Z142" s="1020">
        <v>0</v>
      </c>
      <c r="AA142" s="1088">
        <f>SUM(Y142:Z142)</f>
        <v>0</v>
      </c>
      <c r="AB142" s="1087">
        <f>ENERO!AD142</f>
        <v>0</v>
      </c>
      <c r="AC142" s="1020">
        <v>0</v>
      </c>
      <c r="AD142" s="1086">
        <f>SUM(AB142:AC142)</f>
        <v>0</v>
      </c>
      <c r="AE142" s="1087">
        <f>ENERO!AG142</f>
        <v>0</v>
      </c>
      <c r="AF142" s="1020">
        <v>0</v>
      </c>
      <c r="AG142" s="1086">
        <f>SUM(AE142:AF142)</f>
        <v>0</v>
      </c>
      <c r="AH142" s="1087">
        <f>X142-AA142</f>
        <v>0</v>
      </c>
      <c r="AI142" s="1033">
        <f>X142-AD142</f>
        <v>0</v>
      </c>
      <c r="AJ142" s="1086">
        <f>X142-AG142</f>
        <v>0</v>
      </c>
      <c r="AK142" s="909"/>
      <c r="AL142" s="1089">
        <v>0</v>
      </c>
      <c r="AM142" s="1023">
        <v>0</v>
      </c>
      <c r="AN142" s="909"/>
    </row>
    <row r="143" spans="1:52" s="1035" customFormat="1" ht="24.95" customHeight="1">
      <c r="A143" s="1274"/>
      <c r="B143" s="1275"/>
      <c r="N143" s="909"/>
      <c r="R143" s="909"/>
      <c r="S143" s="1083">
        <f>+IF(ENERO!S143=0,"",ENERO!S143)</f>
        <v>2010399</v>
      </c>
      <c r="T143" s="1084" t="str">
        <f>+IF(ENERO!T143=0,"",ENERO!T143)</f>
        <v>Vigencias Anteriores</v>
      </c>
      <c r="U143" s="1085">
        <f>+ENERO!U143</f>
        <v>0</v>
      </c>
      <c r="V143" s="1033">
        <f>ENERO!V143+FEBRERO!AL143</f>
        <v>0</v>
      </c>
      <c r="W143" s="1033">
        <f>ENERO!W143+FEBRERO!AM143</f>
        <v>0</v>
      </c>
      <c r="X143" s="1086">
        <f>SUM(U143:W143)</f>
        <v>0</v>
      </c>
      <c r="Y143" s="1087">
        <f>ENERO!AA143</f>
        <v>0</v>
      </c>
      <c r="Z143" s="1020">
        <v>0</v>
      </c>
      <c r="AA143" s="1088">
        <f>SUM(Y143:Z143)</f>
        <v>0</v>
      </c>
      <c r="AB143" s="1087">
        <f>ENERO!AD143</f>
        <v>0</v>
      </c>
      <c r="AC143" s="1020">
        <v>0</v>
      </c>
      <c r="AD143" s="1086">
        <f>SUM(AB143:AC143)</f>
        <v>0</v>
      </c>
      <c r="AE143" s="1087">
        <f>ENERO!AG143</f>
        <v>0</v>
      </c>
      <c r="AF143" s="1020">
        <v>0</v>
      </c>
      <c r="AG143" s="1086">
        <f>SUM(AE143:AF143)</f>
        <v>0</v>
      </c>
      <c r="AH143" s="1087">
        <f>X143-AA143</f>
        <v>0</v>
      </c>
      <c r="AI143" s="1033">
        <f>X143-AD143</f>
        <v>0</v>
      </c>
      <c r="AJ143" s="1086">
        <f>X143-AG143</f>
        <v>0</v>
      </c>
      <c r="AK143" s="909"/>
      <c r="AL143" s="1089">
        <v>0</v>
      </c>
      <c r="AM143" s="1023">
        <v>0</v>
      </c>
      <c r="AN143" s="909"/>
    </row>
    <row r="144" spans="1:52" s="1035" customFormat="1" ht="24.95" customHeight="1">
      <c r="A144" s="1274"/>
      <c r="B144" s="1275"/>
      <c r="N144" s="909"/>
      <c r="R144" s="909"/>
      <c r="S144" s="1000" t="str">
        <f>+IF(ENERO!S144=0,"",ENERO!S144)</f>
        <v/>
      </c>
      <c r="T144" s="1001" t="str">
        <f>+IF(ENERO!T144=0,"",ENERO!T144)</f>
        <v/>
      </c>
      <c r="U144" s="1002"/>
      <c r="V144" s="1003"/>
      <c r="W144" s="1003"/>
      <c r="X144" s="1004"/>
      <c r="Y144" s="1002"/>
      <c r="Z144" s="1003"/>
      <c r="AA144" s="1003"/>
      <c r="AB144" s="1002"/>
      <c r="AC144" s="1003"/>
      <c r="AD144" s="1004"/>
      <c r="AE144" s="1002"/>
      <c r="AF144" s="1003"/>
      <c r="AG144" s="1004"/>
      <c r="AH144" s="1002"/>
      <c r="AI144" s="1003"/>
      <c r="AJ144" s="1004"/>
      <c r="AK144" s="909"/>
      <c r="AL144" s="1195"/>
      <c r="AM144" s="1196"/>
      <c r="AN144" s="909"/>
    </row>
    <row r="145" spans="1:40" s="1035" customFormat="1" ht="24.95" customHeight="1">
      <c r="A145" s="1274"/>
      <c r="B145" s="1275"/>
      <c r="N145" s="909"/>
      <c r="R145" s="909"/>
      <c r="S145" s="1044">
        <f>+IF(ENERO!S145=0,"",ENERO!S145)</f>
        <v>2020010</v>
      </c>
      <c r="T145" s="1045" t="str">
        <f>+IF(ENERO!T145=0,"",ENERO!T145)</f>
        <v>Gastos de Operación</v>
      </c>
      <c r="U145" s="1046">
        <f t="shared" ref="U145:AJ145" si="149">U147+U155</f>
        <v>2659132662</v>
      </c>
      <c r="V145" s="1047">
        <f t="shared" si="149"/>
        <v>-261397350</v>
      </c>
      <c r="W145" s="1047">
        <f t="shared" si="149"/>
        <v>50000000</v>
      </c>
      <c r="X145" s="1048">
        <f t="shared" si="149"/>
        <v>2447735312</v>
      </c>
      <c r="Y145" s="1046">
        <f t="shared" si="149"/>
        <v>495635458</v>
      </c>
      <c r="Z145" s="1047">
        <f t="shared" si="149"/>
        <v>335451902</v>
      </c>
      <c r="AA145" s="1049">
        <f t="shared" si="149"/>
        <v>831087360</v>
      </c>
      <c r="AB145" s="1046">
        <f t="shared" si="149"/>
        <v>102993774</v>
      </c>
      <c r="AC145" s="1047">
        <f t="shared" si="149"/>
        <v>174172424</v>
      </c>
      <c r="AD145" s="1048">
        <f t="shared" si="149"/>
        <v>277166198</v>
      </c>
      <c r="AE145" s="1046">
        <f t="shared" si="149"/>
        <v>63514510</v>
      </c>
      <c r="AF145" s="1047">
        <f t="shared" si="149"/>
        <v>111931795</v>
      </c>
      <c r="AG145" s="1048">
        <f t="shared" si="149"/>
        <v>175446305</v>
      </c>
      <c r="AH145" s="1046">
        <f t="shared" si="149"/>
        <v>1616647952</v>
      </c>
      <c r="AI145" s="1047">
        <f t="shared" si="149"/>
        <v>2170569114</v>
      </c>
      <c r="AJ145" s="1048">
        <f t="shared" si="149"/>
        <v>2272289007</v>
      </c>
      <c r="AK145" s="1029"/>
      <c r="AL145" s="1050">
        <f>AL147+AL155</f>
        <v>-261397350</v>
      </c>
      <c r="AM145" s="1048">
        <f>AM147+AM155</f>
        <v>0</v>
      </c>
      <c r="AN145" s="909"/>
    </row>
    <row r="146" spans="1:40" s="1035" customFormat="1" ht="24.95" customHeight="1">
      <c r="A146" s="1274"/>
      <c r="B146" s="1275"/>
      <c r="N146" s="909"/>
      <c r="R146" s="909"/>
      <c r="S146" s="1130" t="str">
        <f>+IF(ENERO!S146=0,"",ENERO!S146)</f>
        <v/>
      </c>
      <c r="T146" s="1131" t="str">
        <f>+IF(ENERO!T146=0,"",ENERO!T146)</f>
        <v/>
      </c>
      <c r="U146" s="1087"/>
      <c r="V146" s="1033"/>
      <c r="W146" s="1033"/>
      <c r="X146" s="1086"/>
      <c r="Y146" s="1087"/>
      <c r="Z146" s="1033"/>
      <c r="AA146" s="1088"/>
      <c r="AB146" s="1087"/>
      <c r="AC146" s="1033"/>
      <c r="AD146" s="1086"/>
      <c r="AE146" s="1087"/>
      <c r="AF146" s="1033"/>
      <c r="AG146" s="1086"/>
      <c r="AH146" s="1087"/>
      <c r="AI146" s="1033"/>
      <c r="AJ146" s="1086"/>
      <c r="AK146" s="909"/>
      <c r="AL146" s="1195"/>
      <c r="AM146" s="1196"/>
      <c r="AN146" s="909"/>
    </row>
    <row r="147" spans="1:40" s="1035" customFormat="1" ht="24.95" customHeight="1">
      <c r="A147" s="1274"/>
      <c r="B147" s="1275"/>
      <c r="N147" s="909"/>
      <c r="R147" s="909"/>
      <c r="S147" s="1073">
        <f>+IF(ENERO!S147=0,"",ENERO!S147)</f>
        <v>2020100</v>
      </c>
      <c r="T147" s="1074" t="str">
        <f>+IF(ENERO!T147=0,"",ENERO!T147)</f>
        <v>Adquisición de bienes</v>
      </c>
      <c r="U147" s="1046">
        <f t="shared" ref="U147:AJ147" si="150">SUM(U148:U149)+U153</f>
        <v>1878602056</v>
      </c>
      <c r="V147" s="1047">
        <f t="shared" si="150"/>
        <v>-261397350</v>
      </c>
      <c r="W147" s="1047">
        <f t="shared" si="150"/>
        <v>50000000</v>
      </c>
      <c r="X147" s="1048">
        <f t="shared" si="150"/>
        <v>1667204706</v>
      </c>
      <c r="Y147" s="1046">
        <f t="shared" si="150"/>
        <v>63260130</v>
      </c>
      <c r="Z147" s="1047">
        <f t="shared" si="150"/>
        <v>119663614</v>
      </c>
      <c r="AA147" s="1049">
        <f t="shared" si="150"/>
        <v>182923744</v>
      </c>
      <c r="AB147" s="1046">
        <f t="shared" si="150"/>
        <v>60565609</v>
      </c>
      <c r="AC147" s="1047">
        <f t="shared" si="150"/>
        <v>117521213</v>
      </c>
      <c r="AD147" s="1048">
        <f t="shared" si="150"/>
        <v>178086822</v>
      </c>
      <c r="AE147" s="1046">
        <f t="shared" si="150"/>
        <v>58554709</v>
      </c>
      <c r="AF147" s="1047">
        <f t="shared" si="150"/>
        <v>75748622</v>
      </c>
      <c r="AG147" s="1048">
        <f t="shared" si="150"/>
        <v>134303331</v>
      </c>
      <c r="AH147" s="1046">
        <f t="shared" si="150"/>
        <v>1484280962</v>
      </c>
      <c r="AI147" s="1047">
        <f t="shared" si="150"/>
        <v>1489117884</v>
      </c>
      <c r="AJ147" s="1048">
        <f t="shared" si="150"/>
        <v>1532901375</v>
      </c>
      <c r="AK147" s="909"/>
      <c r="AL147" s="1050">
        <f>SUM(AL148:AL149)+AL153</f>
        <v>-261397350</v>
      </c>
      <c r="AM147" s="1048">
        <f>SUM(AM148:AM149)+AM153</f>
        <v>0</v>
      </c>
      <c r="AN147" s="909"/>
    </row>
    <row r="148" spans="1:40" s="1035" customFormat="1" ht="24.95" customHeight="1">
      <c r="A148" s="1274"/>
      <c r="B148" s="1275"/>
      <c r="N148" s="909"/>
      <c r="R148" s="909"/>
      <c r="S148" s="1083">
        <f>+IF(ENERO!S148=0,"",ENERO!S148)</f>
        <v>2020101</v>
      </c>
      <c r="T148" s="1084" t="str">
        <f>+IF(ENERO!T148=0,"",ENERO!T148)</f>
        <v>Mantenimiento Hospitalario</v>
      </c>
      <c r="U148" s="1085">
        <f>+ENERO!U148</f>
        <v>780530606</v>
      </c>
      <c r="V148" s="1033">
        <f>ENERO!V148+FEBRERO!AL148</f>
        <v>0</v>
      </c>
      <c r="W148" s="1033">
        <f>ENERO!W148+FEBRERO!AM148</f>
        <v>0</v>
      </c>
      <c r="X148" s="1086">
        <f>SUM(U148:W148)</f>
        <v>780530606</v>
      </c>
      <c r="Y148" s="1087">
        <f>ENERO!AA148</f>
        <v>2827446</v>
      </c>
      <c r="Z148" s="1020">
        <v>1016300</v>
      </c>
      <c r="AA148" s="1088">
        <f>SUM(Y148:Z148)</f>
        <v>3843746</v>
      </c>
      <c r="AB148" s="1087">
        <f>ENERO!AD148</f>
        <v>2827446</v>
      </c>
      <c r="AC148" s="1020">
        <v>171000</v>
      </c>
      <c r="AD148" s="1086">
        <f>SUM(AB148:AC148)</f>
        <v>2998446</v>
      </c>
      <c r="AE148" s="1087">
        <f>ENERO!AG148</f>
        <v>1625546</v>
      </c>
      <c r="AF148" s="1020">
        <v>0</v>
      </c>
      <c r="AG148" s="1086">
        <f>SUM(AE148:AF148)</f>
        <v>1625546</v>
      </c>
      <c r="AH148" s="1087">
        <f>X148-AA148</f>
        <v>776686860</v>
      </c>
      <c r="AI148" s="1033">
        <f>X148-AD148</f>
        <v>777532160</v>
      </c>
      <c r="AJ148" s="1086">
        <f>X148-AG148</f>
        <v>778905060</v>
      </c>
      <c r="AK148" s="909"/>
      <c r="AL148" s="1089">
        <v>0</v>
      </c>
      <c r="AM148" s="1023">
        <v>0</v>
      </c>
      <c r="AN148" s="909"/>
    </row>
    <row r="149" spans="1:40" s="1035" customFormat="1" ht="24.95" customHeight="1">
      <c r="A149" s="1274"/>
      <c r="B149" s="1275"/>
      <c r="N149" s="909"/>
      <c r="R149" s="909"/>
      <c r="S149" s="1083">
        <f>+IF(ENERO!S149=0,"",ENERO!S149)</f>
        <v>2020102</v>
      </c>
      <c r="T149" s="1084" t="str">
        <f>+IF(ENERO!T149=0,"",ENERO!T149)</f>
        <v>Otros</v>
      </c>
      <c r="U149" s="1085">
        <f t="shared" ref="U149:AJ149" si="151">SUM(U150:U152)</f>
        <v>1098071450</v>
      </c>
      <c r="V149" s="1033">
        <f t="shared" si="151"/>
        <v>-343748622</v>
      </c>
      <c r="W149" s="1033">
        <f t="shared" si="151"/>
        <v>0</v>
      </c>
      <c r="X149" s="1086">
        <f t="shared" si="151"/>
        <v>754322828</v>
      </c>
      <c r="Y149" s="1087">
        <f t="shared" si="151"/>
        <v>3830034</v>
      </c>
      <c r="Z149" s="1198">
        <f t="shared" si="151"/>
        <v>42898692</v>
      </c>
      <c r="AA149" s="1088">
        <f t="shared" si="151"/>
        <v>46728726</v>
      </c>
      <c r="AB149" s="1087">
        <f t="shared" si="151"/>
        <v>1135513</v>
      </c>
      <c r="AC149" s="1198">
        <f t="shared" si="151"/>
        <v>41601591</v>
      </c>
      <c r="AD149" s="1086">
        <f t="shared" si="151"/>
        <v>42737104</v>
      </c>
      <c r="AE149" s="1087">
        <f t="shared" si="151"/>
        <v>326513</v>
      </c>
      <c r="AF149" s="1198">
        <f t="shared" si="151"/>
        <v>0</v>
      </c>
      <c r="AG149" s="1086">
        <f t="shared" si="151"/>
        <v>326513</v>
      </c>
      <c r="AH149" s="1087">
        <f t="shared" si="151"/>
        <v>707594102</v>
      </c>
      <c r="AI149" s="1033">
        <f t="shared" si="151"/>
        <v>711585724</v>
      </c>
      <c r="AJ149" s="1086">
        <f t="shared" si="151"/>
        <v>753996315</v>
      </c>
      <c r="AK149" s="909"/>
      <c r="AL149" s="1117">
        <f>SUM(AL150:AL152)</f>
        <v>-343748622</v>
      </c>
      <c r="AM149" s="1118">
        <f>SUM(AM150:AM152)</f>
        <v>0</v>
      </c>
      <c r="AN149" s="909"/>
    </row>
    <row r="150" spans="1:40" s="1035" customFormat="1" ht="24.95" customHeight="1">
      <c r="A150" s="1274"/>
      <c r="B150" s="1275"/>
      <c r="N150" s="909"/>
      <c r="R150" s="909"/>
      <c r="S150" s="1130" t="str">
        <f>+IF(ENERO!S150=0,"",ENERO!S150)</f>
        <v>2020102-1</v>
      </c>
      <c r="T150" s="1084" t="str">
        <f>+IF(ENERO!T150=0,"",ENERO!T150)</f>
        <v>Compra de Equipo e Instr. Mco. y Laborat.</v>
      </c>
      <c r="U150" s="1085">
        <f>+ENERO!U150</f>
        <v>514625084</v>
      </c>
      <c r="V150" s="1033">
        <f>ENERO!V150+FEBRERO!AL150</f>
        <v>-339050000</v>
      </c>
      <c r="W150" s="1033">
        <f>ENERO!W150+FEBRERO!AM150</f>
        <v>0</v>
      </c>
      <c r="X150" s="1086">
        <f>SUM(U150:W150)</f>
        <v>175575084</v>
      </c>
      <c r="Y150" s="1087">
        <f>ENERO!AA150</f>
        <v>3503521</v>
      </c>
      <c r="Z150" s="1020">
        <v>5202407</v>
      </c>
      <c r="AA150" s="1088">
        <f>SUM(Y150:Z150)</f>
        <v>8705928</v>
      </c>
      <c r="AB150" s="1087">
        <f>ENERO!AD150</f>
        <v>809000</v>
      </c>
      <c r="AC150" s="1020">
        <v>5202407</v>
      </c>
      <c r="AD150" s="1086">
        <f>SUM(AB150:AC150)</f>
        <v>6011407</v>
      </c>
      <c r="AE150" s="1087">
        <f>ENERO!AG150</f>
        <v>0</v>
      </c>
      <c r="AF150" s="1020">
        <v>0</v>
      </c>
      <c r="AG150" s="1086">
        <f>SUM(AE150:AF150)</f>
        <v>0</v>
      </c>
      <c r="AH150" s="1087">
        <f>X150-AA150</f>
        <v>166869156</v>
      </c>
      <c r="AI150" s="1033">
        <f>X150-AD150</f>
        <v>169563677</v>
      </c>
      <c r="AJ150" s="1086">
        <f>X150-AG150</f>
        <v>175575084</v>
      </c>
      <c r="AK150" s="909"/>
      <c r="AL150" s="1089">
        <v>-339050000</v>
      </c>
      <c r="AM150" s="1023">
        <v>0</v>
      </c>
      <c r="AN150" s="909"/>
    </row>
    <row r="151" spans="1:40" s="1035" customFormat="1" ht="24.95" customHeight="1">
      <c r="A151" s="1274"/>
      <c r="B151" s="1275"/>
      <c r="N151" s="909"/>
      <c r="R151" s="909"/>
      <c r="S151" s="1130" t="str">
        <f>+IF(ENERO!S151=0,"",ENERO!S151)</f>
        <v>2020102-2</v>
      </c>
      <c r="T151" s="1084" t="str">
        <f>+IF(ENERO!T151=0,"",ENERO!T151)</f>
        <v>Materiales</v>
      </c>
      <c r="U151" s="1085">
        <f>+ENERO!U151</f>
        <v>583446366</v>
      </c>
      <c r="V151" s="1033">
        <f>ENERO!V151+FEBRERO!AL151</f>
        <v>-4698622</v>
      </c>
      <c r="W151" s="1033">
        <f>ENERO!W151+FEBRERO!AM151</f>
        <v>0</v>
      </c>
      <c r="X151" s="1086">
        <f>SUM(U151:W151)</f>
        <v>578747744</v>
      </c>
      <c r="Y151" s="1087">
        <f>ENERO!AA151</f>
        <v>326513</v>
      </c>
      <c r="Z151" s="1020">
        <v>37696285</v>
      </c>
      <c r="AA151" s="1088">
        <f>SUM(Y151:Z151)</f>
        <v>38022798</v>
      </c>
      <c r="AB151" s="1087">
        <f>ENERO!AD151</f>
        <v>326513</v>
      </c>
      <c r="AC151" s="1020">
        <v>36399184</v>
      </c>
      <c r="AD151" s="1086">
        <f>SUM(AB151:AC151)</f>
        <v>36725697</v>
      </c>
      <c r="AE151" s="1087">
        <f>ENERO!AG151</f>
        <v>326513</v>
      </c>
      <c r="AF151" s="1020">
        <v>0</v>
      </c>
      <c r="AG151" s="1086">
        <f>SUM(AE151:AF151)</f>
        <v>326513</v>
      </c>
      <c r="AH151" s="1087">
        <f>X151-AA151</f>
        <v>540724946</v>
      </c>
      <c r="AI151" s="1033">
        <f>X151-AD151</f>
        <v>542022047</v>
      </c>
      <c r="AJ151" s="1086">
        <f>X151-AG151</f>
        <v>578421231</v>
      </c>
      <c r="AK151" s="909"/>
      <c r="AL151" s="1089">
        <v>-4698622</v>
      </c>
      <c r="AM151" s="1023">
        <v>0</v>
      </c>
      <c r="AN151" s="909"/>
    </row>
    <row r="152" spans="1:40" s="1035" customFormat="1" ht="24.95" customHeight="1">
      <c r="A152" s="1274"/>
      <c r="B152" s="1275"/>
      <c r="N152" s="909"/>
      <c r="R152" s="909"/>
      <c r="S152" s="1130" t="str">
        <f>+IF(ENERO!S152=0,"",ENERO!S152)</f>
        <v>2020102-3</v>
      </c>
      <c r="T152" s="1084" t="str">
        <f>+IF(ENERO!T152=0,"",ENERO!T152)</f>
        <v/>
      </c>
      <c r="U152" s="1085">
        <f>+ENERO!U152</f>
        <v>0</v>
      </c>
      <c r="V152" s="1033">
        <f>ENERO!V152+FEBRERO!AL152</f>
        <v>0</v>
      </c>
      <c r="W152" s="1033">
        <f>ENERO!W152+FEBRERO!AM152</f>
        <v>0</v>
      </c>
      <c r="X152" s="1086">
        <f>SUM(U152:W152)</f>
        <v>0</v>
      </c>
      <c r="Y152" s="1087">
        <f>ENERO!AA152</f>
        <v>0</v>
      </c>
      <c r="Z152" s="1020">
        <v>0</v>
      </c>
      <c r="AA152" s="1088">
        <f>SUM(Y152:Z152)</f>
        <v>0</v>
      </c>
      <c r="AB152" s="1087">
        <f>ENERO!AD152</f>
        <v>0</v>
      </c>
      <c r="AC152" s="1020">
        <v>0</v>
      </c>
      <c r="AD152" s="1086">
        <f>SUM(AB152:AC152)</f>
        <v>0</v>
      </c>
      <c r="AE152" s="1087">
        <f>ENERO!AG152</f>
        <v>0</v>
      </c>
      <c r="AF152" s="1020">
        <v>0</v>
      </c>
      <c r="AG152" s="1086">
        <f>SUM(AE152:AF152)</f>
        <v>0</v>
      </c>
      <c r="AH152" s="1087">
        <f>X152-AA152</f>
        <v>0</v>
      </c>
      <c r="AI152" s="1033">
        <f>X152-AD152</f>
        <v>0</v>
      </c>
      <c r="AJ152" s="1086">
        <f>X152-AG152</f>
        <v>0</v>
      </c>
      <c r="AK152" s="909"/>
      <c r="AL152" s="1089">
        <v>0</v>
      </c>
      <c r="AM152" s="1023">
        <v>0</v>
      </c>
      <c r="AN152" s="909"/>
    </row>
    <row r="153" spans="1:40" s="1035" customFormat="1" ht="24.95" customHeight="1">
      <c r="A153" s="1274"/>
      <c r="B153" s="1275"/>
      <c r="N153" s="909"/>
      <c r="R153" s="909"/>
      <c r="S153" s="1083">
        <f>+IF(ENERO!S153=0,"",ENERO!S153)</f>
        <v>2020199</v>
      </c>
      <c r="T153" s="1084" t="str">
        <f>+IF(ENERO!T153=0,"",ENERO!T153)</f>
        <v>Vigencias Anteriores</v>
      </c>
      <c r="U153" s="1085">
        <f>+ENERO!U153</f>
        <v>0</v>
      </c>
      <c r="V153" s="1033">
        <f>ENERO!V153+FEBRERO!AL153</f>
        <v>82351272</v>
      </c>
      <c r="W153" s="1033">
        <f>ENERO!W153+FEBRERO!AM153</f>
        <v>50000000</v>
      </c>
      <c r="X153" s="1086">
        <f>SUM(U153:W153)</f>
        <v>132351272</v>
      </c>
      <c r="Y153" s="1087">
        <f>ENERO!AA153</f>
        <v>56602650</v>
      </c>
      <c r="Z153" s="1020">
        <v>75748622</v>
      </c>
      <c r="AA153" s="1088">
        <f>SUM(Y153:Z153)</f>
        <v>132351272</v>
      </c>
      <c r="AB153" s="1087">
        <f>ENERO!AD153</f>
        <v>56602650</v>
      </c>
      <c r="AC153" s="1020">
        <v>75748622</v>
      </c>
      <c r="AD153" s="1086">
        <f>SUM(AB153:AC153)</f>
        <v>132351272</v>
      </c>
      <c r="AE153" s="1087">
        <f>ENERO!AG153</f>
        <v>56602650</v>
      </c>
      <c r="AF153" s="1020">
        <v>75748622</v>
      </c>
      <c r="AG153" s="1086">
        <f>SUM(AE153:AF153)</f>
        <v>132351272</v>
      </c>
      <c r="AH153" s="1087">
        <f>X153-AA153</f>
        <v>0</v>
      </c>
      <c r="AI153" s="1033">
        <f>X153-AD153</f>
        <v>0</v>
      </c>
      <c r="AJ153" s="1086">
        <f>X153-AG153</f>
        <v>0</v>
      </c>
      <c r="AK153" s="909"/>
      <c r="AL153" s="1089">
        <f>8000000-1397350+75748622</f>
        <v>82351272</v>
      </c>
      <c r="AM153" s="1023">
        <v>0</v>
      </c>
      <c r="AN153" s="909"/>
    </row>
    <row r="154" spans="1:40" s="1035" customFormat="1" ht="24.95" customHeight="1">
      <c r="A154" s="1274"/>
      <c r="B154" s="1275"/>
      <c r="N154" s="909"/>
      <c r="R154" s="909"/>
      <c r="S154" s="1000" t="str">
        <f>+IF(ENERO!S154=0,"",ENERO!S154)</f>
        <v/>
      </c>
      <c r="T154" s="1001" t="str">
        <f>+IF(ENERO!T154=0,"",ENERO!T154)</f>
        <v/>
      </c>
      <c r="U154" s="1002"/>
      <c r="V154" s="1003"/>
      <c r="W154" s="1003"/>
      <c r="X154" s="1004"/>
      <c r="Y154" s="1002"/>
      <c r="Z154" s="1003"/>
      <c r="AA154" s="1003"/>
      <c r="AB154" s="1002"/>
      <c r="AC154" s="1003"/>
      <c r="AD154" s="1004"/>
      <c r="AE154" s="1002"/>
      <c r="AF154" s="1003"/>
      <c r="AG154" s="1004"/>
      <c r="AH154" s="1002"/>
      <c r="AI154" s="1003"/>
      <c r="AJ154" s="1004"/>
      <c r="AK154" s="909"/>
      <c r="AL154" s="1195"/>
      <c r="AM154" s="1196"/>
      <c r="AN154" s="909"/>
    </row>
    <row r="155" spans="1:40" s="1035" customFormat="1" ht="24.95" customHeight="1">
      <c r="A155" s="1274"/>
      <c r="B155" s="1275"/>
      <c r="N155" s="909"/>
      <c r="R155" s="909"/>
      <c r="S155" s="1073">
        <f>+IF(ENERO!S155=0,"",ENERO!S155)</f>
        <v>2020200</v>
      </c>
      <c r="T155" s="1074" t="str">
        <f>+IF(ENERO!T155=0,"",ENERO!T155)</f>
        <v>Adquisición de Servicios</v>
      </c>
      <c r="U155" s="1046">
        <f t="shared" ref="U155:AJ155" si="152">SUM(U156:U157)+U168</f>
        <v>780530606</v>
      </c>
      <c r="V155" s="1047">
        <f t="shared" si="152"/>
        <v>0</v>
      </c>
      <c r="W155" s="1047">
        <f t="shared" si="152"/>
        <v>0</v>
      </c>
      <c r="X155" s="1048">
        <f t="shared" si="152"/>
        <v>780530606</v>
      </c>
      <c r="Y155" s="1046">
        <f t="shared" si="152"/>
        <v>432375328</v>
      </c>
      <c r="Z155" s="1047">
        <f t="shared" si="152"/>
        <v>215788288</v>
      </c>
      <c r="AA155" s="1049">
        <f t="shared" si="152"/>
        <v>648163616</v>
      </c>
      <c r="AB155" s="1046">
        <f t="shared" si="152"/>
        <v>42428165</v>
      </c>
      <c r="AC155" s="1047">
        <f t="shared" si="152"/>
        <v>56651211</v>
      </c>
      <c r="AD155" s="1048">
        <f t="shared" si="152"/>
        <v>99079376</v>
      </c>
      <c r="AE155" s="1046">
        <f t="shared" si="152"/>
        <v>4959801</v>
      </c>
      <c r="AF155" s="1047">
        <f t="shared" si="152"/>
        <v>36183173</v>
      </c>
      <c r="AG155" s="1048">
        <f t="shared" si="152"/>
        <v>41142974</v>
      </c>
      <c r="AH155" s="1046">
        <f t="shared" si="152"/>
        <v>132366990</v>
      </c>
      <c r="AI155" s="1047">
        <f t="shared" si="152"/>
        <v>681451230</v>
      </c>
      <c r="AJ155" s="1048">
        <f t="shared" si="152"/>
        <v>739387632</v>
      </c>
      <c r="AK155" s="909"/>
      <c r="AL155" s="1050">
        <f>SUM(AL156:AL157)+AL168</f>
        <v>0</v>
      </c>
      <c r="AM155" s="1048">
        <f>SUM(AM156:AM157)+AM168</f>
        <v>0</v>
      </c>
      <c r="AN155" s="909"/>
    </row>
    <row r="156" spans="1:40" s="1035" customFormat="1" ht="24.95" customHeight="1">
      <c r="A156" s="1274"/>
      <c r="B156" s="1275"/>
      <c r="N156" s="909"/>
      <c r="P156" s="909"/>
      <c r="Q156" s="909"/>
      <c r="R156" s="909"/>
      <c r="S156" s="1083">
        <f>+IF(ENERO!S156=0,"",ENERO!S156)</f>
        <v>2020201</v>
      </c>
      <c r="T156" s="1084" t="str">
        <f>+IF(ENERO!T156=0,"",ENERO!T156)</f>
        <v>Mantenimiento Hospitalario</v>
      </c>
      <c r="U156" s="1085">
        <f>+ENERO!U156</f>
        <v>780530606</v>
      </c>
      <c r="V156" s="1033">
        <f>ENERO!V156+FEBRERO!AL156</f>
        <v>-24000000</v>
      </c>
      <c r="W156" s="1033">
        <f>ENERO!W156+FEBRERO!AM156</f>
        <v>0</v>
      </c>
      <c r="X156" s="1086">
        <f>SUM(U156:W156)</f>
        <v>756530606</v>
      </c>
      <c r="Y156" s="1087">
        <f>ENERO!AA156</f>
        <v>432375328</v>
      </c>
      <c r="Z156" s="1020">
        <v>192259278</v>
      </c>
      <c r="AA156" s="1088">
        <f>SUM(Y156:Z156)</f>
        <v>624634606</v>
      </c>
      <c r="AB156" s="1087">
        <f>ENERO!AD156</f>
        <v>42428165</v>
      </c>
      <c r="AC156" s="1020">
        <v>33122201</v>
      </c>
      <c r="AD156" s="1086">
        <f>SUM(AB156:AC156)</f>
        <v>75550366</v>
      </c>
      <c r="AE156" s="1087">
        <f>ENERO!AG156</f>
        <v>4959801</v>
      </c>
      <c r="AF156" s="1020">
        <v>12654163</v>
      </c>
      <c r="AG156" s="1086">
        <f>SUM(AE156:AF156)</f>
        <v>17613964</v>
      </c>
      <c r="AH156" s="1087">
        <f>X156-AA156</f>
        <v>131896000</v>
      </c>
      <c r="AI156" s="1033">
        <f>X156-AD156</f>
        <v>680980240</v>
      </c>
      <c r="AJ156" s="1086">
        <f>X156-AG156</f>
        <v>738916642</v>
      </c>
      <c r="AK156" s="909"/>
      <c r="AL156" s="1089">
        <v>-24000000</v>
      </c>
      <c r="AM156" s="1023">
        <v>0</v>
      </c>
      <c r="AN156" s="909"/>
    </row>
    <row r="157" spans="1:40" s="1035" customFormat="1" ht="24.95" customHeight="1">
      <c r="A157" s="1274"/>
      <c r="B157" s="1275"/>
      <c r="N157" s="909"/>
      <c r="P157" s="909"/>
      <c r="Q157" s="909"/>
      <c r="R157" s="909"/>
      <c r="S157" s="1083">
        <f>+IF(ENERO!S157=0,"",ENERO!S157)</f>
        <v>2020202</v>
      </c>
      <c r="T157" s="1084" t="str">
        <f>+IF(ENERO!T157=0,"",ENERO!T157)</f>
        <v>Otros</v>
      </c>
      <c r="U157" s="1085">
        <f>SUM(U158:U167)</f>
        <v>0</v>
      </c>
      <c r="V157" s="1033">
        <f>SUM(V158:V167)</f>
        <v>0</v>
      </c>
      <c r="W157" s="1033">
        <f t="shared" ref="W157:AJ157" si="153">SUM(W158:W167)</f>
        <v>0</v>
      </c>
      <c r="X157" s="1086">
        <f t="shared" si="153"/>
        <v>0</v>
      </c>
      <c r="Y157" s="1087">
        <f t="shared" si="153"/>
        <v>0</v>
      </c>
      <c r="Z157" s="1033">
        <f t="shared" si="153"/>
        <v>0</v>
      </c>
      <c r="AA157" s="1088">
        <f t="shared" si="153"/>
        <v>0</v>
      </c>
      <c r="AB157" s="1087">
        <f t="shared" si="153"/>
        <v>0</v>
      </c>
      <c r="AC157" s="1033">
        <f t="shared" si="153"/>
        <v>0</v>
      </c>
      <c r="AD157" s="1086">
        <f t="shared" si="153"/>
        <v>0</v>
      </c>
      <c r="AE157" s="1087">
        <f t="shared" si="153"/>
        <v>0</v>
      </c>
      <c r="AF157" s="1033">
        <f t="shared" si="153"/>
        <v>0</v>
      </c>
      <c r="AG157" s="1086">
        <f t="shared" si="153"/>
        <v>0</v>
      </c>
      <c r="AH157" s="1087">
        <f t="shared" si="153"/>
        <v>0</v>
      </c>
      <c r="AI157" s="1033">
        <f t="shared" si="153"/>
        <v>0</v>
      </c>
      <c r="AJ157" s="1086">
        <f t="shared" si="153"/>
        <v>0</v>
      </c>
      <c r="AK157" s="1029"/>
      <c r="AL157" s="1117">
        <f>SUM(AL158:AL167)</f>
        <v>0</v>
      </c>
      <c r="AM157" s="1118">
        <f>SUM(AM158:AM167)</f>
        <v>0</v>
      </c>
      <c r="AN157" s="909"/>
    </row>
    <row r="158" spans="1:40" s="1035" customFormat="1" ht="24.95" customHeight="1">
      <c r="A158" s="1274"/>
      <c r="B158" s="1275"/>
      <c r="N158" s="909"/>
      <c r="P158" s="909"/>
      <c r="Q158" s="909"/>
      <c r="R158" s="909"/>
      <c r="S158" s="1130" t="str">
        <f>+IF(ENERO!S158=0,"",ENERO!S158)</f>
        <v>2020202-1</v>
      </c>
      <c r="T158" s="1131" t="str">
        <f>+IF(ENERO!T158=0,"",ENERO!T158)</f>
        <v>Seguros</v>
      </c>
      <c r="U158" s="1085">
        <f>+ENERO!U158</f>
        <v>0</v>
      </c>
      <c r="V158" s="1033">
        <f>ENERO!V158+FEBRERO!AL158</f>
        <v>0</v>
      </c>
      <c r="W158" s="1033">
        <f>ENERO!W158+FEBRERO!AM158</f>
        <v>0</v>
      </c>
      <c r="X158" s="1086">
        <f t="shared" ref="X158:X168" si="154">SUM(U158:W158)</f>
        <v>0</v>
      </c>
      <c r="Y158" s="1087">
        <f>ENERO!AA158</f>
        <v>0</v>
      </c>
      <c r="Z158" s="1020">
        <v>0</v>
      </c>
      <c r="AA158" s="1088">
        <f t="shared" ref="AA158:AA168" si="155">SUM(Y158:Z158)</f>
        <v>0</v>
      </c>
      <c r="AB158" s="1087">
        <f>ENERO!AD158</f>
        <v>0</v>
      </c>
      <c r="AC158" s="1020">
        <v>0</v>
      </c>
      <c r="AD158" s="1086">
        <f t="shared" ref="AD158:AD168" si="156">SUM(AB158:AC158)</f>
        <v>0</v>
      </c>
      <c r="AE158" s="1087">
        <f>ENERO!AG158</f>
        <v>0</v>
      </c>
      <c r="AF158" s="1020">
        <v>0</v>
      </c>
      <c r="AG158" s="1086">
        <f t="shared" ref="AG158:AG168" si="157">SUM(AE158:AF158)</f>
        <v>0</v>
      </c>
      <c r="AH158" s="1087">
        <f t="shared" ref="AH158:AH168" si="158">X158-AA158</f>
        <v>0</v>
      </c>
      <c r="AI158" s="1033">
        <f t="shared" ref="AI158:AI168" si="159">X158-AD158</f>
        <v>0</v>
      </c>
      <c r="AJ158" s="1086">
        <f t="shared" ref="AJ158:AJ168" si="160">X158-AG158</f>
        <v>0</v>
      </c>
      <c r="AK158" s="909"/>
      <c r="AL158" s="1089">
        <v>0</v>
      </c>
      <c r="AM158" s="1023">
        <v>0</v>
      </c>
      <c r="AN158" s="909"/>
    </row>
    <row r="159" spans="1:40" s="1035" customFormat="1" ht="24.95" customHeight="1">
      <c r="A159" s="1274"/>
      <c r="B159" s="1275"/>
      <c r="N159" s="909"/>
      <c r="P159" s="909"/>
      <c r="Q159" s="909"/>
      <c r="R159" s="909"/>
      <c r="S159" s="1130" t="str">
        <f>+IF(ENERO!S159=0,"",ENERO!S159)</f>
        <v>2020202-2</v>
      </c>
      <c r="T159" s="1131" t="str">
        <f>+IF(ENERO!T159=0,"",ENERO!T159)</f>
        <v>Impresos y Publicaciones</v>
      </c>
      <c r="U159" s="1085">
        <f>+ENERO!U159</f>
        <v>0</v>
      </c>
      <c r="V159" s="1033">
        <f>ENERO!V159+FEBRERO!AL159</f>
        <v>0</v>
      </c>
      <c r="W159" s="1033">
        <f>ENERO!W159+FEBRERO!AM159</f>
        <v>0</v>
      </c>
      <c r="X159" s="1086">
        <f t="shared" si="154"/>
        <v>0</v>
      </c>
      <c r="Y159" s="1087">
        <f>ENERO!AA159</f>
        <v>0</v>
      </c>
      <c r="Z159" s="1020">
        <v>0</v>
      </c>
      <c r="AA159" s="1088">
        <f t="shared" si="155"/>
        <v>0</v>
      </c>
      <c r="AB159" s="1087">
        <f>ENERO!AD159</f>
        <v>0</v>
      </c>
      <c r="AC159" s="1020">
        <v>0</v>
      </c>
      <c r="AD159" s="1086">
        <f t="shared" si="156"/>
        <v>0</v>
      </c>
      <c r="AE159" s="1087">
        <f>ENERO!AG159</f>
        <v>0</v>
      </c>
      <c r="AF159" s="1020">
        <v>0</v>
      </c>
      <c r="AG159" s="1086">
        <f t="shared" si="157"/>
        <v>0</v>
      </c>
      <c r="AH159" s="1087">
        <f t="shared" si="158"/>
        <v>0</v>
      </c>
      <c r="AI159" s="1033">
        <f t="shared" si="159"/>
        <v>0</v>
      </c>
      <c r="AJ159" s="1086">
        <f t="shared" si="160"/>
        <v>0</v>
      </c>
      <c r="AK159" s="909"/>
      <c r="AL159" s="1089">
        <v>0</v>
      </c>
      <c r="AM159" s="1023">
        <v>0</v>
      </c>
      <c r="AN159" s="909"/>
    </row>
    <row r="160" spans="1:40" s="1035" customFormat="1" ht="24.95" customHeight="1">
      <c r="A160" s="1274"/>
      <c r="B160" s="1275"/>
      <c r="N160" s="909"/>
      <c r="P160" s="909"/>
      <c r="Q160" s="909"/>
      <c r="R160" s="909"/>
      <c r="S160" s="1130" t="str">
        <f>+IF(ENERO!S160=0,"",ENERO!S160)</f>
        <v>2020202-3</v>
      </c>
      <c r="T160" s="1131" t="str">
        <f>+IF(ENERO!T160=0,"",ENERO!T160)</f>
        <v>Pago a otras IPS</v>
      </c>
      <c r="U160" s="1085">
        <f>+ENERO!U160</f>
        <v>0</v>
      </c>
      <c r="V160" s="1033">
        <f>ENERO!V160+FEBRERO!AL160</f>
        <v>0</v>
      </c>
      <c r="W160" s="1033">
        <f>ENERO!W160+FEBRERO!AM160</f>
        <v>0</v>
      </c>
      <c r="X160" s="1086">
        <f t="shared" si="154"/>
        <v>0</v>
      </c>
      <c r="Y160" s="1087">
        <f>ENERO!AA160</f>
        <v>0</v>
      </c>
      <c r="Z160" s="1020">
        <v>0</v>
      </c>
      <c r="AA160" s="1088">
        <f t="shared" si="155"/>
        <v>0</v>
      </c>
      <c r="AB160" s="1087">
        <f>ENERO!AD160</f>
        <v>0</v>
      </c>
      <c r="AC160" s="1020">
        <v>0</v>
      </c>
      <c r="AD160" s="1086">
        <f t="shared" si="156"/>
        <v>0</v>
      </c>
      <c r="AE160" s="1087">
        <f>ENERO!AG160</f>
        <v>0</v>
      </c>
      <c r="AF160" s="1020">
        <v>0</v>
      </c>
      <c r="AG160" s="1086">
        <f t="shared" si="157"/>
        <v>0</v>
      </c>
      <c r="AH160" s="1087">
        <f t="shared" si="158"/>
        <v>0</v>
      </c>
      <c r="AI160" s="1033">
        <f t="shared" si="159"/>
        <v>0</v>
      </c>
      <c r="AJ160" s="1086">
        <f t="shared" si="160"/>
        <v>0</v>
      </c>
      <c r="AK160" s="909"/>
      <c r="AL160" s="1089">
        <v>0</v>
      </c>
      <c r="AM160" s="1023">
        <v>0</v>
      </c>
      <c r="AN160" s="909"/>
    </row>
    <row r="161" spans="1:40" s="1035" customFormat="1" ht="24.95" customHeight="1">
      <c r="A161" s="1274"/>
      <c r="B161" s="1275"/>
      <c r="N161" s="909"/>
      <c r="P161" s="909"/>
      <c r="Q161" s="909"/>
      <c r="R161" s="909"/>
      <c r="S161" s="1130" t="str">
        <f>+IF(ENERO!S161=0,"",ENERO!S161)</f>
        <v>2020202-4</v>
      </c>
      <c r="T161" s="1131" t="str">
        <f>+IF(ENERO!T161=0,"",ENERO!T161)</f>
        <v>Comunicaciones y Transportes</v>
      </c>
      <c r="U161" s="1085">
        <f>+ENERO!U161</f>
        <v>0</v>
      </c>
      <c r="V161" s="1033">
        <f>ENERO!V161+FEBRERO!AL161</f>
        <v>0</v>
      </c>
      <c r="W161" s="1033">
        <f>ENERO!W161+FEBRERO!AM161</f>
        <v>0</v>
      </c>
      <c r="X161" s="1086">
        <f t="shared" si="154"/>
        <v>0</v>
      </c>
      <c r="Y161" s="1087">
        <f>ENERO!AA161</f>
        <v>0</v>
      </c>
      <c r="Z161" s="1020">
        <v>0</v>
      </c>
      <c r="AA161" s="1088">
        <f t="shared" si="155"/>
        <v>0</v>
      </c>
      <c r="AB161" s="1087">
        <f>ENERO!AD161</f>
        <v>0</v>
      </c>
      <c r="AC161" s="1020">
        <v>0</v>
      </c>
      <c r="AD161" s="1086">
        <f t="shared" si="156"/>
        <v>0</v>
      </c>
      <c r="AE161" s="1087">
        <f>ENERO!AG161</f>
        <v>0</v>
      </c>
      <c r="AF161" s="1020">
        <v>0</v>
      </c>
      <c r="AG161" s="1086">
        <f t="shared" si="157"/>
        <v>0</v>
      </c>
      <c r="AH161" s="1087">
        <f t="shared" si="158"/>
        <v>0</v>
      </c>
      <c r="AI161" s="1033">
        <f t="shared" si="159"/>
        <v>0</v>
      </c>
      <c r="AJ161" s="1086">
        <f t="shared" si="160"/>
        <v>0</v>
      </c>
      <c r="AK161" s="909"/>
      <c r="AL161" s="1089">
        <v>0</v>
      </c>
      <c r="AM161" s="1023">
        <v>0</v>
      </c>
      <c r="AN161" s="909"/>
    </row>
    <row r="162" spans="1:40" s="1035" customFormat="1" ht="24.95" customHeight="1">
      <c r="A162" s="1274"/>
      <c r="B162" s="1275"/>
      <c r="N162" s="909"/>
      <c r="P162" s="909"/>
      <c r="Q162" s="909"/>
      <c r="R162" s="909"/>
      <c r="S162" s="1130" t="str">
        <f>+IF(ENERO!S162=0,"",ENERO!S162)</f>
        <v>2020202-5</v>
      </c>
      <c r="T162" s="1131" t="str">
        <f>+IF(ENERO!T162=0,"",ENERO!T162)</f>
        <v>Viáticos y Gastos de Viaje</v>
      </c>
      <c r="U162" s="1085">
        <f>+ENERO!U162</f>
        <v>0</v>
      </c>
      <c r="V162" s="1033">
        <f>ENERO!V162+FEBRERO!AL162</f>
        <v>0</v>
      </c>
      <c r="W162" s="1033">
        <f>ENERO!W162+FEBRERO!AM162</f>
        <v>0</v>
      </c>
      <c r="X162" s="1086">
        <f t="shared" si="154"/>
        <v>0</v>
      </c>
      <c r="Y162" s="1087">
        <f>ENERO!AA162</f>
        <v>0</v>
      </c>
      <c r="Z162" s="1020">
        <v>0</v>
      </c>
      <c r="AA162" s="1088">
        <f t="shared" si="155"/>
        <v>0</v>
      </c>
      <c r="AB162" s="1087">
        <f>ENERO!AD162</f>
        <v>0</v>
      </c>
      <c r="AC162" s="1020">
        <v>0</v>
      </c>
      <c r="AD162" s="1086">
        <f t="shared" si="156"/>
        <v>0</v>
      </c>
      <c r="AE162" s="1087">
        <f>ENERO!AG162</f>
        <v>0</v>
      </c>
      <c r="AF162" s="1020">
        <v>0</v>
      </c>
      <c r="AG162" s="1086">
        <f t="shared" si="157"/>
        <v>0</v>
      </c>
      <c r="AH162" s="1087">
        <f t="shared" si="158"/>
        <v>0</v>
      </c>
      <c r="AI162" s="1033">
        <f t="shared" si="159"/>
        <v>0</v>
      </c>
      <c r="AJ162" s="1086">
        <f t="shared" si="160"/>
        <v>0</v>
      </c>
      <c r="AK162" s="909"/>
      <c r="AL162" s="1089">
        <v>0</v>
      </c>
      <c r="AM162" s="1023">
        <v>0</v>
      </c>
      <c r="AN162" s="909"/>
    </row>
    <row r="163" spans="1:40" s="1035" customFormat="1" ht="24.95" customHeight="1">
      <c r="A163" s="1274"/>
      <c r="B163" s="1275"/>
      <c r="N163" s="909"/>
      <c r="P163" s="909"/>
      <c r="Q163" s="909"/>
      <c r="R163" s="909"/>
      <c r="S163" s="1130" t="str">
        <f>+IF(ENERO!S163=0,"",ENERO!S163)</f>
        <v>2020202-6</v>
      </c>
      <c r="T163" s="1131" t="str">
        <f>+IF(ENERO!T163=0,"",ENERO!T163)</f>
        <v>Plan Integral de Manejo de Residuos Sólidos Hospitalarios</v>
      </c>
      <c r="U163" s="1085">
        <f>+ENERO!U163</f>
        <v>0</v>
      </c>
      <c r="V163" s="1033">
        <f>ENERO!V163+FEBRERO!AL163</f>
        <v>0</v>
      </c>
      <c r="W163" s="1033">
        <f>ENERO!W163+FEBRERO!AM163</f>
        <v>0</v>
      </c>
      <c r="X163" s="1086">
        <f t="shared" si="154"/>
        <v>0</v>
      </c>
      <c r="Y163" s="1087">
        <f>ENERO!AA163</f>
        <v>0</v>
      </c>
      <c r="Z163" s="1020">
        <v>0</v>
      </c>
      <c r="AA163" s="1088">
        <f t="shared" si="155"/>
        <v>0</v>
      </c>
      <c r="AB163" s="1087">
        <f>ENERO!AD163</f>
        <v>0</v>
      </c>
      <c r="AC163" s="1020">
        <v>0</v>
      </c>
      <c r="AD163" s="1086">
        <f t="shared" si="156"/>
        <v>0</v>
      </c>
      <c r="AE163" s="1087">
        <f>ENERO!AG163</f>
        <v>0</v>
      </c>
      <c r="AF163" s="1020">
        <v>0</v>
      </c>
      <c r="AG163" s="1086">
        <f t="shared" si="157"/>
        <v>0</v>
      </c>
      <c r="AH163" s="1087">
        <f t="shared" si="158"/>
        <v>0</v>
      </c>
      <c r="AI163" s="1033">
        <f t="shared" si="159"/>
        <v>0</v>
      </c>
      <c r="AJ163" s="1086">
        <f t="shared" si="160"/>
        <v>0</v>
      </c>
      <c r="AK163" s="909"/>
      <c r="AL163" s="1089">
        <v>0</v>
      </c>
      <c r="AM163" s="1023">
        <v>0</v>
      </c>
      <c r="AN163" s="909"/>
    </row>
    <row r="164" spans="1:40" s="1035" customFormat="1" ht="24.95" customHeight="1">
      <c r="A164" s="1274"/>
      <c r="B164" s="1275"/>
      <c r="N164" s="909"/>
      <c r="P164" s="909"/>
      <c r="Q164" s="909"/>
      <c r="R164" s="909"/>
      <c r="S164" s="1130" t="str">
        <f>+IF(ENERO!S164=0,"",ENERO!S164)</f>
        <v>2020202-7</v>
      </c>
      <c r="T164" s="1131" t="str">
        <f>+IF(ENERO!T164=0,"",ENERO!T164)</f>
        <v>Servicios de Laboratorio contratados con terceros</v>
      </c>
      <c r="U164" s="1085">
        <f>+ENERO!U164</f>
        <v>0</v>
      </c>
      <c r="V164" s="1033">
        <f>ENERO!V164+FEBRERO!AL164</f>
        <v>0</v>
      </c>
      <c r="W164" s="1033">
        <f>ENERO!W164+FEBRERO!AM164</f>
        <v>0</v>
      </c>
      <c r="X164" s="1086">
        <f t="shared" si="154"/>
        <v>0</v>
      </c>
      <c r="Y164" s="1087">
        <f>ENERO!AA164</f>
        <v>0</v>
      </c>
      <c r="Z164" s="1020">
        <v>0</v>
      </c>
      <c r="AA164" s="1088">
        <f t="shared" si="155"/>
        <v>0</v>
      </c>
      <c r="AB164" s="1087">
        <f>ENERO!AD164</f>
        <v>0</v>
      </c>
      <c r="AC164" s="1020">
        <v>0</v>
      </c>
      <c r="AD164" s="1086">
        <f t="shared" si="156"/>
        <v>0</v>
      </c>
      <c r="AE164" s="1087">
        <f>ENERO!AG164</f>
        <v>0</v>
      </c>
      <c r="AF164" s="1020">
        <v>0</v>
      </c>
      <c r="AG164" s="1086">
        <f t="shared" si="157"/>
        <v>0</v>
      </c>
      <c r="AH164" s="1087">
        <f t="shared" si="158"/>
        <v>0</v>
      </c>
      <c r="AI164" s="1033">
        <f t="shared" si="159"/>
        <v>0</v>
      </c>
      <c r="AJ164" s="1086">
        <f t="shared" si="160"/>
        <v>0</v>
      </c>
      <c r="AK164" s="909"/>
      <c r="AL164" s="1089">
        <v>0</v>
      </c>
      <c r="AM164" s="1023">
        <v>0</v>
      </c>
      <c r="AN164" s="909"/>
    </row>
    <row r="165" spans="1:40" s="1035" customFormat="1" ht="24.95" customHeight="1">
      <c r="A165" s="1274"/>
      <c r="B165" s="1275"/>
      <c r="N165" s="909"/>
      <c r="P165" s="909"/>
      <c r="Q165" s="909"/>
      <c r="R165" s="909"/>
      <c r="S165" s="1130" t="str">
        <f>+IF(ENERO!S165=0,"",ENERO!S165)</f>
        <v>2020202-8</v>
      </c>
      <c r="T165" s="1131" t="str">
        <f>+IF(ENERO!T165=0,"",ENERO!T165)</f>
        <v>Servicios de Rayos X e Imaginología contratado con terceros</v>
      </c>
      <c r="U165" s="1085">
        <f>+ENERO!U165</f>
        <v>0</v>
      </c>
      <c r="V165" s="1033">
        <f>ENERO!V165+FEBRERO!AL165</f>
        <v>0</v>
      </c>
      <c r="W165" s="1033">
        <f>ENERO!W165+FEBRERO!AM165</f>
        <v>0</v>
      </c>
      <c r="X165" s="1086">
        <f t="shared" si="154"/>
        <v>0</v>
      </c>
      <c r="Y165" s="1087">
        <f>ENERO!AA165</f>
        <v>0</v>
      </c>
      <c r="Z165" s="1020">
        <v>0</v>
      </c>
      <c r="AA165" s="1088">
        <f t="shared" si="155"/>
        <v>0</v>
      </c>
      <c r="AB165" s="1087">
        <f>ENERO!AD165</f>
        <v>0</v>
      </c>
      <c r="AC165" s="1020">
        <v>0</v>
      </c>
      <c r="AD165" s="1086">
        <f t="shared" si="156"/>
        <v>0</v>
      </c>
      <c r="AE165" s="1087">
        <f>ENERO!AG165</f>
        <v>0</v>
      </c>
      <c r="AF165" s="1020">
        <v>0</v>
      </c>
      <c r="AG165" s="1086">
        <f t="shared" si="157"/>
        <v>0</v>
      </c>
      <c r="AH165" s="1087">
        <f t="shared" si="158"/>
        <v>0</v>
      </c>
      <c r="AI165" s="1033">
        <f t="shared" si="159"/>
        <v>0</v>
      </c>
      <c r="AJ165" s="1086">
        <f t="shared" si="160"/>
        <v>0</v>
      </c>
      <c r="AK165" s="909"/>
      <c r="AL165" s="1089">
        <v>0</v>
      </c>
      <c r="AM165" s="1023">
        <v>0</v>
      </c>
      <c r="AN165" s="909"/>
    </row>
    <row r="166" spans="1:40" s="1035" customFormat="1" ht="24.95" customHeight="1">
      <c r="A166" s="1274"/>
      <c r="B166" s="1275"/>
      <c r="N166" s="909"/>
      <c r="P166" s="909"/>
      <c r="Q166" s="909"/>
      <c r="R166" s="909"/>
      <c r="S166" s="1130" t="str">
        <f>+IF(ENERO!S166=0,"",ENERO!S166)</f>
        <v>2020202-9</v>
      </c>
      <c r="T166" s="1131" t="str">
        <f>+IF(ENERO!T166=0,"",ENERO!T166)</f>
        <v>Arrendamientos</v>
      </c>
      <c r="U166" s="1085">
        <f>+ENERO!U166</f>
        <v>0</v>
      </c>
      <c r="V166" s="1033">
        <f>ENERO!V166+FEBRERO!AL166</f>
        <v>0</v>
      </c>
      <c r="W166" s="1033">
        <f>ENERO!W166+FEBRERO!AM166</f>
        <v>0</v>
      </c>
      <c r="X166" s="1086">
        <f t="shared" si="154"/>
        <v>0</v>
      </c>
      <c r="Y166" s="1087">
        <f>ENERO!AA166</f>
        <v>0</v>
      </c>
      <c r="Z166" s="1020">
        <v>0</v>
      </c>
      <c r="AA166" s="1088">
        <f t="shared" si="155"/>
        <v>0</v>
      </c>
      <c r="AB166" s="1087">
        <f>ENERO!AD166</f>
        <v>0</v>
      </c>
      <c r="AC166" s="1020">
        <v>0</v>
      </c>
      <c r="AD166" s="1086">
        <f t="shared" si="156"/>
        <v>0</v>
      </c>
      <c r="AE166" s="1087">
        <f>ENERO!AG166</f>
        <v>0</v>
      </c>
      <c r="AF166" s="1020">
        <v>0</v>
      </c>
      <c r="AG166" s="1086">
        <f t="shared" si="157"/>
        <v>0</v>
      </c>
      <c r="AH166" s="1087">
        <f t="shared" si="158"/>
        <v>0</v>
      </c>
      <c r="AI166" s="1033">
        <f t="shared" si="159"/>
        <v>0</v>
      </c>
      <c r="AJ166" s="1086">
        <f t="shared" si="160"/>
        <v>0</v>
      </c>
      <c r="AK166" s="909"/>
      <c r="AL166" s="1089">
        <v>0</v>
      </c>
      <c r="AM166" s="1023">
        <v>0</v>
      </c>
      <c r="AN166" s="909"/>
    </row>
    <row r="167" spans="1:40" s="1035" customFormat="1" ht="24.95" customHeight="1">
      <c r="A167" s="1274"/>
      <c r="B167" s="1275"/>
      <c r="N167" s="909"/>
      <c r="P167" s="909"/>
      <c r="Q167" s="909"/>
      <c r="R167" s="909"/>
      <c r="S167" s="1130" t="str">
        <f>+IF(ENERO!S167=0,"",ENERO!S167)</f>
        <v>2020202-10</v>
      </c>
      <c r="T167" s="1131" t="str">
        <f>+IF(ENERO!T167=0,"",ENERO!T167)</f>
        <v>Servicios Públicos</v>
      </c>
      <c r="U167" s="1085">
        <f>+ENERO!U167</f>
        <v>0</v>
      </c>
      <c r="V167" s="1033">
        <f>ENERO!V167+FEBRERO!AL167</f>
        <v>0</v>
      </c>
      <c r="W167" s="1033">
        <f>ENERO!W167+FEBRERO!AM167</f>
        <v>0</v>
      </c>
      <c r="X167" s="1086">
        <f t="shared" si="154"/>
        <v>0</v>
      </c>
      <c r="Y167" s="1087">
        <f>ENERO!AA167</f>
        <v>0</v>
      </c>
      <c r="Z167" s="1020">
        <v>0</v>
      </c>
      <c r="AA167" s="1088">
        <f t="shared" si="155"/>
        <v>0</v>
      </c>
      <c r="AB167" s="1087">
        <f>ENERO!AD167</f>
        <v>0</v>
      </c>
      <c r="AC167" s="1020">
        <v>0</v>
      </c>
      <c r="AD167" s="1086">
        <f t="shared" si="156"/>
        <v>0</v>
      </c>
      <c r="AE167" s="1087">
        <f>ENERO!AG167</f>
        <v>0</v>
      </c>
      <c r="AF167" s="1020">
        <v>0</v>
      </c>
      <c r="AG167" s="1086">
        <f t="shared" si="157"/>
        <v>0</v>
      </c>
      <c r="AH167" s="1087">
        <f t="shared" si="158"/>
        <v>0</v>
      </c>
      <c r="AI167" s="1033">
        <f t="shared" si="159"/>
        <v>0</v>
      </c>
      <c r="AJ167" s="1086">
        <f t="shared" si="160"/>
        <v>0</v>
      </c>
      <c r="AK167" s="909"/>
      <c r="AL167" s="1089">
        <v>0</v>
      </c>
      <c r="AM167" s="1023">
        <v>0</v>
      </c>
      <c r="AN167" s="909"/>
    </row>
    <row r="168" spans="1:40" s="1035" customFormat="1" ht="24.95" customHeight="1">
      <c r="A168" s="1274"/>
      <c r="B168" s="1275"/>
      <c r="N168" s="909"/>
      <c r="P168" s="909"/>
      <c r="Q168" s="909"/>
      <c r="R168" s="909"/>
      <c r="S168" s="1083">
        <f>+IF(ENERO!S168=0,"",ENERO!S168)</f>
        <v>2020299</v>
      </c>
      <c r="T168" s="1084" t="str">
        <f>+IF(ENERO!T168=0,"",ENERO!T168)</f>
        <v>Vigencias Anteriores</v>
      </c>
      <c r="U168" s="1085">
        <f>+ENERO!U168</f>
        <v>0</v>
      </c>
      <c r="V168" s="1033">
        <f>ENERO!V168+FEBRERO!AL168</f>
        <v>24000000</v>
      </c>
      <c r="W168" s="1033">
        <f>ENERO!W168+FEBRERO!AM168</f>
        <v>0</v>
      </c>
      <c r="X168" s="1086">
        <f t="shared" si="154"/>
        <v>24000000</v>
      </c>
      <c r="Y168" s="1087">
        <f>ENERO!AA168</f>
        <v>0</v>
      </c>
      <c r="Z168" s="1020">
        <v>23529010</v>
      </c>
      <c r="AA168" s="1088">
        <f t="shared" si="155"/>
        <v>23529010</v>
      </c>
      <c r="AB168" s="1087">
        <f>ENERO!AD168</f>
        <v>0</v>
      </c>
      <c r="AC168" s="1020">
        <v>23529010</v>
      </c>
      <c r="AD168" s="1086">
        <f t="shared" si="156"/>
        <v>23529010</v>
      </c>
      <c r="AE168" s="1087">
        <f>ENERO!AG168</f>
        <v>0</v>
      </c>
      <c r="AF168" s="1020">
        <v>23529010</v>
      </c>
      <c r="AG168" s="1086">
        <f t="shared" si="157"/>
        <v>23529010</v>
      </c>
      <c r="AH168" s="1087">
        <f t="shared" si="158"/>
        <v>470990</v>
      </c>
      <c r="AI168" s="1033">
        <f t="shared" si="159"/>
        <v>470990</v>
      </c>
      <c r="AJ168" s="1086">
        <f t="shared" si="160"/>
        <v>470990</v>
      </c>
      <c r="AK168" s="909"/>
      <c r="AL168" s="1089">
        <v>24000000</v>
      </c>
      <c r="AM168" s="1023">
        <v>0</v>
      </c>
      <c r="AN168" s="909"/>
    </row>
    <row r="169" spans="1:40" s="1035" customFormat="1" ht="24.95" customHeight="1">
      <c r="A169" s="1274"/>
      <c r="B169" s="1275"/>
      <c r="N169" s="909"/>
      <c r="P169" s="909"/>
      <c r="Q169" s="909"/>
      <c r="R169" s="909"/>
      <c r="S169" s="1000" t="str">
        <f>+IF(ENERO!S169=0,"",ENERO!S169)</f>
        <v/>
      </c>
      <c r="T169" s="1001" t="str">
        <f>+IF(ENERO!T169=0,"",ENERO!T169)</f>
        <v/>
      </c>
      <c r="U169" s="1002"/>
      <c r="V169" s="1003"/>
      <c r="W169" s="1003"/>
      <c r="X169" s="1004"/>
      <c r="Y169" s="1002"/>
      <c r="Z169" s="1003"/>
      <c r="AA169" s="1003"/>
      <c r="AB169" s="1002"/>
      <c r="AC169" s="1003"/>
      <c r="AD169" s="1004"/>
      <c r="AE169" s="1002"/>
      <c r="AF169" s="1003">
        <v>0</v>
      </c>
      <c r="AG169" s="1004"/>
      <c r="AH169" s="1002"/>
      <c r="AI169" s="1003"/>
      <c r="AJ169" s="1004"/>
      <c r="AK169" s="909"/>
      <c r="AL169" s="1195"/>
      <c r="AM169" s="1196"/>
      <c r="AN169" s="909"/>
    </row>
    <row r="170" spans="1:40" s="1035" customFormat="1" ht="24.95" customHeight="1">
      <c r="A170" s="1274"/>
      <c r="B170" s="1275"/>
      <c r="N170" s="909"/>
      <c r="P170" s="909"/>
      <c r="Q170" s="909"/>
      <c r="R170" s="909"/>
      <c r="S170" s="1044">
        <f>+IF(ENERO!S170=0,"",ENERO!S170)</f>
        <v>3000000</v>
      </c>
      <c r="T170" s="1234" t="str">
        <f>+IF(ENERO!T170=0,"",ENERO!T170)</f>
        <v>TRANSFERENCIAS CORRIENTES</v>
      </c>
      <c r="U170" s="1235">
        <f t="shared" ref="U170:AJ170" si="161">U172+U176+U185</f>
        <v>139736565</v>
      </c>
      <c r="V170" s="1236">
        <f t="shared" si="161"/>
        <v>0</v>
      </c>
      <c r="W170" s="1236">
        <f t="shared" si="161"/>
        <v>0</v>
      </c>
      <c r="X170" s="1031">
        <f t="shared" si="161"/>
        <v>139736565</v>
      </c>
      <c r="Y170" s="1235">
        <f t="shared" si="161"/>
        <v>13194388</v>
      </c>
      <c r="Z170" s="1236">
        <f t="shared" si="161"/>
        <v>1694730</v>
      </c>
      <c r="AA170" s="1237">
        <f t="shared" si="161"/>
        <v>14889118</v>
      </c>
      <c r="AB170" s="1235">
        <f t="shared" si="161"/>
        <v>13194388</v>
      </c>
      <c r="AC170" s="1236">
        <f t="shared" si="161"/>
        <v>1694730</v>
      </c>
      <c r="AD170" s="1031">
        <f t="shared" si="161"/>
        <v>14889118</v>
      </c>
      <c r="AE170" s="1235">
        <f t="shared" si="161"/>
        <v>13194388</v>
      </c>
      <c r="AF170" s="1236">
        <f t="shared" si="161"/>
        <v>1326821</v>
      </c>
      <c r="AG170" s="1031">
        <f t="shared" si="161"/>
        <v>14521209</v>
      </c>
      <c r="AH170" s="1235">
        <f t="shared" si="161"/>
        <v>124847447</v>
      </c>
      <c r="AI170" s="1236">
        <f t="shared" si="161"/>
        <v>124847447</v>
      </c>
      <c r="AJ170" s="1031">
        <f t="shared" si="161"/>
        <v>125215356</v>
      </c>
      <c r="AK170" s="909"/>
      <c r="AL170" s="1050">
        <f>AL172+AL176+AL185</f>
        <v>0</v>
      </c>
      <c r="AM170" s="1048">
        <f>AM172+AM176+AM185</f>
        <v>0</v>
      </c>
      <c r="AN170" s="909"/>
    </row>
    <row r="171" spans="1:40" s="1035" customFormat="1" ht="24.95" customHeight="1">
      <c r="A171" s="1274"/>
      <c r="B171" s="1275"/>
      <c r="N171" s="909"/>
      <c r="P171" s="909"/>
      <c r="Q171" s="909"/>
      <c r="R171" s="909"/>
      <c r="S171" s="1000" t="str">
        <f>+IF(ENERO!S171=0,"",ENERO!S171)</f>
        <v/>
      </c>
      <c r="T171" s="1001" t="str">
        <f>+IF(ENERO!T171=0,"",ENERO!T171)</f>
        <v/>
      </c>
      <c r="U171" s="1002"/>
      <c r="V171" s="1003"/>
      <c r="W171" s="1003"/>
      <c r="X171" s="1004"/>
      <c r="Y171" s="1002"/>
      <c r="Z171" s="1003"/>
      <c r="AA171" s="1003"/>
      <c r="AB171" s="1002"/>
      <c r="AC171" s="1003"/>
      <c r="AD171" s="1004"/>
      <c r="AE171" s="1002"/>
      <c r="AF171" s="1003"/>
      <c r="AG171" s="1004"/>
      <c r="AH171" s="1002"/>
      <c r="AI171" s="1003"/>
      <c r="AJ171" s="1004"/>
      <c r="AK171" s="909"/>
      <c r="AL171" s="1195"/>
      <c r="AM171" s="1196"/>
      <c r="AN171" s="909"/>
    </row>
    <row r="172" spans="1:40" s="1035" customFormat="1" ht="24.95" customHeight="1">
      <c r="A172" s="1274"/>
      <c r="B172" s="1275"/>
      <c r="N172" s="909"/>
      <c r="P172" s="909"/>
      <c r="Q172" s="909"/>
      <c r="R172" s="909"/>
      <c r="S172" s="1073">
        <f>+IF(ENERO!S172=0,"",ENERO!S172)</f>
        <v>3100000</v>
      </c>
      <c r="T172" s="1074" t="str">
        <f>+IF(ENERO!T172=0,"",ENERO!T172)</f>
        <v>Transferencias al Sector Público</v>
      </c>
      <c r="U172" s="1046">
        <f t="shared" ref="U172:AJ172" si="162">SUM(U173:U174)</f>
        <v>39651901</v>
      </c>
      <c r="V172" s="1047">
        <f t="shared" si="162"/>
        <v>0</v>
      </c>
      <c r="W172" s="1047">
        <f t="shared" si="162"/>
        <v>0</v>
      </c>
      <c r="X172" s="1048">
        <f t="shared" si="162"/>
        <v>39651901</v>
      </c>
      <c r="Y172" s="1046">
        <f t="shared" si="162"/>
        <v>0</v>
      </c>
      <c r="Z172" s="1047">
        <f t="shared" si="162"/>
        <v>0</v>
      </c>
      <c r="AA172" s="1049">
        <f t="shared" si="162"/>
        <v>0</v>
      </c>
      <c r="AB172" s="1046">
        <f t="shared" si="162"/>
        <v>0</v>
      </c>
      <c r="AC172" s="1047">
        <f t="shared" si="162"/>
        <v>0</v>
      </c>
      <c r="AD172" s="1048">
        <f t="shared" si="162"/>
        <v>0</v>
      </c>
      <c r="AE172" s="1046">
        <f t="shared" si="162"/>
        <v>0</v>
      </c>
      <c r="AF172" s="1047">
        <f t="shared" si="162"/>
        <v>0</v>
      </c>
      <c r="AG172" s="1048">
        <f t="shared" si="162"/>
        <v>0</v>
      </c>
      <c r="AH172" s="1046">
        <f t="shared" si="162"/>
        <v>39651901</v>
      </c>
      <c r="AI172" s="1047">
        <f t="shared" si="162"/>
        <v>39651901</v>
      </c>
      <c r="AJ172" s="1048">
        <f t="shared" si="162"/>
        <v>39651901</v>
      </c>
      <c r="AK172" s="909"/>
      <c r="AL172" s="1050">
        <f>SUM(AL173:AL174)</f>
        <v>0</v>
      </c>
      <c r="AM172" s="1048">
        <f>SUM(AM173:AM174)</f>
        <v>0</v>
      </c>
      <c r="AN172" s="909"/>
    </row>
    <row r="173" spans="1:40" s="1035" customFormat="1" ht="24.95" customHeight="1">
      <c r="A173" s="1274"/>
      <c r="B173" s="1275"/>
      <c r="N173" s="909"/>
      <c r="P173" s="909"/>
      <c r="Q173" s="909"/>
      <c r="R173" s="909"/>
      <c r="S173" s="1083">
        <f>+IF(ENERO!S173=0,"",ENERO!S173)</f>
        <v>3100003</v>
      </c>
      <c r="T173" s="1084" t="str">
        <f>+IF(ENERO!T173=0,"",ENERO!T173)</f>
        <v>Entidades Públicas (Contraloria, Supersalud,…)</v>
      </c>
      <c r="U173" s="1085">
        <f>+ENERO!U173</f>
        <v>39651901</v>
      </c>
      <c r="V173" s="1033">
        <f>ENERO!V173+FEBRERO!AL173</f>
        <v>0</v>
      </c>
      <c r="W173" s="1033">
        <f>ENERO!W173+FEBRERO!AM173</f>
        <v>0</v>
      </c>
      <c r="X173" s="1086">
        <f>SUM(U173:W173)</f>
        <v>39651901</v>
      </c>
      <c r="Y173" s="1087">
        <f>ENERO!AA173</f>
        <v>0</v>
      </c>
      <c r="Z173" s="1020">
        <v>0</v>
      </c>
      <c r="AA173" s="1088">
        <f>SUM(Y173:Z173)</f>
        <v>0</v>
      </c>
      <c r="AB173" s="1087">
        <f>ENERO!AD173</f>
        <v>0</v>
      </c>
      <c r="AC173" s="1020">
        <v>0</v>
      </c>
      <c r="AD173" s="1086">
        <f>SUM(AB173:AC173)</f>
        <v>0</v>
      </c>
      <c r="AE173" s="1087">
        <f>ENERO!AG173</f>
        <v>0</v>
      </c>
      <c r="AF173" s="1020">
        <v>0</v>
      </c>
      <c r="AG173" s="1086">
        <f>SUM(AE173:AF173)</f>
        <v>0</v>
      </c>
      <c r="AH173" s="1087">
        <f>X173-AA173</f>
        <v>39651901</v>
      </c>
      <c r="AI173" s="1033">
        <f>X173-AD173</f>
        <v>39651901</v>
      </c>
      <c r="AJ173" s="1086">
        <f>X173-AG173</f>
        <v>39651901</v>
      </c>
      <c r="AK173" s="909"/>
      <c r="AL173" s="1089">
        <v>0</v>
      </c>
      <c r="AM173" s="1023">
        <v>0</v>
      </c>
      <c r="AN173" s="909"/>
    </row>
    <row r="174" spans="1:40" s="1035" customFormat="1" ht="24.95" customHeight="1">
      <c r="A174" s="1274"/>
      <c r="B174" s="1275"/>
      <c r="N174" s="909"/>
      <c r="P174" s="909"/>
      <c r="Q174" s="909"/>
      <c r="R174" s="909"/>
      <c r="S174" s="1083">
        <f>+IF(ENERO!S174=0,"",ENERO!S174)</f>
        <v>3199999</v>
      </c>
      <c r="T174" s="1084" t="str">
        <f>+IF(ENERO!T174=0,"",ENERO!T174)</f>
        <v>Vigencias Anteriores</v>
      </c>
      <c r="U174" s="1085">
        <f>+ENERO!U174</f>
        <v>0</v>
      </c>
      <c r="V174" s="1033">
        <f>ENERO!V174+FEBRERO!AL174</f>
        <v>0</v>
      </c>
      <c r="W174" s="1033">
        <f>ENERO!W174+FEBRERO!AM174</f>
        <v>0</v>
      </c>
      <c r="X174" s="1086">
        <f>SUM(U174:W174)</f>
        <v>0</v>
      </c>
      <c r="Y174" s="1087">
        <f>ENERO!AA174</f>
        <v>0</v>
      </c>
      <c r="Z174" s="1020">
        <v>0</v>
      </c>
      <c r="AA174" s="1088">
        <f>SUM(Y174:Z174)</f>
        <v>0</v>
      </c>
      <c r="AB174" s="1087">
        <f>ENERO!AD174</f>
        <v>0</v>
      </c>
      <c r="AC174" s="1020">
        <v>0</v>
      </c>
      <c r="AD174" s="1086">
        <f>SUM(AB174:AC174)</f>
        <v>0</v>
      </c>
      <c r="AE174" s="1087">
        <f>ENERO!AG174</f>
        <v>0</v>
      </c>
      <c r="AF174" s="1020">
        <v>0</v>
      </c>
      <c r="AG174" s="1086">
        <f>SUM(AE174:AF174)</f>
        <v>0</v>
      </c>
      <c r="AH174" s="1087">
        <f>X174-AA174</f>
        <v>0</v>
      </c>
      <c r="AI174" s="1033">
        <f>X174-AD174</f>
        <v>0</v>
      </c>
      <c r="AJ174" s="1086">
        <f>X174-AG174</f>
        <v>0</v>
      </c>
      <c r="AK174" s="909"/>
      <c r="AL174" s="1089">
        <v>0</v>
      </c>
      <c r="AM174" s="1023">
        <v>0</v>
      </c>
      <c r="AN174" s="909"/>
    </row>
    <row r="175" spans="1:40" s="1035" customFormat="1" ht="24.95" customHeight="1">
      <c r="A175" s="1274"/>
      <c r="B175" s="1275"/>
      <c r="N175" s="909"/>
      <c r="P175" s="909"/>
      <c r="Q175" s="909"/>
      <c r="R175" s="909"/>
      <c r="S175" s="1000" t="str">
        <f>+IF(ENERO!S175=0,"",ENERO!S175)</f>
        <v/>
      </c>
      <c r="T175" s="1001" t="str">
        <f>+IF(ENERO!T175=0,"",ENERO!T175)</f>
        <v/>
      </c>
      <c r="U175" s="1002"/>
      <c r="V175" s="1003"/>
      <c r="W175" s="1003"/>
      <c r="X175" s="1004"/>
      <c r="Y175" s="1002"/>
      <c r="Z175" s="1003"/>
      <c r="AA175" s="1003"/>
      <c r="AB175" s="1002"/>
      <c r="AC175" s="1003"/>
      <c r="AD175" s="1004"/>
      <c r="AE175" s="1002"/>
      <c r="AF175" s="1003"/>
      <c r="AG175" s="1004"/>
      <c r="AH175" s="1002"/>
      <c r="AI175" s="1003"/>
      <c r="AJ175" s="1004"/>
      <c r="AK175" s="1029"/>
      <c r="AL175" s="1195"/>
      <c r="AM175" s="1196"/>
      <c r="AN175" s="909"/>
    </row>
    <row r="176" spans="1:40" s="1035" customFormat="1" ht="24.95" customHeight="1">
      <c r="A176" s="1274"/>
      <c r="B176" s="1275"/>
      <c r="N176" s="909"/>
      <c r="P176" s="909"/>
      <c r="Q176" s="909"/>
      <c r="R176" s="909"/>
      <c r="S176" s="1073">
        <f>+IF(ENERO!S176=0,"",ENERO!S176)</f>
        <v>320000</v>
      </c>
      <c r="T176" s="1074" t="str">
        <f>+IF(ENERO!T176=0,"",ENERO!T176)</f>
        <v>Transf. Previsión y Seguridad Social</v>
      </c>
      <c r="U176" s="1046">
        <f t="shared" ref="U176:AJ176" si="163">SUM(U177:U183)</f>
        <v>50084664</v>
      </c>
      <c r="V176" s="1047">
        <f t="shared" si="163"/>
        <v>0</v>
      </c>
      <c r="W176" s="1047">
        <f t="shared" si="163"/>
        <v>0</v>
      </c>
      <c r="X176" s="1048">
        <f t="shared" si="163"/>
        <v>50084664</v>
      </c>
      <c r="Y176" s="1046">
        <f t="shared" si="163"/>
        <v>13194388</v>
      </c>
      <c r="Z176" s="1047">
        <f t="shared" si="163"/>
        <v>1694730</v>
      </c>
      <c r="AA176" s="1049">
        <f t="shared" si="163"/>
        <v>14889118</v>
      </c>
      <c r="AB176" s="1046">
        <f t="shared" si="163"/>
        <v>13194388</v>
      </c>
      <c r="AC176" s="1047">
        <f t="shared" si="163"/>
        <v>1694730</v>
      </c>
      <c r="AD176" s="1048">
        <f t="shared" si="163"/>
        <v>14889118</v>
      </c>
      <c r="AE176" s="1046">
        <f t="shared" si="163"/>
        <v>13194388</v>
      </c>
      <c r="AF176" s="1047">
        <f t="shared" si="163"/>
        <v>1326821</v>
      </c>
      <c r="AG176" s="1048">
        <f t="shared" si="163"/>
        <v>14521209</v>
      </c>
      <c r="AH176" s="1046">
        <f t="shared" si="163"/>
        <v>35195546</v>
      </c>
      <c r="AI176" s="1047">
        <f t="shared" si="163"/>
        <v>35195546</v>
      </c>
      <c r="AJ176" s="1048">
        <f t="shared" si="163"/>
        <v>35563455</v>
      </c>
      <c r="AK176" s="909"/>
      <c r="AL176" s="1050">
        <f>SUM(AL177:AL183)</f>
        <v>0</v>
      </c>
      <c r="AM176" s="1048">
        <f>SUM(AM177:AM183)</f>
        <v>0</v>
      </c>
      <c r="AN176" s="909"/>
    </row>
    <row r="177" spans="1:40" s="1035" customFormat="1" ht="24.95" customHeight="1">
      <c r="A177" s="1274"/>
      <c r="B177" s="1275"/>
      <c r="N177" s="909"/>
      <c r="P177" s="909"/>
      <c r="Q177" s="909"/>
      <c r="R177" s="909"/>
      <c r="S177" s="1083">
        <f>+IF(ENERO!S177=0,"",ENERO!S177)</f>
        <v>3200100</v>
      </c>
      <c r="T177" s="1084" t="str">
        <f>+IF(ENERO!T177=0,"",ENERO!T177)</f>
        <v>Pensiones y Jubilaciones (Pago Directo)</v>
      </c>
      <c r="U177" s="1085">
        <f>+ENERO!U177</f>
        <v>18619412</v>
      </c>
      <c r="V177" s="1033">
        <f>ENERO!V177+FEBRERO!AL177</f>
        <v>0</v>
      </c>
      <c r="W177" s="1033">
        <f>ENERO!W177+FEBRERO!AM177</f>
        <v>0</v>
      </c>
      <c r="X177" s="1086">
        <f t="shared" ref="X177:X183" si="164">SUM(U177:W177)</f>
        <v>18619412</v>
      </c>
      <c r="Y177" s="1087">
        <f>ENERO!AA177</f>
        <v>1326821</v>
      </c>
      <c r="Z177" s="1020">
        <v>1326821</v>
      </c>
      <c r="AA177" s="1088">
        <f t="shared" ref="AA177:AA183" si="165">SUM(Y177:Z177)</f>
        <v>2653642</v>
      </c>
      <c r="AB177" s="1087">
        <f>ENERO!AD177</f>
        <v>1326821</v>
      </c>
      <c r="AC177" s="1020">
        <v>1326821</v>
      </c>
      <c r="AD177" s="1086">
        <f t="shared" ref="AD177:AD183" si="166">SUM(AB177:AC177)</f>
        <v>2653642</v>
      </c>
      <c r="AE177" s="1087">
        <f>ENERO!AG177</f>
        <v>1326821</v>
      </c>
      <c r="AF177" s="1020">
        <v>1326821</v>
      </c>
      <c r="AG177" s="1086">
        <f t="shared" ref="AG177:AG183" si="167">SUM(AE177:AF177)</f>
        <v>2653642</v>
      </c>
      <c r="AH177" s="1087">
        <f t="shared" ref="AH177:AH183" si="168">X177-AA177</f>
        <v>15965770</v>
      </c>
      <c r="AI177" s="1033">
        <f t="shared" ref="AI177:AI183" si="169">X177-AD177</f>
        <v>15965770</v>
      </c>
      <c r="AJ177" s="1086">
        <f t="shared" ref="AJ177:AJ183" si="170">X177-AG177</f>
        <v>15965770</v>
      </c>
      <c r="AK177" s="909"/>
      <c r="AL177" s="1089">
        <v>0</v>
      </c>
      <c r="AM177" s="1023">
        <v>0</v>
      </c>
      <c r="AN177" s="909"/>
    </row>
    <row r="178" spans="1:40" s="1035" customFormat="1" ht="24.95" customHeight="1">
      <c r="A178" s="1274"/>
      <c r="B178" s="1275"/>
      <c r="N178" s="909"/>
      <c r="P178" s="909"/>
      <c r="Q178" s="909"/>
      <c r="R178" s="909"/>
      <c r="S178" s="1083">
        <f>+IF(ENERO!S178=0,"",ENERO!S178)</f>
        <v>3200200</v>
      </c>
      <c r="T178" s="1084" t="str">
        <f>+IF(ENERO!T178=0,"",ENERO!T178)</f>
        <v>Cesantías Pago Directo (Pago Directo)</v>
      </c>
      <c r="U178" s="1085">
        <f>+ENERO!U178</f>
        <v>14936566</v>
      </c>
      <c r="V178" s="1033">
        <f>ENERO!V178+FEBRERO!AL178</f>
        <v>0</v>
      </c>
      <c r="W178" s="1033">
        <f>ENERO!W178+FEBRERO!AM178</f>
        <v>0</v>
      </c>
      <c r="X178" s="1086">
        <f t="shared" si="164"/>
        <v>14936566</v>
      </c>
      <c r="Y178" s="1087">
        <f>ENERO!AA178</f>
        <v>0</v>
      </c>
      <c r="Z178" s="1020">
        <v>331170</v>
      </c>
      <c r="AA178" s="1088">
        <f t="shared" si="165"/>
        <v>331170</v>
      </c>
      <c r="AB178" s="1087">
        <f>ENERO!AD178</f>
        <v>0</v>
      </c>
      <c r="AC178" s="1020">
        <v>331170</v>
      </c>
      <c r="AD178" s="1086">
        <f t="shared" si="166"/>
        <v>331170</v>
      </c>
      <c r="AE178" s="1087">
        <f>ENERO!AG178</f>
        <v>0</v>
      </c>
      <c r="AF178" s="1020">
        <v>0</v>
      </c>
      <c r="AG178" s="1086">
        <f t="shared" si="167"/>
        <v>0</v>
      </c>
      <c r="AH178" s="1087">
        <f t="shared" si="168"/>
        <v>14605396</v>
      </c>
      <c r="AI178" s="1033">
        <f t="shared" si="169"/>
        <v>14605396</v>
      </c>
      <c r="AJ178" s="1086">
        <f t="shared" si="170"/>
        <v>14936566</v>
      </c>
      <c r="AK178" s="909"/>
      <c r="AL178" s="1089">
        <v>0</v>
      </c>
      <c r="AM178" s="1023">
        <v>0</v>
      </c>
      <c r="AN178" s="909"/>
    </row>
    <row r="179" spans="1:40" s="1035" customFormat="1" ht="24.95" customHeight="1">
      <c r="A179" s="1274"/>
      <c r="B179" s="1275"/>
      <c r="N179" s="909"/>
      <c r="P179" s="909"/>
      <c r="Q179" s="909"/>
      <c r="R179" s="909"/>
      <c r="S179" s="1083">
        <f>+IF(ENERO!S179=0,"",ENERO!S179)</f>
        <v>3200300</v>
      </c>
      <c r="T179" s="1084" t="str">
        <f>+IF(ENERO!T179=0,"",ENERO!T179)</f>
        <v>Bonos, Cuotas de Bonos y cuotas partes jubilatorias</v>
      </c>
      <c r="U179" s="1085">
        <f>+ENERO!U179</f>
        <v>0</v>
      </c>
      <c r="V179" s="1033">
        <f>ENERO!V179+FEBRERO!AL179</f>
        <v>4000000</v>
      </c>
      <c r="W179" s="1033">
        <f>ENERO!W179+FEBRERO!AM179</f>
        <v>0</v>
      </c>
      <c r="X179" s="1086">
        <f t="shared" si="164"/>
        <v>4000000</v>
      </c>
      <c r="Y179" s="1087">
        <f>ENERO!AA179</f>
        <v>338345</v>
      </c>
      <c r="Z179" s="1020">
        <v>0</v>
      </c>
      <c r="AA179" s="1088">
        <f t="shared" si="165"/>
        <v>338345</v>
      </c>
      <c r="AB179" s="1087">
        <f>ENERO!AD179</f>
        <v>338345</v>
      </c>
      <c r="AC179" s="1020">
        <v>0</v>
      </c>
      <c r="AD179" s="1086">
        <f t="shared" si="166"/>
        <v>338345</v>
      </c>
      <c r="AE179" s="1087">
        <f>ENERO!AG179</f>
        <v>338345</v>
      </c>
      <c r="AF179" s="1020">
        <v>0</v>
      </c>
      <c r="AG179" s="1086">
        <f t="shared" si="167"/>
        <v>338345</v>
      </c>
      <c r="AH179" s="1087">
        <f t="shared" si="168"/>
        <v>3661655</v>
      </c>
      <c r="AI179" s="1033">
        <f t="shared" si="169"/>
        <v>3661655</v>
      </c>
      <c r="AJ179" s="1086">
        <f t="shared" si="170"/>
        <v>3661655</v>
      </c>
      <c r="AK179" s="909"/>
      <c r="AL179" s="1089">
        <v>4000000</v>
      </c>
      <c r="AM179" s="1023">
        <v>0</v>
      </c>
      <c r="AN179" s="909"/>
    </row>
    <row r="180" spans="1:40" s="1035" customFormat="1" ht="24.95" customHeight="1">
      <c r="A180" s="1274"/>
      <c r="B180" s="1275"/>
      <c r="N180" s="909"/>
      <c r="P180" s="909"/>
      <c r="Q180" s="909"/>
      <c r="R180" s="909"/>
      <c r="S180" s="1083">
        <f>+IF(ENERO!S180=0,"",ENERO!S180)</f>
        <v>3200400</v>
      </c>
      <c r="T180" s="1084" t="str">
        <f>+IF(ENERO!T180=0,"",ENERO!T180)</f>
        <v>Intereses a las cesantias</v>
      </c>
      <c r="U180" s="1085">
        <f>+ENERO!U180</f>
        <v>16528686</v>
      </c>
      <c r="V180" s="1033">
        <f>ENERO!V180+FEBRERO!AL180</f>
        <v>-4000000</v>
      </c>
      <c r="W180" s="1033">
        <f>ENERO!W180+FEBRERO!AM180</f>
        <v>0</v>
      </c>
      <c r="X180" s="1086">
        <f t="shared" si="164"/>
        <v>12528686</v>
      </c>
      <c r="Y180" s="1087">
        <f>ENERO!AA180</f>
        <v>11529222</v>
      </c>
      <c r="Z180" s="1020">
        <v>36739</v>
      </c>
      <c r="AA180" s="1088">
        <f t="shared" si="165"/>
        <v>11565961</v>
      </c>
      <c r="AB180" s="1087">
        <f>ENERO!AD180</f>
        <v>11529222</v>
      </c>
      <c r="AC180" s="1020">
        <v>36739</v>
      </c>
      <c r="AD180" s="1086">
        <f t="shared" si="166"/>
        <v>11565961</v>
      </c>
      <c r="AE180" s="1087">
        <f>ENERO!AG180</f>
        <v>11529222</v>
      </c>
      <c r="AF180" s="1020">
        <v>0</v>
      </c>
      <c r="AG180" s="1086">
        <f t="shared" si="167"/>
        <v>11529222</v>
      </c>
      <c r="AH180" s="1087">
        <f t="shared" si="168"/>
        <v>962725</v>
      </c>
      <c r="AI180" s="1033">
        <f t="shared" si="169"/>
        <v>962725</v>
      </c>
      <c r="AJ180" s="1086">
        <f t="shared" si="170"/>
        <v>999464</v>
      </c>
      <c r="AK180" s="909"/>
      <c r="AL180" s="1089">
        <v>-4000000</v>
      </c>
      <c r="AM180" s="1023">
        <v>0</v>
      </c>
      <c r="AN180" s="909"/>
    </row>
    <row r="181" spans="1:40" s="1035" customFormat="1" ht="24.95" customHeight="1">
      <c r="A181" s="1274"/>
      <c r="B181" s="1275"/>
      <c r="N181" s="909"/>
      <c r="P181" s="909"/>
      <c r="Q181" s="909"/>
      <c r="R181" s="909"/>
      <c r="S181" s="1083" t="str">
        <f>+IF(ENERO!S181=0,"",ENERO!S181)</f>
        <v/>
      </c>
      <c r="T181" s="1084" t="str">
        <f>+IF(ENERO!T181=0,"",ENERO!T181)</f>
        <v/>
      </c>
      <c r="U181" s="1085">
        <f>+ENERO!U181</f>
        <v>0</v>
      </c>
      <c r="V181" s="1033">
        <f>ENERO!V181+FEBRERO!AL181</f>
        <v>0</v>
      </c>
      <c r="W181" s="1033">
        <f>ENERO!W181+FEBRERO!AM181</f>
        <v>0</v>
      </c>
      <c r="X181" s="1086">
        <f t="shared" si="164"/>
        <v>0</v>
      </c>
      <c r="Y181" s="1087">
        <f>ENERO!AA181</f>
        <v>0</v>
      </c>
      <c r="Z181" s="1020">
        <v>0</v>
      </c>
      <c r="AA181" s="1088">
        <f t="shared" si="165"/>
        <v>0</v>
      </c>
      <c r="AB181" s="1087">
        <f>ENERO!AD181</f>
        <v>0</v>
      </c>
      <c r="AC181" s="1020">
        <v>0</v>
      </c>
      <c r="AD181" s="1086">
        <f t="shared" si="166"/>
        <v>0</v>
      </c>
      <c r="AE181" s="1087">
        <f>ENERO!AG181</f>
        <v>0</v>
      </c>
      <c r="AF181" s="1020">
        <v>0</v>
      </c>
      <c r="AG181" s="1086">
        <f t="shared" si="167"/>
        <v>0</v>
      </c>
      <c r="AH181" s="1087">
        <f t="shared" si="168"/>
        <v>0</v>
      </c>
      <c r="AI181" s="1033">
        <f t="shared" si="169"/>
        <v>0</v>
      </c>
      <c r="AJ181" s="1086">
        <f t="shared" si="170"/>
        <v>0</v>
      </c>
      <c r="AK181" s="909"/>
      <c r="AL181" s="1089">
        <v>0</v>
      </c>
      <c r="AM181" s="1023">
        <v>0</v>
      </c>
      <c r="AN181" s="909"/>
    </row>
    <row r="182" spans="1:40" s="1035" customFormat="1" ht="24.95" customHeight="1">
      <c r="A182" s="1274"/>
      <c r="B182" s="1275"/>
      <c r="N182" s="909"/>
      <c r="P182" s="909"/>
      <c r="Q182" s="909"/>
      <c r="R182" s="909"/>
      <c r="S182" s="1083" t="str">
        <f>+IF(ENERO!S182=0,"",ENERO!S182)</f>
        <v/>
      </c>
      <c r="T182" s="1084" t="str">
        <f>+IF(ENERO!T182=0,"",ENERO!T182)</f>
        <v/>
      </c>
      <c r="U182" s="1085">
        <f>+ENERO!U182</f>
        <v>0</v>
      </c>
      <c r="V182" s="1033">
        <f>ENERO!V182+FEBRERO!AL182</f>
        <v>0</v>
      </c>
      <c r="W182" s="1033">
        <f>ENERO!W182+FEBRERO!AM182</f>
        <v>0</v>
      </c>
      <c r="X182" s="1086">
        <f t="shared" si="164"/>
        <v>0</v>
      </c>
      <c r="Y182" s="1087">
        <f>ENERO!AA182</f>
        <v>0</v>
      </c>
      <c r="Z182" s="1020">
        <v>0</v>
      </c>
      <c r="AA182" s="1088">
        <f t="shared" si="165"/>
        <v>0</v>
      </c>
      <c r="AB182" s="1087">
        <f>ENERO!AD182</f>
        <v>0</v>
      </c>
      <c r="AC182" s="1020">
        <v>0</v>
      </c>
      <c r="AD182" s="1086">
        <f t="shared" si="166"/>
        <v>0</v>
      </c>
      <c r="AE182" s="1087">
        <f>ENERO!AG182</f>
        <v>0</v>
      </c>
      <c r="AF182" s="1020">
        <v>0</v>
      </c>
      <c r="AG182" s="1086">
        <f t="shared" si="167"/>
        <v>0</v>
      </c>
      <c r="AH182" s="1087">
        <f t="shared" si="168"/>
        <v>0</v>
      </c>
      <c r="AI182" s="1033">
        <f t="shared" si="169"/>
        <v>0</v>
      </c>
      <c r="AJ182" s="1086">
        <f t="shared" si="170"/>
        <v>0</v>
      </c>
      <c r="AK182" s="909"/>
      <c r="AL182" s="1089">
        <v>0</v>
      </c>
      <c r="AM182" s="1023">
        <v>0</v>
      </c>
      <c r="AN182" s="909"/>
    </row>
    <row r="183" spans="1:40" s="1035" customFormat="1" ht="24.95" customHeight="1">
      <c r="A183" s="1274"/>
      <c r="B183" s="1275"/>
      <c r="N183" s="909"/>
      <c r="P183" s="909"/>
      <c r="Q183" s="909"/>
      <c r="R183" s="909"/>
      <c r="S183" s="1083">
        <f>+IF(ENERO!S183=0,"",ENERO!S183)</f>
        <v>3299999</v>
      </c>
      <c r="T183" s="1084" t="str">
        <f>+IF(ENERO!T183=0,"",ENERO!T183)</f>
        <v>Vigencias Anteriores</v>
      </c>
      <c r="U183" s="1085">
        <f>+ENERO!U183</f>
        <v>0</v>
      </c>
      <c r="V183" s="1033">
        <f>ENERO!V183+FEBRERO!AL183</f>
        <v>0</v>
      </c>
      <c r="W183" s="1033">
        <f>ENERO!W183+FEBRERO!AM183</f>
        <v>0</v>
      </c>
      <c r="X183" s="1086">
        <f t="shared" si="164"/>
        <v>0</v>
      </c>
      <c r="Y183" s="1087">
        <f>ENERO!AA183</f>
        <v>0</v>
      </c>
      <c r="Z183" s="1020">
        <v>0</v>
      </c>
      <c r="AA183" s="1088">
        <f t="shared" si="165"/>
        <v>0</v>
      </c>
      <c r="AB183" s="1087">
        <f>ENERO!AD183</f>
        <v>0</v>
      </c>
      <c r="AC183" s="1020">
        <v>0</v>
      </c>
      <c r="AD183" s="1086">
        <f t="shared" si="166"/>
        <v>0</v>
      </c>
      <c r="AE183" s="1087">
        <f>ENERO!AG183</f>
        <v>0</v>
      </c>
      <c r="AF183" s="1020">
        <v>0</v>
      </c>
      <c r="AG183" s="1086">
        <f t="shared" si="167"/>
        <v>0</v>
      </c>
      <c r="AH183" s="1087">
        <f t="shared" si="168"/>
        <v>0</v>
      </c>
      <c r="AI183" s="1033">
        <f t="shared" si="169"/>
        <v>0</v>
      </c>
      <c r="AJ183" s="1086">
        <f t="shared" si="170"/>
        <v>0</v>
      </c>
      <c r="AK183" s="909"/>
      <c r="AL183" s="1089">
        <v>0</v>
      </c>
      <c r="AM183" s="1023">
        <v>0</v>
      </c>
      <c r="AN183" s="909"/>
    </row>
    <row r="184" spans="1:40" s="1035" customFormat="1" ht="24.95" customHeight="1">
      <c r="A184" s="1274"/>
      <c r="B184" s="1275"/>
      <c r="N184" s="909"/>
      <c r="P184" s="909"/>
      <c r="Q184" s="909"/>
      <c r="R184" s="909"/>
      <c r="S184" s="1000" t="str">
        <f>+IF(ENERO!S184=0,"",ENERO!S184)</f>
        <v/>
      </c>
      <c r="T184" s="1001" t="str">
        <f>+IF(ENERO!T184=0,"",ENERO!T184)</f>
        <v/>
      </c>
      <c r="U184" s="1002"/>
      <c r="V184" s="1003"/>
      <c r="W184" s="1003"/>
      <c r="X184" s="1004"/>
      <c r="Y184" s="1002"/>
      <c r="Z184" s="1003"/>
      <c r="AA184" s="1003"/>
      <c r="AB184" s="1002"/>
      <c r="AC184" s="1003"/>
      <c r="AD184" s="1004"/>
      <c r="AE184" s="1002"/>
      <c r="AF184" s="1003"/>
      <c r="AG184" s="1004"/>
      <c r="AH184" s="1002"/>
      <c r="AI184" s="1003"/>
      <c r="AJ184" s="1004"/>
      <c r="AK184" s="909"/>
      <c r="AL184" s="1195"/>
      <c r="AM184" s="1196"/>
      <c r="AN184" s="909"/>
    </row>
    <row r="185" spans="1:40" s="1035" customFormat="1" ht="24.95" customHeight="1">
      <c r="A185" s="1274"/>
      <c r="B185" s="1275"/>
      <c r="N185" s="909"/>
      <c r="P185" s="909"/>
      <c r="Q185" s="909"/>
      <c r="R185" s="909"/>
      <c r="S185" s="1073">
        <f>+IF(ENERO!S185=0,"",ENERO!S185)</f>
        <v>3300000</v>
      </c>
      <c r="T185" s="1074" t="str">
        <f>+IF(ENERO!T185=0,"",ENERO!T185)</f>
        <v>Otras Transferencias</v>
      </c>
      <c r="U185" s="1046">
        <f t="shared" ref="U185:AJ185" si="171">U186+U187+U191</f>
        <v>50000000</v>
      </c>
      <c r="V185" s="1047">
        <f t="shared" si="171"/>
        <v>0</v>
      </c>
      <c r="W185" s="1047">
        <f t="shared" si="171"/>
        <v>0</v>
      </c>
      <c r="X185" s="1048">
        <f t="shared" si="171"/>
        <v>50000000</v>
      </c>
      <c r="Y185" s="1046">
        <f t="shared" si="171"/>
        <v>0</v>
      </c>
      <c r="Z185" s="1047">
        <f t="shared" si="171"/>
        <v>0</v>
      </c>
      <c r="AA185" s="1049">
        <f t="shared" si="171"/>
        <v>0</v>
      </c>
      <c r="AB185" s="1046">
        <f t="shared" si="171"/>
        <v>0</v>
      </c>
      <c r="AC185" s="1047">
        <f t="shared" si="171"/>
        <v>0</v>
      </c>
      <c r="AD185" s="1048">
        <f t="shared" si="171"/>
        <v>0</v>
      </c>
      <c r="AE185" s="1046">
        <f t="shared" si="171"/>
        <v>0</v>
      </c>
      <c r="AF185" s="1047">
        <f t="shared" si="171"/>
        <v>0</v>
      </c>
      <c r="AG185" s="1048">
        <f t="shared" si="171"/>
        <v>0</v>
      </c>
      <c r="AH185" s="1046">
        <f t="shared" si="171"/>
        <v>50000000</v>
      </c>
      <c r="AI185" s="1047">
        <f t="shared" si="171"/>
        <v>50000000</v>
      </c>
      <c r="AJ185" s="1048">
        <f t="shared" si="171"/>
        <v>50000000</v>
      </c>
      <c r="AK185" s="909"/>
      <c r="AL185" s="1050">
        <f>AL186+AL187+AL191</f>
        <v>0</v>
      </c>
      <c r="AM185" s="1048">
        <f>AM186+AM187+AM191</f>
        <v>0</v>
      </c>
      <c r="AN185" s="909"/>
    </row>
    <row r="186" spans="1:40" s="1035" customFormat="1" ht="24.95" customHeight="1">
      <c r="A186" s="1274"/>
      <c r="B186" s="1275"/>
      <c r="N186" s="909"/>
      <c r="P186" s="909"/>
      <c r="Q186" s="909"/>
      <c r="R186" s="909"/>
      <c r="S186" s="1083">
        <f>+IF(ENERO!S186=0,"",ENERO!S186)</f>
        <v>3300100</v>
      </c>
      <c r="T186" s="1084" t="str">
        <f>+IF(ENERO!T186=0,"",ENERO!T186)</f>
        <v>Sentencias y Conciliaciones</v>
      </c>
      <c r="U186" s="1085">
        <f>+ENERO!U186</f>
        <v>50000000</v>
      </c>
      <c r="V186" s="1033">
        <f>ENERO!V186+FEBRERO!AL186</f>
        <v>0</v>
      </c>
      <c r="W186" s="1033">
        <f>ENERO!W186+FEBRERO!AM186</f>
        <v>0</v>
      </c>
      <c r="X186" s="1086">
        <f>SUM(U186:W186)</f>
        <v>50000000</v>
      </c>
      <c r="Y186" s="1087">
        <f>ENERO!AA186</f>
        <v>0</v>
      </c>
      <c r="Z186" s="1020">
        <v>0</v>
      </c>
      <c r="AA186" s="1088">
        <f>SUM(Y186:Z186)</f>
        <v>0</v>
      </c>
      <c r="AB186" s="1087">
        <f>ENERO!AD186</f>
        <v>0</v>
      </c>
      <c r="AC186" s="1020">
        <v>0</v>
      </c>
      <c r="AD186" s="1086">
        <f>SUM(AB186:AC186)</f>
        <v>0</v>
      </c>
      <c r="AE186" s="1087">
        <f>ENERO!AG186</f>
        <v>0</v>
      </c>
      <c r="AF186" s="1020">
        <v>0</v>
      </c>
      <c r="AG186" s="1086">
        <f>SUM(AE186:AF186)</f>
        <v>0</v>
      </c>
      <c r="AH186" s="1087">
        <f>X186-AA186</f>
        <v>50000000</v>
      </c>
      <c r="AI186" s="1033">
        <f>X186-AD186</f>
        <v>50000000</v>
      </c>
      <c r="AJ186" s="1086">
        <f>X186-AG186</f>
        <v>50000000</v>
      </c>
      <c r="AK186" s="909"/>
      <c r="AL186" s="1089">
        <v>0</v>
      </c>
      <c r="AM186" s="1023">
        <v>0</v>
      </c>
      <c r="AN186" s="909"/>
    </row>
    <row r="187" spans="1:40" s="1035" customFormat="1" ht="24.95" customHeight="1">
      <c r="A187" s="1274"/>
      <c r="B187" s="1275"/>
      <c r="N187" s="909"/>
      <c r="P187" s="909"/>
      <c r="Q187" s="909"/>
      <c r="R187" s="909"/>
      <c r="S187" s="1083">
        <f>+IF(ENERO!S187=0,"",ENERO!S187)</f>
        <v>3300200</v>
      </c>
      <c r="T187" s="1084" t="str">
        <f>+IF(ENERO!T187=0,"",ENERO!T187)</f>
        <v>Destinatarios de otras transferencias</v>
      </c>
      <c r="U187" s="1085">
        <f t="shared" ref="U187:AM187" si="172">SUM(U188:U190)</f>
        <v>0</v>
      </c>
      <c r="V187" s="1033">
        <f t="shared" si="172"/>
        <v>0</v>
      </c>
      <c r="W187" s="1033">
        <f t="shared" si="172"/>
        <v>0</v>
      </c>
      <c r="X187" s="1086">
        <f t="shared" si="172"/>
        <v>0</v>
      </c>
      <c r="Y187" s="1087">
        <f t="shared" si="172"/>
        <v>0</v>
      </c>
      <c r="Z187" s="1198">
        <f t="shared" si="172"/>
        <v>0</v>
      </c>
      <c r="AA187" s="1088">
        <f t="shared" si="172"/>
        <v>0</v>
      </c>
      <c r="AB187" s="1087">
        <f t="shared" si="172"/>
        <v>0</v>
      </c>
      <c r="AC187" s="1198">
        <f t="shared" si="172"/>
        <v>0</v>
      </c>
      <c r="AD187" s="1086">
        <f t="shared" si="172"/>
        <v>0</v>
      </c>
      <c r="AE187" s="1087">
        <f t="shared" si="172"/>
        <v>0</v>
      </c>
      <c r="AF187" s="1198">
        <f t="shared" si="172"/>
        <v>0</v>
      </c>
      <c r="AG187" s="1086">
        <f t="shared" si="172"/>
        <v>0</v>
      </c>
      <c r="AH187" s="1087">
        <f t="shared" si="172"/>
        <v>0</v>
      </c>
      <c r="AI187" s="1033">
        <f t="shared" si="172"/>
        <v>0</v>
      </c>
      <c r="AJ187" s="1086">
        <f t="shared" si="172"/>
        <v>0</v>
      </c>
      <c r="AK187" s="909"/>
      <c r="AL187" s="1117">
        <f t="shared" si="172"/>
        <v>0</v>
      </c>
      <c r="AM187" s="1118">
        <f t="shared" si="172"/>
        <v>0</v>
      </c>
      <c r="AN187" s="909"/>
    </row>
    <row r="188" spans="1:40" s="1035" customFormat="1" ht="24.95" customHeight="1">
      <c r="A188" s="1274"/>
      <c r="B188" s="1276"/>
      <c r="N188" s="909"/>
      <c r="P188" s="909"/>
      <c r="Q188" s="909"/>
      <c r="R188" s="909"/>
      <c r="S188" s="1130" t="str">
        <f>+IF(ENERO!S188=0,"",ENERO!S188)</f>
        <v>3300200-1</v>
      </c>
      <c r="T188" s="1084" t="str">
        <f>+IF(ENERO!T188=0,"",ENERO!T188)</f>
        <v>COHAN</v>
      </c>
      <c r="U188" s="1085">
        <f>+ENERO!U188</f>
        <v>0</v>
      </c>
      <c r="V188" s="1033">
        <f>ENERO!V188+FEBRERO!AL188</f>
        <v>0</v>
      </c>
      <c r="W188" s="1033">
        <f>ENERO!W188+FEBRERO!AM188</f>
        <v>0</v>
      </c>
      <c r="X188" s="1086">
        <f>SUM(U188:W188)</f>
        <v>0</v>
      </c>
      <c r="Y188" s="1087">
        <f>ENERO!AA188</f>
        <v>0</v>
      </c>
      <c r="Z188" s="1020">
        <v>0</v>
      </c>
      <c r="AA188" s="1088">
        <f>SUM(Y188:Z188)</f>
        <v>0</v>
      </c>
      <c r="AB188" s="1087">
        <f>ENERO!AD188</f>
        <v>0</v>
      </c>
      <c r="AC188" s="1020">
        <v>0</v>
      </c>
      <c r="AD188" s="1086">
        <f>SUM(AB188:AC188)</f>
        <v>0</v>
      </c>
      <c r="AE188" s="1087">
        <f>ENERO!AG188</f>
        <v>0</v>
      </c>
      <c r="AF188" s="1020">
        <v>0</v>
      </c>
      <c r="AG188" s="1086">
        <f>SUM(AE188:AF188)</f>
        <v>0</v>
      </c>
      <c r="AH188" s="1087">
        <f>X188-AA188</f>
        <v>0</v>
      </c>
      <c r="AI188" s="1033">
        <f>X188-AD188</f>
        <v>0</v>
      </c>
      <c r="AJ188" s="1086">
        <f>X188-AG188</f>
        <v>0</v>
      </c>
      <c r="AK188" s="909"/>
      <c r="AL188" s="1089">
        <v>0</v>
      </c>
      <c r="AM188" s="1023">
        <v>0</v>
      </c>
      <c r="AN188" s="909"/>
    </row>
    <row r="189" spans="1:40" s="1035" customFormat="1" ht="24.95" customHeight="1">
      <c r="A189" s="1274"/>
      <c r="B189" s="1276"/>
      <c r="N189" s="909"/>
      <c r="P189" s="909"/>
      <c r="Q189" s="909"/>
      <c r="R189" s="909"/>
      <c r="S189" s="1130" t="str">
        <f>+IF(ENERO!S189=0,"",ENERO!S189)</f>
        <v>3300200-2</v>
      </c>
      <c r="T189" s="1084" t="str">
        <f>+IF(ENERO!T189=0,"",ENERO!T189)</f>
        <v>AESA</v>
      </c>
      <c r="U189" s="1085">
        <f>+ENERO!U189</f>
        <v>0</v>
      </c>
      <c r="V189" s="1033">
        <f>ENERO!V189+FEBRERO!AL189</f>
        <v>0</v>
      </c>
      <c r="W189" s="1033">
        <f>ENERO!W189+FEBRERO!AM189</f>
        <v>0</v>
      </c>
      <c r="X189" s="1086">
        <f>SUM(U189:W189)</f>
        <v>0</v>
      </c>
      <c r="Y189" s="1087">
        <f>ENERO!AA189</f>
        <v>0</v>
      </c>
      <c r="Z189" s="1020">
        <v>0</v>
      </c>
      <c r="AA189" s="1088">
        <f>SUM(Y189:Z189)</f>
        <v>0</v>
      </c>
      <c r="AB189" s="1087">
        <f>ENERO!AD189</f>
        <v>0</v>
      </c>
      <c r="AC189" s="1020">
        <v>0</v>
      </c>
      <c r="AD189" s="1086">
        <f>SUM(AB189:AC189)</f>
        <v>0</v>
      </c>
      <c r="AE189" s="1087">
        <f>ENERO!AG189</f>
        <v>0</v>
      </c>
      <c r="AF189" s="1020">
        <v>0</v>
      </c>
      <c r="AG189" s="1086">
        <f>SUM(AE189:AF189)</f>
        <v>0</v>
      </c>
      <c r="AH189" s="1087">
        <f>X189-AA189</f>
        <v>0</v>
      </c>
      <c r="AI189" s="1033">
        <f>X189-AD189</f>
        <v>0</v>
      </c>
      <c r="AJ189" s="1086">
        <f>X189-AG189</f>
        <v>0</v>
      </c>
      <c r="AK189" s="909"/>
      <c r="AL189" s="1089">
        <v>0</v>
      </c>
      <c r="AM189" s="1023">
        <v>0</v>
      </c>
      <c r="AN189" s="909"/>
    </row>
    <row r="190" spans="1:40" s="1035" customFormat="1" ht="24.95" customHeight="1">
      <c r="A190" s="1274"/>
      <c r="B190" s="1276"/>
      <c r="N190" s="909"/>
      <c r="P190" s="909"/>
      <c r="Q190" s="909"/>
      <c r="R190" s="909"/>
      <c r="S190" s="1130" t="str">
        <f>+IF(ENERO!S190=0,"",ENERO!S190)</f>
        <v>3300200-3</v>
      </c>
      <c r="T190" s="1084" t="str">
        <f>+IF(ENERO!T190=0,"",ENERO!T190)</f>
        <v xml:space="preserve">OTRAS </v>
      </c>
      <c r="U190" s="1085">
        <f>+ENERO!U190</f>
        <v>0</v>
      </c>
      <c r="V190" s="1033">
        <f>ENERO!V190+FEBRERO!AL190</f>
        <v>0</v>
      </c>
      <c r="W190" s="1033">
        <f>ENERO!W190+FEBRERO!AM190</f>
        <v>0</v>
      </c>
      <c r="X190" s="1086">
        <f>SUM(U190:W190)</f>
        <v>0</v>
      </c>
      <c r="Y190" s="1087">
        <f>ENERO!AA190</f>
        <v>0</v>
      </c>
      <c r="Z190" s="1020">
        <v>0</v>
      </c>
      <c r="AA190" s="1088">
        <f>SUM(Y190:Z190)</f>
        <v>0</v>
      </c>
      <c r="AB190" s="1087">
        <f>ENERO!AD190</f>
        <v>0</v>
      </c>
      <c r="AC190" s="1020">
        <v>0</v>
      </c>
      <c r="AD190" s="1086">
        <f>SUM(AB190:AC190)</f>
        <v>0</v>
      </c>
      <c r="AE190" s="1087">
        <f>ENERO!AG190</f>
        <v>0</v>
      </c>
      <c r="AF190" s="1020">
        <v>0</v>
      </c>
      <c r="AG190" s="1086">
        <f>SUM(AE190:AF190)</f>
        <v>0</v>
      </c>
      <c r="AH190" s="1087">
        <f>X190-AA190</f>
        <v>0</v>
      </c>
      <c r="AI190" s="1033">
        <f>X190-AD190</f>
        <v>0</v>
      </c>
      <c r="AJ190" s="1086">
        <f>X190-AG190</f>
        <v>0</v>
      </c>
      <c r="AK190" s="909"/>
      <c r="AL190" s="1089">
        <v>0</v>
      </c>
      <c r="AM190" s="1023">
        <v>0</v>
      </c>
      <c r="AN190" s="909"/>
    </row>
    <row r="191" spans="1:40" s="1035" customFormat="1" ht="24.95" customHeight="1" thickBot="1">
      <c r="A191" s="1274"/>
      <c r="B191" s="1276"/>
      <c r="N191" s="909"/>
      <c r="P191" s="909"/>
      <c r="Q191" s="909"/>
      <c r="R191" s="909"/>
      <c r="S191" s="1083">
        <f>+IF(ENERO!S191=0,"",ENERO!S191)</f>
        <v>3399999</v>
      </c>
      <c r="T191" s="1084" t="str">
        <f>+IF(ENERO!T191=0,"",ENERO!T191)</f>
        <v>Vigencias Anteriores</v>
      </c>
      <c r="U191" s="1085">
        <f>+ENERO!U191</f>
        <v>0</v>
      </c>
      <c r="V191" s="1033">
        <f>ENERO!V191+FEBRERO!AL191</f>
        <v>0</v>
      </c>
      <c r="W191" s="1033">
        <f>ENERO!W191+FEBRERO!AM191</f>
        <v>0</v>
      </c>
      <c r="X191" s="1086">
        <f>SUM(U191:W191)</f>
        <v>0</v>
      </c>
      <c r="Y191" s="1087">
        <f>ENERO!AA191</f>
        <v>0</v>
      </c>
      <c r="Z191" s="1020">
        <v>0</v>
      </c>
      <c r="AA191" s="1088">
        <f>SUM(Y191:Z191)</f>
        <v>0</v>
      </c>
      <c r="AB191" s="1087">
        <f>ENERO!AD191</f>
        <v>0</v>
      </c>
      <c r="AC191" s="1020">
        <v>0</v>
      </c>
      <c r="AD191" s="1086">
        <f>SUM(AB191:AC191)</f>
        <v>0</v>
      </c>
      <c r="AE191" s="1087">
        <f>ENERO!AG191</f>
        <v>0</v>
      </c>
      <c r="AF191" s="1020">
        <v>0</v>
      </c>
      <c r="AG191" s="1086">
        <f>SUM(AE191:AF191)</f>
        <v>0</v>
      </c>
      <c r="AH191" s="1087">
        <f>X191-AA191</f>
        <v>0</v>
      </c>
      <c r="AI191" s="1033">
        <f>X191-AD191</f>
        <v>0</v>
      </c>
      <c r="AJ191" s="1086">
        <f>X191-AG191</f>
        <v>0</v>
      </c>
      <c r="AK191" s="909"/>
      <c r="AL191" s="1089">
        <v>0</v>
      </c>
      <c r="AM191" s="1023">
        <v>0</v>
      </c>
      <c r="AN191" s="909"/>
    </row>
    <row r="192" spans="1:40" s="1035" customFormat="1" ht="24.95" customHeight="1">
      <c r="A192" s="1274"/>
      <c r="B192" s="1276"/>
      <c r="N192" s="909"/>
      <c r="P192" s="909"/>
      <c r="Q192" s="909"/>
      <c r="R192" s="909"/>
      <c r="S192" s="1277"/>
      <c r="T192" s="1278"/>
      <c r="U192" s="1279"/>
      <c r="V192" s="1280"/>
      <c r="W192" s="1280"/>
      <c r="X192" s="1281"/>
      <c r="Y192" s="1282"/>
      <c r="Z192" s="1279"/>
      <c r="AA192" s="1281"/>
      <c r="AB192" s="1280"/>
      <c r="AC192" s="1279"/>
      <c r="AD192" s="1280"/>
      <c r="AE192" s="1282"/>
      <c r="AF192" s="1279"/>
      <c r="AG192" s="1281"/>
      <c r="AH192" s="1282"/>
      <c r="AI192" s="1280"/>
      <c r="AJ192" s="1281"/>
      <c r="AK192" s="909"/>
      <c r="AL192" s="1283"/>
      <c r="AM192" s="1284"/>
      <c r="AN192" s="909"/>
    </row>
    <row r="193" spans="1:40" s="1035" customFormat="1" ht="34.5" customHeight="1" thickBot="1">
      <c r="A193" s="1274"/>
      <c r="B193" s="1276"/>
      <c r="N193" s="909"/>
      <c r="P193" s="909"/>
      <c r="Q193" s="909"/>
      <c r="R193" s="909"/>
      <c r="S193" s="1285" t="s">
        <v>325</v>
      </c>
      <c r="T193" s="1286" t="s">
        <v>581</v>
      </c>
      <c r="U193" s="1287">
        <f>U195+U209</f>
        <v>14750406346</v>
      </c>
      <c r="V193" s="1236">
        <f t="shared" ref="V193:AJ193" si="173">V195+V209</f>
        <v>254688244</v>
      </c>
      <c r="W193" s="1236">
        <f t="shared" si="173"/>
        <v>420790088</v>
      </c>
      <c r="X193" s="1031">
        <f t="shared" si="173"/>
        <v>15425884678</v>
      </c>
      <c r="Y193" s="1235">
        <f t="shared" si="173"/>
        <v>2349331734</v>
      </c>
      <c r="Z193" s="1288">
        <f t="shared" si="173"/>
        <v>2018914367</v>
      </c>
      <c r="AA193" s="1031">
        <f t="shared" si="173"/>
        <v>4368246101</v>
      </c>
      <c r="AB193" s="1287">
        <f t="shared" si="173"/>
        <v>1217878381</v>
      </c>
      <c r="AC193" s="1288">
        <f t="shared" si="173"/>
        <v>1961095373</v>
      </c>
      <c r="AD193" s="1237">
        <f t="shared" si="173"/>
        <v>3178973754</v>
      </c>
      <c r="AE193" s="1235">
        <f t="shared" si="173"/>
        <v>506566674</v>
      </c>
      <c r="AF193" s="1288">
        <f t="shared" si="173"/>
        <v>860911809</v>
      </c>
      <c r="AG193" s="1031">
        <f t="shared" si="173"/>
        <v>1367478483</v>
      </c>
      <c r="AH193" s="1235">
        <f t="shared" si="173"/>
        <v>11057638577</v>
      </c>
      <c r="AI193" s="1236">
        <f t="shared" si="173"/>
        <v>12246910924</v>
      </c>
      <c r="AJ193" s="1031">
        <f t="shared" si="173"/>
        <v>14058406195</v>
      </c>
      <c r="AK193" s="909"/>
      <c r="AL193" s="1030">
        <f t="shared" ref="AL193:AM193" si="174">AL195+AL209</f>
        <v>254688244</v>
      </c>
      <c r="AM193" s="1031">
        <f t="shared" si="174"/>
        <v>53953123</v>
      </c>
      <c r="AN193" s="909"/>
    </row>
    <row r="194" spans="1:40" s="1035" customFormat="1" ht="24.95" customHeight="1">
      <c r="A194" s="1274"/>
      <c r="B194" s="1276"/>
      <c r="N194" s="909"/>
      <c r="P194" s="909"/>
      <c r="Q194" s="909"/>
      <c r="R194" s="909"/>
      <c r="S194" s="1277"/>
      <c r="T194" s="1278"/>
      <c r="U194" s="1279"/>
      <c r="V194" s="1280"/>
      <c r="W194" s="1280"/>
      <c r="X194" s="1281"/>
      <c r="Y194" s="1282"/>
      <c r="Z194" s="1279"/>
      <c r="AA194" s="1281"/>
      <c r="AB194" s="1280"/>
      <c r="AC194" s="1279"/>
      <c r="AD194" s="1280"/>
      <c r="AE194" s="1282"/>
      <c r="AF194" s="1279"/>
      <c r="AG194" s="1281"/>
      <c r="AH194" s="1282"/>
      <c r="AI194" s="1280"/>
      <c r="AJ194" s="1281"/>
      <c r="AK194" s="909"/>
      <c r="AL194" s="1283"/>
      <c r="AM194" s="1284"/>
      <c r="AN194" s="909"/>
    </row>
    <row r="195" spans="1:40" s="1035" customFormat="1" ht="24.95" customHeight="1">
      <c r="A195" s="1274"/>
      <c r="B195" s="1276"/>
      <c r="N195" s="909"/>
      <c r="P195" s="909"/>
      <c r="Q195" s="909"/>
      <c r="R195" s="909"/>
      <c r="S195" s="1044">
        <f>+IF(ENERO!S195=0,"",ENERO!S195)</f>
        <v>4000000</v>
      </c>
      <c r="T195" s="1234" t="str">
        <f>+IF(ENERO!T195=0,"",ENERO!T195)</f>
        <v>GASTOS  DE PRESTACION DE SERVICIOS</v>
      </c>
      <c r="U195" s="1235">
        <f t="shared" ref="U195:AJ195" si="175">U196</f>
        <v>14750406346</v>
      </c>
      <c r="V195" s="1236">
        <f t="shared" si="175"/>
        <v>254688244</v>
      </c>
      <c r="W195" s="1236">
        <f t="shared" si="175"/>
        <v>420790088</v>
      </c>
      <c r="X195" s="1031">
        <f t="shared" si="175"/>
        <v>15425884678</v>
      </c>
      <c r="Y195" s="1235">
        <f t="shared" si="175"/>
        <v>2349331734</v>
      </c>
      <c r="Z195" s="1236">
        <f t="shared" si="175"/>
        <v>2018914367</v>
      </c>
      <c r="AA195" s="1237">
        <f t="shared" si="175"/>
        <v>4368246101</v>
      </c>
      <c r="AB195" s="1235">
        <f t="shared" si="175"/>
        <v>1217878381</v>
      </c>
      <c r="AC195" s="1236">
        <f t="shared" si="175"/>
        <v>1961095373</v>
      </c>
      <c r="AD195" s="1031">
        <f t="shared" si="175"/>
        <v>3178973754</v>
      </c>
      <c r="AE195" s="1235">
        <f t="shared" si="175"/>
        <v>506566674</v>
      </c>
      <c r="AF195" s="1236">
        <f t="shared" si="175"/>
        <v>860911809</v>
      </c>
      <c r="AG195" s="1031">
        <f t="shared" si="175"/>
        <v>1367478483</v>
      </c>
      <c r="AH195" s="1235">
        <f t="shared" si="175"/>
        <v>11057638577</v>
      </c>
      <c r="AI195" s="1236">
        <f t="shared" si="175"/>
        <v>12246910924</v>
      </c>
      <c r="AJ195" s="1031">
        <f t="shared" si="175"/>
        <v>14058406195</v>
      </c>
      <c r="AK195" s="909"/>
      <c r="AL195" s="1050">
        <f>AL196</f>
        <v>254688244</v>
      </c>
      <c r="AM195" s="1048">
        <f>AM196</f>
        <v>53953123</v>
      </c>
      <c r="AN195" s="909"/>
    </row>
    <row r="196" spans="1:40" s="1035" customFormat="1" ht="24.95" customHeight="1">
      <c r="A196" s="1274"/>
      <c r="B196" s="1276"/>
      <c r="N196" s="909"/>
      <c r="P196" s="909"/>
      <c r="Q196" s="909"/>
      <c r="R196" s="909"/>
      <c r="S196" s="1073">
        <f>+IF(ENERO!S196=0,"",ENERO!S196)</f>
        <v>4100000</v>
      </c>
      <c r="T196" s="1074" t="str">
        <f>+IF(ENERO!T196=0,"",ENERO!T196)</f>
        <v>Insumos y Suministros Hospitalarios</v>
      </c>
      <c r="U196" s="1046">
        <f t="shared" ref="U196:AJ196" si="176">U197+U205+U207</f>
        <v>14750406346</v>
      </c>
      <c r="V196" s="1047">
        <f t="shared" si="176"/>
        <v>254688244</v>
      </c>
      <c r="W196" s="1047">
        <f t="shared" si="176"/>
        <v>420790088</v>
      </c>
      <c r="X196" s="1048">
        <f t="shared" si="176"/>
        <v>15425884678</v>
      </c>
      <c r="Y196" s="1046">
        <f t="shared" si="176"/>
        <v>2349331734</v>
      </c>
      <c r="Z196" s="1047">
        <f t="shared" si="176"/>
        <v>2018914367</v>
      </c>
      <c r="AA196" s="1049">
        <f t="shared" si="176"/>
        <v>4368246101</v>
      </c>
      <c r="AB196" s="1046">
        <f t="shared" si="176"/>
        <v>1217878381</v>
      </c>
      <c r="AC196" s="1047">
        <f t="shared" si="176"/>
        <v>1961095373</v>
      </c>
      <c r="AD196" s="1048">
        <f t="shared" si="176"/>
        <v>3178973754</v>
      </c>
      <c r="AE196" s="1046">
        <f t="shared" si="176"/>
        <v>506566674</v>
      </c>
      <c r="AF196" s="1047">
        <f t="shared" si="176"/>
        <v>860911809</v>
      </c>
      <c r="AG196" s="1048">
        <f t="shared" si="176"/>
        <v>1367478483</v>
      </c>
      <c r="AH196" s="1046">
        <f t="shared" si="176"/>
        <v>11057638577</v>
      </c>
      <c r="AI196" s="1047">
        <f t="shared" si="176"/>
        <v>12246910924</v>
      </c>
      <c r="AJ196" s="1048">
        <f t="shared" si="176"/>
        <v>14058406195</v>
      </c>
      <c r="AK196" s="1029"/>
      <c r="AL196" s="1050">
        <f>AL197+AL205+AL207</f>
        <v>254688244</v>
      </c>
      <c r="AM196" s="1048">
        <f>AM197+AM205+AM207</f>
        <v>53953123</v>
      </c>
      <c r="AN196" s="909"/>
    </row>
    <row r="197" spans="1:40" s="1035" customFormat="1" ht="24.95" customHeight="1">
      <c r="A197" s="1274"/>
      <c r="B197" s="1276"/>
      <c r="N197" s="909"/>
      <c r="P197" s="909"/>
      <c r="Q197" s="909"/>
      <c r="R197" s="909"/>
      <c r="S197" s="1083">
        <f>+IF(ENERO!S197=0,"",ENERO!S197)</f>
        <v>4100100</v>
      </c>
      <c r="T197" s="1084" t="str">
        <f>+IF(ENERO!T197=0,"",ENERO!T197)</f>
        <v>Compra de Bienes para la Prestacion de servicios</v>
      </c>
      <c r="U197" s="1085">
        <f t="shared" ref="U197:AJ197" si="177">SUM(U198:U204)</f>
        <v>13250406346</v>
      </c>
      <c r="V197" s="1033">
        <f t="shared" si="177"/>
        <v>-245000000</v>
      </c>
      <c r="W197" s="1033">
        <f t="shared" si="177"/>
        <v>0</v>
      </c>
      <c r="X197" s="1086">
        <f t="shared" si="177"/>
        <v>13005406346</v>
      </c>
      <c r="Y197" s="1087">
        <f t="shared" si="177"/>
        <v>1829870337</v>
      </c>
      <c r="Z197" s="1198">
        <f t="shared" si="177"/>
        <v>1388895886</v>
      </c>
      <c r="AA197" s="1088">
        <f t="shared" si="177"/>
        <v>3218766223</v>
      </c>
      <c r="AB197" s="1087">
        <f t="shared" si="177"/>
        <v>703747002</v>
      </c>
      <c r="AC197" s="1198">
        <f t="shared" si="177"/>
        <v>1331076892</v>
      </c>
      <c r="AD197" s="1086">
        <f t="shared" si="177"/>
        <v>2034823894</v>
      </c>
      <c r="AE197" s="1087">
        <f t="shared" si="177"/>
        <v>117105277</v>
      </c>
      <c r="AF197" s="1198">
        <f t="shared" si="177"/>
        <v>350893328</v>
      </c>
      <c r="AG197" s="1086">
        <f t="shared" si="177"/>
        <v>467998605</v>
      </c>
      <c r="AH197" s="1087">
        <f t="shared" si="177"/>
        <v>9786640123</v>
      </c>
      <c r="AI197" s="1033">
        <f t="shared" si="177"/>
        <v>10970582452</v>
      </c>
      <c r="AJ197" s="1086">
        <f t="shared" si="177"/>
        <v>12537407741</v>
      </c>
      <c r="AK197" s="909"/>
      <c r="AL197" s="1117">
        <f>SUM(AL198:AL204)</f>
        <v>-245000000</v>
      </c>
      <c r="AM197" s="1118">
        <f>SUM(AM198:AM204)</f>
        <v>0</v>
      </c>
      <c r="AN197" s="909"/>
    </row>
    <row r="198" spans="1:40" s="1035" customFormat="1" ht="24.95" customHeight="1">
      <c r="A198" s="1274"/>
      <c r="B198" s="1276"/>
      <c r="N198" s="909"/>
      <c r="P198" s="909"/>
      <c r="Q198" s="909"/>
      <c r="R198" s="909"/>
      <c r="S198" s="1130" t="str">
        <f>+IF(ENERO!S198=0,"",ENERO!S198)</f>
        <v>4100100-1</v>
      </c>
      <c r="T198" s="1131" t="str">
        <f>+IF(ENERO!T198=0,"",ENERO!T198)</f>
        <v>Productos Farmaceuticos</v>
      </c>
      <c r="U198" s="1085">
        <f>+ENERO!U198</f>
        <v>6473158346</v>
      </c>
      <c r="V198" s="1033">
        <f>ENERO!V198+FEBRERO!AL198</f>
        <v>-245000000</v>
      </c>
      <c r="W198" s="1033">
        <f>ENERO!W198+FEBRERO!AM198</f>
        <v>0</v>
      </c>
      <c r="X198" s="1086">
        <f t="shared" ref="X198:X204" si="178">SUM(U198:W198)</f>
        <v>6228158346</v>
      </c>
      <c r="Y198" s="1087">
        <f>ENERO!AA198</f>
        <v>716781203</v>
      </c>
      <c r="Z198" s="1020">
        <v>568168216</v>
      </c>
      <c r="AA198" s="1088">
        <f t="shared" ref="AA198:AA204" si="179">SUM(Y198:Z198)</f>
        <v>1284949419</v>
      </c>
      <c r="AB198" s="1087">
        <f>ENERO!AD198</f>
        <v>229010253</v>
      </c>
      <c r="AC198" s="1020">
        <v>505396062</v>
      </c>
      <c r="AD198" s="1086">
        <f t="shared" ref="AD198:AD204" si="180">SUM(AB198:AC198)</f>
        <v>734406315</v>
      </c>
      <c r="AE198" s="1087">
        <f>ENERO!AG198</f>
        <v>51294076</v>
      </c>
      <c r="AF198" s="1020">
        <v>115637387</v>
      </c>
      <c r="AG198" s="1086">
        <f t="shared" ref="AG198:AG204" si="181">SUM(AE198:AF198)</f>
        <v>166931463</v>
      </c>
      <c r="AH198" s="1087">
        <f t="shared" ref="AH198:AH204" si="182">X198-AA198</f>
        <v>4943208927</v>
      </c>
      <c r="AI198" s="1033">
        <f t="shared" ref="AI198:AI204" si="183">X198-AD198</f>
        <v>5493752031</v>
      </c>
      <c r="AJ198" s="1086">
        <f t="shared" ref="AJ198:AJ204" si="184">X198-AG198</f>
        <v>6061226883</v>
      </c>
      <c r="AK198" s="909"/>
      <c r="AL198" s="1089">
        <v>-245000000</v>
      </c>
      <c r="AM198" s="1023">
        <v>0</v>
      </c>
      <c r="AN198" s="909"/>
    </row>
    <row r="199" spans="1:40" s="1035" customFormat="1" ht="24.95" customHeight="1">
      <c r="A199" s="1274"/>
      <c r="B199" s="1276"/>
      <c r="N199" s="909"/>
      <c r="P199" s="909"/>
      <c r="Q199" s="909"/>
      <c r="R199" s="909"/>
      <c r="S199" s="1130" t="str">
        <f>+IF(ENERO!S199=0,"",ENERO!S199)</f>
        <v>4100100-2</v>
      </c>
      <c r="T199" s="1131" t="str">
        <f>+IF(ENERO!T199=0,"",ENERO!T199)</f>
        <v>Material Médico Quirúrgico</v>
      </c>
      <c r="U199" s="1085">
        <f>+ENERO!U199</f>
        <v>4177248000</v>
      </c>
      <c r="V199" s="1033">
        <f>ENERO!V199+FEBRERO!AL199</f>
        <v>0</v>
      </c>
      <c r="W199" s="1033">
        <f>ENERO!W199+FEBRERO!AM199</f>
        <v>0</v>
      </c>
      <c r="X199" s="1086">
        <f t="shared" si="178"/>
        <v>4177248000</v>
      </c>
      <c r="Y199" s="1087">
        <f>ENERO!AA199</f>
        <v>388178151</v>
      </c>
      <c r="Z199" s="1020">
        <v>669065873</v>
      </c>
      <c r="AA199" s="1088">
        <f t="shared" si="179"/>
        <v>1057244024</v>
      </c>
      <c r="AB199" s="1087">
        <f>ENERO!AD199</f>
        <v>324897837</v>
      </c>
      <c r="AC199" s="1020">
        <v>557162941</v>
      </c>
      <c r="AD199" s="1086">
        <f t="shared" si="180"/>
        <v>882060778</v>
      </c>
      <c r="AE199" s="1087">
        <f>ENERO!AG199</f>
        <v>65811201</v>
      </c>
      <c r="AF199" s="1020">
        <v>201931094</v>
      </c>
      <c r="AG199" s="1086">
        <f t="shared" si="181"/>
        <v>267742295</v>
      </c>
      <c r="AH199" s="1087">
        <f t="shared" si="182"/>
        <v>3120003976</v>
      </c>
      <c r="AI199" s="1033">
        <f t="shared" si="183"/>
        <v>3295187222</v>
      </c>
      <c r="AJ199" s="1086">
        <f t="shared" si="184"/>
        <v>3909505705</v>
      </c>
      <c r="AK199" s="909"/>
      <c r="AL199" s="1089">
        <v>0</v>
      </c>
      <c r="AM199" s="1023">
        <v>0</v>
      </c>
      <c r="AN199" s="909"/>
    </row>
    <row r="200" spans="1:40" s="1035" customFormat="1" ht="24.95" customHeight="1">
      <c r="A200" s="1274"/>
      <c r="B200" s="1276"/>
      <c r="N200" s="909"/>
      <c r="P200" s="909"/>
      <c r="Q200" s="909"/>
      <c r="R200" s="909"/>
      <c r="S200" s="1130" t="str">
        <f>+IF(ENERO!S200=0,"",ENERO!S200)</f>
        <v>4100100-3</v>
      </c>
      <c r="T200" s="1131" t="str">
        <f>+IF(ENERO!T200=0,"",ENERO!T200)</f>
        <v>Material de Laboratorio</v>
      </c>
      <c r="U200" s="1085">
        <f>+ENERO!U200</f>
        <v>1300000000</v>
      </c>
      <c r="V200" s="1033">
        <f>ENERO!V200+FEBRERO!AL200</f>
        <v>0</v>
      </c>
      <c r="W200" s="1033">
        <f>ENERO!W200+FEBRERO!AM200</f>
        <v>0</v>
      </c>
      <c r="X200" s="1086">
        <f t="shared" si="178"/>
        <v>1300000000</v>
      </c>
      <c r="Y200" s="1087">
        <f>ENERO!AA200</f>
        <v>484910983</v>
      </c>
      <c r="Z200" s="1020">
        <v>151661797</v>
      </c>
      <c r="AA200" s="1088">
        <f t="shared" si="179"/>
        <v>636572780</v>
      </c>
      <c r="AB200" s="1087">
        <f>ENERO!AD200</f>
        <v>125707317</v>
      </c>
      <c r="AC200" s="1020">
        <v>189463328</v>
      </c>
      <c r="AD200" s="1086">
        <f t="shared" si="180"/>
        <v>315170645</v>
      </c>
      <c r="AE200" s="1087">
        <f>ENERO!AG200</f>
        <v>0</v>
      </c>
      <c r="AF200" s="1020">
        <v>33324847</v>
      </c>
      <c r="AG200" s="1086">
        <f t="shared" si="181"/>
        <v>33324847</v>
      </c>
      <c r="AH200" s="1087">
        <f t="shared" si="182"/>
        <v>663427220</v>
      </c>
      <c r="AI200" s="1033">
        <f t="shared" si="183"/>
        <v>984829355</v>
      </c>
      <c r="AJ200" s="1086">
        <f t="shared" si="184"/>
        <v>1266675153</v>
      </c>
      <c r="AK200" s="909"/>
      <c r="AL200" s="1089">
        <v>0</v>
      </c>
      <c r="AM200" s="1023">
        <v>0</v>
      </c>
      <c r="AN200" s="909"/>
    </row>
    <row r="201" spans="1:40" s="1035" customFormat="1" ht="24.95" customHeight="1">
      <c r="A201" s="1274"/>
      <c r="B201" s="1276"/>
      <c r="N201" s="909"/>
      <c r="P201" s="909"/>
      <c r="Q201" s="909"/>
      <c r="R201" s="909"/>
      <c r="S201" s="1130" t="str">
        <f>+IF(ENERO!S201=0,"",ENERO!S201)</f>
        <v>4100100-4</v>
      </c>
      <c r="T201" s="1131" t="str">
        <f>+IF(ENERO!T201=0,"",ENERO!T201)</f>
        <v>Material para Odontologia</v>
      </c>
      <c r="U201" s="1085">
        <f>+ENERO!U201</f>
        <v>0</v>
      </c>
      <c r="V201" s="1033">
        <f>ENERO!V201+FEBRERO!AL201</f>
        <v>0</v>
      </c>
      <c r="W201" s="1033">
        <f>ENERO!W201+FEBRERO!AM201</f>
        <v>0</v>
      </c>
      <c r="X201" s="1086">
        <f t="shared" si="178"/>
        <v>0</v>
      </c>
      <c r="Y201" s="1087">
        <f>ENERO!AA201</f>
        <v>0</v>
      </c>
      <c r="Z201" s="1020">
        <v>0</v>
      </c>
      <c r="AA201" s="1088">
        <f t="shared" si="179"/>
        <v>0</v>
      </c>
      <c r="AB201" s="1087">
        <f>ENERO!AD201</f>
        <v>0</v>
      </c>
      <c r="AC201" s="1020">
        <v>0</v>
      </c>
      <c r="AD201" s="1086">
        <f t="shared" si="180"/>
        <v>0</v>
      </c>
      <c r="AE201" s="1087">
        <f>ENERO!AG201</f>
        <v>0</v>
      </c>
      <c r="AF201" s="1020">
        <v>0</v>
      </c>
      <c r="AG201" s="1086">
        <f t="shared" si="181"/>
        <v>0</v>
      </c>
      <c r="AH201" s="1087">
        <f t="shared" si="182"/>
        <v>0</v>
      </c>
      <c r="AI201" s="1033">
        <f t="shared" si="183"/>
        <v>0</v>
      </c>
      <c r="AJ201" s="1086">
        <f t="shared" si="184"/>
        <v>0</v>
      </c>
      <c r="AK201" s="909"/>
      <c r="AL201" s="1089">
        <v>0</v>
      </c>
      <c r="AM201" s="1023">
        <v>0</v>
      </c>
      <c r="AN201" s="909"/>
    </row>
    <row r="202" spans="1:40" s="1035" customFormat="1" ht="24.95" customHeight="1">
      <c r="A202" s="1274"/>
      <c r="B202" s="1276"/>
      <c r="N202" s="909"/>
      <c r="P202" s="909"/>
      <c r="Q202" s="909"/>
      <c r="R202" s="909"/>
      <c r="S202" s="1130" t="str">
        <f>+IF(ENERO!S202=0,"",ENERO!S202)</f>
        <v>4100100-5</v>
      </c>
      <c r="T202" s="1131" t="str">
        <f>+IF(ENERO!T202=0,"",ENERO!T202)</f>
        <v>Material para Rayos X</v>
      </c>
      <c r="U202" s="1085">
        <f>+ENERO!U202</f>
        <v>1300000000</v>
      </c>
      <c r="V202" s="1033">
        <f>ENERO!V202+FEBRERO!AL202</f>
        <v>0</v>
      </c>
      <c r="W202" s="1033">
        <f>ENERO!W202+FEBRERO!AM202</f>
        <v>0</v>
      </c>
      <c r="X202" s="1086">
        <f t="shared" si="178"/>
        <v>1300000000</v>
      </c>
      <c r="Y202" s="1087">
        <f>ENERO!AA202</f>
        <v>240000000</v>
      </c>
      <c r="Z202" s="1020">
        <v>0</v>
      </c>
      <c r="AA202" s="1088">
        <f t="shared" si="179"/>
        <v>240000000</v>
      </c>
      <c r="AB202" s="1087">
        <f>ENERO!AD202</f>
        <v>24131595</v>
      </c>
      <c r="AC202" s="1020">
        <v>79054561</v>
      </c>
      <c r="AD202" s="1086">
        <f t="shared" si="180"/>
        <v>103186156</v>
      </c>
      <c r="AE202" s="1087">
        <f>ENERO!AG202</f>
        <v>0</v>
      </c>
      <c r="AF202" s="1020">
        <v>0</v>
      </c>
      <c r="AG202" s="1086">
        <f t="shared" si="181"/>
        <v>0</v>
      </c>
      <c r="AH202" s="1087">
        <f t="shared" si="182"/>
        <v>1060000000</v>
      </c>
      <c r="AI202" s="1033">
        <f t="shared" si="183"/>
        <v>1196813844</v>
      </c>
      <c r="AJ202" s="1086">
        <f t="shared" si="184"/>
        <v>1300000000</v>
      </c>
      <c r="AK202" s="909"/>
      <c r="AL202" s="1089">
        <v>0</v>
      </c>
      <c r="AM202" s="1023">
        <v>0</v>
      </c>
      <c r="AN202" s="909"/>
    </row>
    <row r="203" spans="1:40" s="1035" customFormat="1" ht="24.95" customHeight="1">
      <c r="A203" s="1274"/>
      <c r="B203" s="1276"/>
      <c r="N203" s="909"/>
      <c r="P203" s="909"/>
      <c r="Q203" s="909"/>
      <c r="R203" s="909"/>
      <c r="S203" s="1130" t="str">
        <f>+IF(ENERO!S203=0,"",ENERO!S203)</f>
        <v/>
      </c>
      <c r="T203" s="1131" t="str">
        <f>+IF(ENERO!T203=0,"",ENERO!T203)</f>
        <v/>
      </c>
      <c r="U203" s="1085">
        <f>+ENERO!U203</f>
        <v>0</v>
      </c>
      <c r="V203" s="1033">
        <f>ENERO!V203+FEBRERO!AL203</f>
        <v>0</v>
      </c>
      <c r="W203" s="1033">
        <f>ENERO!W203+FEBRERO!AM203</f>
        <v>0</v>
      </c>
      <c r="X203" s="1086">
        <f t="shared" si="178"/>
        <v>0</v>
      </c>
      <c r="Y203" s="1087">
        <f>ENERO!AA203</f>
        <v>0</v>
      </c>
      <c r="Z203" s="1020">
        <v>0</v>
      </c>
      <c r="AA203" s="1088">
        <f t="shared" si="179"/>
        <v>0</v>
      </c>
      <c r="AB203" s="1087">
        <f>ENERO!AD203</f>
        <v>0</v>
      </c>
      <c r="AC203" s="1020">
        <v>0</v>
      </c>
      <c r="AD203" s="1086">
        <f t="shared" si="180"/>
        <v>0</v>
      </c>
      <c r="AE203" s="1087">
        <f>ENERO!AG203</f>
        <v>0</v>
      </c>
      <c r="AF203" s="1020">
        <v>0</v>
      </c>
      <c r="AG203" s="1086">
        <f t="shared" si="181"/>
        <v>0</v>
      </c>
      <c r="AH203" s="1087">
        <f t="shared" si="182"/>
        <v>0</v>
      </c>
      <c r="AI203" s="1033">
        <f t="shared" si="183"/>
        <v>0</v>
      </c>
      <c r="AJ203" s="1086">
        <f t="shared" si="184"/>
        <v>0</v>
      </c>
      <c r="AK203" s="909"/>
      <c r="AL203" s="1089">
        <v>0</v>
      </c>
      <c r="AM203" s="1023">
        <v>0</v>
      </c>
      <c r="AN203" s="909"/>
    </row>
    <row r="204" spans="1:40" s="1035" customFormat="1" ht="24.95" customHeight="1">
      <c r="A204" s="1274"/>
      <c r="B204" s="1276"/>
      <c r="N204" s="909"/>
      <c r="P204" s="909"/>
      <c r="Q204" s="909"/>
      <c r="R204" s="909"/>
      <c r="S204" s="1130" t="str">
        <f>+IF(ENERO!S204=0,"",ENERO!S204)</f>
        <v/>
      </c>
      <c r="T204" s="1131" t="str">
        <f>+IF(ENERO!T204=0,"",ENERO!T204)</f>
        <v/>
      </c>
      <c r="U204" s="1085">
        <f>+ENERO!U204</f>
        <v>0</v>
      </c>
      <c r="V204" s="1033">
        <f>ENERO!V204+FEBRERO!AL204</f>
        <v>0</v>
      </c>
      <c r="W204" s="1033">
        <f>ENERO!W204+FEBRERO!AM204</f>
        <v>0</v>
      </c>
      <c r="X204" s="1086">
        <f t="shared" si="178"/>
        <v>0</v>
      </c>
      <c r="Y204" s="1087">
        <f>ENERO!AA204</f>
        <v>0</v>
      </c>
      <c r="Z204" s="1020">
        <v>0</v>
      </c>
      <c r="AA204" s="1088">
        <f t="shared" si="179"/>
        <v>0</v>
      </c>
      <c r="AB204" s="1087">
        <f>ENERO!AD204</f>
        <v>0</v>
      </c>
      <c r="AC204" s="1020">
        <v>0</v>
      </c>
      <c r="AD204" s="1086">
        <f t="shared" si="180"/>
        <v>0</v>
      </c>
      <c r="AE204" s="1087">
        <f>ENERO!AG204</f>
        <v>0</v>
      </c>
      <c r="AF204" s="1020">
        <v>0</v>
      </c>
      <c r="AG204" s="1086">
        <f t="shared" si="181"/>
        <v>0</v>
      </c>
      <c r="AH204" s="1087">
        <f t="shared" si="182"/>
        <v>0</v>
      </c>
      <c r="AI204" s="1033">
        <f t="shared" si="183"/>
        <v>0</v>
      </c>
      <c r="AJ204" s="1086">
        <f t="shared" si="184"/>
        <v>0</v>
      </c>
      <c r="AK204" s="909"/>
      <c r="AL204" s="1089">
        <v>0</v>
      </c>
      <c r="AM204" s="1023">
        <v>0</v>
      </c>
      <c r="AN204" s="909"/>
    </row>
    <row r="205" spans="1:40" s="1035" customFormat="1" ht="24.95" customHeight="1">
      <c r="A205" s="1274"/>
      <c r="B205" s="1276"/>
      <c r="N205" s="909"/>
      <c r="P205" s="909"/>
      <c r="Q205" s="909"/>
      <c r="R205" s="909"/>
      <c r="S205" s="1083">
        <f>+IF(ENERO!S205=0,"",ENERO!S205)</f>
        <v>4100200</v>
      </c>
      <c r="T205" s="1084" t="str">
        <f>+IF(ENERO!T205=0,"",ENERO!T205)</f>
        <v>Gastos Complementarios e Intermedios</v>
      </c>
      <c r="U205" s="1085">
        <f t="shared" ref="U205:AJ205" si="185">U206</f>
        <v>1500000000</v>
      </c>
      <c r="V205" s="1033">
        <f t="shared" si="185"/>
        <v>0</v>
      </c>
      <c r="W205" s="1033">
        <f t="shared" si="185"/>
        <v>0</v>
      </c>
      <c r="X205" s="1086">
        <f t="shared" si="185"/>
        <v>1500000000</v>
      </c>
      <c r="Y205" s="1087">
        <f t="shared" si="185"/>
        <v>130000000</v>
      </c>
      <c r="Z205" s="1198">
        <f t="shared" si="185"/>
        <v>120000000</v>
      </c>
      <c r="AA205" s="1088">
        <f t="shared" si="185"/>
        <v>250000000</v>
      </c>
      <c r="AB205" s="1087">
        <f t="shared" si="185"/>
        <v>124669982</v>
      </c>
      <c r="AC205" s="1198">
        <f t="shared" si="185"/>
        <v>120000000</v>
      </c>
      <c r="AD205" s="1086">
        <f t="shared" si="185"/>
        <v>244669982</v>
      </c>
      <c r="AE205" s="1087">
        <f t="shared" si="185"/>
        <v>0</v>
      </c>
      <c r="AF205" s="1198">
        <f t="shared" si="185"/>
        <v>0</v>
      </c>
      <c r="AG205" s="1086">
        <f t="shared" si="185"/>
        <v>0</v>
      </c>
      <c r="AH205" s="1087">
        <f t="shared" si="185"/>
        <v>1250000000</v>
      </c>
      <c r="AI205" s="1033">
        <f t="shared" si="185"/>
        <v>1255330018</v>
      </c>
      <c r="AJ205" s="1086">
        <f t="shared" si="185"/>
        <v>1500000000</v>
      </c>
      <c r="AK205" s="909"/>
      <c r="AL205" s="1117">
        <f>AL206</f>
        <v>0</v>
      </c>
      <c r="AM205" s="1118">
        <f>AM206</f>
        <v>0</v>
      </c>
      <c r="AN205" s="909"/>
    </row>
    <row r="206" spans="1:40" s="1035" customFormat="1" ht="24.95" customHeight="1">
      <c r="A206" s="1274"/>
      <c r="B206" s="1276"/>
      <c r="N206" s="909"/>
      <c r="P206" s="909"/>
      <c r="Q206" s="909"/>
      <c r="R206" s="909"/>
      <c r="S206" s="1130" t="str">
        <f>+IF(ENERO!S206=0,"",ENERO!S206)</f>
        <v>4100200-1</v>
      </c>
      <c r="T206" s="1131" t="str">
        <f>+IF(ENERO!T206=0,"",ENERO!T206)</f>
        <v>Alimentación</v>
      </c>
      <c r="U206" s="1085">
        <f>+ENERO!U206</f>
        <v>1500000000</v>
      </c>
      <c r="V206" s="1033">
        <f>ENERO!V206+FEBRERO!AL206</f>
        <v>0</v>
      </c>
      <c r="W206" s="1033">
        <f>ENERO!W206+FEBRERO!AM206</f>
        <v>0</v>
      </c>
      <c r="X206" s="1086">
        <f>SUM(U206:W206)</f>
        <v>1500000000</v>
      </c>
      <c r="Y206" s="1087">
        <f>ENERO!AA206</f>
        <v>130000000</v>
      </c>
      <c r="Z206" s="1020">
        <v>120000000</v>
      </c>
      <c r="AA206" s="1088">
        <f>SUM(Y206:Z206)</f>
        <v>250000000</v>
      </c>
      <c r="AB206" s="1087">
        <f>ENERO!AD206</f>
        <v>124669982</v>
      </c>
      <c r="AC206" s="1020">
        <v>120000000</v>
      </c>
      <c r="AD206" s="1086">
        <f>SUM(AB206:AC206)</f>
        <v>244669982</v>
      </c>
      <c r="AE206" s="1087">
        <f>ENERO!AG206</f>
        <v>0</v>
      </c>
      <c r="AF206" s="1020">
        <v>0</v>
      </c>
      <c r="AG206" s="1086">
        <f>SUM(AE206:AF206)</f>
        <v>0</v>
      </c>
      <c r="AH206" s="1087">
        <f>X206-AA206</f>
        <v>1250000000</v>
      </c>
      <c r="AI206" s="1033">
        <f>X206-AD206</f>
        <v>1255330018</v>
      </c>
      <c r="AJ206" s="1086">
        <f>X206-AG206</f>
        <v>1500000000</v>
      </c>
      <c r="AK206" s="909"/>
      <c r="AL206" s="1089">
        <v>0</v>
      </c>
      <c r="AM206" s="1023">
        <v>0</v>
      </c>
      <c r="AN206" s="909"/>
    </row>
    <row r="207" spans="1:40" s="1035" customFormat="1" ht="24.95" customHeight="1" thickBot="1">
      <c r="A207" s="1274"/>
      <c r="B207" s="1276"/>
      <c r="N207" s="909"/>
      <c r="P207" s="909"/>
      <c r="Q207" s="909"/>
      <c r="R207" s="909"/>
      <c r="S207" s="1289">
        <f>+IF(ENERO!S207=0,"",ENERO!S207)</f>
        <v>4199999</v>
      </c>
      <c r="T207" s="1290" t="str">
        <f>+IF(ENERO!T207=0,"",ENERO!T207)</f>
        <v>Vigencias Anteriores</v>
      </c>
      <c r="U207" s="1291">
        <f>+ENERO!U207</f>
        <v>0</v>
      </c>
      <c r="V207" s="1292">
        <f>ENERO!V207+FEBRERO!AL207</f>
        <v>499688244</v>
      </c>
      <c r="W207" s="1292">
        <f>ENERO!W207+FEBRERO!AM207</f>
        <v>420790088</v>
      </c>
      <c r="X207" s="1293">
        <f>SUM(U207:W207)</f>
        <v>920478332</v>
      </c>
      <c r="Y207" s="1294">
        <f>ENERO!AA207</f>
        <v>389461397</v>
      </c>
      <c r="Z207" s="1061">
        <v>510018481</v>
      </c>
      <c r="AA207" s="1295">
        <f>SUM(Y207:Z207)</f>
        <v>899479878</v>
      </c>
      <c r="AB207" s="1294">
        <f>ENERO!AD207</f>
        <v>389461397</v>
      </c>
      <c r="AC207" s="1061">
        <v>510018481</v>
      </c>
      <c r="AD207" s="1293">
        <f>SUM(AB207:AC207)</f>
        <v>899479878</v>
      </c>
      <c r="AE207" s="1294">
        <f>ENERO!AG207</f>
        <v>389461397</v>
      </c>
      <c r="AF207" s="1061">
        <v>510018481</v>
      </c>
      <c r="AG207" s="1293">
        <f>SUM(AE207:AF207)</f>
        <v>899479878</v>
      </c>
      <c r="AH207" s="1294">
        <f>X207-AA207</f>
        <v>20998454</v>
      </c>
      <c r="AI207" s="1292">
        <f>X207-AD207</f>
        <v>20998454</v>
      </c>
      <c r="AJ207" s="1293">
        <f>X207-AG207</f>
        <v>20998454</v>
      </c>
      <c r="AK207" s="909"/>
      <c r="AL207" s="1296">
        <f>173516287+326171957</f>
        <v>499688244</v>
      </c>
      <c r="AM207" s="1064">
        <v>53953123</v>
      </c>
      <c r="AN207" s="909"/>
    </row>
    <row r="208" spans="1:40" s="1035" customFormat="1" ht="24.95" customHeight="1">
      <c r="A208" s="1274"/>
      <c r="B208" s="1276"/>
      <c r="N208" s="909"/>
      <c r="P208" s="909"/>
      <c r="Q208" s="909"/>
      <c r="R208" s="909"/>
      <c r="S208" s="1277" t="str">
        <f>+IF(ENERO!S208=0,"",ENERO!S208)</f>
        <v/>
      </c>
      <c r="T208" s="1278" t="str">
        <f>+IF(ENERO!T208=0,"",ENERO!T208)</f>
        <v/>
      </c>
      <c r="U208" s="1280"/>
      <c r="V208" s="1280"/>
      <c r="W208" s="1280"/>
      <c r="X208" s="1280"/>
      <c r="Y208" s="1280"/>
      <c r="Z208" s="1280"/>
      <c r="AA208" s="1280"/>
      <c r="AB208" s="1282"/>
      <c r="AC208" s="1280"/>
      <c r="AD208" s="1281"/>
      <c r="AE208" s="1282"/>
      <c r="AF208" s="1280"/>
      <c r="AG208" s="1281"/>
      <c r="AH208" s="1282"/>
      <c r="AI208" s="1280"/>
      <c r="AJ208" s="1281"/>
      <c r="AK208" s="909"/>
      <c r="AL208" s="1283"/>
      <c r="AM208" s="1284"/>
      <c r="AN208" s="909"/>
    </row>
    <row r="209" spans="1:40" s="1035" customFormat="1" ht="24.95" customHeight="1">
      <c r="A209" s="1274"/>
      <c r="B209" s="1276"/>
      <c r="N209" s="909"/>
      <c r="P209" s="909"/>
      <c r="Q209" s="909"/>
      <c r="R209" s="909"/>
      <c r="S209" s="1044">
        <f>+IF(ENERO!S209=0,"",ENERO!S209)</f>
        <v>5000000</v>
      </c>
      <c r="T209" s="1297" t="str">
        <f>+IF(ENERO!T209=0,"",ENERO!T209)</f>
        <v>GASTOS DE COMERCIALIZACION</v>
      </c>
      <c r="U209" s="1287">
        <f t="shared" ref="U209:AJ209" si="186">U210</f>
        <v>0</v>
      </c>
      <c r="V209" s="1236">
        <f t="shared" si="186"/>
        <v>0</v>
      </c>
      <c r="W209" s="1236">
        <f t="shared" si="186"/>
        <v>0</v>
      </c>
      <c r="X209" s="1237">
        <f t="shared" si="186"/>
        <v>0</v>
      </c>
      <c r="Y209" s="1235">
        <f t="shared" si="186"/>
        <v>0</v>
      </c>
      <c r="Z209" s="1236">
        <f t="shared" si="186"/>
        <v>0</v>
      </c>
      <c r="AA209" s="1237">
        <f t="shared" si="186"/>
        <v>0</v>
      </c>
      <c r="AB209" s="1235">
        <f t="shared" si="186"/>
        <v>0</v>
      </c>
      <c r="AC209" s="1236">
        <f t="shared" si="186"/>
        <v>0</v>
      </c>
      <c r="AD209" s="1031">
        <f t="shared" si="186"/>
        <v>0</v>
      </c>
      <c r="AE209" s="1235">
        <f t="shared" si="186"/>
        <v>0</v>
      </c>
      <c r="AF209" s="1236">
        <f t="shared" si="186"/>
        <v>0</v>
      </c>
      <c r="AG209" s="1031">
        <f t="shared" si="186"/>
        <v>0</v>
      </c>
      <c r="AH209" s="1235">
        <f t="shared" si="186"/>
        <v>0</v>
      </c>
      <c r="AI209" s="1236">
        <f t="shared" si="186"/>
        <v>0</v>
      </c>
      <c r="AJ209" s="1031">
        <f t="shared" si="186"/>
        <v>0</v>
      </c>
      <c r="AK209" s="909"/>
      <c r="AL209" s="1050">
        <f>AL210</f>
        <v>0</v>
      </c>
      <c r="AM209" s="1048">
        <f>AM210</f>
        <v>0</v>
      </c>
      <c r="AN209" s="909"/>
    </row>
    <row r="210" spans="1:40" s="1035" customFormat="1" ht="24.95" customHeight="1">
      <c r="A210" s="1274"/>
      <c r="B210" s="1276"/>
      <c r="N210" s="909"/>
      <c r="P210" s="909"/>
      <c r="Q210" s="909"/>
      <c r="R210" s="909"/>
      <c r="S210" s="1073">
        <f>+IF(ENERO!S210=0,"",ENERO!S210)</f>
        <v>5100000</v>
      </c>
      <c r="T210" s="1298" t="str">
        <f>+IF(ENERO!T210=0,"",ENERO!T210)</f>
        <v>Insumos y Suministros para Venta al Público</v>
      </c>
      <c r="U210" s="1299">
        <f t="shared" ref="U210:AJ210" si="187">U211+U218</f>
        <v>0</v>
      </c>
      <c r="V210" s="1047">
        <f t="shared" si="187"/>
        <v>0</v>
      </c>
      <c r="W210" s="1047">
        <f t="shared" si="187"/>
        <v>0</v>
      </c>
      <c r="X210" s="1049">
        <f t="shared" si="187"/>
        <v>0</v>
      </c>
      <c r="Y210" s="1046">
        <f t="shared" si="187"/>
        <v>0</v>
      </c>
      <c r="Z210" s="1047">
        <f t="shared" si="187"/>
        <v>0</v>
      </c>
      <c r="AA210" s="1049">
        <f t="shared" si="187"/>
        <v>0</v>
      </c>
      <c r="AB210" s="1046">
        <f t="shared" si="187"/>
        <v>0</v>
      </c>
      <c r="AC210" s="1047">
        <f t="shared" si="187"/>
        <v>0</v>
      </c>
      <c r="AD210" s="1048">
        <f t="shared" si="187"/>
        <v>0</v>
      </c>
      <c r="AE210" s="1046">
        <f t="shared" si="187"/>
        <v>0</v>
      </c>
      <c r="AF210" s="1047">
        <f t="shared" si="187"/>
        <v>0</v>
      </c>
      <c r="AG210" s="1048">
        <f t="shared" si="187"/>
        <v>0</v>
      </c>
      <c r="AH210" s="1046">
        <f t="shared" si="187"/>
        <v>0</v>
      </c>
      <c r="AI210" s="1047">
        <f t="shared" si="187"/>
        <v>0</v>
      </c>
      <c r="AJ210" s="1048">
        <f t="shared" si="187"/>
        <v>0</v>
      </c>
      <c r="AK210" s="909"/>
      <c r="AL210" s="1050">
        <f>AL211+AL218</f>
        <v>0</v>
      </c>
      <c r="AM210" s="1048">
        <f>AM211+AM218</f>
        <v>0</v>
      </c>
      <c r="AN210" s="909"/>
    </row>
    <row r="211" spans="1:40" s="1035" customFormat="1" ht="24.95" customHeight="1">
      <c r="A211" s="1274"/>
      <c r="B211" s="1276"/>
      <c r="N211" s="909"/>
      <c r="P211" s="909"/>
      <c r="Q211" s="909"/>
      <c r="R211" s="909"/>
      <c r="S211" s="1083">
        <f>+IF(ENERO!S211=0,"",ENERO!S211)</f>
        <v>5100100</v>
      </c>
      <c r="T211" s="1300" t="str">
        <f>+IF(ENERO!T211=0,"",ENERO!T211)</f>
        <v>Compra de Bienes para la venta</v>
      </c>
      <c r="U211" s="1301">
        <f t="shared" ref="U211:AJ211" si="188">SUM(U212:U217)</f>
        <v>0</v>
      </c>
      <c r="V211" s="1033">
        <f t="shared" si="188"/>
        <v>0</v>
      </c>
      <c r="W211" s="1033">
        <f t="shared" si="188"/>
        <v>0</v>
      </c>
      <c r="X211" s="1088">
        <f t="shared" si="188"/>
        <v>0</v>
      </c>
      <c r="Y211" s="1087">
        <f t="shared" si="188"/>
        <v>0</v>
      </c>
      <c r="Z211" s="1198">
        <f t="shared" si="188"/>
        <v>0</v>
      </c>
      <c r="AA211" s="1088">
        <f t="shared" si="188"/>
        <v>0</v>
      </c>
      <c r="AB211" s="1087">
        <f t="shared" si="188"/>
        <v>0</v>
      </c>
      <c r="AC211" s="1198">
        <f t="shared" si="188"/>
        <v>0</v>
      </c>
      <c r="AD211" s="1086">
        <f t="shared" si="188"/>
        <v>0</v>
      </c>
      <c r="AE211" s="1087">
        <f t="shared" si="188"/>
        <v>0</v>
      </c>
      <c r="AF211" s="1198">
        <f t="shared" si="188"/>
        <v>0</v>
      </c>
      <c r="AG211" s="1086">
        <f t="shared" si="188"/>
        <v>0</v>
      </c>
      <c r="AH211" s="1087">
        <f t="shared" si="188"/>
        <v>0</v>
      </c>
      <c r="AI211" s="1033">
        <f t="shared" si="188"/>
        <v>0</v>
      </c>
      <c r="AJ211" s="1086">
        <f t="shared" si="188"/>
        <v>0</v>
      </c>
      <c r="AK211" s="1029"/>
      <c r="AL211" s="1117">
        <f>SUM(AL212:AL217)</f>
        <v>0</v>
      </c>
      <c r="AM211" s="1118">
        <f>SUM(AM212:AM217)</f>
        <v>0</v>
      </c>
      <c r="AN211" s="909"/>
    </row>
    <row r="212" spans="1:40" s="1035" customFormat="1" ht="24.95" customHeight="1">
      <c r="A212" s="1274"/>
      <c r="B212" s="1276"/>
      <c r="N212" s="909"/>
      <c r="P212" s="909"/>
      <c r="Q212" s="909"/>
      <c r="R212" s="909"/>
      <c r="S212" s="1130" t="str">
        <f>+IF(ENERO!S212=0,"",ENERO!S212)</f>
        <v>5100100-1</v>
      </c>
      <c r="T212" s="1302" t="str">
        <f>+IF(ENERO!T212=0,"",ENERO!T212)</f>
        <v>Productos Farmaceuticos</v>
      </c>
      <c r="U212" s="1301">
        <f>+ENERO!U212</f>
        <v>0</v>
      </c>
      <c r="V212" s="1033">
        <f>ENERO!V212+FEBRERO!AL212</f>
        <v>0</v>
      </c>
      <c r="W212" s="1033">
        <f>ENERO!W212+FEBRERO!AM212</f>
        <v>0</v>
      </c>
      <c r="X212" s="1088">
        <f t="shared" ref="X212:X218" si="189">SUM(U212:W212)</f>
        <v>0</v>
      </c>
      <c r="Y212" s="1087">
        <f>ENERO!AA212</f>
        <v>0</v>
      </c>
      <c r="Z212" s="1020">
        <v>0</v>
      </c>
      <c r="AA212" s="1088">
        <f t="shared" ref="AA212:AA218" si="190">SUM(Y212:Z212)</f>
        <v>0</v>
      </c>
      <c r="AB212" s="1087">
        <f>ENERO!AD212</f>
        <v>0</v>
      </c>
      <c r="AC212" s="1020">
        <v>0</v>
      </c>
      <c r="AD212" s="1086">
        <f t="shared" ref="AD212:AD218" si="191">SUM(AB212:AC212)</f>
        <v>0</v>
      </c>
      <c r="AE212" s="1087">
        <f>ENERO!AG212</f>
        <v>0</v>
      </c>
      <c r="AF212" s="1020">
        <v>0</v>
      </c>
      <c r="AG212" s="1086">
        <f t="shared" ref="AG212:AG218" si="192">SUM(AE212:AF212)</f>
        <v>0</v>
      </c>
      <c r="AH212" s="1087">
        <f t="shared" ref="AH212:AH218" si="193">X212-AA212</f>
        <v>0</v>
      </c>
      <c r="AI212" s="1033">
        <f t="shared" ref="AI212:AI218" si="194">X212-AD212</f>
        <v>0</v>
      </c>
      <c r="AJ212" s="1086">
        <f t="shared" ref="AJ212:AJ218" si="195">X212-AG212</f>
        <v>0</v>
      </c>
      <c r="AK212" s="909"/>
      <c r="AL212" s="1089">
        <v>0</v>
      </c>
      <c r="AM212" s="1023">
        <v>0</v>
      </c>
      <c r="AN212" s="909"/>
    </row>
    <row r="213" spans="1:40" s="1035" customFormat="1" ht="24.95" customHeight="1">
      <c r="A213" s="1274"/>
      <c r="B213" s="1276"/>
      <c r="N213" s="909"/>
      <c r="P213" s="909"/>
      <c r="Q213" s="909"/>
      <c r="R213" s="909"/>
      <c r="S213" s="1130" t="str">
        <f>+IF(ENERO!S213=0,"",ENERO!S213)</f>
        <v>5100100-2</v>
      </c>
      <c r="T213" s="1302" t="str">
        <f>+IF(ENERO!T213=0,"",ENERO!T213)</f>
        <v>Material Médico Quirúrgico</v>
      </c>
      <c r="U213" s="1301">
        <f>+ENERO!U213</f>
        <v>0</v>
      </c>
      <c r="V213" s="1033">
        <f>ENERO!V213+FEBRERO!AL213</f>
        <v>0</v>
      </c>
      <c r="W213" s="1033">
        <f>ENERO!W213+FEBRERO!AM213</f>
        <v>0</v>
      </c>
      <c r="X213" s="1088">
        <f t="shared" si="189"/>
        <v>0</v>
      </c>
      <c r="Y213" s="1087">
        <f>ENERO!AA213</f>
        <v>0</v>
      </c>
      <c r="Z213" s="1020">
        <v>0</v>
      </c>
      <c r="AA213" s="1088">
        <f t="shared" si="190"/>
        <v>0</v>
      </c>
      <c r="AB213" s="1087">
        <f>ENERO!AD213</f>
        <v>0</v>
      </c>
      <c r="AC213" s="1020">
        <v>0</v>
      </c>
      <c r="AD213" s="1086">
        <f t="shared" si="191"/>
        <v>0</v>
      </c>
      <c r="AE213" s="1087">
        <f>ENERO!AG213</f>
        <v>0</v>
      </c>
      <c r="AF213" s="1020">
        <v>0</v>
      </c>
      <c r="AG213" s="1086">
        <f t="shared" si="192"/>
        <v>0</v>
      </c>
      <c r="AH213" s="1087">
        <f t="shared" si="193"/>
        <v>0</v>
      </c>
      <c r="AI213" s="1033">
        <f t="shared" si="194"/>
        <v>0</v>
      </c>
      <c r="AJ213" s="1086">
        <f t="shared" si="195"/>
        <v>0</v>
      </c>
      <c r="AK213" s="909"/>
      <c r="AL213" s="1089">
        <v>0</v>
      </c>
      <c r="AM213" s="1023">
        <v>0</v>
      </c>
      <c r="AN213" s="909"/>
    </row>
    <row r="214" spans="1:40" s="1035" customFormat="1" ht="24.95" customHeight="1">
      <c r="A214" s="1274"/>
      <c r="B214" s="1276"/>
      <c r="N214" s="909"/>
      <c r="P214" s="909"/>
      <c r="Q214" s="909"/>
      <c r="R214" s="909"/>
      <c r="S214" s="1130" t="str">
        <f>+IF(ENERO!S214=0,"",ENERO!S214)</f>
        <v>5100100-3</v>
      </c>
      <c r="T214" s="1302" t="str">
        <f>+IF(ENERO!T214=0,"",ENERO!T214)</f>
        <v>Material de Laboratorio</v>
      </c>
      <c r="U214" s="1301">
        <f>+ENERO!U214</f>
        <v>0</v>
      </c>
      <c r="V214" s="1033">
        <f>ENERO!V214+FEBRERO!AL214</f>
        <v>0</v>
      </c>
      <c r="W214" s="1033">
        <f>ENERO!W214+FEBRERO!AM214</f>
        <v>0</v>
      </c>
      <c r="X214" s="1088">
        <f t="shared" si="189"/>
        <v>0</v>
      </c>
      <c r="Y214" s="1087">
        <f>ENERO!AA214</f>
        <v>0</v>
      </c>
      <c r="Z214" s="1020">
        <v>0</v>
      </c>
      <c r="AA214" s="1088">
        <f t="shared" si="190"/>
        <v>0</v>
      </c>
      <c r="AB214" s="1087">
        <f>ENERO!AD214</f>
        <v>0</v>
      </c>
      <c r="AC214" s="1020">
        <v>0</v>
      </c>
      <c r="AD214" s="1086">
        <f t="shared" si="191"/>
        <v>0</v>
      </c>
      <c r="AE214" s="1087">
        <f>ENERO!AG214</f>
        <v>0</v>
      </c>
      <c r="AF214" s="1020">
        <v>0</v>
      </c>
      <c r="AG214" s="1086">
        <f t="shared" si="192"/>
        <v>0</v>
      </c>
      <c r="AH214" s="1087">
        <f t="shared" si="193"/>
        <v>0</v>
      </c>
      <c r="AI214" s="1033">
        <f t="shared" si="194"/>
        <v>0</v>
      </c>
      <c r="AJ214" s="1086">
        <f t="shared" si="195"/>
        <v>0</v>
      </c>
      <c r="AK214" s="909"/>
      <c r="AL214" s="1089">
        <v>0</v>
      </c>
      <c r="AM214" s="1023">
        <v>0</v>
      </c>
      <c r="AN214" s="909"/>
    </row>
    <row r="215" spans="1:40" s="1035" customFormat="1" ht="24.95" customHeight="1">
      <c r="A215" s="1274"/>
      <c r="B215" s="1276"/>
      <c r="N215" s="909"/>
      <c r="P215" s="909"/>
      <c r="Q215" s="909"/>
      <c r="R215" s="909"/>
      <c r="S215" s="1130" t="str">
        <f>+IF(ENERO!S215=0,"",ENERO!S215)</f>
        <v>5100100-4</v>
      </c>
      <c r="T215" s="1302" t="str">
        <f>+IF(ENERO!T215=0,"",ENERO!T215)</f>
        <v>Material para Odontologia</v>
      </c>
      <c r="U215" s="1301">
        <f>+ENERO!U215</f>
        <v>0</v>
      </c>
      <c r="V215" s="1033">
        <f>ENERO!V215+FEBRERO!AL215</f>
        <v>0</v>
      </c>
      <c r="W215" s="1033">
        <f>ENERO!W215+FEBRERO!AM215</f>
        <v>0</v>
      </c>
      <c r="X215" s="1088">
        <f t="shared" si="189"/>
        <v>0</v>
      </c>
      <c r="Y215" s="1087">
        <f>ENERO!AA215</f>
        <v>0</v>
      </c>
      <c r="Z215" s="1020">
        <v>0</v>
      </c>
      <c r="AA215" s="1088">
        <f t="shared" si="190"/>
        <v>0</v>
      </c>
      <c r="AB215" s="1087">
        <f>ENERO!AD215</f>
        <v>0</v>
      </c>
      <c r="AC215" s="1020">
        <v>0</v>
      </c>
      <c r="AD215" s="1086">
        <f t="shared" si="191"/>
        <v>0</v>
      </c>
      <c r="AE215" s="1087">
        <f>ENERO!AG215</f>
        <v>0</v>
      </c>
      <c r="AF215" s="1020">
        <v>0</v>
      </c>
      <c r="AG215" s="1086">
        <f t="shared" si="192"/>
        <v>0</v>
      </c>
      <c r="AH215" s="1087">
        <f t="shared" si="193"/>
        <v>0</v>
      </c>
      <c r="AI215" s="1033">
        <f t="shared" si="194"/>
        <v>0</v>
      </c>
      <c r="AJ215" s="1086">
        <f t="shared" si="195"/>
        <v>0</v>
      </c>
      <c r="AK215" s="909"/>
      <c r="AL215" s="1089">
        <v>0</v>
      </c>
      <c r="AM215" s="1023">
        <v>0</v>
      </c>
      <c r="AN215" s="909"/>
    </row>
    <row r="216" spans="1:40" s="1035" customFormat="1" ht="24.95" customHeight="1">
      <c r="A216" s="1274"/>
      <c r="B216" s="1276"/>
      <c r="N216" s="909"/>
      <c r="P216" s="909"/>
      <c r="Q216" s="909"/>
      <c r="R216" s="909"/>
      <c r="S216" s="1130" t="str">
        <f>+IF(ENERO!S216=0,"",ENERO!S216)</f>
        <v>5100100-5</v>
      </c>
      <c r="T216" s="1302" t="str">
        <f>+IF(ENERO!T216=0,"",ENERO!T216)</f>
        <v>Material para Rayos X</v>
      </c>
      <c r="U216" s="1301">
        <f>+ENERO!U216</f>
        <v>0</v>
      </c>
      <c r="V216" s="1033">
        <f>ENERO!V216+FEBRERO!AL216</f>
        <v>0</v>
      </c>
      <c r="W216" s="1033">
        <f>ENERO!W216+FEBRERO!AM216</f>
        <v>0</v>
      </c>
      <c r="X216" s="1088">
        <f t="shared" si="189"/>
        <v>0</v>
      </c>
      <c r="Y216" s="1087">
        <f>ENERO!AA216</f>
        <v>0</v>
      </c>
      <c r="Z216" s="1020">
        <v>0</v>
      </c>
      <c r="AA216" s="1088">
        <f t="shared" si="190"/>
        <v>0</v>
      </c>
      <c r="AB216" s="1087">
        <f>ENERO!AD216</f>
        <v>0</v>
      </c>
      <c r="AC216" s="1020">
        <v>0</v>
      </c>
      <c r="AD216" s="1086">
        <f t="shared" si="191"/>
        <v>0</v>
      </c>
      <c r="AE216" s="1087">
        <f>ENERO!AG216</f>
        <v>0</v>
      </c>
      <c r="AF216" s="1020">
        <v>0</v>
      </c>
      <c r="AG216" s="1086">
        <f t="shared" si="192"/>
        <v>0</v>
      </c>
      <c r="AH216" s="1087">
        <f t="shared" si="193"/>
        <v>0</v>
      </c>
      <c r="AI216" s="1033">
        <f t="shared" si="194"/>
        <v>0</v>
      </c>
      <c r="AJ216" s="1086">
        <f t="shared" si="195"/>
        <v>0</v>
      </c>
      <c r="AK216" s="909"/>
      <c r="AL216" s="1089">
        <v>0</v>
      </c>
      <c r="AM216" s="1023">
        <v>0</v>
      </c>
      <c r="AN216" s="909"/>
    </row>
    <row r="217" spans="1:40" s="1035" customFormat="1" ht="24.95" customHeight="1">
      <c r="A217" s="1274"/>
      <c r="B217" s="1276"/>
      <c r="N217" s="909"/>
      <c r="P217" s="909"/>
      <c r="Q217" s="909"/>
      <c r="R217" s="909"/>
      <c r="S217" s="1130" t="str">
        <f>+IF(ENERO!S217=0,"",ENERO!S217)</f>
        <v>5100100-6</v>
      </c>
      <c r="T217" s="1302" t="str">
        <f>+IF(ENERO!T217=0,"",ENERO!T217)</f>
        <v>Material aseo personal, etc.</v>
      </c>
      <c r="U217" s="1301">
        <f>+ENERO!U217</f>
        <v>0</v>
      </c>
      <c r="V217" s="1033">
        <f>ENERO!V217+FEBRERO!AL217</f>
        <v>0</v>
      </c>
      <c r="W217" s="1033">
        <f>ENERO!W217+FEBRERO!AM217</f>
        <v>0</v>
      </c>
      <c r="X217" s="1088">
        <f t="shared" si="189"/>
        <v>0</v>
      </c>
      <c r="Y217" s="1087">
        <f>ENERO!AA217</f>
        <v>0</v>
      </c>
      <c r="Z217" s="1020">
        <v>0</v>
      </c>
      <c r="AA217" s="1088">
        <f t="shared" si="190"/>
        <v>0</v>
      </c>
      <c r="AB217" s="1087">
        <f>ENERO!AD217</f>
        <v>0</v>
      </c>
      <c r="AC217" s="1020">
        <v>0</v>
      </c>
      <c r="AD217" s="1086">
        <f t="shared" si="191"/>
        <v>0</v>
      </c>
      <c r="AE217" s="1087">
        <f>ENERO!AG217</f>
        <v>0</v>
      </c>
      <c r="AF217" s="1020">
        <v>0</v>
      </c>
      <c r="AG217" s="1086">
        <f t="shared" si="192"/>
        <v>0</v>
      </c>
      <c r="AH217" s="1087">
        <f t="shared" si="193"/>
        <v>0</v>
      </c>
      <c r="AI217" s="1033">
        <f t="shared" si="194"/>
        <v>0</v>
      </c>
      <c r="AJ217" s="1086">
        <f t="shared" si="195"/>
        <v>0</v>
      </c>
      <c r="AK217" s="909"/>
      <c r="AL217" s="1089">
        <v>0</v>
      </c>
      <c r="AM217" s="1023">
        <v>0</v>
      </c>
      <c r="AN217" s="909"/>
    </row>
    <row r="218" spans="1:40" s="1035" customFormat="1" ht="24.95" customHeight="1" thickBot="1">
      <c r="A218" s="1274"/>
      <c r="B218" s="1276"/>
      <c r="N218" s="909"/>
      <c r="P218" s="909"/>
      <c r="Q218" s="909"/>
      <c r="R218" s="909"/>
      <c r="S218" s="1303">
        <f>+IF(ENERO!S218=0,"",ENERO!S218)</f>
        <v>5199999</v>
      </c>
      <c r="T218" s="1304" t="str">
        <f>+IF(ENERO!T218=0,"",ENERO!T218)</f>
        <v>Vigencias Anteriores</v>
      </c>
      <c r="U218" s="1305">
        <f>+ENERO!U218</f>
        <v>0</v>
      </c>
      <c r="V218" s="1292">
        <f>ENERO!V218+FEBRERO!AL218</f>
        <v>0</v>
      </c>
      <c r="W218" s="1292">
        <f>ENERO!W218+FEBRERO!AM218</f>
        <v>0</v>
      </c>
      <c r="X218" s="1295">
        <f t="shared" si="189"/>
        <v>0</v>
      </c>
      <c r="Y218" s="1294">
        <f>ENERO!AA218</f>
        <v>0</v>
      </c>
      <c r="Z218" s="1061">
        <v>0</v>
      </c>
      <c r="AA218" s="1295">
        <f t="shared" si="190"/>
        <v>0</v>
      </c>
      <c r="AB218" s="1294">
        <f>ENERO!AD218</f>
        <v>0</v>
      </c>
      <c r="AC218" s="1061">
        <v>0</v>
      </c>
      <c r="AD218" s="1293">
        <f t="shared" si="191"/>
        <v>0</v>
      </c>
      <c r="AE218" s="1294">
        <f>ENERO!AG218</f>
        <v>0</v>
      </c>
      <c r="AF218" s="1061">
        <v>0</v>
      </c>
      <c r="AG218" s="1293">
        <f t="shared" si="192"/>
        <v>0</v>
      </c>
      <c r="AH218" s="1294">
        <f t="shared" si="193"/>
        <v>0</v>
      </c>
      <c r="AI218" s="1292">
        <f t="shared" si="194"/>
        <v>0</v>
      </c>
      <c r="AJ218" s="1293">
        <f t="shared" si="195"/>
        <v>0</v>
      </c>
      <c r="AK218" s="909"/>
      <c r="AL218" s="1306">
        <v>0</v>
      </c>
      <c r="AM218" s="1307">
        <v>0</v>
      </c>
      <c r="AN218" s="909"/>
    </row>
    <row r="219" spans="1:40" s="1035" customFormat="1" ht="24.95" customHeight="1" thickBot="1">
      <c r="A219" s="1274"/>
      <c r="B219" s="1276"/>
      <c r="N219" s="909"/>
      <c r="P219" s="909"/>
      <c r="Q219" s="909"/>
      <c r="R219" s="909"/>
      <c r="S219" s="1308" t="str">
        <f>+IF(ENERO!S219=0,"",ENERO!S219)</f>
        <v/>
      </c>
      <c r="T219" s="1309" t="str">
        <f>+IF(ENERO!T219=0,"",ENERO!T219)</f>
        <v/>
      </c>
      <c r="U219" s="1310"/>
      <c r="V219" s="1310"/>
      <c r="W219" s="1310"/>
      <c r="X219" s="1310"/>
      <c r="Y219" s="1310"/>
      <c r="Z219" s="1310"/>
      <c r="AA219" s="1310"/>
      <c r="AB219" s="1310"/>
      <c r="AC219" s="1310"/>
      <c r="AD219" s="1310"/>
      <c r="AE219" s="1310"/>
      <c r="AF219" s="1310"/>
      <c r="AG219" s="1310"/>
      <c r="AH219" s="1310"/>
      <c r="AI219" s="1310"/>
      <c r="AJ219" s="1311"/>
      <c r="AK219" s="1029"/>
      <c r="AL219" s="1312"/>
      <c r="AM219" s="1313"/>
      <c r="AN219" s="909"/>
    </row>
    <row r="220" spans="1:40" s="1035" customFormat="1" ht="24.95" customHeight="1">
      <c r="A220" s="1274"/>
      <c r="B220" s="1276"/>
      <c r="N220" s="909"/>
      <c r="P220" s="909"/>
      <c r="Q220" s="909"/>
      <c r="R220" s="909"/>
      <c r="S220" s="987" t="str">
        <f>+IF(ENERO!S220=0,"",ENERO!S220)</f>
        <v>C</v>
      </c>
      <c r="T220" s="1314" t="str">
        <f>+IF(ENERO!T220=0,"",ENERO!T220)</f>
        <v xml:space="preserve">SERVICIO DE LA DEUDA </v>
      </c>
      <c r="U220" s="1315">
        <f t="shared" ref="U220:AJ220" si="196">U222+U227</f>
        <v>0</v>
      </c>
      <c r="V220" s="990">
        <f t="shared" si="196"/>
        <v>0</v>
      </c>
      <c r="W220" s="990">
        <f t="shared" si="196"/>
        <v>0</v>
      </c>
      <c r="X220" s="992">
        <f t="shared" si="196"/>
        <v>0</v>
      </c>
      <c r="Y220" s="989">
        <f t="shared" si="196"/>
        <v>0</v>
      </c>
      <c r="Z220" s="990">
        <f t="shared" si="196"/>
        <v>0</v>
      </c>
      <c r="AA220" s="992">
        <f t="shared" si="196"/>
        <v>0</v>
      </c>
      <c r="AB220" s="989">
        <f t="shared" si="196"/>
        <v>0</v>
      </c>
      <c r="AC220" s="990">
        <f t="shared" si="196"/>
        <v>0</v>
      </c>
      <c r="AD220" s="992">
        <f t="shared" si="196"/>
        <v>0</v>
      </c>
      <c r="AE220" s="989">
        <f t="shared" si="196"/>
        <v>0</v>
      </c>
      <c r="AF220" s="990">
        <f t="shared" si="196"/>
        <v>0</v>
      </c>
      <c r="AG220" s="992">
        <f t="shared" si="196"/>
        <v>0</v>
      </c>
      <c r="AH220" s="989">
        <f t="shared" si="196"/>
        <v>0</v>
      </c>
      <c r="AI220" s="990">
        <f t="shared" si="196"/>
        <v>0</v>
      </c>
      <c r="AJ220" s="991">
        <f t="shared" si="196"/>
        <v>0</v>
      </c>
      <c r="AK220" s="1316"/>
      <c r="AL220" s="1317">
        <f>AL222+AL227</f>
        <v>0</v>
      </c>
      <c r="AM220" s="991">
        <f>AM222+AM227</f>
        <v>0</v>
      </c>
      <c r="AN220" s="909"/>
    </row>
    <row r="221" spans="1:40" s="1035" customFormat="1" ht="24.95" customHeight="1">
      <c r="A221" s="1274"/>
      <c r="B221" s="1276"/>
      <c r="N221" s="909"/>
      <c r="P221" s="909"/>
      <c r="Q221" s="909"/>
      <c r="R221" s="909"/>
      <c r="S221" s="1000" t="str">
        <f>+IF(ENERO!S221=0,"",ENERO!S221)</f>
        <v/>
      </c>
      <c r="T221" s="1001" t="str">
        <f>+IF(ENERO!T221=0,"",ENERO!T221)</f>
        <v/>
      </c>
      <c r="U221" s="1003"/>
      <c r="V221" s="1003"/>
      <c r="W221" s="1003"/>
      <c r="X221" s="1003"/>
      <c r="Y221" s="1003"/>
      <c r="Z221" s="1003"/>
      <c r="AA221" s="1003"/>
      <c r="AB221" s="1003"/>
      <c r="AC221" s="1003"/>
      <c r="AD221" s="1003"/>
      <c r="AE221" s="1003"/>
      <c r="AF221" s="1003"/>
      <c r="AG221" s="1003"/>
      <c r="AH221" s="1003"/>
      <c r="AI221" s="1003"/>
      <c r="AJ221" s="1004"/>
      <c r="AK221" s="909"/>
      <c r="AL221" s="1195"/>
      <c r="AM221" s="1196"/>
      <c r="AN221" s="909"/>
    </row>
    <row r="222" spans="1:40" s="1035" customFormat="1" ht="24.95" customHeight="1">
      <c r="A222" s="1274"/>
      <c r="B222" s="1276"/>
      <c r="N222" s="909"/>
      <c r="P222" s="909"/>
      <c r="Q222" s="909"/>
      <c r="R222" s="909"/>
      <c r="S222" s="1073">
        <f>+IF(ENERO!S222=0,"",ENERO!S222)</f>
        <v>7001000</v>
      </c>
      <c r="T222" s="1298" t="str">
        <f>+IF(ENERO!T222=0,"",ENERO!T222)</f>
        <v>SERVICIO DE LA DEUDA INTERNA</v>
      </c>
      <c r="U222" s="1299">
        <f t="shared" ref="U222:AJ222" si="197">SUM(U223:U225)</f>
        <v>0</v>
      </c>
      <c r="V222" s="1047">
        <f t="shared" si="197"/>
        <v>0</v>
      </c>
      <c r="W222" s="1047">
        <f t="shared" si="197"/>
        <v>0</v>
      </c>
      <c r="X222" s="1049">
        <f t="shared" si="197"/>
        <v>0</v>
      </c>
      <c r="Y222" s="1046">
        <f t="shared" si="197"/>
        <v>0</v>
      </c>
      <c r="Z222" s="1047">
        <f t="shared" si="197"/>
        <v>0</v>
      </c>
      <c r="AA222" s="1049">
        <f t="shared" si="197"/>
        <v>0</v>
      </c>
      <c r="AB222" s="1046">
        <f t="shared" si="197"/>
        <v>0</v>
      </c>
      <c r="AC222" s="1047">
        <f t="shared" si="197"/>
        <v>0</v>
      </c>
      <c r="AD222" s="1049">
        <f t="shared" si="197"/>
        <v>0</v>
      </c>
      <c r="AE222" s="1046">
        <f t="shared" si="197"/>
        <v>0</v>
      </c>
      <c r="AF222" s="1047">
        <f t="shared" si="197"/>
        <v>0</v>
      </c>
      <c r="AG222" s="1049">
        <f t="shared" si="197"/>
        <v>0</v>
      </c>
      <c r="AH222" s="1046">
        <f t="shared" si="197"/>
        <v>0</v>
      </c>
      <c r="AI222" s="1047">
        <f t="shared" si="197"/>
        <v>0</v>
      </c>
      <c r="AJ222" s="1048">
        <f t="shared" si="197"/>
        <v>0</v>
      </c>
      <c r="AK222" s="909"/>
      <c r="AL222" s="1050">
        <f>SUM(AL223:AL225)</f>
        <v>0</v>
      </c>
      <c r="AM222" s="1048">
        <f>SUM(AM223:AM225)</f>
        <v>0</v>
      </c>
      <c r="AN222" s="909"/>
    </row>
    <row r="223" spans="1:40" s="1035" customFormat="1" ht="24.95" customHeight="1">
      <c r="A223" s="1274"/>
      <c r="B223" s="1276"/>
      <c r="N223" s="909"/>
      <c r="P223" s="909"/>
      <c r="Q223" s="909"/>
      <c r="R223" s="909"/>
      <c r="S223" s="1083">
        <f>+IF(ENERO!S223=0,"",ENERO!S223)</f>
        <v>7001100</v>
      </c>
      <c r="T223" s="1300" t="str">
        <f>+IF(ENERO!T223=0,"",ENERO!T223)</f>
        <v>Amortización deuda Pública Interna</v>
      </c>
      <c r="U223" s="1301">
        <f>+ENERO!U223</f>
        <v>0</v>
      </c>
      <c r="V223" s="1033">
        <f>ENERO!V223+FEBRERO!AL223</f>
        <v>0</v>
      </c>
      <c r="W223" s="1033">
        <f>ENERO!W223+FEBRERO!AM223</f>
        <v>0</v>
      </c>
      <c r="X223" s="1088">
        <f>SUM(U223:W223)</f>
        <v>0</v>
      </c>
      <c r="Y223" s="1087">
        <f>ENERO!AA223</f>
        <v>0</v>
      </c>
      <c r="Z223" s="1020">
        <v>0</v>
      </c>
      <c r="AA223" s="1088">
        <f>SUM(Y223:Z223)</f>
        <v>0</v>
      </c>
      <c r="AB223" s="1087">
        <f>ENERO!AD223</f>
        <v>0</v>
      </c>
      <c r="AC223" s="1020">
        <v>0</v>
      </c>
      <c r="AD223" s="1088">
        <f>SUM(AB223:AC223)</f>
        <v>0</v>
      </c>
      <c r="AE223" s="1087">
        <f>ENERO!AG223</f>
        <v>0</v>
      </c>
      <c r="AF223" s="1020">
        <v>0</v>
      </c>
      <c r="AG223" s="1088">
        <f>SUM(AE223:AF223)</f>
        <v>0</v>
      </c>
      <c r="AH223" s="1087">
        <f>X223-AA223</f>
        <v>0</v>
      </c>
      <c r="AI223" s="1033">
        <f>X223-AD223</f>
        <v>0</v>
      </c>
      <c r="AJ223" s="1086">
        <f>X223-AG223</f>
        <v>0</v>
      </c>
      <c r="AK223" s="909"/>
      <c r="AL223" s="1089">
        <v>0</v>
      </c>
      <c r="AM223" s="1023">
        <v>0</v>
      </c>
      <c r="AN223" s="909"/>
    </row>
    <row r="224" spans="1:40" s="1035" customFormat="1" ht="24.95" customHeight="1">
      <c r="A224" s="1274"/>
      <c r="B224" s="1276"/>
      <c r="N224" s="909"/>
      <c r="P224" s="909"/>
      <c r="Q224" s="909"/>
      <c r="R224" s="909"/>
      <c r="S224" s="1083">
        <f>+IF(ENERO!S224=0,"",ENERO!S224)</f>
        <v>7001200</v>
      </c>
      <c r="T224" s="1300" t="str">
        <f>+IF(ENERO!T224=0,"",ENERO!T224)</f>
        <v>Intereses Comisiones y gastos de la Deuda Pública</v>
      </c>
      <c r="U224" s="1301">
        <f>+ENERO!U224</f>
        <v>0</v>
      </c>
      <c r="V224" s="1033">
        <f>ENERO!V224+FEBRERO!AL224</f>
        <v>0</v>
      </c>
      <c r="W224" s="1033">
        <f>ENERO!W224+FEBRERO!AM224</f>
        <v>0</v>
      </c>
      <c r="X224" s="1088">
        <f>SUM(U224:W224)</f>
        <v>0</v>
      </c>
      <c r="Y224" s="1087">
        <f>ENERO!AA224</f>
        <v>0</v>
      </c>
      <c r="Z224" s="1020">
        <v>0</v>
      </c>
      <c r="AA224" s="1088">
        <f>SUM(Y224:Z224)</f>
        <v>0</v>
      </c>
      <c r="AB224" s="1087">
        <f>ENERO!AD224</f>
        <v>0</v>
      </c>
      <c r="AC224" s="1020">
        <v>0</v>
      </c>
      <c r="AD224" s="1088">
        <f>SUM(AB224:AC224)</f>
        <v>0</v>
      </c>
      <c r="AE224" s="1087">
        <f>ENERO!AG224</f>
        <v>0</v>
      </c>
      <c r="AF224" s="1020">
        <v>0</v>
      </c>
      <c r="AG224" s="1088">
        <f>SUM(AE224:AF224)</f>
        <v>0</v>
      </c>
      <c r="AH224" s="1087">
        <f>X224-AA224</f>
        <v>0</v>
      </c>
      <c r="AI224" s="1033">
        <f>X224-AD224</f>
        <v>0</v>
      </c>
      <c r="AJ224" s="1086">
        <f>X224-AG224</f>
        <v>0</v>
      </c>
      <c r="AK224" s="909"/>
      <c r="AL224" s="1089">
        <v>0</v>
      </c>
      <c r="AM224" s="1023">
        <v>0</v>
      </c>
      <c r="AN224" s="909"/>
    </row>
    <row r="225" spans="1:64" s="1035" customFormat="1" ht="24.95" customHeight="1">
      <c r="A225" s="1274"/>
      <c r="B225" s="1276"/>
      <c r="N225" s="909"/>
      <c r="P225" s="909"/>
      <c r="Q225" s="909"/>
      <c r="R225" s="909"/>
      <c r="S225" s="1083">
        <f>+IF(ENERO!S225=0,"",ENERO!S225)</f>
        <v>7001999</v>
      </c>
      <c r="T225" s="1300" t="str">
        <f>+IF(ENERO!T225=0,"",ENERO!T225)</f>
        <v>Vigencias Anteriores</v>
      </c>
      <c r="U225" s="1301">
        <f>+ENERO!U225</f>
        <v>0</v>
      </c>
      <c r="V225" s="1033">
        <f>ENERO!V225+FEBRERO!AL225</f>
        <v>0</v>
      </c>
      <c r="W225" s="1033">
        <f>ENERO!W225+FEBRERO!AM225</f>
        <v>0</v>
      </c>
      <c r="X225" s="1088">
        <f>SUM(U225:W225)</f>
        <v>0</v>
      </c>
      <c r="Y225" s="1087">
        <f>ENERO!AA225</f>
        <v>0</v>
      </c>
      <c r="Z225" s="1020">
        <v>0</v>
      </c>
      <c r="AA225" s="1088">
        <f>SUM(Y225:Z225)</f>
        <v>0</v>
      </c>
      <c r="AB225" s="1087">
        <f>ENERO!AD225</f>
        <v>0</v>
      </c>
      <c r="AC225" s="1020">
        <v>0</v>
      </c>
      <c r="AD225" s="1088">
        <f>SUM(AB225:AC225)</f>
        <v>0</v>
      </c>
      <c r="AE225" s="1087">
        <f>ENERO!AG225</f>
        <v>0</v>
      </c>
      <c r="AF225" s="1020">
        <v>0</v>
      </c>
      <c r="AG225" s="1088">
        <f>SUM(AE225:AF225)</f>
        <v>0</v>
      </c>
      <c r="AH225" s="1087">
        <f>X225-AA225</f>
        <v>0</v>
      </c>
      <c r="AI225" s="1033">
        <f>X225-AD225</f>
        <v>0</v>
      </c>
      <c r="AJ225" s="1086">
        <f>X225-AG225</f>
        <v>0</v>
      </c>
      <c r="AK225" s="909"/>
      <c r="AL225" s="1089">
        <v>0</v>
      </c>
      <c r="AM225" s="1023">
        <v>0</v>
      </c>
      <c r="AN225" s="909"/>
    </row>
    <row r="226" spans="1:64" s="1035" customFormat="1" ht="24.95" customHeight="1">
      <c r="A226" s="1274"/>
      <c r="B226" s="1276"/>
      <c r="N226" s="909"/>
      <c r="P226" s="909"/>
      <c r="Q226" s="909"/>
      <c r="R226" s="909"/>
      <c r="S226" s="1000" t="str">
        <f>+IF(ENERO!S226=0,"",ENERO!S226)</f>
        <v/>
      </c>
      <c r="T226" s="1001" t="str">
        <f>+IF(ENERO!T226=0,"",ENERO!T226)</f>
        <v/>
      </c>
      <c r="U226" s="1003"/>
      <c r="V226" s="1003"/>
      <c r="W226" s="1003"/>
      <c r="X226" s="1003"/>
      <c r="Y226" s="1003"/>
      <c r="Z226" s="1003"/>
      <c r="AA226" s="1003"/>
      <c r="AB226" s="1003"/>
      <c r="AC226" s="1003"/>
      <c r="AD226" s="1003"/>
      <c r="AE226" s="1003"/>
      <c r="AF226" s="1003"/>
      <c r="AG226" s="1003"/>
      <c r="AH226" s="1003"/>
      <c r="AI226" s="1003"/>
      <c r="AJ226" s="1004"/>
      <c r="AK226" s="1029"/>
      <c r="AL226" s="1195"/>
      <c r="AM226" s="1196"/>
      <c r="AN226" s="909"/>
    </row>
    <row r="227" spans="1:64" s="1035" customFormat="1" ht="24.95" customHeight="1">
      <c r="A227" s="1274"/>
      <c r="B227" s="1276"/>
      <c r="N227" s="909"/>
      <c r="P227" s="909"/>
      <c r="Q227" s="909"/>
      <c r="R227" s="909"/>
      <c r="S227" s="1073">
        <f>+IF(ENERO!S227=0,"",ENERO!S227)</f>
        <v>7002001</v>
      </c>
      <c r="T227" s="1298" t="str">
        <f>+IF(ENERO!T227=0,"",ENERO!T227)</f>
        <v>SERVICIO DE LA DEUDA EXTERNA</v>
      </c>
      <c r="U227" s="1299">
        <f t="shared" ref="U227:AJ227" si="198">SUM(U228:U230)</f>
        <v>0</v>
      </c>
      <c r="V227" s="1047">
        <f t="shared" si="198"/>
        <v>0</v>
      </c>
      <c r="W227" s="1047">
        <f t="shared" si="198"/>
        <v>0</v>
      </c>
      <c r="X227" s="1049">
        <f t="shared" si="198"/>
        <v>0</v>
      </c>
      <c r="Y227" s="1046">
        <f t="shared" si="198"/>
        <v>0</v>
      </c>
      <c r="Z227" s="1047">
        <f t="shared" si="198"/>
        <v>0</v>
      </c>
      <c r="AA227" s="1049">
        <f t="shared" si="198"/>
        <v>0</v>
      </c>
      <c r="AB227" s="1046">
        <f t="shared" si="198"/>
        <v>0</v>
      </c>
      <c r="AC227" s="1047">
        <f t="shared" si="198"/>
        <v>0</v>
      </c>
      <c r="AD227" s="1049">
        <f t="shared" si="198"/>
        <v>0</v>
      </c>
      <c r="AE227" s="1046">
        <f t="shared" si="198"/>
        <v>0</v>
      </c>
      <c r="AF227" s="1047">
        <f t="shared" si="198"/>
        <v>0</v>
      </c>
      <c r="AG227" s="1049">
        <f t="shared" si="198"/>
        <v>0</v>
      </c>
      <c r="AH227" s="1046">
        <f t="shared" si="198"/>
        <v>0</v>
      </c>
      <c r="AI227" s="1047">
        <f t="shared" si="198"/>
        <v>0</v>
      </c>
      <c r="AJ227" s="1048">
        <f t="shared" si="198"/>
        <v>0</v>
      </c>
      <c r="AK227" s="1029"/>
      <c r="AL227" s="1050">
        <f>SUM(AL228:AL230)</f>
        <v>0</v>
      </c>
      <c r="AM227" s="1048">
        <f>SUM(AM228:AM230)</f>
        <v>0</v>
      </c>
      <c r="AN227" s="909"/>
    </row>
    <row r="228" spans="1:64" s="1035" customFormat="1" ht="24.95" customHeight="1">
      <c r="A228" s="1274"/>
      <c r="B228" s="1276"/>
      <c r="N228" s="909"/>
      <c r="P228" s="909"/>
      <c r="Q228" s="909"/>
      <c r="R228" s="909"/>
      <c r="S228" s="1083">
        <f>+IF(ENERO!S228=0,"",ENERO!S228)</f>
        <v>7002100</v>
      </c>
      <c r="T228" s="1300" t="str">
        <f>+IF(ENERO!T228=0,"",ENERO!T228)</f>
        <v>Amortización deuda Pública Externa</v>
      </c>
      <c r="U228" s="1301">
        <f>+ENERO!U228</f>
        <v>0</v>
      </c>
      <c r="V228" s="1033">
        <f>ENERO!V228+FEBRERO!AL228</f>
        <v>0</v>
      </c>
      <c r="W228" s="1033">
        <f>ENERO!W228+FEBRERO!AM228</f>
        <v>0</v>
      </c>
      <c r="X228" s="1088">
        <f>SUM(U228:W228)</f>
        <v>0</v>
      </c>
      <c r="Y228" s="1087">
        <f>ENERO!AA228</f>
        <v>0</v>
      </c>
      <c r="Z228" s="1020">
        <v>0</v>
      </c>
      <c r="AA228" s="1088">
        <f>SUM(Y228:Z228)</f>
        <v>0</v>
      </c>
      <c r="AB228" s="1087">
        <f>ENERO!AD228</f>
        <v>0</v>
      </c>
      <c r="AC228" s="1020">
        <v>0</v>
      </c>
      <c r="AD228" s="1088">
        <f>SUM(AB228:AC228)</f>
        <v>0</v>
      </c>
      <c r="AE228" s="1087">
        <f>ENERO!AG228</f>
        <v>0</v>
      </c>
      <c r="AF228" s="1020">
        <v>0</v>
      </c>
      <c r="AG228" s="1088">
        <f>SUM(AE228:AF228)</f>
        <v>0</v>
      </c>
      <c r="AH228" s="1087">
        <f>X228-AA228</f>
        <v>0</v>
      </c>
      <c r="AI228" s="1033">
        <f>X228-AD228</f>
        <v>0</v>
      </c>
      <c r="AJ228" s="1086">
        <f>X228-AG228</f>
        <v>0</v>
      </c>
      <c r="AK228" s="909"/>
      <c r="AL228" s="1089">
        <v>0</v>
      </c>
      <c r="AM228" s="1023">
        <v>0</v>
      </c>
      <c r="AN228" s="909"/>
    </row>
    <row r="229" spans="1:64" s="1035" customFormat="1" ht="24.95" customHeight="1">
      <c r="A229" s="1274"/>
      <c r="B229" s="1276"/>
      <c r="N229" s="909"/>
      <c r="P229" s="909"/>
      <c r="Q229" s="909"/>
      <c r="R229" s="909"/>
      <c r="S229" s="1083">
        <f>+IF(ENERO!S229=0,"",ENERO!S229)</f>
        <v>7002200</v>
      </c>
      <c r="T229" s="1300" t="str">
        <f>+IF(ENERO!T229=0,"",ENERO!T229)</f>
        <v>Intereses Comisiones y gastos de la Deuda Pública</v>
      </c>
      <c r="U229" s="1301">
        <f>+ENERO!U229</f>
        <v>0</v>
      </c>
      <c r="V229" s="1033">
        <f>ENERO!V229+FEBRERO!AL229</f>
        <v>0</v>
      </c>
      <c r="W229" s="1033">
        <f>ENERO!W229+FEBRERO!AM229</f>
        <v>0</v>
      </c>
      <c r="X229" s="1088">
        <f>SUM(U229:W229)</f>
        <v>0</v>
      </c>
      <c r="Y229" s="1087">
        <f>ENERO!AA229</f>
        <v>0</v>
      </c>
      <c r="Z229" s="1020">
        <v>0</v>
      </c>
      <c r="AA229" s="1088">
        <f>SUM(Y229:Z229)</f>
        <v>0</v>
      </c>
      <c r="AB229" s="1087">
        <f>ENERO!AD229</f>
        <v>0</v>
      </c>
      <c r="AC229" s="1020">
        <v>0</v>
      </c>
      <c r="AD229" s="1088">
        <f>SUM(AB229:AC229)</f>
        <v>0</v>
      </c>
      <c r="AE229" s="1087">
        <f>ENERO!AG229</f>
        <v>0</v>
      </c>
      <c r="AF229" s="1020">
        <v>0</v>
      </c>
      <c r="AG229" s="1088">
        <f>SUM(AE229:AF229)</f>
        <v>0</v>
      </c>
      <c r="AH229" s="1087">
        <f>X229-AA229</f>
        <v>0</v>
      </c>
      <c r="AI229" s="1033">
        <f>X229-AD229</f>
        <v>0</v>
      </c>
      <c r="AJ229" s="1086">
        <f>X229-AG229</f>
        <v>0</v>
      </c>
      <c r="AK229" s="909"/>
      <c r="AL229" s="1089">
        <v>0</v>
      </c>
      <c r="AM229" s="1023">
        <v>0</v>
      </c>
      <c r="AN229" s="909"/>
    </row>
    <row r="230" spans="1:64" s="1035" customFormat="1" ht="24.95" customHeight="1" thickBot="1">
      <c r="A230" s="1274"/>
      <c r="B230" s="1276"/>
      <c r="N230" s="909"/>
      <c r="P230" s="909"/>
      <c r="Q230" s="909"/>
      <c r="R230" s="909"/>
      <c r="S230" s="1289">
        <f>+IF(ENERO!S230=0,"",ENERO!S230)</f>
        <v>7002999</v>
      </c>
      <c r="T230" s="1318" t="str">
        <f>+IF(ENERO!T230=0,"",ENERO!T230)</f>
        <v>Vigencias Anteriores</v>
      </c>
      <c r="U230" s="1305">
        <f>+ENERO!U230</f>
        <v>0</v>
      </c>
      <c r="V230" s="1292">
        <f>ENERO!V230+FEBRERO!AL230</f>
        <v>0</v>
      </c>
      <c r="W230" s="1292">
        <f>ENERO!W230+FEBRERO!AM230</f>
        <v>0</v>
      </c>
      <c r="X230" s="1295">
        <f>SUM(U230:W230)</f>
        <v>0</v>
      </c>
      <c r="Y230" s="1294">
        <f>ENERO!AA230</f>
        <v>0</v>
      </c>
      <c r="Z230" s="1061">
        <v>0</v>
      </c>
      <c r="AA230" s="1295">
        <f>SUM(Y230:Z230)</f>
        <v>0</v>
      </c>
      <c r="AB230" s="1294">
        <f>ENERO!AD230</f>
        <v>0</v>
      </c>
      <c r="AC230" s="1061">
        <v>0</v>
      </c>
      <c r="AD230" s="1295">
        <f>SUM(AB230:AC230)</f>
        <v>0</v>
      </c>
      <c r="AE230" s="1294">
        <f>ENERO!AG230</f>
        <v>0</v>
      </c>
      <c r="AF230" s="1061">
        <v>0</v>
      </c>
      <c r="AG230" s="1295">
        <f>SUM(AE230:AF230)</f>
        <v>0</v>
      </c>
      <c r="AH230" s="1294">
        <f>X230-AA230</f>
        <v>0</v>
      </c>
      <c r="AI230" s="1292">
        <f>X230-AD230</f>
        <v>0</v>
      </c>
      <c r="AJ230" s="1293">
        <f>X230-AG230</f>
        <v>0</v>
      </c>
      <c r="AK230" s="909"/>
      <c r="AL230" s="1306">
        <v>0</v>
      </c>
      <c r="AM230" s="1307">
        <v>0</v>
      </c>
      <c r="AN230" s="909"/>
    </row>
    <row r="231" spans="1:64" s="1035" customFormat="1" ht="24.95" customHeight="1">
      <c r="A231" s="1274"/>
      <c r="B231" s="1276"/>
      <c r="N231" s="909"/>
      <c r="P231" s="909"/>
      <c r="Q231" s="909"/>
      <c r="R231" s="909"/>
      <c r="S231" s="1277" t="str">
        <f>+IF(ENERO!S231=0,"",ENERO!S231)</f>
        <v/>
      </c>
      <c r="T231" s="1278" t="str">
        <f>+IF(ENERO!T231=0,"",ENERO!T231)</f>
        <v/>
      </c>
      <c r="U231" s="1280"/>
      <c r="V231" s="1280"/>
      <c r="W231" s="1280"/>
      <c r="X231" s="1280"/>
      <c r="Y231" s="1280"/>
      <c r="Z231" s="1280"/>
      <c r="AA231" s="1280"/>
      <c r="AB231" s="1280"/>
      <c r="AC231" s="1280"/>
      <c r="AD231" s="1280"/>
      <c r="AE231" s="1280"/>
      <c r="AF231" s="1280"/>
      <c r="AG231" s="1280"/>
      <c r="AH231" s="1280"/>
      <c r="AI231" s="1280"/>
      <c r="AJ231" s="1281"/>
      <c r="AK231" s="909"/>
      <c r="AL231" s="1319"/>
      <c r="AM231" s="1320"/>
      <c r="AN231" s="909"/>
    </row>
    <row r="232" spans="1:64" s="1035" customFormat="1" ht="24.95" customHeight="1">
      <c r="A232" s="1274"/>
      <c r="B232" s="1276"/>
      <c r="N232" s="909"/>
      <c r="P232" s="909"/>
      <c r="Q232" s="909"/>
      <c r="R232" s="909"/>
      <c r="S232" s="1321" t="str">
        <f>+IF(ENERO!S232=0,"",ENERO!S232)</f>
        <v>D</v>
      </c>
      <c r="T232" s="1322" t="str">
        <f>+IF(ENERO!T232=0,"",ENERO!T232)</f>
        <v>INVERSION</v>
      </c>
      <c r="U232" s="1287">
        <f>U234+U243</f>
        <v>0</v>
      </c>
      <c r="V232" s="1236">
        <f t="shared" ref="V232:AJ232" si="199">V234+V243</f>
        <v>0</v>
      </c>
      <c r="W232" s="1236">
        <f t="shared" si="199"/>
        <v>433878092</v>
      </c>
      <c r="X232" s="1237">
        <f t="shared" si="199"/>
        <v>433878092</v>
      </c>
      <c r="Y232" s="1235">
        <f t="shared" si="199"/>
        <v>0</v>
      </c>
      <c r="Z232" s="1236">
        <f t="shared" si="199"/>
        <v>270702372</v>
      </c>
      <c r="AA232" s="1237">
        <f t="shared" si="199"/>
        <v>270702372</v>
      </c>
      <c r="AB232" s="1235">
        <f t="shared" si="199"/>
        <v>0</v>
      </c>
      <c r="AC232" s="1236">
        <f t="shared" si="199"/>
        <v>0</v>
      </c>
      <c r="AD232" s="1237">
        <f t="shared" si="199"/>
        <v>0</v>
      </c>
      <c r="AE232" s="1235">
        <f t="shared" si="199"/>
        <v>0</v>
      </c>
      <c r="AF232" s="1236">
        <f t="shared" si="199"/>
        <v>0</v>
      </c>
      <c r="AG232" s="1237">
        <f t="shared" si="199"/>
        <v>0</v>
      </c>
      <c r="AH232" s="1235">
        <f t="shared" si="199"/>
        <v>163175720</v>
      </c>
      <c r="AI232" s="1236">
        <f t="shared" si="199"/>
        <v>433878092</v>
      </c>
      <c r="AJ232" s="1031">
        <f t="shared" si="199"/>
        <v>433878092</v>
      </c>
      <c r="AK232" s="1316"/>
      <c r="AL232" s="1030">
        <f t="shared" ref="AL232:AM232" si="200">AL234+AL243</f>
        <v>0</v>
      </c>
      <c r="AM232" s="1031">
        <f t="shared" si="200"/>
        <v>433878092</v>
      </c>
      <c r="AN232" s="909"/>
    </row>
    <row r="233" spans="1:64" s="1035" customFormat="1" ht="24.95" customHeight="1">
      <c r="A233" s="1274"/>
      <c r="B233" s="1276"/>
      <c r="N233" s="909"/>
      <c r="P233" s="909"/>
      <c r="Q233" s="909"/>
      <c r="R233" s="909"/>
      <c r="S233" s="1000" t="str">
        <f>+IF(ENERO!S233=0,"",ENERO!S233)</f>
        <v/>
      </c>
      <c r="T233" s="1001" t="str">
        <f>+IF(ENERO!T233=0,"",ENERO!T233)</f>
        <v/>
      </c>
      <c r="U233" s="1003"/>
      <c r="V233" s="1003"/>
      <c r="W233" s="1003"/>
      <c r="X233" s="1003"/>
      <c r="Y233" s="1003"/>
      <c r="Z233" s="1003"/>
      <c r="AA233" s="1003"/>
      <c r="AB233" s="1003"/>
      <c r="AC233" s="1003"/>
      <c r="AD233" s="1003"/>
      <c r="AE233" s="1003"/>
      <c r="AF233" s="1003"/>
      <c r="AG233" s="1003"/>
      <c r="AH233" s="1003"/>
      <c r="AI233" s="1003"/>
      <c r="AJ233" s="1004"/>
      <c r="AK233" s="909"/>
      <c r="AL233" s="1195"/>
      <c r="AM233" s="1196"/>
      <c r="AN233" s="909"/>
    </row>
    <row r="234" spans="1:64" s="1035" customFormat="1" ht="24.95" customHeight="1">
      <c r="A234" s="1274"/>
      <c r="B234" s="1276"/>
      <c r="N234" s="909"/>
      <c r="P234" s="909"/>
      <c r="Q234" s="909"/>
      <c r="R234" s="909"/>
      <c r="S234" s="1073">
        <f>+IF(ENERO!S234=0,"",ENERO!S234)</f>
        <v>8000000</v>
      </c>
      <c r="T234" s="1298" t="str">
        <f>+IF(ENERO!T234=0,"",ENERO!T234)</f>
        <v>Programas de Inversión</v>
      </c>
      <c r="U234" s="1299">
        <f>U235</f>
        <v>0</v>
      </c>
      <c r="V234" s="1047">
        <f t="shared" ref="V234:AJ234" si="201">V235</f>
        <v>0</v>
      </c>
      <c r="W234" s="1047">
        <f t="shared" si="201"/>
        <v>380000000</v>
      </c>
      <c r="X234" s="1049">
        <f t="shared" si="201"/>
        <v>380000000</v>
      </c>
      <c r="Y234" s="1046">
        <f t="shared" si="201"/>
        <v>0</v>
      </c>
      <c r="Z234" s="1047">
        <f t="shared" si="201"/>
        <v>270702372</v>
      </c>
      <c r="AA234" s="1049">
        <f t="shared" si="201"/>
        <v>270702372</v>
      </c>
      <c r="AB234" s="1046">
        <f t="shared" si="201"/>
        <v>0</v>
      </c>
      <c r="AC234" s="1047">
        <f t="shared" si="201"/>
        <v>0</v>
      </c>
      <c r="AD234" s="1049">
        <f t="shared" si="201"/>
        <v>0</v>
      </c>
      <c r="AE234" s="1046">
        <f t="shared" si="201"/>
        <v>0</v>
      </c>
      <c r="AF234" s="1047">
        <f t="shared" si="201"/>
        <v>0</v>
      </c>
      <c r="AG234" s="1049">
        <f t="shared" si="201"/>
        <v>0</v>
      </c>
      <c r="AH234" s="1046">
        <f t="shared" si="201"/>
        <v>109297628</v>
      </c>
      <c r="AI234" s="1047">
        <f t="shared" si="201"/>
        <v>380000000</v>
      </c>
      <c r="AJ234" s="1048">
        <f t="shared" si="201"/>
        <v>380000000</v>
      </c>
      <c r="AK234" s="909"/>
      <c r="AL234" s="1050">
        <f t="shared" ref="AL234:AM234" si="202">AL235</f>
        <v>0</v>
      </c>
      <c r="AM234" s="1048">
        <f t="shared" si="202"/>
        <v>380000000</v>
      </c>
      <c r="AN234" s="909"/>
    </row>
    <row r="235" spans="1:64" s="1035" customFormat="1" ht="24.95" customHeight="1">
      <c r="A235" s="1274"/>
      <c r="B235" s="1276"/>
      <c r="N235" s="909"/>
      <c r="P235" s="909"/>
      <c r="Q235" s="909"/>
      <c r="R235" s="909"/>
      <c r="S235" s="1083">
        <f>+IF(ENERO!S235=0,"",ENERO!S235)</f>
        <v>8001000</v>
      </c>
      <c r="T235" s="1300" t="str">
        <f>+IF(ENERO!T235=0,"",ENERO!T235)</f>
        <v>Formación Bruta del Capital</v>
      </c>
      <c r="U235" s="1301">
        <f t="shared" ref="U235:AJ235" si="203">SUM(U236:U241)</f>
        <v>0</v>
      </c>
      <c r="V235" s="1033">
        <f t="shared" si="203"/>
        <v>0</v>
      </c>
      <c r="W235" s="1033">
        <f t="shared" si="203"/>
        <v>380000000</v>
      </c>
      <c r="X235" s="1088">
        <f t="shared" si="203"/>
        <v>380000000</v>
      </c>
      <c r="Y235" s="1087">
        <f t="shared" si="203"/>
        <v>0</v>
      </c>
      <c r="Z235" s="1198">
        <f t="shared" si="203"/>
        <v>270702372</v>
      </c>
      <c r="AA235" s="1088">
        <f t="shared" si="203"/>
        <v>270702372</v>
      </c>
      <c r="AB235" s="1087">
        <f t="shared" si="203"/>
        <v>0</v>
      </c>
      <c r="AC235" s="1198">
        <f t="shared" si="203"/>
        <v>0</v>
      </c>
      <c r="AD235" s="1088">
        <f t="shared" si="203"/>
        <v>0</v>
      </c>
      <c r="AE235" s="1087">
        <f t="shared" si="203"/>
        <v>0</v>
      </c>
      <c r="AF235" s="1198">
        <f t="shared" si="203"/>
        <v>0</v>
      </c>
      <c r="AG235" s="1088">
        <f t="shared" si="203"/>
        <v>0</v>
      </c>
      <c r="AH235" s="1087">
        <f t="shared" si="203"/>
        <v>109297628</v>
      </c>
      <c r="AI235" s="1033">
        <f t="shared" si="203"/>
        <v>380000000</v>
      </c>
      <c r="AJ235" s="1086">
        <f t="shared" si="203"/>
        <v>380000000</v>
      </c>
      <c r="AK235" s="909"/>
      <c r="AL235" s="1117">
        <f>SUM(AL236:AL241)</f>
        <v>0</v>
      </c>
      <c r="AM235" s="1118">
        <f>SUM(AM236:AM241)</f>
        <v>380000000</v>
      </c>
      <c r="AN235" s="909"/>
    </row>
    <row r="236" spans="1:64" s="1035" customFormat="1" ht="24.95" customHeight="1">
      <c r="A236" s="1274"/>
      <c r="B236" s="1276"/>
      <c r="N236" s="909"/>
      <c r="P236" s="909"/>
      <c r="Q236" s="909"/>
      <c r="R236" s="909"/>
      <c r="S236" s="1130" t="str">
        <f>+IF(ENERO!S236=0,"",ENERO!S236)</f>
        <v>8001000-1</v>
      </c>
      <c r="T236" s="1302" t="str">
        <f>+IF(ENERO!T236=0,"",ENERO!T236)</f>
        <v>Subprogr.Construc. Remodelac. Adecuación y Apliac.1</v>
      </c>
      <c r="U236" s="1301">
        <f>+ENERO!U236</f>
        <v>0</v>
      </c>
      <c r="V236" s="1033">
        <f>ENERO!V236+FEBRERO!AL236</f>
        <v>0</v>
      </c>
      <c r="W236" s="1033">
        <f>ENERO!W236+FEBRERO!AM236</f>
        <v>380000000</v>
      </c>
      <c r="X236" s="1088">
        <f t="shared" ref="X236:X241" si="204">SUM(U236:W236)</f>
        <v>380000000</v>
      </c>
      <c r="Y236" s="1087">
        <f>ENERO!AA236</f>
        <v>0</v>
      </c>
      <c r="Z236" s="1020">
        <v>270702372</v>
      </c>
      <c r="AA236" s="1088">
        <f t="shared" ref="AA236:AA241" si="205">SUM(Y236:Z236)</f>
        <v>270702372</v>
      </c>
      <c r="AB236" s="1087">
        <f>ENERO!AD236</f>
        <v>0</v>
      </c>
      <c r="AC236" s="1020">
        <v>0</v>
      </c>
      <c r="AD236" s="1088">
        <f t="shared" ref="AD236:AD241" si="206">SUM(AB236:AC236)</f>
        <v>0</v>
      </c>
      <c r="AE236" s="1087">
        <f>ENERO!AG236</f>
        <v>0</v>
      </c>
      <c r="AF236" s="1020">
        <v>0</v>
      </c>
      <c r="AG236" s="1088">
        <f t="shared" ref="AG236:AG241" si="207">SUM(AE236:AF236)</f>
        <v>0</v>
      </c>
      <c r="AH236" s="1087">
        <f t="shared" ref="AH236:AH241" si="208">X236-AA236</f>
        <v>109297628</v>
      </c>
      <c r="AI236" s="1033">
        <f t="shared" ref="AI236:AI241" si="209">X236-AD236</f>
        <v>380000000</v>
      </c>
      <c r="AJ236" s="1086">
        <f t="shared" ref="AJ236:AJ241" si="210">X236-AG236</f>
        <v>380000000</v>
      </c>
      <c r="AK236" s="909"/>
      <c r="AL236" s="1089">
        <v>0</v>
      </c>
      <c r="AM236" s="1023">
        <v>380000000</v>
      </c>
      <c r="AN236" s="909"/>
    </row>
    <row r="237" spans="1:64" s="1035" customFormat="1" ht="24.95" customHeight="1">
      <c r="A237" s="1274"/>
      <c r="B237" s="1276"/>
      <c r="N237" s="909"/>
      <c r="P237" s="909"/>
      <c r="Q237" s="909"/>
      <c r="R237" s="909"/>
      <c r="S237" s="1130" t="str">
        <f>+IF(ENERO!S237=0,"",ENERO!S237)</f>
        <v>8001000-2</v>
      </c>
      <c r="T237" s="1302" t="str">
        <f>+IF(ENERO!T237=0,"",ENERO!T237)</f>
        <v>Subprogr.Construc. Remodelac. Adecuación y Apliac.2</v>
      </c>
      <c r="U237" s="1301">
        <f>+ENERO!U237</f>
        <v>0</v>
      </c>
      <c r="V237" s="1033">
        <f>ENERO!V237+FEBRERO!AL237</f>
        <v>0</v>
      </c>
      <c r="W237" s="1033">
        <f>ENERO!W237+FEBRERO!AM237</f>
        <v>0</v>
      </c>
      <c r="X237" s="1088">
        <f t="shared" si="204"/>
        <v>0</v>
      </c>
      <c r="Y237" s="1087">
        <f>ENERO!AA237</f>
        <v>0</v>
      </c>
      <c r="Z237" s="1020">
        <v>0</v>
      </c>
      <c r="AA237" s="1088">
        <f t="shared" si="205"/>
        <v>0</v>
      </c>
      <c r="AB237" s="1087">
        <f>ENERO!AD237</f>
        <v>0</v>
      </c>
      <c r="AC237" s="1020">
        <v>0</v>
      </c>
      <c r="AD237" s="1088">
        <f t="shared" si="206"/>
        <v>0</v>
      </c>
      <c r="AE237" s="1087">
        <f>ENERO!AG237</f>
        <v>0</v>
      </c>
      <c r="AF237" s="1020">
        <v>0</v>
      </c>
      <c r="AG237" s="1088">
        <f t="shared" si="207"/>
        <v>0</v>
      </c>
      <c r="AH237" s="1087">
        <f t="shared" si="208"/>
        <v>0</v>
      </c>
      <c r="AI237" s="1033">
        <f t="shared" si="209"/>
        <v>0</v>
      </c>
      <c r="AJ237" s="1086">
        <f t="shared" si="210"/>
        <v>0</v>
      </c>
      <c r="AK237" s="909"/>
      <c r="AL237" s="1089">
        <v>0</v>
      </c>
      <c r="AM237" s="1023">
        <v>0</v>
      </c>
      <c r="AN237" s="909"/>
    </row>
    <row r="238" spans="1:64" s="1035" customFormat="1" ht="24.95" customHeight="1">
      <c r="A238" s="1274"/>
      <c r="B238" s="1276"/>
      <c r="N238" s="909"/>
      <c r="P238" s="909"/>
      <c r="Q238" s="909"/>
      <c r="R238" s="909"/>
      <c r="S238" s="1130" t="str">
        <f>+IF(ENERO!S238=0,"",ENERO!S238)</f>
        <v>8001000-3</v>
      </c>
      <c r="T238" s="1302" t="str">
        <f>+IF(ENERO!T238=0,"",ENERO!T238)</f>
        <v>Subprogr.Construc. Remodelac. Adecuación y Apliac.3</v>
      </c>
      <c r="U238" s="1301">
        <f>+ENERO!U238</f>
        <v>0</v>
      </c>
      <c r="V238" s="1033">
        <f>ENERO!V238+FEBRERO!AL238</f>
        <v>0</v>
      </c>
      <c r="W238" s="1033">
        <f>ENERO!W238+FEBRERO!AM238</f>
        <v>0</v>
      </c>
      <c r="X238" s="1088">
        <f t="shared" si="204"/>
        <v>0</v>
      </c>
      <c r="Y238" s="1087">
        <f>ENERO!AA238</f>
        <v>0</v>
      </c>
      <c r="Z238" s="1020">
        <v>0</v>
      </c>
      <c r="AA238" s="1088">
        <f t="shared" si="205"/>
        <v>0</v>
      </c>
      <c r="AB238" s="1087">
        <f>ENERO!AD238</f>
        <v>0</v>
      </c>
      <c r="AC238" s="1020">
        <v>0</v>
      </c>
      <c r="AD238" s="1088">
        <f t="shared" si="206"/>
        <v>0</v>
      </c>
      <c r="AE238" s="1087">
        <f>ENERO!AG238</f>
        <v>0</v>
      </c>
      <c r="AF238" s="1020">
        <v>0</v>
      </c>
      <c r="AG238" s="1088">
        <f t="shared" si="207"/>
        <v>0</v>
      </c>
      <c r="AH238" s="1087">
        <f t="shared" si="208"/>
        <v>0</v>
      </c>
      <c r="AI238" s="1033">
        <f t="shared" si="209"/>
        <v>0</v>
      </c>
      <c r="AJ238" s="1086">
        <f t="shared" si="210"/>
        <v>0</v>
      </c>
      <c r="AK238" s="909"/>
      <c r="AL238" s="1089">
        <v>0</v>
      </c>
      <c r="AM238" s="1023">
        <v>0</v>
      </c>
      <c r="AN238" s="909"/>
    </row>
    <row r="239" spans="1:64" s="1035" customFormat="1" ht="24.95" customHeight="1">
      <c r="A239" s="1274"/>
      <c r="B239" s="1276"/>
      <c r="N239" s="909"/>
      <c r="P239" s="909"/>
      <c r="Q239" s="909"/>
      <c r="S239" s="1130" t="str">
        <f>+IF(ENERO!S239=0,"",ENERO!S239)</f>
        <v>8001000-4</v>
      </c>
      <c r="T239" s="1302" t="str">
        <f>+IF(ENERO!T239=0,"",ENERO!T239)</f>
        <v>Subprogr.Construc. Remodelac. Adecuación y Apliac.4</v>
      </c>
      <c r="U239" s="1301">
        <f>+ENERO!U239</f>
        <v>0</v>
      </c>
      <c r="V239" s="1033">
        <f>ENERO!V239+FEBRERO!AL239</f>
        <v>0</v>
      </c>
      <c r="W239" s="1033">
        <f>ENERO!W239+FEBRERO!AM239</f>
        <v>0</v>
      </c>
      <c r="X239" s="1088">
        <f t="shared" si="204"/>
        <v>0</v>
      </c>
      <c r="Y239" s="1087">
        <f>ENERO!AA239</f>
        <v>0</v>
      </c>
      <c r="Z239" s="1020">
        <v>0</v>
      </c>
      <c r="AA239" s="1088">
        <f t="shared" si="205"/>
        <v>0</v>
      </c>
      <c r="AB239" s="1087">
        <f>ENERO!AD239</f>
        <v>0</v>
      </c>
      <c r="AC239" s="1020">
        <v>0</v>
      </c>
      <c r="AD239" s="1088">
        <f t="shared" si="206"/>
        <v>0</v>
      </c>
      <c r="AE239" s="1087">
        <f>ENERO!AG239</f>
        <v>0</v>
      </c>
      <c r="AF239" s="1020">
        <v>0</v>
      </c>
      <c r="AG239" s="1088">
        <f t="shared" si="207"/>
        <v>0</v>
      </c>
      <c r="AH239" s="1087">
        <f t="shared" si="208"/>
        <v>0</v>
      </c>
      <c r="AI239" s="1033">
        <f t="shared" si="209"/>
        <v>0</v>
      </c>
      <c r="AJ239" s="1086">
        <f t="shared" si="210"/>
        <v>0</v>
      </c>
      <c r="AK239" s="909"/>
      <c r="AL239" s="1089">
        <v>0</v>
      </c>
      <c r="AM239" s="1023">
        <v>0</v>
      </c>
      <c r="AN239" s="909"/>
    </row>
    <row r="240" spans="1:64" s="1035" customFormat="1" ht="24.95" customHeight="1">
      <c r="A240" s="1274"/>
      <c r="B240" s="1276"/>
      <c r="N240" s="909"/>
      <c r="P240" s="909"/>
      <c r="Q240" s="909"/>
      <c r="S240" s="1130" t="str">
        <f>+IF(ENERO!S240=0,"",ENERO!S240)</f>
        <v>8001000-7</v>
      </c>
      <c r="T240" s="1302" t="str">
        <f>+IF(ENERO!T240=0,"",ENERO!T240)</f>
        <v>Subprogr.Construc. Remodelac. Adecuación y Apliac.5</v>
      </c>
      <c r="U240" s="1301">
        <f>+ENERO!U240</f>
        <v>0</v>
      </c>
      <c r="V240" s="1033">
        <f>ENERO!V240+FEBRERO!AL240</f>
        <v>0</v>
      </c>
      <c r="W240" s="1033">
        <f>ENERO!W240+FEBRERO!AM240</f>
        <v>0</v>
      </c>
      <c r="X240" s="1088">
        <f t="shared" si="204"/>
        <v>0</v>
      </c>
      <c r="Y240" s="1087">
        <f>ENERO!AA240</f>
        <v>0</v>
      </c>
      <c r="Z240" s="1020">
        <v>0</v>
      </c>
      <c r="AA240" s="1088">
        <f t="shared" si="205"/>
        <v>0</v>
      </c>
      <c r="AB240" s="1087">
        <f>ENERO!AD240</f>
        <v>0</v>
      </c>
      <c r="AC240" s="1020">
        <v>0</v>
      </c>
      <c r="AD240" s="1088">
        <f t="shared" si="206"/>
        <v>0</v>
      </c>
      <c r="AE240" s="1087">
        <f>ENERO!AG240</f>
        <v>0</v>
      </c>
      <c r="AF240" s="1020">
        <v>0</v>
      </c>
      <c r="AG240" s="1088">
        <f t="shared" si="207"/>
        <v>0</v>
      </c>
      <c r="AH240" s="1087">
        <f t="shared" si="208"/>
        <v>0</v>
      </c>
      <c r="AI240" s="1033">
        <f t="shared" si="209"/>
        <v>0</v>
      </c>
      <c r="AJ240" s="1086">
        <f t="shared" si="210"/>
        <v>0</v>
      </c>
      <c r="AK240" s="909"/>
      <c r="AL240" s="1089">
        <v>0</v>
      </c>
      <c r="AM240" s="1023">
        <v>0</v>
      </c>
      <c r="AN240" s="909"/>
      <c r="BB240" s="818"/>
      <c r="BC240" s="818"/>
      <c r="BD240" s="818"/>
      <c r="BE240" s="818"/>
      <c r="BF240" s="818"/>
      <c r="BG240" s="818"/>
      <c r="BH240" s="818"/>
      <c r="BI240" s="818"/>
      <c r="BJ240" s="818"/>
      <c r="BK240" s="818"/>
      <c r="BL240" s="818"/>
    </row>
    <row r="241" spans="1:70" s="1035" customFormat="1" ht="24.95" customHeight="1">
      <c r="A241" s="1274"/>
      <c r="B241" s="1276"/>
      <c r="N241" s="909"/>
      <c r="P241" s="909"/>
      <c r="Q241" s="909"/>
      <c r="S241" s="1323">
        <f>+IF(ENERO!S241=0,"",ENERO!S241)</f>
        <v>8001999</v>
      </c>
      <c r="T241" s="1302" t="str">
        <f>+IF(ENERO!T241=0,"",ENERO!T241)</f>
        <v>Vigencias Anteriores</v>
      </c>
      <c r="U241" s="1301">
        <f>+ENERO!U241</f>
        <v>0</v>
      </c>
      <c r="V241" s="1033">
        <f>ENERO!V241+FEBRERO!AL241</f>
        <v>0</v>
      </c>
      <c r="W241" s="1033">
        <f>ENERO!W241+FEBRERO!AM241</f>
        <v>0</v>
      </c>
      <c r="X241" s="1088">
        <f t="shared" si="204"/>
        <v>0</v>
      </c>
      <c r="Y241" s="1087">
        <f>ENERO!AA241</f>
        <v>0</v>
      </c>
      <c r="Z241" s="1020">
        <v>0</v>
      </c>
      <c r="AA241" s="1088">
        <f t="shared" si="205"/>
        <v>0</v>
      </c>
      <c r="AB241" s="1087">
        <f>ENERO!AD241</f>
        <v>0</v>
      </c>
      <c r="AC241" s="1020">
        <v>0</v>
      </c>
      <c r="AD241" s="1088">
        <f t="shared" si="206"/>
        <v>0</v>
      </c>
      <c r="AE241" s="1087">
        <f>ENERO!AG241</f>
        <v>0</v>
      </c>
      <c r="AF241" s="1020">
        <v>0</v>
      </c>
      <c r="AG241" s="1088">
        <f t="shared" si="207"/>
        <v>0</v>
      </c>
      <c r="AH241" s="1087">
        <f t="shared" si="208"/>
        <v>0</v>
      </c>
      <c r="AI241" s="1033">
        <f t="shared" si="209"/>
        <v>0</v>
      </c>
      <c r="AJ241" s="1086">
        <f t="shared" si="210"/>
        <v>0</v>
      </c>
      <c r="AK241" s="909"/>
      <c r="AL241" s="1089">
        <v>0</v>
      </c>
      <c r="AM241" s="1023">
        <v>0</v>
      </c>
      <c r="AN241" s="909"/>
      <c r="BB241" s="818"/>
      <c r="BC241" s="818"/>
      <c r="BD241" s="818"/>
      <c r="BE241" s="818"/>
      <c r="BF241" s="818"/>
      <c r="BG241" s="818"/>
      <c r="BH241" s="818"/>
      <c r="BI241" s="818"/>
      <c r="BJ241" s="818"/>
      <c r="BK241" s="818"/>
      <c r="BL241" s="818"/>
    </row>
    <row r="242" spans="1:70" ht="24.95" customHeight="1">
      <c r="A242" s="1274"/>
      <c r="B242" s="1276"/>
      <c r="C242" s="1035"/>
      <c r="D242" s="1035"/>
      <c r="E242" s="1035"/>
      <c r="F242" s="1035"/>
      <c r="G242" s="1035"/>
      <c r="H242" s="1035"/>
      <c r="I242" s="1035"/>
      <c r="J242" s="1035"/>
      <c r="K242" s="1035"/>
      <c r="L242" s="1035"/>
      <c r="M242" s="1035"/>
      <c r="N242" s="909"/>
      <c r="O242" s="1035"/>
      <c r="P242" s="909"/>
      <c r="Q242" s="909"/>
      <c r="S242" s="1000" t="str">
        <f>+IF(ENERO!S242=0,"",ENERO!S242)</f>
        <v/>
      </c>
      <c r="T242" s="1001" t="str">
        <f>+IF(ENERO!T242=0,"",ENERO!T242)</f>
        <v/>
      </c>
      <c r="U242" s="1003"/>
      <c r="V242" s="1003"/>
      <c r="W242" s="1003"/>
      <c r="X242" s="1003"/>
      <c r="Y242" s="1003"/>
      <c r="Z242" s="1003"/>
      <c r="AA242" s="1003"/>
      <c r="AB242" s="1003"/>
      <c r="AC242" s="1003"/>
      <c r="AD242" s="1003"/>
      <c r="AE242" s="1003"/>
      <c r="AF242" s="1003"/>
      <c r="AG242" s="1003"/>
      <c r="AH242" s="1003"/>
      <c r="AI242" s="1003"/>
      <c r="AJ242" s="1004"/>
      <c r="AK242" s="909"/>
      <c r="AL242" s="1195"/>
      <c r="AM242" s="1196"/>
      <c r="BR242" s="1035"/>
    </row>
    <row r="243" spans="1:70" ht="32.25" customHeight="1">
      <c r="A243" s="1274"/>
      <c r="B243" s="1276"/>
      <c r="C243" s="1035"/>
      <c r="D243" s="1035"/>
      <c r="E243" s="1035"/>
      <c r="F243" s="1035"/>
      <c r="G243" s="1035"/>
      <c r="H243" s="1035"/>
      <c r="I243" s="1035"/>
      <c r="J243" s="1035"/>
      <c r="K243" s="1035"/>
      <c r="L243" s="1035"/>
      <c r="M243" s="1035"/>
      <c r="N243" s="909"/>
      <c r="O243" s="1035"/>
      <c r="P243" s="909"/>
      <c r="Q243" s="909"/>
      <c r="S243" s="1073">
        <f>+IF(ENERO!S243=0,"",ENERO!S243)</f>
        <v>8002001</v>
      </c>
      <c r="T243" s="1298" t="str">
        <f>+IF(ENERO!T243=0,"",ENERO!T243)</f>
        <v>Gastos Operativos de Inversion   (Programas Especiales)</v>
      </c>
      <c r="U243" s="1299">
        <f t="shared" ref="U243:AJ243" si="211">SUM(U244:U256)</f>
        <v>0</v>
      </c>
      <c r="V243" s="1047">
        <f t="shared" si="211"/>
        <v>0</v>
      </c>
      <c r="W243" s="1047">
        <f t="shared" si="211"/>
        <v>53878092</v>
      </c>
      <c r="X243" s="1049">
        <f t="shared" si="211"/>
        <v>53878092</v>
      </c>
      <c r="Y243" s="1046">
        <f t="shared" si="211"/>
        <v>0</v>
      </c>
      <c r="Z243" s="1047">
        <f t="shared" si="211"/>
        <v>0</v>
      </c>
      <c r="AA243" s="1049">
        <f t="shared" si="211"/>
        <v>0</v>
      </c>
      <c r="AB243" s="1046">
        <f t="shared" si="211"/>
        <v>0</v>
      </c>
      <c r="AC243" s="1047">
        <f t="shared" si="211"/>
        <v>0</v>
      </c>
      <c r="AD243" s="1049">
        <f t="shared" si="211"/>
        <v>0</v>
      </c>
      <c r="AE243" s="1046">
        <f t="shared" si="211"/>
        <v>0</v>
      </c>
      <c r="AF243" s="1047">
        <f t="shared" si="211"/>
        <v>0</v>
      </c>
      <c r="AG243" s="1049">
        <f t="shared" si="211"/>
        <v>0</v>
      </c>
      <c r="AH243" s="1046">
        <f t="shared" si="211"/>
        <v>53878092</v>
      </c>
      <c r="AI243" s="1047">
        <f t="shared" si="211"/>
        <v>53878092</v>
      </c>
      <c r="AJ243" s="1048">
        <f t="shared" si="211"/>
        <v>53878092</v>
      </c>
      <c r="AK243" s="909"/>
      <c r="AL243" s="1050">
        <f>SUM(AL244:AL256)</f>
        <v>0</v>
      </c>
      <c r="AM243" s="1048">
        <f>SUM(AM244:AM256)</f>
        <v>53878092</v>
      </c>
      <c r="BR243" s="1035"/>
    </row>
    <row r="244" spans="1:70" ht="24.95" customHeight="1">
      <c r="A244" s="1274"/>
      <c r="B244" s="1276"/>
      <c r="C244" s="1035"/>
      <c r="D244" s="1035"/>
      <c r="E244" s="1035"/>
      <c r="F244" s="1035"/>
      <c r="G244" s="1035"/>
      <c r="H244" s="1035"/>
      <c r="I244" s="1035"/>
      <c r="J244" s="1035"/>
      <c r="K244" s="1035"/>
      <c r="L244" s="1035"/>
      <c r="M244" s="1035"/>
      <c r="N244" s="909"/>
      <c r="O244" s="1035"/>
      <c r="P244" s="909"/>
      <c r="Q244" s="909"/>
      <c r="S244" s="1130" t="str">
        <f>+IF(ENERO!S244=0,"",ENERO!S244)</f>
        <v>8002100-1</v>
      </c>
      <c r="T244" s="1302" t="str">
        <f>+IF(ENERO!T244=0,"",ENERO!T244)</f>
        <v>Fondo de la Vivienda</v>
      </c>
      <c r="U244" s="1301">
        <f>+ENERO!U244</f>
        <v>0</v>
      </c>
      <c r="V244" s="1033">
        <f>ENERO!V244+FEBRERO!AL244</f>
        <v>0</v>
      </c>
      <c r="W244" s="1033">
        <f>ENERO!W244+FEBRERO!AM244</f>
        <v>53878092</v>
      </c>
      <c r="X244" s="1088">
        <f t="shared" ref="X244:X256" si="212">SUM(U244:W244)</f>
        <v>53878092</v>
      </c>
      <c r="Y244" s="1087">
        <f>ENERO!AA244</f>
        <v>0</v>
      </c>
      <c r="Z244" s="1020">
        <v>0</v>
      </c>
      <c r="AA244" s="1088">
        <f t="shared" ref="AA244:AA256" si="213">SUM(Y244:Z244)</f>
        <v>0</v>
      </c>
      <c r="AB244" s="1087">
        <f>ENERO!AD244</f>
        <v>0</v>
      </c>
      <c r="AC244" s="1020">
        <v>0</v>
      </c>
      <c r="AD244" s="1088">
        <f t="shared" ref="AD244:AD256" si="214">SUM(AB244:AC244)</f>
        <v>0</v>
      </c>
      <c r="AE244" s="1087">
        <f>ENERO!AG244</f>
        <v>0</v>
      </c>
      <c r="AF244" s="1020">
        <v>0</v>
      </c>
      <c r="AG244" s="1088">
        <f t="shared" ref="AG244:AG256" si="215">SUM(AE244:AF244)</f>
        <v>0</v>
      </c>
      <c r="AH244" s="1087">
        <f t="shared" ref="AH244:AH256" si="216">X244-AA244</f>
        <v>53878092</v>
      </c>
      <c r="AI244" s="1033">
        <f t="shared" ref="AI244:AI256" si="217">X244-AD244</f>
        <v>53878092</v>
      </c>
      <c r="AJ244" s="1086">
        <f t="shared" ref="AJ244:AJ256" si="218">X244-AG244</f>
        <v>53878092</v>
      </c>
      <c r="AK244" s="909"/>
      <c r="AL244" s="1089">
        <v>0</v>
      </c>
      <c r="AM244" s="1023">
        <v>53878092</v>
      </c>
    </row>
    <row r="245" spans="1:70" ht="24.95" customHeight="1">
      <c r="A245" s="1274"/>
      <c r="B245" s="1276"/>
      <c r="C245" s="1035"/>
      <c r="D245" s="1035"/>
      <c r="E245" s="1035"/>
      <c r="F245" s="1035"/>
      <c r="G245" s="1035"/>
      <c r="H245" s="1035"/>
      <c r="I245" s="1035"/>
      <c r="J245" s="1035"/>
      <c r="K245" s="1035"/>
      <c r="L245" s="1035"/>
      <c r="M245" s="1035"/>
      <c r="N245" s="909"/>
      <c r="O245" s="1035"/>
      <c r="P245" s="909"/>
      <c r="Q245" s="909"/>
      <c r="S245" s="1130" t="str">
        <f>+IF(ENERO!S245=0,"",ENERO!S245)</f>
        <v>8002100-2</v>
      </c>
      <c r="T245" s="1302" t="str">
        <f>+IF(ENERO!T245=0,"",ENERO!T245)</f>
        <v>Programas Especial 01</v>
      </c>
      <c r="U245" s="1301">
        <f>+ENERO!U245</f>
        <v>0</v>
      </c>
      <c r="V245" s="1033">
        <f>ENERO!V245+FEBRERO!AL245</f>
        <v>0</v>
      </c>
      <c r="W245" s="1033">
        <f>ENERO!W245+FEBRERO!AM245</f>
        <v>0</v>
      </c>
      <c r="X245" s="1088">
        <f t="shared" si="212"/>
        <v>0</v>
      </c>
      <c r="Y245" s="1087">
        <f>ENERO!AA245</f>
        <v>0</v>
      </c>
      <c r="Z245" s="1020">
        <v>0</v>
      </c>
      <c r="AA245" s="1088">
        <f t="shared" si="213"/>
        <v>0</v>
      </c>
      <c r="AB245" s="1087">
        <f>ENERO!AD245</f>
        <v>0</v>
      </c>
      <c r="AC245" s="1020">
        <v>0</v>
      </c>
      <c r="AD245" s="1088">
        <f t="shared" si="214"/>
        <v>0</v>
      </c>
      <c r="AE245" s="1087">
        <f>ENERO!AG245</f>
        <v>0</v>
      </c>
      <c r="AF245" s="1020">
        <v>0</v>
      </c>
      <c r="AG245" s="1088">
        <f t="shared" si="215"/>
        <v>0</v>
      </c>
      <c r="AH245" s="1087">
        <f t="shared" si="216"/>
        <v>0</v>
      </c>
      <c r="AI245" s="1033">
        <f t="shared" si="217"/>
        <v>0</v>
      </c>
      <c r="AJ245" s="1086">
        <f t="shared" si="218"/>
        <v>0</v>
      </c>
      <c r="AK245" s="909"/>
      <c r="AL245" s="1089">
        <v>0</v>
      </c>
      <c r="AM245" s="1023">
        <v>0</v>
      </c>
    </row>
    <row r="246" spans="1:70" ht="24.95" customHeight="1">
      <c r="A246" s="1274"/>
      <c r="B246" s="1276"/>
      <c r="C246" s="1035"/>
      <c r="D246" s="1035"/>
      <c r="E246" s="1035"/>
      <c r="F246" s="1035"/>
      <c r="G246" s="1035"/>
      <c r="H246" s="1035"/>
      <c r="I246" s="1035"/>
      <c r="J246" s="1035"/>
      <c r="K246" s="1035"/>
      <c r="L246" s="1035"/>
      <c r="M246" s="1035"/>
      <c r="N246" s="909"/>
      <c r="O246" s="1035"/>
      <c r="P246" s="909"/>
      <c r="Q246" s="909"/>
      <c r="S246" s="1130" t="str">
        <f>+IF(ENERO!S246=0,"",ENERO!S246)</f>
        <v>8002100-3</v>
      </c>
      <c r="T246" s="1302" t="str">
        <f>+IF(ENERO!T246=0,"",ENERO!T246)</f>
        <v>Programas Especial 02</v>
      </c>
      <c r="U246" s="1301">
        <f>+ENERO!U246</f>
        <v>0</v>
      </c>
      <c r="V246" s="1033">
        <f>ENERO!V246+FEBRERO!AL246</f>
        <v>0</v>
      </c>
      <c r="W246" s="1033">
        <f>ENERO!W246+FEBRERO!AM246</f>
        <v>0</v>
      </c>
      <c r="X246" s="1088">
        <f t="shared" si="212"/>
        <v>0</v>
      </c>
      <c r="Y246" s="1087">
        <f>ENERO!AA246</f>
        <v>0</v>
      </c>
      <c r="Z246" s="1020">
        <v>0</v>
      </c>
      <c r="AA246" s="1088">
        <f t="shared" si="213"/>
        <v>0</v>
      </c>
      <c r="AB246" s="1087">
        <f>ENERO!AD246</f>
        <v>0</v>
      </c>
      <c r="AC246" s="1020">
        <v>0</v>
      </c>
      <c r="AD246" s="1088">
        <f t="shared" si="214"/>
        <v>0</v>
      </c>
      <c r="AE246" s="1087">
        <f>ENERO!AG246</f>
        <v>0</v>
      </c>
      <c r="AF246" s="1020">
        <v>0</v>
      </c>
      <c r="AG246" s="1088">
        <f t="shared" si="215"/>
        <v>0</v>
      </c>
      <c r="AH246" s="1087">
        <f t="shared" si="216"/>
        <v>0</v>
      </c>
      <c r="AI246" s="1033">
        <f t="shared" si="217"/>
        <v>0</v>
      </c>
      <c r="AJ246" s="1086">
        <f t="shared" si="218"/>
        <v>0</v>
      </c>
      <c r="AK246" s="909"/>
      <c r="AL246" s="1089">
        <v>0</v>
      </c>
      <c r="AM246" s="1023">
        <v>0</v>
      </c>
    </row>
    <row r="247" spans="1:70" ht="24.95" customHeight="1">
      <c r="A247" s="1274"/>
      <c r="B247" s="1276"/>
      <c r="C247" s="1035"/>
      <c r="D247" s="1035"/>
      <c r="E247" s="1035"/>
      <c r="F247" s="1035"/>
      <c r="G247" s="1035"/>
      <c r="H247" s="1035"/>
      <c r="I247" s="1035"/>
      <c r="J247" s="1035"/>
      <c r="K247" s="1035"/>
      <c r="L247" s="1035"/>
      <c r="M247" s="1035"/>
      <c r="N247" s="909"/>
      <c r="O247" s="1035"/>
      <c r="P247" s="909"/>
      <c r="Q247" s="909"/>
      <c r="S247" s="1130" t="str">
        <f>+IF(ENERO!S247=0,"",ENERO!S247)</f>
        <v>8002100-4</v>
      </c>
      <c r="T247" s="1302" t="str">
        <f>+IF(ENERO!T247=0,"",ENERO!T247)</f>
        <v>Programas Especial 03</v>
      </c>
      <c r="U247" s="1301">
        <f>+ENERO!U247</f>
        <v>0</v>
      </c>
      <c r="V247" s="1033">
        <f>ENERO!V247+FEBRERO!AL247</f>
        <v>0</v>
      </c>
      <c r="W247" s="1033">
        <f>ENERO!W247+FEBRERO!AM247</f>
        <v>0</v>
      </c>
      <c r="X247" s="1088">
        <f t="shared" si="212"/>
        <v>0</v>
      </c>
      <c r="Y247" s="1087">
        <f>ENERO!AA247</f>
        <v>0</v>
      </c>
      <c r="Z247" s="1020">
        <v>0</v>
      </c>
      <c r="AA247" s="1088">
        <f t="shared" si="213"/>
        <v>0</v>
      </c>
      <c r="AB247" s="1087">
        <f>ENERO!AD247</f>
        <v>0</v>
      </c>
      <c r="AC247" s="1020">
        <v>0</v>
      </c>
      <c r="AD247" s="1088">
        <f t="shared" si="214"/>
        <v>0</v>
      </c>
      <c r="AE247" s="1087">
        <f>ENERO!AG247</f>
        <v>0</v>
      </c>
      <c r="AF247" s="1020">
        <v>0</v>
      </c>
      <c r="AG247" s="1088">
        <f t="shared" si="215"/>
        <v>0</v>
      </c>
      <c r="AH247" s="1087">
        <f t="shared" si="216"/>
        <v>0</v>
      </c>
      <c r="AI247" s="1033">
        <f t="shared" si="217"/>
        <v>0</v>
      </c>
      <c r="AJ247" s="1086">
        <f t="shared" si="218"/>
        <v>0</v>
      </c>
      <c r="AK247" s="909"/>
      <c r="AL247" s="1089">
        <v>0</v>
      </c>
      <c r="AM247" s="1023">
        <v>0</v>
      </c>
    </row>
    <row r="248" spans="1:70" ht="24.95" customHeight="1">
      <c r="A248" s="1274"/>
      <c r="B248" s="1276"/>
      <c r="C248" s="1035"/>
      <c r="D248" s="1035"/>
      <c r="E248" s="1035"/>
      <c r="F248" s="1035"/>
      <c r="G248" s="1035"/>
      <c r="H248" s="1035"/>
      <c r="I248" s="1035"/>
      <c r="J248" s="1035"/>
      <c r="K248" s="1035"/>
      <c r="L248" s="1035"/>
      <c r="M248" s="1035"/>
      <c r="N248" s="909"/>
      <c r="O248" s="1035"/>
      <c r="P248" s="909"/>
      <c r="Q248" s="909"/>
      <c r="S248" s="1130" t="str">
        <f>+IF(ENERO!S248=0,"",ENERO!S248)</f>
        <v>8002100-5</v>
      </c>
      <c r="T248" s="1302" t="str">
        <f>+IF(ENERO!T248=0,"",ENERO!T248)</f>
        <v>Programas Especial 04</v>
      </c>
      <c r="U248" s="1301">
        <f>+ENERO!U248</f>
        <v>0</v>
      </c>
      <c r="V248" s="1033">
        <f>ENERO!V248+FEBRERO!AL248</f>
        <v>0</v>
      </c>
      <c r="W248" s="1033">
        <f>ENERO!W248+FEBRERO!AM248</f>
        <v>0</v>
      </c>
      <c r="X248" s="1088">
        <f t="shared" si="212"/>
        <v>0</v>
      </c>
      <c r="Y248" s="1087">
        <f>ENERO!AA248</f>
        <v>0</v>
      </c>
      <c r="Z248" s="1020">
        <v>0</v>
      </c>
      <c r="AA248" s="1088">
        <f t="shared" si="213"/>
        <v>0</v>
      </c>
      <c r="AB248" s="1087">
        <f>ENERO!AD248</f>
        <v>0</v>
      </c>
      <c r="AC248" s="1020">
        <v>0</v>
      </c>
      <c r="AD248" s="1088">
        <f t="shared" si="214"/>
        <v>0</v>
      </c>
      <c r="AE248" s="1087">
        <f>ENERO!AG248</f>
        <v>0</v>
      </c>
      <c r="AF248" s="1020">
        <v>0</v>
      </c>
      <c r="AG248" s="1088">
        <f t="shared" si="215"/>
        <v>0</v>
      </c>
      <c r="AH248" s="1087">
        <f t="shared" si="216"/>
        <v>0</v>
      </c>
      <c r="AI248" s="1033">
        <f t="shared" si="217"/>
        <v>0</v>
      </c>
      <c r="AJ248" s="1086">
        <f t="shared" si="218"/>
        <v>0</v>
      </c>
      <c r="AK248" s="909"/>
      <c r="AL248" s="1089">
        <v>0</v>
      </c>
      <c r="AM248" s="1023">
        <v>0</v>
      </c>
    </row>
    <row r="249" spans="1:70" ht="24.95" customHeight="1">
      <c r="A249" s="1274"/>
      <c r="B249" s="1276"/>
      <c r="C249" s="1035"/>
      <c r="D249" s="1035"/>
      <c r="E249" s="1035"/>
      <c r="F249" s="1035"/>
      <c r="G249" s="1035"/>
      <c r="H249" s="1035"/>
      <c r="I249" s="1035"/>
      <c r="J249" s="1035"/>
      <c r="K249" s="1035"/>
      <c r="L249" s="1035"/>
      <c r="M249" s="1035"/>
      <c r="N249" s="909"/>
      <c r="O249" s="1035"/>
      <c r="P249" s="909"/>
      <c r="Q249" s="909"/>
      <c r="S249" s="1130" t="str">
        <f>+IF(ENERO!S249=0,"",ENERO!S249)</f>
        <v>8002100-6</v>
      </c>
      <c r="T249" s="1302" t="str">
        <f>+IF(ENERO!T249=0,"",ENERO!T249)</f>
        <v>Programas Especial 05</v>
      </c>
      <c r="U249" s="1301">
        <f>+ENERO!U249</f>
        <v>0</v>
      </c>
      <c r="V249" s="1033">
        <f>ENERO!V249+FEBRERO!AL249</f>
        <v>0</v>
      </c>
      <c r="W249" s="1033">
        <f>ENERO!W249+FEBRERO!AM249</f>
        <v>0</v>
      </c>
      <c r="X249" s="1088">
        <f t="shared" si="212"/>
        <v>0</v>
      </c>
      <c r="Y249" s="1087">
        <f>ENERO!AA249</f>
        <v>0</v>
      </c>
      <c r="Z249" s="1020">
        <v>0</v>
      </c>
      <c r="AA249" s="1088">
        <f t="shared" si="213"/>
        <v>0</v>
      </c>
      <c r="AB249" s="1087">
        <f>ENERO!AD249</f>
        <v>0</v>
      </c>
      <c r="AC249" s="1020">
        <v>0</v>
      </c>
      <c r="AD249" s="1088">
        <f t="shared" si="214"/>
        <v>0</v>
      </c>
      <c r="AE249" s="1087">
        <f>ENERO!AG249</f>
        <v>0</v>
      </c>
      <c r="AF249" s="1020">
        <v>0</v>
      </c>
      <c r="AG249" s="1088">
        <f t="shared" si="215"/>
        <v>0</v>
      </c>
      <c r="AH249" s="1087">
        <f t="shared" si="216"/>
        <v>0</v>
      </c>
      <c r="AI249" s="1033">
        <f t="shared" si="217"/>
        <v>0</v>
      </c>
      <c r="AJ249" s="1086">
        <f t="shared" si="218"/>
        <v>0</v>
      </c>
      <c r="AK249" s="909"/>
      <c r="AL249" s="1089">
        <v>0</v>
      </c>
      <c r="AM249" s="1023">
        <v>0</v>
      </c>
    </row>
    <row r="250" spans="1:70" ht="24.95" customHeight="1">
      <c r="A250" s="1274"/>
      <c r="B250" s="1276"/>
      <c r="C250" s="1035"/>
      <c r="D250" s="1035"/>
      <c r="E250" s="1035"/>
      <c r="F250" s="1035"/>
      <c r="G250" s="1035"/>
      <c r="H250" s="1035"/>
      <c r="I250" s="1035"/>
      <c r="J250" s="1035"/>
      <c r="K250" s="1035"/>
      <c r="L250" s="1035"/>
      <c r="M250" s="1035"/>
      <c r="N250" s="909"/>
      <c r="O250" s="1035"/>
      <c r="P250" s="909"/>
      <c r="Q250" s="909"/>
      <c r="S250" s="1130" t="str">
        <f>+IF(ENERO!S250=0,"",ENERO!S250)</f>
        <v>8002100-7</v>
      </c>
      <c r="T250" s="1302" t="str">
        <f>+IF(ENERO!T250=0,"",ENERO!T250)</f>
        <v>Programas Especial 06</v>
      </c>
      <c r="U250" s="1301">
        <f>+ENERO!U250</f>
        <v>0</v>
      </c>
      <c r="V250" s="1033">
        <f>ENERO!V250+FEBRERO!AL250</f>
        <v>0</v>
      </c>
      <c r="W250" s="1033">
        <f>ENERO!W250+FEBRERO!AM250</f>
        <v>0</v>
      </c>
      <c r="X250" s="1088">
        <f>SUM(U250:W250)</f>
        <v>0</v>
      </c>
      <c r="Y250" s="1087">
        <f>ENERO!AA250</f>
        <v>0</v>
      </c>
      <c r="Z250" s="1020">
        <v>0</v>
      </c>
      <c r="AA250" s="1088">
        <f>SUM(Y250:Z250)</f>
        <v>0</v>
      </c>
      <c r="AB250" s="1087">
        <f>ENERO!AD250</f>
        <v>0</v>
      </c>
      <c r="AC250" s="1020">
        <v>0</v>
      </c>
      <c r="AD250" s="1088">
        <f>SUM(AB250:AC250)</f>
        <v>0</v>
      </c>
      <c r="AE250" s="1087">
        <f>ENERO!AG250</f>
        <v>0</v>
      </c>
      <c r="AF250" s="1020">
        <v>0</v>
      </c>
      <c r="AG250" s="1088">
        <f>SUM(AE250:AF250)</f>
        <v>0</v>
      </c>
      <c r="AH250" s="1087">
        <f>X250-AA250</f>
        <v>0</v>
      </c>
      <c r="AI250" s="1033">
        <f>X250-AD250</f>
        <v>0</v>
      </c>
      <c r="AJ250" s="1086">
        <f>X250-AG250</f>
        <v>0</v>
      </c>
      <c r="AK250" s="909"/>
      <c r="AL250" s="1089">
        <v>0</v>
      </c>
      <c r="AM250" s="1023">
        <v>0</v>
      </c>
    </row>
    <row r="251" spans="1:70" ht="24.95" customHeight="1">
      <c r="A251" s="1274"/>
      <c r="B251" s="1276"/>
      <c r="C251" s="1035"/>
      <c r="D251" s="1035"/>
      <c r="E251" s="1035"/>
      <c r="F251" s="1035"/>
      <c r="G251" s="1035"/>
      <c r="H251" s="1035"/>
      <c r="I251" s="1035"/>
      <c r="J251" s="1035"/>
      <c r="K251" s="1035"/>
      <c r="L251" s="1035"/>
      <c r="M251" s="1035"/>
      <c r="N251" s="909"/>
      <c r="O251" s="1035"/>
      <c r="P251" s="909"/>
      <c r="Q251" s="909"/>
      <c r="S251" s="1130" t="str">
        <f>+IF(ENERO!S251=0,"",ENERO!S251)</f>
        <v>8002100-8</v>
      </c>
      <c r="T251" s="1302" t="str">
        <f>+IF(ENERO!T251=0,"",ENERO!T251)</f>
        <v>Programas Especial 07</v>
      </c>
      <c r="U251" s="1301">
        <f>+ENERO!U251</f>
        <v>0</v>
      </c>
      <c r="V251" s="1033">
        <f>ENERO!V251+FEBRERO!AL251</f>
        <v>0</v>
      </c>
      <c r="W251" s="1033">
        <f>ENERO!W251+FEBRERO!AM251</f>
        <v>0</v>
      </c>
      <c r="X251" s="1088">
        <f>SUM(U251:W251)</f>
        <v>0</v>
      </c>
      <c r="Y251" s="1087">
        <f>ENERO!AA251</f>
        <v>0</v>
      </c>
      <c r="Z251" s="1020">
        <v>0</v>
      </c>
      <c r="AA251" s="1088">
        <f>SUM(Y251:Z251)</f>
        <v>0</v>
      </c>
      <c r="AB251" s="1087">
        <f>ENERO!AD251</f>
        <v>0</v>
      </c>
      <c r="AC251" s="1020">
        <v>0</v>
      </c>
      <c r="AD251" s="1088">
        <f>SUM(AB251:AC251)</f>
        <v>0</v>
      </c>
      <c r="AE251" s="1087">
        <f>ENERO!AG251</f>
        <v>0</v>
      </c>
      <c r="AF251" s="1020">
        <v>0</v>
      </c>
      <c r="AG251" s="1088">
        <f>SUM(AE251:AF251)</f>
        <v>0</v>
      </c>
      <c r="AH251" s="1087">
        <f>X251-AA251</f>
        <v>0</v>
      </c>
      <c r="AI251" s="1033">
        <f>X251-AD251</f>
        <v>0</v>
      </c>
      <c r="AJ251" s="1086">
        <f>X251-AG251</f>
        <v>0</v>
      </c>
      <c r="AK251" s="909"/>
      <c r="AL251" s="1089">
        <v>0</v>
      </c>
      <c r="AM251" s="1023">
        <v>0</v>
      </c>
    </row>
    <row r="252" spans="1:70" ht="24.95" customHeight="1">
      <c r="A252" s="1274"/>
      <c r="B252" s="1276"/>
      <c r="C252" s="1035"/>
      <c r="D252" s="1035"/>
      <c r="E252" s="1035"/>
      <c r="F252" s="1035"/>
      <c r="G252" s="1035"/>
      <c r="H252" s="1035"/>
      <c r="I252" s="1035"/>
      <c r="J252" s="1035"/>
      <c r="K252" s="1035"/>
      <c r="L252" s="1035"/>
      <c r="M252" s="1035"/>
      <c r="N252" s="909"/>
      <c r="O252" s="1035"/>
      <c r="P252" s="909"/>
      <c r="Q252" s="909"/>
      <c r="S252" s="1130" t="str">
        <f>+IF(ENERO!S252=0,"",ENERO!S252)</f>
        <v>8002100-9</v>
      </c>
      <c r="T252" s="1302" t="str">
        <f>+IF(ENERO!T252=0,"",ENERO!T252)</f>
        <v>Programas Especial 08</v>
      </c>
      <c r="U252" s="1301">
        <f>+ENERO!U252</f>
        <v>0</v>
      </c>
      <c r="V252" s="1033">
        <f>ENERO!V252+FEBRERO!AL252</f>
        <v>0</v>
      </c>
      <c r="W252" s="1033">
        <f>ENERO!W252+FEBRERO!AM252</f>
        <v>0</v>
      </c>
      <c r="X252" s="1088">
        <f>SUM(U252:W252)</f>
        <v>0</v>
      </c>
      <c r="Y252" s="1087">
        <f>ENERO!AA252</f>
        <v>0</v>
      </c>
      <c r="Z252" s="1020">
        <v>0</v>
      </c>
      <c r="AA252" s="1088">
        <f>SUM(Y252:Z252)</f>
        <v>0</v>
      </c>
      <c r="AB252" s="1087">
        <f>ENERO!AD252</f>
        <v>0</v>
      </c>
      <c r="AC252" s="1020">
        <v>0</v>
      </c>
      <c r="AD252" s="1088">
        <f>SUM(AB252:AC252)</f>
        <v>0</v>
      </c>
      <c r="AE252" s="1087">
        <f>ENERO!AG252</f>
        <v>0</v>
      </c>
      <c r="AF252" s="1020">
        <v>0</v>
      </c>
      <c r="AG252" s="1088">
        <f>SUM(AE252:AF252)</f>
        <v>0</v>
      </c>
      <c r="AH252" s="1087">
        <f>X252-AA252</f>
        <v>0</v>
      </c>
      <c r="AI252" s="1033">
        <f>X252-AD252</f>
        <v>0</v>
      </c>
      <c r="AJ252" s="1086">
        <f>X252-AG252</f>
        <v>0</v>
      </c>
      <c r="AK252" s="909"/>
      <c r="AL252" s="1089">
        <v>0</v>
      </c>
      <c r="AM252" s="1023">
        <v>0</v>
      </c>
    </row>
    <row r="253" spans="1:70" ht="24.95" customHeight="1">
      <c r="A253" s="1274"/>
      <c r="B253" s="1276"/>
      <c r="C253" s="1035"/>
      <c r="D253" s="1035"/>
      <c r="E253" s="1035"/>
      <c r="F253" s="1035"/>
      <c r="G253" s="1035"/>
      <c r="H253" s="1035"/>
      <c r="I253" s="1035"/>
      <c r="J253" s="1035"/>
      <c r="K253" s="1035"/>
      <c r="L253" s="1035"/>
      <c r="M253" s="1035"/>
      <c r="N253" s="909"/>
      <c r="O253" s="1035"/>
      <c r="P253" s="909"/>
      <c r="Q253" s="909"/>
      <c r="S253" s="1130" t="str">
        <f>+IF(ENERO!S253=0,"",ENERO!S253)</f>
        <v>8002100-10</v>
      </c>
      <c r="T253" s="1302" t="str">
        <f>+IF(ENERO!T253=0,"",ENERO!T253)</f>
        <v>Programas Especial 09</v>
      </c>
      <c r="U253" s="1301">
        <f>+ENERO!U253</f>
        <v>0</v>
      </c>
      <c r="V253" s="1033">
        <f>ENERO!V253+FEBRERO!AL253</f>
        <v>0</v>
      </c>
      <c r="W253" s="1033">
        <f>ENERO!W253+FEBRERO!AM253</f>
        <v>0</v>
      </c>
      <c r="X253" s="1088">
        <f>SUM(U253:W253)</f>
        <v>0</v>
      </c>
      <c r="Y253" s="1087">
        <f>ENERO!AA253</f>
        <v>0</v>
      </c>
      <c r="Z253" s="1020">
        <v>0</v>
      </c>
      <c r="AA253" s="1088">
        <f>SUM(Y253:Z253)</f>
        <v>0</v>
      </c>
      <c r="AB253" s="1087">
        <f>ENERO!AD253</f>
        <v>0</v>
      </c>
      <c r="AC253" s="1020">
        <v>0</v>
      </c>
      <c r="AD253" s="1088">
        <f>SUM(AB253:AC253)</f>
        <v>0</v>
      </c>
      <c r="AE253" s="1087">
        <f>ENERO!AG253</f>
        <v>0</v>
      </c>
      <c r="AF253" s="1020">
        <v>0</v>
      </c>
      <c r="AG253" s="1088">
        <f>SUM(AE253:AF253)</f>
        <v>0</v>
      </c>
      <c r="AH253" s="1087">
        <f>X253-AA253</f>
        <v>0</v>
      </c>
      <c r="AI253" s="1033">
        <f>X253-AD253</f>
        <v>0</v>
      </c>
      <c r="AJ253" s="1086">
        <f>X253-AG253</f>
        <v>0</v>
      </c>
      <c r="AK253" s="909"/>
      <c r="AL253" s="1089">
        <v>0</v>
      </c>
      <c r="AM253" s="1023">
        <v>0</v>
      </c>
    </row>
    <row r="254" spans="1:70" ht="24.95" customHeight="1">
      <c r="A254" s="1274"/>
      <c r="B254" s="1276"/>
      <c r="C254" s="1035"/>
      <c r="D254" s="1035"/>
      <c r="E254" s="1035"/>
      <c r="F254" s="1035"/>
      <c r="G254" s="1035"/>
      <c r="H254" s="1035"/>
      <c r="I254" s="1035"/>
      <c r="J254" s="1035"/>
      <c r="K254" s="1035"/>
      <c r="L254" s="1035"/>
      <c r="M254" s="1035"/>
      <c r="N254" s="909"/>
      <c r="O254" s="1035"/>
      <c r="P254" s="909"/>
      <c r="Q254" s="909"/>
      <c r="S254" s="1130" t="str">
        <f>+IF(ENERO!S254=0,"",ENERO!S254)</f>
        <v>8002100-11</v>
      </c>
      <c r="T254" s="1302" t="str">
        <f>+IF(ENERO!T254=0,"",ENERO!T254)</f>
        <v>Programas Especial 10</v>
      </c>
      <c r="U254" s="1301">
        <f>+ENERO!U254</f>
        <v>0</v>
      </c>
      <c r="V254" s="1033">
        <f>ENERO!V254+FEBRERO!AL254</f>
        <v>0</v>
      </c>
      <c r="W254" s="1033">
        <f>ENERO!W254+FEBRERO!AM254</f>
        <v>0</v>
      </c>
      <c r="X254" s="1088">
        <f>SUM(U254:W254)</f>
        <v>0</v>
      </c>
      <c r="Y254" s="1087">
        <f>ENERO!AA254</f>
        <v>0</v>
      </c>
      <c r="Z254" s="1020">
        <v>0</v>
      </c>
      <c r="AA254" s="1088">
        <f>SUM(Y254:Z254)</f>
        <v>0</v>
      </c>
      <c r="AB254" s="1087">
        <f>ENERO!AD254</f>
        <v>0</v>
      </c>
      <c r="AC254" s="1020">
        <v>0</v>
      </c>
      <c r="AD254" s="1088">
        <f>SUM(AB254:AC254)</f>
        <v>0</v>
      </c>
      <c r="AE254" s="1087">
        <f>ENERO!AG254</f>
        <v>0</v>
      </c>
      <c r="AF254" s="1020">
        <v>0</v>
      </c>
      <c r="AG254" s="1088">
        <f>SUM(AE254:AF254)</f>
        <v>0</v>
      </c>
      <c r="AH254" s="1087">
        <f>X254-AA254</f>
        <v>0</v>
      </c>
      <c r="AI254" s="1033">
        <f>X254-AD254</f>
        <v>0</v>
      </c>
      <c r="AJ254" s="1086">
        <f>X254-AG254</f>
        <v>0</v>
      </c>
      <c r="AK254" s="909"/>
      <c r="AL254" s="1089">
        <v>0</v>
      </c>
      <c r="AM254" s="1023">
        <v>0</v>
      </c>
    </row>
    <row r="255" spans="1:70" ht="24.95" customHeight="1">
      <c r="A255" s="1274"/>
      <c r="B255" s="1276"/>
      <c r="C255" s="1035"/>
      <c r="D255" s="1035"/>
      <c r="E255" s="1035"/>
      <c r="F255" s="1035"/>
      <c r="G255" s="1035"/>
      <c r="H255" s="1035"/>
      <c r="I255" s="1035"/>
      <c r="J255" s="1035"/>
      <c r="K255" s="1035"/>
      <c r="L255" s="1035"/>
      <c r="M255" s="1035"/>
      <c r="N255" s="909"/>
      <c r="O255" s="1035"/>
      <c r="P255" s="909"/>
      <c r="Q255" s="909"/>
      <c r="S255" s="1130" t="str">
        <f>+IF(ENERO!S255=0,"",ENERO!S255)</f>
        <v>8002100-12</v>
      </c>
      <c r="T255" s="1302" t="str">
        <f>+IF(ENERO!T255=0,"",ENERO!T255)</f>
        <v>Programas Especial 11</v>
      </c>
      <c r="U255" s="1301">
        <f>+ENERO!U255</f>
        <v>0</v>
      </c>
      <c r="V255" s="1033">
        <f>ENERO!V255+FEBRERO!AL255</f>
        <v>0</v>
      </c>
      <c r="W255" s="1033">
        <f>ENERO!W255+FEBRERO!AM255</f>
        <v>0</v>
      </c>
      <c r="X255" s="1088">
        <f t="shared" si="212"/>
        <v>0</v>
      </c>
      <c r="Y255" s="1087">
        <f>ENERO!AA255</f>
        <v>0</v>
      </c>
      <c r="Z255" s="1020">
        <v>0</v>
      </c>
      <c r="AA255" s="1088">
        <f t="shared" si="213"/>
        <v>0</v>
      </c>
      <c r="AB255" s="1087">
        <f>ENERO!AD255</f>
        <v>0</v>
      </c>
      <c r="AC255" s="1020">
        <v>0</v>
      </c>
      <c r="AD255" s="1088">
        <f t="shared" si="214"/>
        <v>0</v>
      </c>
      <c r="AE255" s="1087">
        <f>ENERO!AG255</f>
        <v>0</v>
      </c>
      <c r="AF255" s="1020">
        <v>0</v>
      </c>
      <c r="AG255" s="1088">
        <f t="shared" si="215"/>
        <v>0</v>
      </c>
      <c r="AH255" s="1087">
        <f t="shared" si="216"/>
        <v>0</v>
      </c>
      <c r="AI255" s="1033">
        <f t="shared" si="217"/>
        <v>0</v>
      </c>
      <c r="AJ255" s="1086">
        <f t="shared" si="218"/>
        <v>0</v>
      </c>
      <c r="AK255" s="909"/>
      <c r="AL255" s="1089">
        <v>0</v>
      </c>
      <c r="AM255" s="1023">
        <v>0</v>
      </c>
    </row>
    <row r="256" spans="1:70" ht="24.95" customHeight="1" thickBot="1">
      <c r="A256" s="1274"/>
      <c r="B256" s="1276"/>
      <c r="C256" s="1035"/>
      <c r="D256" s="1035"/>
      <c r="E256" s="1035"/>
      <c r="F256" s="1035"/>
      <c r="G256" s="1035"/>
      <c r="H256" s="1035"/>
      <c r="I256" s="1035"/>
      <c r="J256" s="1035"/>
      <c r="K256" s="1035"/>
      <c r="L256" s="1035"/>
      <c r="M256" s="1035"/>
      <c r="N256" s="909"/>
      <c r="O256" s="1035"/>
      <c r="P256" s="909"/>
      <c r="Q256" s="909"/>
      <c r="S256" s="1303">
        <f>+IF(ENERO!S256=0,"",ENERO!S256)</f>
        <v>8002999</v>
      </c>
      <c r="T256" s="1304" t="str">
        <f>+IF(ENERO!T256=0,"",ENERO!T256)</f>
        <v>Vigencias Anteriores</v>
      </c>
      <c r="U256" s="1305">
        <f>+ENERO!U256</f>
        <v>0</v>
      </c>
      <c r="V256" s="1292">
        <f>ENERO!V256+FEBRERO!AL256</f>
        <v>0</v>
      </c>
      <c r="W256" s="1292">
        <f>ENERO!W256+FEBRERO!AM256</f>
        <v>0</v>
      </c>
      <c r="X256" s="1295">
        <f t="shared" si="212"/>
        <v>0</v>
      </c>
      <c r="Y256" s="1294">
        <f>ENERO!AA256</f>
        <v>0</v>
      </c>
      <c r="Z256" s="1061">
        <v>0</v>
      </c>
      <c r="AA256" s="1295">
        <f t="shared" si="213"/>
        <v>0</v>
      </c>
      <c r="AB256" s="1294">
        <f>ENERO!AD256</f>
        <v>0</v>
      </c>
      <c r="AC256" s="1061">
        <v>0</v>
      </c>
      <c r="AD256" s="1295">
        <f t="shared" si="214"/>
        <v>0</v>
      </c>
      <c r="AE256" s="1294">
        <f>ENERO!AG256</f>
        <v>0</v>
      </c>
      <c r="AF256" s="1061">
        <v>0</v>
      </c>
      <c r="AG256" s="1295">
        <f t="shared" si="215"/>
        <v>0</v>
      </c>
      <c r="AH256" s="1294">
        <f t="shared" si="216"/>
        <v>0</v>
      </c>
      <c r="AI256" s="1292">
        <f t="shared" si="217"/>
        <v>0</v>
      </c>
      <c r="AJ256" s="1293">
        <f t="shared" si="218"/>
        <v>0</v>
      </c>
      <c r="AK256" s="909"/>
      <c r="AL256" s="1296">
        <v>0</v>
      </c>
      <c r="AM256" s="1064">
        <v>0</v>
      </c>
    </row>
    <row r="257" spans="1:39" ht="24.95" customHeight="1" thickBot="1">
      <c r="A257" s="1274"/>
      <c r="B257" s="1276"/>
      <c r="C257" s="1035"/>
      <c r="D257" s="1035"/>
      <c r="E257" s="1035"/>
      <c r="F257" s="1035"/>
      <c r="G257" s="1035"/>
      <c r="H257" s="1035"/>
      <c r="I257" s="1035"/>
      <c r="J257" s="1035"/>
      <c r="K257" s="1035"/>
      <c r="L257" s="1035"/>
      <c r="M257" s="1035"/>
      <c r="N257" s="909"/>
      <c r="O257" s="1035"/>
      <c r="P257" s="909"/>
      <c r="Q257" s="909"/>
      <c r="S257" s="1308" t="str">
        <f>+IF(ENERO!S257=0,"",ENERO!S257)</f>
        <v/>
      </c>
      <c r="T257" s="1309" t="str">
        <f>+IF(ENERO!T257=0,"",ENERO!T257)</f>
        <v/>
      </c>
      <c r="U257" s="1310"/>
      <c r="V257" s="1310"/>
      <c r="W257" s="1310"/>
      <c r="X257" s="1310"/>
      <c r="Y257" s="1310"/>
      <c r="Z257" s="1310"/>
      <c r="AA257" s="1310"/>
      <c r="AB257" s="1310"/>
      <c r="AC257" s="1310"/>
      <c r="AD257" s="1310"/>
      <c r="AE257" s="1310"/>
      <c r="AF257" s="1310"/>
      <c r="AG257" s="1310"/>
      <c r="AH257" s="1310"/>
      <c r="AI257" s="1310"/>
      <c r="AJ257" s="1311"/>
      <c r="AK257" s="1029"/>
      <c r="AL257" s="1324"/>
      <c r="AM257" s="1325"/>
    </row>
    <row r="258" spans="1:39" ht="24.95" customHeight="1" thickBot="1">
      <c r="A258" s="1274"/>
      <c r="B258" s="1276"/>
      <c r="C258" s="1035"/>
      <c r="D258" s="1035"/>
      <c r="E258" s="1035"/>
      <c r="F258" s="1035"/>
      <c r="G258" s="1035"/>
      <c r="H258" s="1035"/>
      <c r="I258" s="1035"/>
      <c r="J258" s="1035"/>
      <c r="K258" s="1035"/>
      <c r="L258" s="1035"/>
      <c r="M258" s="1035"/>
      <c r="N258" s="909"/>
      <c r="O258" s="1035"/>
      <c r="P258" s="909"/>
      <c r="Q258" s="909"/>
      <c r="S258" s="1326" t="s">
        <v>363</v>
      </c>
      <c r="T258" s="1327" t="s">
        <v>133</v>
      </c>
      <c r="U258" s="1328">
        <f>+(C10+C17+C113)-(U10+U193+U220+U232)</f>
        <v>0</v>
      </c>
      <c r="V258" s="1328">
        <f t="shared" ref="V258:AJ258" si="219">+(D10+D17+D113)-(V10+V193+V220+V232)</f>
        <v>0</v>
      </c>
      <c r="W258" s="1328">
        <f t="shared" si="219"/>
        <v>0</v>
      </c>
      <c r="X258" s="1328">
        <f t="shared" si="219"/>
        <v>0</v>
      </c>
      <c r="Y258" s="1328">
        <f t="shared" si="219"/>
        <v>-11266721637</v>
      </c>
      <c r="Z258" s="1328">
        <f t="shared" si="219"/>
        <v>40050169</v>
      </c>
      <c r="AA258" s="1328">
        <f t="shared" si="219"/>
        <v>-11226671468</v>
      </c>
      <c r="AB258" s="1328">
        <f t="shared" si="219"/>
        <v>-2174911101</v>
      </c>
      <c r="AC258" s="1328">
        <f t="shared" si="219"/>
        <v>-3541025830</v>
      </c>
      <c r="AD258" s="1328">
        <f t="shared" si="219"/>
        <v>-5715936931</v>
      </c>
      <c r="AE258" s="1328">
        <f t="shared" si="219"/>
        <v>36505278958</v>
      </c>
      <c r="AF258" s="1328">
        <f t="shared" si="219"/>
        <v>41526203143</v>
      </c>
      <c r="AG258" s="1328">
        <f t="shared" si="219"/>
        <v>-6264492817</v>
      </c>
      <c r="AH258" s="1328">
        <f t="shared" si="219"/>
        <v>-27604859314</v>
      </c>
      <c r="AI258" s="1328">
        <f t="shared" si="219"/>
        <v>-39131177283</v>
      </c>
      <c r="AJ258" s="1329">
        <f t="shared" si="219"/>
        <v>-45411852151</v>
      </c>
      <c r="AK258" s="909"/>
      <c r="AL258" s="1330">
        <v>0</v>
      </c>
      <c r="AM258" s="943">
        <v>0</v>
      </c>
    </row>
    <row r="259" spans="1:39" ht="24.95" customHeight="1" thickBot="1">
      <c r="S259" s="3106"/>
      <c r="T259" s="3107"/>
      <c r="U259" s="1333"/>
      <c r="V259" s="1333"/>
      <c r="W259" s="1333"/>
      <c r="X259" s="1333"/>
      <c r="Y259" s="1333"/>
      <c r="Z259" s="1333"/>
      <c r="AA259" s="1333"/>
      <c r="AB259" s="1333"/>
      <c r="AC259" s="1333"/>
      <c r="AD259" s="1333"/>
      <c r="AE259" s="1333"/>
      <c r="AF259" s="1333"/>
      <c r="AG259" s="1333"/>
      <c r="AH259" s="1333"/>
      <c r="AI259" s="1333"/>
      <c r="AJ259" s="1334"/>
      <c r="AK259" s="1029"/>
      <c r="AL259" s="1335">
        <f>+SUMIF(AK8:AK256,AK33,AL8:AL256)</f>
        <v>0</v>
      </c>
      <c r="AM259" s="1336">
        <f>+SUMIF(AL8:AL256,AL33,AM8:AM256)</f>
        <v>2325120905</v>
      </c>
    </row>
    <row r="260" spans="1:39" ht="24.95" customHeight="1" thickBot="1">
      <c r="S260" s="1337" t="s">
        <v>582</v>
      </c>
      <c r="T260" s="1338"/>
      <c r="U260" s="1339">
        <f>+U8-U262</f>
        <v>47989706380</v>
      </c>
      <c r="V260" s="1339">
        <f t="shared" ref="V260:AJ260" si="220">+V8-V262</f>
        <v>-977751839</v>
      </c>
      <c r="W260" s="1339">
        <f t="shared" si="220"/>
        <v>460034799</v>
      </c>
      <c r="X260" s="1339">
        <f t="shared" si="220"/>
        <v>47471989340</v>
      </c>
      <c r="Y260" s="1339">
        <f t="shared" si="220"/>
        <v>15747410277</v>
      </c>
      <c r="Z260" s="1339">
        <f t="shared" si="220"/>
        <v>4268386018</v>
      </c>
      <c r="AA260" s="1339">
        <f t="shared" si="220"/>
        <v>20015796295</v>
      </c>
      <c r="AB260" s="1339">
        <f t="shared" si="220"/>
        <v>2320576544</v>
      </c>
      <c r="AC260" s="1339">
        <f t="shared" si="220"/>
        <v>5551571860</v>
      </c>
      <c r="AD260" s="1339">
        <f t="shared" si="220"/>
        <v>7872148404</v>
      </c>
      <c r="AE260" s="1339">
        <f t="shared" si="220"/>
        <v>537121306</v>
      </c>
      <c r="AF260" s="1339">
        <f t="shared" si="220"/>
        <v>1671682152</v>
      </c>
      <c r="AG260" s="1339">
        <f t="shared" si="220"/>
        <v>2208803458</v>
      </c>
      <c r="AH260" s="1339">
        <f t="shared" si="220"/>
        <v>27456193045</v>
      </c>
      <c r="AI260" s="1339">
        <f t="shared" si="220"/>
        <v>39599840936</v>
      </c>
      <c r="AJ260" s="1340">
        <f t="shared" si="220"/>
        <v>45263185882</v>
      </c>
      <c r="AK260" s="1029"/>
      <c r="AL260" s="1341"/>
      <c r="AM260" s="1035"/>
    </row>
    <row r="261" spans="1:39" ht="24.95" customHeight="1" thickBot="1">
      <c r="S261" s="1342"/>
      <c r="T261" s="1343"/>
      <c r="U261" s="1344"/>
      <c r="V261" s="1344"/>
      <c r="W261" s="1344"/>
      <c r="X261" s="1344"/>
      <c r="Y261" s="1344"/>
      <c r="Z261" s="1344"/>
      <c r="AA261" s="1344"/>
      <c r="AB261" s="1344"/>
      <c r="AC261" s="1344"/>
      <c r="AD261" s="1344"/>
      <c r="AE261" s="1344"/>
      <c r="AF261" s="1344"/>
      <c r="AG261" s="1344"/>
      <c r="AH261" s="1344"/>
      <c r="AI261" s="1344"/>
      <c r="AJ261" s="1345"/>
      <c r="AK261" s="1029"/>
      <c r="AL261" s="1341"/>
      <c r="AM261" s="1035"/>
    </row>
    <row r="262" spans="1:39" ht="24.95" customHeight="1" thickBot="1">
      <c r="S262" s="1346" t="s">
        <v>583</v>
      </c>
      <c r="T262" s="1347"/>
      <c r="U262" s="1348">
        <f>+SUMIF($T$8:$T$256,$T$33,U8:U256)</f>
        <v>2232471701</v>
      </c>
      <c r="V262" s="1348">
        <f t="shared" ref="V262:AJ262" si="221">+SUMIF($T$8:$T$256,$T$33,V8:V256)</f>
        <v>977751839</v>
      </c>
      <c r="W262" s="1348">
        <f t="shared" si="221"/>
        <v>994132088</v>
      </c>
      <c r="X262" s="1348">
        <f t="shared" si="221"/>
        <v>4204355628</v>
      </c>
      <c r="Y262" s="1348">
        <f t="shared" si="221"/>
        <v>1789130518</v>
      </c>
      <c r="Z262" s="1348">
        <f t="shared" si="221"/>
        <v>2266558841</v>
      </c>
      <c r="AA262" s="1348">
        <f t="shared" si="221"/>
        <v>4055689359</v>
      </c>
      <c r="AB262" s="1348">
        <f t="shared" si="221"/>
        <v>1789130518</v>
      </c>
      <c r="AC262" s="1348">
        <f t="shared" si="221"/>
        <v>2266558841</v>
      </c>
      <c r="AD262" s="1348">
        <f t="shared" si="221"/>
        <v>4055689359</v>
      </c>
      <c r="AE262" s="1348">
        <f t="shared" si="221"/>
        <v>1789130518</v>
      </c>
      <c r="AF262" s="1348">
        <f t="shared" si="221"/>
        <v>2266558841</v>
      </c>
      <c r="AG262" s="1348">
        <f t="shared" si="221"/>
        <v>4055689359</v>
      </c>
      <c r="AH262" s="1348">
        <f t="shared" si="221"/>
        <v>148666269</v>
      </c>
      <c r="AI262" s="1348">
        <f t="shared" si="221"/>
        <v>148666269</v>
      </c>
      <c r="AJ262" s="1349">
        <f t="shared" si="221"/>
        <v>148666269</v>
      </c>
    </row>
    <row r="263" spans="1:39" ht="24.95" customHeight="1" thickBot="1">
      <c r="S263" s="1342"/>
      <c r="T263" s="1343"/>
      <c r="U263" s="1343"/>
      <c r="V263" s="1344"/>
      <c r="W263" s="1344"/>
      <c r="X263" s="1344"/>
      <c r="Y263" s="1344"/>
      <c r="Z263" s="1344"/>
      <c r="AA263" s="1344"/>
      <c r="AB263" s="1344"/>
      <c r="AC263" s="1344"/>
      <c r="AD263" s="1344"/>
      <c r="AE263" s="1344"/>
      <c r="AF263" s="1344"/>
      <c r="AG263" s="1344"/>
      <c r="AH263" s="1344"/>
      <c r="AI263" s="1344"/>
      <c r="AJ263" s="1344"/>
    </row>
    <row r="264" spans="1:39" ht="24.95" customHeight="1" thickBot="1">
      <c r="S264" s="1350" t="s">
        <v>584</v>
      </c>
      <c r="T264" s="1351"/>
      <c r="U264" s="1352">
        <f>+U260+U262</f>
        <v>50222178081</v>
      </c>
      <c r="V264" s="1352">
        <f t="shared" ref="V264:AJ264" si="222">+V260+V262</f>
        <v>0</v>
      </c>
      <c r="W264" s="1352">
        <f t="shared" si="222"/>
        <v>1454166887</v>
      </c>
      <c r="X264" s="1352">
        <f t="shared" si="222"/>
        <v>51676344968</v>
      </c>
      <c r="Y264" s="1352">
        <f t="shared" si="222"/>
        <v>17536540795</v>
      </c>
      <c r="Z264" s="1352">
        <f t="shared" si="222"/>
        <v>6534944859</v>
      </c>
      <c r="AA264" s="1352">
        <f t="shared" si="222"/>
        <v>24071485654</v>
      </c>
      <c r="AB264" s="1352">
        <f t="shared" si="222"/>
        <v>4109707062</v>
      </c>
      <c r="AC264" s="1352">
        <f t="shared" si="222"/>
        <v>7818130701</v>
      </c>
      <c r="AD264" s="1352">
        <f t="shared" si="222"/>
        <v>11927837763</v>
      </c>
      <c r="AE264" s="1352">
        <f t="shared" si="222"/>
        <v>2326251824</v>
      </c>
      <c r="AF264" s="1352">
        <f t="shared" si="222"/>
        <v>3938240993</v>
      </c>
      <c r="AG264" s="1352">
        <f t="shared" si="222"/>
        <v>6264492817</v>
      </c>
      <c r="AH264" s="1352">
        <f t="shared" si="222"/>
        <v>27604859314</v>
      </c>
      <c r="AI264" s="1352">
        <f t="shared" si="222"/>
        <v>39748507205</v>
      </c>
      <c r="AJ264" s="1353">
        <f t="shared" si="222"/>
        <v>45411852151</v>
      </c>
    </row>
  </sheetData>
  <sheetProtection password="E5F6" sheet="1" objects="1" scenarios="1" formatCells="0" formatColumns="0"/>
  <mergeCells count="46">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200-000000000000}"/>
    <dataValidation allowBlank="1" showInputMessage="1" showErrorMessage="1" promptTitle="ATENCION..." prompt="Las actividades de Promoción y Prevención se manejaran en su respectivo régimen." sqref="A43:C44 P43:Q44 K43:K44 H43:H44" xr:uid="{00000000-0002-0000-0200-000001000000}"/>
    <dataValidation allowBlank="1" showInputMessage="1" showErrorMessage="1" promptTitle="ATENCION..." prompt="Las actividades de Promoción y Prevención se manejaran en cada régimen." sqref="A23:C24 P23:Q24 K23:K24 H23:H24" xr:uid="{00000000-0002-0000-0200-000002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200-000003000000}"/>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200-000004000000}"/>
  </dataValidations>
  <printOptions horizontalCentered="1" verticalCentered="1"/>
  <pageMargins left="0.78740157480314965" right="0.19685039370078741" top="0.43307086614173229" bottom="0.27559055118110237" header="0.23622047244094491" footer="0.23622047244094491"/>
  <pageSetup paperSize="5" scale="48" orientation="landscape" blackAndWhite="1"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S264"/>
  <sheetViews>
    <sheetView showGridLines="0" topLeftCell="Q132" zoomScale="80" zoomScaleNormal="80" workbookViewId="0">
      <selection activeCell="Z124" activeCellId="4" sqref="Z36:Z39 Z43 Z57 Z115:Z116 Z124:Z134"/>
    </sheetView>
  </sheetViews>
  <sheetFormatPr baseColWidth="10" defaultColWidth="0" defaultRowHeight="24.95" customHeight="1"/>
  <cols>
    <col min="1" max="1" width="14.28515625" style="753" customWidth="1"/>
    <col min="2" max="2" width="50.7109375" style="662" customWidth="1"/>
    <col min="3" max="3" width="18.140625" style="272" customWidth="1"/>
    <col min="4" max="4" width="8.5703125" style="272" customWidth="1"/>
    <col min="5" max="6" width="14.42578125" style="272" customWidth="1"/>
    <col min="7" max="7" width="16.7109375" style="272" customWidth="1"/>
    <col min="8" max="8" width="17.85546875" style="272" customWidth="1"/>
    <col min="9" max="9" width="14.42578125" style="272" customWidth="1"/>
    <col min="10" max="10" width="16.42578125" style="272" customWidth="1"/>
    <col min="11" max="11" width="17.7109375" style="272" customWidth="1"/>
    <col min="12" max="12" width="16.28515625" style="272" customWidth="1"/>
    <col min="13" max="13" width="16.7109375" style="272" customWidth="1"/>
    <col min="14" max="14" width="16.7109375" style="31" customWidth="1"/>
    <col min="15" max="15" width="2.85546875" style="272" customWidth="1"/>
    <col min="16" max="17" width="23.7109375" style="31" customWidth="1"/>
    <col min="18" max="18" width="2.5703125" style="272" customWidth="1"/>
    <col min="19" max="19" width="11.85546875" style="698" customWidth="1"/>
    <col min="20" max="20" width="37.28515625" style="674" customWidth="1"/>
    <col min="21" max="21" width="17.7109375" style="272" customWidth="1"/>
    <col min="22" max="22" width="16.7109375" style="272" customWidth="1"/>
    <col min="23" max="23" width="16.42578125" style="272" customWidth="1"/>
    <col min="24" max="24" width="17.5703125" style="272" customWidth="1"/>
    <col min="25" max="25" width="17.42578125" style="272" customWidth="1"/>
    <col min="26" max="26" width="17.7109375" style="272" customWidth="1"/>
    <col min="27" max="27" width="17.85546875" style="272" customWidth="1"/>
    <col min="28" max="28" width="16.7109375" style="272" customWidth="1"/>
    <col min="29" max="29" width="17.140625" style="272" customWidth="1"/>
    <col min="30" max="30" width="16.85546875" style="272" customWidth="1"/>
    <col min="31" max="31" width="17.5703125" style="272" customWidth="1"/>
    <col min="32" max="32" width="19.28515625" style="272" customWidth="1"/>
    <col min="33" max="33" width="16.85546875" style="272" customWidth="1"/>
    <col min="34" max="34" width="18.140625" style="272" customWidth="1"/>
    <col min="35" max="35" width="18.28515625" style="272" customWidth="1"/>
    <col min="36" max="36" width="20" style="272" customWidth="1"/>
    <col min="37" max="37" width="8.855468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1.7109375" style="272" customWidth="1"/>
    <col min="59" max="59" width="72.7109375" style="272" customWidth="1"/>
    <col min="60" max="63" width="17.5703125" style="272" customWidth="1"/>
    <col min="64" max="64" width="35.42578125" style="272" customWidth="1"/>
    <col min="65" max="65" width="76" style="272" customWidth="1"/>
    <col min="66" max="66" width="17.28515625" style="272" customWidth="1"/>
    <col min="67" max="67" width="17" style="272" customWidth="1"/>
    <col min="68" max="68" width="18.28515625" style="272" customWidth="1"/>
    <col min="69" max="69" width="17.7109375" style="272" customWidth="1"/>
    <col min="70" max="70" width="11" style="272" customWidth="1"/>
    <col min="71" max="71" width="2.28515625" style="272" customWidth="1"/>
    <col min="72" max="16384" width="11" style="272" hidden="1"/>
  </cols>
  <sheetData>
    <row r="1" spans="1:69" ht="24.95" customHeight="1" thickBot="1">
      <c r="A1" s="2998" t="str">
        <f>IF($F$8-$X$8=0," ","OJO: PRESUPUESTO DESEQUILIBRADO")</f>
        <v xml:space="preserve"> </v>
      </c>
      <c r="B1" s="2998"/>
      <c r="C1" s="3132"/>
      <c r="D1" s="3132"/>
      <c r="E1" s="3132"/>
      <c r="F1" s="3132"/>
      <c r="G1" s="3132"/>
      <c r="H1" s="3132"/>
      <c r="I1" s="3132"/>
      <c r="J1" s="3132"/>
      <c r="K1" s="2999" t="str">
        <f>+IF(L8&gt;I8,"OJO - SUS RECAUDOS SON SUPERIORES A SUS RECONOCIMIENTOS, VERIFIQUE","")</f>
        <v/>
      </c>
      <c r="L1" s="2999"/>
      <c r="M1" s="2999"/>
      <c r="N1" s="2999"/>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0"/>
      <c r="B2" s="718" t="str">
        <f>+ENERO!B2</f>
        <v>SECRETARIA SECCIONAL DE SALUD Y PROTECCION SOCIAL DE ANTIOQUIA DE ANTIOQUIA</v>
      </c>
      <c r="C2" s="274"/>
      <c r="D2" s="3008" t="str">
        <f>+IF(F2="","","MUNICIPIO:")</f>
        <v>MUNICIPIO:</v>
      </c>
      <c r="E2" s="3008"/>
      <c r="F2" s="275" t="str">
        <f>IF(INSTRUCCIONES!B3=0,"",INSTRUCCIONES!B3)</f>
        <v>ITAGUI</v>
      </c>
      <c r="G2" s="276"/>
      <c r="H2" s="276"/>
      <c r="I2" s="276"/>
      <c r="J2" s="276"/>
      <c r="K2" s="277"/>
      <c r="L2" s="3009" t="s">
        <v>388</v>
      </c>
      <c r="M2" s="2982"/>
      <c r="N2" s="609" t="s">
        <v>389</v>
      </c>
      <c r="P2" s="2993" t="s">
        <v>466</v>
      </c>
      <c r="Q2" s="2994"/>
      <c r="R2" s="279"/>
      <c r="S2" s="699"/>
      <c r="T2" s="718" t="str">
        <f>+ENERO!T2</f>
        <v>SECRETARIA SECCIONAL DE SALUD Y PROTECCION SOCIAL DE ANTIOQUIA DE ANTIOQUIA</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609" t="s">
        <v>389</v>
      </c>
      <c r="AL2" s="2993" t="s">
        <v>466</v>
      </c>
      <c r="AM2" s="2994"/>
      <c r="AO2" s="2">
        <v>3</v>
      </c>
      <c r="AP2" s="280" t="s">
        <v>7</v>
      </c>
      <c r="AQ2" s="281"/>
      <c r="AR2" s="3"/>
      <c r="AS2" s="3"/>
      <c r="AT2" s="3"/>
      <c r="AU2" s="3"/>
      <c r="AV2" s="3"/>
      <c r="AW2" s="3"/>
      <c r="AX2" s="3"/>
      <c r="AY2" s="3"/>
      <c r="AZ2" s="4"/>
      <c r="BB2" s="2993" t="s">
        <v>616</v>
      </c>
      <c r="BC2" s="3010"/>
      <c r="BD2" s="51" t="s">
        <v>388</v>
      </c>
      <c r="BE2" s="278" t="str">
        <f>+L3</f>
        <v>MARZO</v>
      </c>
      <c r="BF2" s="273"/>
      <c r="BG2" s="2993" t="s">
        <v>617</v>
      </c>
      <c r="BH2" s="3010"/>
      <c r="BI2" s="3010"/>
      <c r="BJ2" s="51" t="s">
        <v>388</v>
      </c>
      <c r="BK2" s="278" t="str">
        <f>+BE2</f>
        <v>MARZO</v>
      </c>
      <c r="BM2" s="2993" t="s">
        <v>617</v>
      </c>
      <c r="BN2" s="3010"/>
      <c r="BO2" s="3010"/>
      <c r="BP2" s="51" t="s">
        <v>388</v>
      </c>
      <c r="BQ2" s="278" t="str">
        <f>+BK2</f>
        <v>MARZO</v>
      </c>
    </row>
    <row r="3" spans="1:69" ht="24.95" customHeight="1" thickBot="1">
      <c r="A3" s="751"/>
      <c r="B3" s="3025" t="s">
        <v>8</v>
      </c>
      <c r="C3" s="282"/>
      <c r="D3" s="3041" t="str">
        <f>+IF(F3="","","INSTITUCION:")</f>
        <v>INSTITUCION:</v>
      </c>
      <c r="E3" s="3041"/>
      <c r="F3" s="3000" t="str">
        <f>IF(INSTRUCCIONES!B5=0,"",INSTRUCCIONES!B5)</f>
        <v>ESE HOSPITALSAN RAFAEL</v>
      </c>
      <c r="G3" s="3000"/>
      <c r="H3" s="3000"/>
      <c r="I3" s="3000"/>
      <c r="J3" s="3000"/>
      <c r="K3" s="3001"/>
      <c r="L3" s="3026" t="s">
        <v>365</v>
      </c>
      <c r="M3" s="3027"/>
      <c r="N3" s="3006">
        <f>+INSTRUCCIONES!F3</f>
        <v>2017</v>
      </c>
      <c r="P3" s="2995" t="s">
        <v>525</v>
      </c>
      <c r="Q3" s="3013" t="s">
        <v>532</v>
      </c>
      <c r="R3" s="279"/>
      <c r="S3" s="700"/>
      <c r="T3" s="3025" t="s">
        <v>10</v>
      </c>
      <c r="U3" s="283"/>
      <c r="V3" s="2972" t="str">
        <f>+IF(Y3="","","E.S.E. H O S P I T A L:")</f>
        <v>E.S.E. H O S P I T A L:</v>
      </c>
      <c r="W3" s="2972"/>
      <c r="X3" s="2972"/>
      <c r="Y3" s="2974" t="str">
        <f>IF(INSTRUCCIONES!B5=0,"",INSTRUCCIONES!B5)</f>
        <v>ESE HOSPITALSAN RAFAEL</v>
      </c>
      <c r="Z3" s="2974"/>
      <c r="AA3" s="2974"/>
      <c r="AB3" s="2974"/>
      <c r="AC3" s="2974"/>
      <c r="AD3" s="2974"/>
      <c r="AE3" s="2974"/>
      <c r="AF3" s="2974"/>
      <c r="AG3" s="2975"/>
      <c r="AH3" s="2978" t="str">
        <f>+L3</f>
        <v>MARZO</v>
      </c>
      <c r="AI3" s="2979"/>
      <c r="AJ3" s="2970">
        <f>+N3</f>
        <v>2017</v>
      </c>
      <c r="AL3" s="2995" t="s">
        <v>533</v>
      </c>
      <c r="AM3" s="3013" t="s">
        <v>532</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50">
        <f>+BK3</f>
        <v>2017</v>
      </c>
    </row>
    <row r="4" spans="1:69" ht="24.95" customHeight="1" thickBot="1">
      <c r="A4" s="751"/>
      <c r="B4" s="3133"/>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292"/>
      <c r="BE4" s="47"/>
      <c r="BF4" s="7"/>
      <c r="BG4" s="291"/>
      <c r="BH4" s="292"/>
      <c r="BI4" s="292"/>
      <c r="BJ4" s="48"/>
      <c r="BK4" s="293"/>
      <c r="BL4" s="8"/>
      <c r="BM4" s="291"/>
      <c r="BN4" s="294"/>
      <c r="BO4" s="294"/>
      <c r="BP4" s="49"/>
      <c r="BQ4" s="295"/>
    </row>
    <row r="5" spans="1:69" ht="45" customHeight="1" thickTop="1" thickBot="1">
      <c r="A5" s="3134" t="s">
        <v>17</v>
      </c>
      <c r="B5" s="3136" t="str">
        <f>IF(SUM(C8:N125)=0,"DESCRIPCIÓN",IF(I10&gt;0,"DESCRIPCIÓN",IF(MARZO!I10=0,"OJO - RECUERDE RECAUDAR LA DISPONIBLIDAD INICIAL EN ESTE TRIMESTRE, haga clik en H9 para ampliar la información","")))</f>
        <v>DESCRIPCIÓN</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2990" t="s">
        <v>481</v>
      </c>
      <c r="T5" s="3043" t="s">
        <v>18</v>
      </c>
      <c r="U5" s="296" t="s">
        <v>19</v>
      </c>
      <c r="V5" s="297"/>
      <c r="W5" s="297"/>
      <c r="X5" s="298"/>
      <c r="Y5" s="299" t="s">
        <v>530</v>
      </c>
      <c r="Z5" s="297"/>
      <c r="AA5" s="297"/>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141" t="s">
        <v>366</v>
      </c>
      <c r="BG5" s="512" t="s">
        <v>32</v>
      </c>
      <c r="BH5" s="3018" t="str">
        <f>+CONCATENATE("ACUMULADO ",N3)</f>
        <v>ACUMULADO 2017</v>
      </c>
      <c r="BI5" s="3019"/>
      <c r="BJ5" s="3019"/>
      <c r="BK5" s="3138"/>
      <c r="BL5" s="3139" t="s">
        <v>367</v>
      </c>
      <c r="BM5" s="3016" t="s">
        <v>32</v>
      </c>
      <c r="BN5" s="308" t="str">
        <f>+CONCATENATE("ACUMULADO ",BQ3)</f>
        <v>ACUMULADO 2017</v>
      </c>
      <c r="BO5" s="309"/>
      <c r="BP5" s="310"/>
      <c r="BQ5" s="513"/>
    </row>
    <row r="6" spans="1:69" ht="24.95" customHeight="1" thickBot="1">
      <c r="A6" s="3135"/>
      <c r="B6" s="31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2991"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MARZO</v>
      </c>
      <c r="AS6" s="316" t="str">
        <f>AR6</f>
        <v>MARZO</v>
      </c>
      <c r="AT6" s="316" t="str">
        <f>AR6</f>
        <v>MARZO</v>
      </c>
      <c r="AU6" s="316" t="s">
        <v>14</v>
      </c>
      <c r="AV6" s="316" t="s">
        <v>29</v>
      </c>
      <c r="AW6" s="316"/>
      <c r="AX6" s="316"/>
      <c r="AY6" s="316" t="s">
        <v>14</v>
      </c>
      <c r="AZ6" s="317" t="s">
        <v>29</v>
      </c>
      <c r="BB6" s="318"/>
      <c r="BC6" s="319" t="s">
        <v>45</v>
      </c>
      <c r="BD6" s="320" t="s">
        <v>46</v>
      </c>
      <c r="BE6" s="321" t="s">
        <v>47</v>
      </c>
      <c r="BF6" s="3142"/>
      <c r="BG6" s="514"/>
      <c r="BH6" s="515" t="s">
        <v>45</v>
      </c>
      <c r="BI6" s="515" t="s">
        <v>48</v>
      </c>
      <c r="BJ6" s="515" t="s">
        <v>49</v>
      </c>
      <c r="BK6" s="516" t="s">
        <v>50</v>
      </c>
      <c r="BL6" s="3140"/>
      <c r="BM6" s="3017"/>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20528062311</v>
      </c>
      <c r="AR7" s="327">
        <f>I22</f>
        <v>7552362244</v>
      </c>
      <c r="AS7" s="327">
        <f>L22</f>
        <v>4225413661</v>
      </c>
      <c r="AT7" s="13"/>
      <c r="AU7" s="328">
        <f>IF(AQ7=0," ",AR7/AQ7)</f>
        <v>0.36790429264982566</v>
      </c>
      <c r="AV7" s="328">
        <f>IF(AQ7=0," ",AS7/AQ7)</f>
        <v>0.20583597209444382</v>
      </c>
      <c r="AW7" s="327">
        <f>I23/AO$2*12+I24</f>
        <v>17540953843</v>
      </c>
      <c r="AX7" s="327">
        <f>L23/AO$2*12+L24</f>
        <v>4233159511</v>
      </c>
      <c r="AY7" s="327">
        <f t="shared" ref="AY7:AY16" si="0">AW7-AQ7</f>
        <v>-2987108468</v>
      </c>
      <c r="AZ7" s="329">
        <f>AX7-AQ7</f>
        <v>-16294902800</v>
      </c>
      <c r="BB7" s="330" t="s">
        <v>53</v>
      </c>
      <c r="BC7" s="54">
        <f>F10</f>
        <v>617329922</v>
      </c>
      <c r="BD7" s="55">
        <f>I10</f>
        <v>617329922</v>
      </c>
      <c r="BE7" s="56">
        <f>K10</f>
        <v>0</v>
      </c>
      <c r="BF7" s="53">
        <f>+ENERO!BE7+FEBRERO!BE7+MARZO!BE7</f>
        <v>617329922</v>
      </c>
      <c r="BG7" s="91" t="s">
        <v>54</v>
      </c>
      <c r="BH7" s="116">
        <f>+SUM(BH8:BH11)</f>
        <v>33317326064</v>
      </c>
      <c r="BI7" s="116">
        <f>+SUM(BI8:BI11)</f>
        <v>21411460464</v>
      </c>
      <c r="BJ7" s="116">
        <f>+SUM(BJ8:BJ11)</f>
        <v>9165052083</v>
      </c>
      <c r="BK7" s="116">
        <f>+SUM(BK8:BK11)</f>
        <v>1141237398</v>
      </c>
      <c r="BL7" s="40">
        <f>+ENERO!BK7+FEBRERO!BK7+MARZO!BK7</f>
        <v>2882042251</v>
      </c>
      <c r="BM7" s="61" t="s">
        <v>54</v>
      </c>
      <c r="BN7" s="62">
        <f>BN8+BN15+BN22</f>
        <v>33317326064</v>
      </c>
      <c r="BO7" s="63">
        <f>BO8+BO15+BO22</f>
        <v>21411460464</v>
      </c>
      <c r="BP7" s="63">
        <f>BP8+BP15+BP22</f>
        <v>9165052083</v>
      </c>
      <c r="BQ7" s="64">
        <f>BQ8+BQ15+BQ22</f>
        <v>1141237398</v>
      </c>
    </row>
    <row r="8" spans="1:69" s="9" customFormat="1" ht="24.95" customHeight="1" thickBot="1">
      <c r="A8" s="730">
        <f>+IF(FEBRERO!A8=0,"",FEBRERO!A8)</f>
        <v>1</v>
      </c>
      <c r="B8" s="635" t="str">
        <f>+IF(FEBRERO!B8=0,"",FEBRERO!B8)</f>
        <v>INGRESOS</v>
      </c>
      <c r="C8" s="331">
        <f>C10+C17+C113</f>
        <v>50222178081</v>
      </c>
      <c r="D8" s="331">
        <f t="shared" ref="D8:N8" si="1">D10+D17+D113</f>
        <v>0</v>
      </c>
      <c r="E8" s="331">
        <f t="shared" si="1"/>
        <v>4231355440</v>
      </c>
      <c r="F8" s="331">
        <f t="shared" si="1"/>
        <v>54453533521</v>
      </c>
      <c r="G8" s="331">
        <f t="shared" si="1"/>
        <v>12844814186</v>
      </c>
      <c r="H8" s="331">
        <f t="shared" si="1"/>
        <v>8165490561</v>
      </c>
      <c r="I8" s="331">
        <f t="shared" si="1"/>
        <v>21010304747</v>
      </c>
      <c r="J8" s="331">
        <f t="shared" si="1"/>
        <v>6211900832</v>
      </c>
      <c r="K8" s="331">
        <f t="shared" si="1"/>
        <v>4266803983</v>
      </c>
      <c r="L8" s="331">
        <f t="shared" si="1"/>
        <v>10478704815</v>
      </c>
      <c r="M8" s="331">
        <f t="shared" si="1"/>
        <v>33443228774</v>
      </c>
      <c r="N8" s="331">
        <f t="shared" si="1"/>
        <v>43974828706</v>
      </c>
      <c r="O8" s="333"/>
      <c r="P8" s="334">
        <f t="shared" ref="P8:Q8" si="2">P10+P17+P113</f>
        <v>0</v>
      </c>
      <c r="Q8" s="332">
        <f t="shared" si="2"/>
        <v>2777188553</v>
      </c>
      <c r="S8" s="701" t="str">
        <f>+IF(FEBRERO!S8=0,"",FEBRERO!S8)</f>
        <v/>
      </c>
      <c r="T8" s="675" t="str">
        <f>+IF(FEBRERO!T8=0,"",FEBRERO!T8)</f>
        <v>GASTOS</v>
      </c>
      <c r="U8" s="335">
        <f>U10+U193+U220+U232</f>
        <v>50222178081</v>
      </c>
      <c r="V8" s="336">
        <f t="shared" ref="V8:AJ8" si="3">V10+V193+V220+V232</f>
        <v>0</v>
      </c>
      <c r="W8" s="336">
        <f t="shared" si="3"/>
        <v>4231355440</v>
      </c>
      <c r="X8" s="337">
        <f t="shared" si="3"/>
        <v>54453533521</v>
      </c>
      <c r="Y8" s="338">
        <f t="shared" si="3"/>
        <v>24071485654</v>
      </c>
      <c r="Z8" s="336">
        <f t="shared" si="3"/>
        <v>8931166891</v>
      </c>
      <c r="AA8" s="337">
        <f t="shared" si="3"/>
        <v>33002652545</v>
      </c>
      <c r="AB8" s="338">
        <f t="shared" si="3"/>
        <v>11927837763</v>
      </c>
      <c r="AC8" s="336">
        <f t="shared" si="3"/>
        <v>6646278960</v>
      </c>
      <c r="AD8" s="337">
        <f t="shared" si="3"/>
        <v>18574116723</v>
      </c>
      <c r="AE8" s="338">
        <f t="shared" si="3"/>
        <v>6264492817</v>
      </c>
      <c r="AF8" s="336">
        <f t="shared" si="3"/>
        <v>3448675523</v>
      </c>
      <c r="AG8" s="337">
        <f t="shared" si="3"/>
        <v>9713168340</v>
      </c>
      <c r="AH8" s="338">
        <f t="shared" si="3"/>
        <v>21450880976</v>
      </c>
      <c r="AI8" s="336">
        <f t="shared" si="3"/>
        <v>35879416798</v>
      </c>
      <c r="AJ8" s="339">
        <f t="shared" si="3"/>
        <v>44740365181</v>
      </c>
      <c r="AL8" s="340">
        <f t="shared" ref="AL8:AM8" si="4">AL10+AL193+AL220+AL232</f>
        <v>0</v>
      </c>
      <c r="AM8" s="341">
        <f t="shared" si="4"/>
        <v>2777188553</v>
      </c>
      <c r="AO8" s="21"/>
      <c r="AP8" s="11" t="s">
        <v>56</v>
      </c>
      <c r="AQ8" s="12">
        <f>F25</f>
        <v>14653501632</v>
      </c>
      <c r="AR8" s="12">
        <f>I25</f>
        <v>7767799545</v>
      </c>
      <c r="AS8" s="12">
        <f>L25</f>
        <v>3518066827</v>
      </c>
      <c r="AT8" s="13"/>
      <c r="AU8" s="342">
        <f>IF(AQ8=0," ",AR8/AQ8)</f>
        <v>0.53009852116417333</v>
      </c>
      <c r="AV8" s="342">
        <f>IF(AQ8=0," ",AS8/AQ8)</f>
        <v>0.24008369571661436</v>
      </c>
      <c r="AW8" s="12">
        <f>I26/AO$2*12+I27</f>
        <v>20518007799</v>
      </c>
      <c r="AX8" s="12">
        <f>L26/AO$2*12+L27</f>
        <v>3519076927</v>
      </c>
      <c r="AY8" s="12">
        <f t="shared" si="0"/>
        <v>5864506167</v>
      </c>
      <c r="AZ8" s="343">
        <f>AX8-AQ8</f>
        <v>-11134424705</v>
      </c>
      <c r="BB8" s="140" t="s">
        <v>57</v>
      </c>
      <c r="BC8" s="65">
        <f>BC9+BC19</f>
        <v>41169250887</v>
      </c>
      <c r="BD8" s="66">
        <f>BD9+BD19</f>
        <v>10842210761</v>
      </c>
      <c r="BE8" s="67">
        <f>BE9+BE19</f>
        <v>88179208</v>
      </c>
      <c r="BF8" s="53">
        <f>+ENERO!BE8+FEBRERO!BE8+MARZO!BE8</f>
        <v>310610829</v>
      </c>
      <c r="BG8" s="68" t="s">
        <v>58</v>
      </c>
      <c r="BH8" s="69">
        <f>BN9+BN13</f>
        <v>2490502012</v>
      </c>
      <c r="BI8" s="69">
        <f>BO9+BO13</f>
        <v>508518116</v>
      </c>
      <c r="BJ8" s="69">
        <f>BP9+BP13</f>
        <v>508518116</v>
      </c>
      <c r="BK8" s="69">
        <f>BQ9+BQ13</f>
        <v>151962039</v>
      </c>
      <c r="BL8" s="40">
        <f>+ENERO!BK8+FEBRERO!BK8+MARZO!BK8</f>
        <v>507613637</v>
      </c>
      <c r="BM8" s="71" t="s">
        <v>59</v>
      </c>
      <c r="BN8" s="72">
        <f>BN9+BN14+BN13</f>
        <v>24647242219</v>
      </c>
      <c r="BO8" s="69">
        <f>BO9+BO14+BO13</f>
        <v>15636193200</v>
      </c>
      <c r="BP8" s="69">
        <f>BP9+BP14+BP13</f>
        <v>6951448311</v>
      </c>
      <c r="BQ8" s="70">
        <f>BQ9+BQ14+BQ13</f>
        <v>780198885</v>
      </c>
    </row>
    <row r="9" spans="1:69"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209521482</v>
      </c>
      <c r="AR9" s="12">
        <f>I28+I75</f>
        <v>204021454</v>
      </c>
      <c r="AS9" s="12">
        <f>L28+L75</f>
        <v>2525557</v>
      </c>
      <c r="AT9" s="13"/>
      <c r="AU9" s="350">
        <f>IF(AQ9=0," ",AR9/AQ9)</f>
        <v>0.97374957475720791</v>
      </c>
      <c r="AV9" s="350">
        <f>IF(AQ9=0," ",AS9/AQ9)</f>
        <v>1.2053928675437682E-2</v>
      </c>
      <c r="AW9" s="351">
        <f>(I30+I33+I36+I76)/AO$2*12+I31+I34+I37+I38+I39+I40+I77</f>
        <v>813638695</v>
      </c>
      <c r="AX9" s="351">
        <f>(L30+L33+L36+L76)/AO$2*12+L31+L34+L37+L38+L39+L40+L77</f>
        <v>7655107</v>
      </c>
      <c r="AY9" s="351">
        <f t="shared" si="0"/>
        <v>604117213</v>
      </c>
      <c r="AZ9" s="352">
        <f>AX9-AQ9</f>
        <v>-201866375</v>
      </c>
      <c r="BB9" s="353" t="s">
        <v>427</v>
      </c>
      <c r="BC9" s="73">
        <f>BC10+BC18</f>
        <v>40501810887</v>
      </c>
      <c r="BD9" s="74">
        <f>BD10+BD18</f>
        <v>10053918413</v>
      </c>
      <c r="BE9" s="75">
        <f>BE10+BE18</f>
        <v>78501916</v>
      </c>
      <c r="BF9" s="53">
        <f>+ENERO!BE9+FEBRERO!BE9+MARZO!BE9</f>
        <v>202053402</v>
      </c>
      <c r="BG9" s="77" t="s">
        <v>62</v>
      </c>
      <c r="BH9" s="78">
        <f t="shared" ref="BH9:BK10" si="5">BN14</f>
        <v>22156740207</v>
      </c>
      <c r="BI9" s="78">
        <f t="shared" si="5"/>
        <v>15127675084</v>
      </c>
      <c r="BJ9" s="78">
        <f t="shared" si="5"/>
        <v>6442930195</v>
      </c>
      <c r="BK9" s="78">
        <f t="shared" si="5"/>
        <v>628236846</v>
      </c>
      <c r="BL9" s="40">
        <f>+ENERO!BK9+FEBRERO!BK9+MARZO!BK9</f>
        <v>1323724374</v>
      </c>
      <c r="BM9" s="137" t="s">
        <v>63</v>
      </c>
      <c r="BN9" s="80">
        <f>SUM(BN10:BN12)</f>
        <v>1973744635</v>
      </c>
      <c r="BO9" s="78">
        <f>SUM(BO10:BO12)</f>
        <v>405650378</v>
      </c>
      <c r="BP9" s="78">
        <f>SUM(BP10:BP12)</f>
        <v>405650378</v>
      </c>
      <c r="BQ9" s="79">
        <f>SUM(BQ10:BQ12)</f>
        <v>117407477</v>
      </c>
    </row>
    <row r="10" spans="1:69" s="9" customFormat="1" ht="24.95" customHeight="1">
      <c r="A10" s="731">
        <f>+IF(FEBRERO!A10=0,"",FEBRERO!A10)</f>
        <v>10</v>
      </c>
      <c r="B10" s="637" t="str">
        <f>+IF(FEBRERO!B10=0,"",FEBRERO!B10)</f>
        <v>DISPONIBILIDAD INICIAL</v>
      </c>
      <c r="C10" s="174">
        <f t="shared" ref="C10:N10" si="6">SUM(C12:C15)</f>
        <v>0</v>
      </c>
      <c r="D10" s="354">
        <f t="shared" si="6"/>
        <v>0</v>
      </c>
      <c r="E10" s="354">
        <f t="shared" si="6"/>
        <v>617329922</v>
      </c>
      <c r="F10" s="175">
        <f t="shared" si="6"/>
        <v>617329922</v>
      </c>
      <c r="G10" s="355">
        <f t="shared" si="6"/>
        <v>617329922</v>
      </c>
      <c r="H10" s="354">
        <f t="shared" si="6"/>
        <v>0</v>
      </c>
      <c r="I10" s="356">
        <f t="shared" si="6"/>
        <v>617329922</v>
      </c>
      <c r="J10" s="174">
        <f t="shared" si="6"/>
        <v>617329922</v>
      </c>
      <c r="K10" s="354">
        <f t="shared" si="6"/>
        <v>0</v>
      </c>
      <c r="L10" s="175">
        <f t="shared" si="6"/>
        <v>617329922</v>
      </c>
      <c r="M10" s="174">
        <f t="shared" si="6"/>
        <v>0</v>
      </c>
      <c r="N10" s="175">
        <f t="shared" si="6"/>
        <v>0</v>
      </c>
      <c r="O10" s="13"/>
      <c r="P10" s="174">
        <f>SUM(P12:P15)</f>
        <v>0</v>
      </c>
      <c r="Q10" s="175">
        <f>SUM(Q12:Q15)</f>
        <v>0</v>
      </c>
      <c r="S10" s="357" t="str">
        <f>+IF(FEBRERO!S10=0,"",FEBRERO!S10)</f>
        <v>A</v>
      </c>
      <c r="T10" s="719" t="str">
        <f>+IF(FEBRERO!T10=0,"",FEBRERO!T10)</f>
        <v>GASTOS DE FUNCIONAMIENTO</v>
      </c>
      <c r="U10" s="361">
        <f>U12+U110+U170</f>
        <v>35471771735</v>
      </c>
      <c r="V10" s="359">
        <f t="shared" ref="V10:AJ10" si="7">V12+V110+V170</f>
        <v>511701</v>
      </c>
      <c r="W10" s="359">
        <f t="shared" si="7"/>
        <v>2312449575</v>
      </c>
      <c r="X10" s="362">
        <f t="shared" si="7"/>
        <v>37784733011</v>
      </c>
      <c r="Y10" s="361">
        <f t="shared" si="7"/>
        <v>19432537181</v>
      </c>
      <c r="Z10" s="359">
        <f t="shared" si="7"/>
        <v>6432822486</v>
      </c>
      <c r="AA10" s="360">
        <f t="shared" si="7"/>
        <v>25865359667</v>
      </c>
      <c r="AB10" s="361">
        <f t="shared" si="7"/>
        <v>8748864009</v>
      </c>
      <c r="AC10" s="359">
        <f t="shared" si="7"/>
        <v>4870087277</v>
      </c>
      <c r="AD10" s="360">
        <f t="shared" si="7"/>
        <v>13618951286</v>
      </c>
      <c r="AE10" s="361">
        <f t="shared" si="7"/>
        <v>4897014334</v>
      </c>
      <c r="AF10" s="359">
        <f t="shared" si="7"/>
        <v>2438927120</v>
      </c>
      <c r="AG10" s="360">
        <f t="shared" si="7"/>
        <v>7335941454</v>
      </c>
      <c r="AH10" s="361">
        <f t="shared" si="7"/>
        <v>11919373344</v>
      </c>
      <c r="AI10" s="359">
        <f t="shared" si="7"/>
        <v>24165781725</v>
      </c>
      <c r="AJ10" s="360">
        <f t="shared" si="7"/>
        <v>30448791557</v>
      </c>
      <c r="AL10" s="363">
        <f t="shared" ref="AL10:AM10" si="8">AL12+AL110+AL170</f>
        <v>255199945</v>
      </c>
      <c r="AM10" s="364">
        <f t="shared" si="8"/>
        <v>1712950868</v>
      </c>
      <c r="AO10" s="349"/>
      <c r="AP10" s="11" t="s">
        <v>65</v>
      </c>
      <c r="AQ10" s="12">
        <f>F42</f>
        <v>0</v>
      </c>
      <c r="AR10" s="12">
        <f>I42</f>
        <v>0</v>
      </c>
      <c r="AS10" s="12">
        <f>L42</f>
        <v>0</v>
      </c>
      <c r="AT10" s="13"/>
      <c r="AU10" s="350" t="str">
        <f>IF(AQ10=0," ",AR10/AQ10)</f>
        <v xml:space="preserve"> </v>
      </c>
      <c r="AV10" s="350" t="str">
        <f>IF(AQ10=0," ",AS10/AQ10)</f>
        <v xml:space="preserve"> </v>
      </c>
      <c r="AW10" s="351">
        <f>I43/AO$2*12+I44</f>
        <v>0</v>
      </c>
      <c r="AX10" s="351">
        <f>L43/AO$2*12+L44</f>
        <v>0</v>
      </c>
      <c r="AY10" s="351">
        <f t="shared" si="0"/>
        <v>0</v>
      </c>
      <c r="AZ10" s="352">
        <f>AX10-AQ10</f>
        <v>0</v>
      </c>
      <c r="BB10" s="365" t="s">
        <v>428</v>
      </c>
      <c r="BC10" s="73">
        <f>BC11+BC12+BC13+BC14+BC16+BC17+BC15</f>
        <v>40501810887</v>
      </c>
      <c r="BD10" s="74">
        <f>BD11+BD12+BD13+BD14+BD16+BD17+BD15</f>
        <v>10053918413</v>
      </c>
      <c r="BE10" s="75">
        <f>BE11+BE12+BE13+BE14+BE16+BE17+BE15</f>
        <v>78501916</v>
      </c>
      <c r="BF10" s="53">
        <f>+ENERO!BE10+FEBRERO!BE10+MARZO!BE10</f>
        <v>202053402</v>
      </c>
      <c r="BG10" s="68" t="s">
        <v>66</v>
      </c>
      <c r="BH10" s="81">
        <f t="shared" si="5"/>
        <v>8508053842</v>
      </c>
      <c r="BI10" s="81">
        <f t="shared" si="5"/>
        <v>5688042766</v>
      </c>
      <c r="BJ10" s="81">
        <f t="shared" si="5"/>
        <v>2126674361</v>
      </c>
      <c r="BK10" s="81">
        <f t="shared" si="5"/>
        <v>342095295</v>
      </c>
      <c r="BL10" s="40">
        <f>+ENERO!BK10+FEBRERO!BK10+MARZO!BK10</f>
        <v>1017239813</v>
      </c>
      <c r="BM10" s="134" t="s">
        <v>440</v>
      </c>
      <c r="BN10" s="83">
        <f>X17+X66</f>
        <v>1512951119</v>
      </c>
      <c r="BO10" s="81">
        <f>AA17+AA66</f>
        <v>303482666</v>
      </c>
      <c r="BP10" s="81">
        <f>AD17+AD66</f>
        <v>303482666</v>
      </c>
      <c r="BQ10" s="82">
        <f>AF17+AF66</f>
        <v>101624011</v>
      </c>
    </row>
    <row r="11" spans="1:69" s="9" customFormat="1" ht="24.95" customHeight="1">
      <c r="A11" s="666"/>
      <c r="B11" s="636"/>
      <c r="C11" s="344"/>
      <c r="D11" s="344"/>
      <c r="E11" s="344"/>
      <c r="F11" s="344"/>
      <c r="G11" s="344"/>
      <c r="H11" s="344"/>
      <c r="I11" s="344"/>
      <c r="J11" s="344"/>
      <c r="K11" s="344"/>
      <c r="L11" s="344"/>
      <c r="M11" s="344"/>
      <c r="N11" s="345"/>
      <c r="O11" s="333"/>
      <c r="P11" s="346"/>
      <c r="Q11" s="345"/>
      <c r="S11" s="366"/>
      <c r="T11" s="695"/>
      <c r="U11" s="367"/>
      <c r="V11" s="161"/>
      <c r="W11" s="161"/>
      <c r="X11" s="161"/>
      <c r="Y11" s="367"/>
      <c r="Z11" s="161"/>
      <c r="AA11" s="166"/>
      <c r="AB11" s="367"/>
      <c r="AC11" s="161"/>
      <c r="AD11" s="166"/>
      <c r="AE11" s="367"/>
      <c r="AF11" s="161"/>
      <c r="AG11" s="166"/>
      <c r="AH11" s="367"/>
      <c r="AI11" s="161"/>
      <c r="AJ11" s="166"/>
      <c r="AL11" s="368"/>
      <c r="AM11" s="369"/>
      <c r="AO11" s="370" t="s">
        <v>11</v>
      </c>
      <c r="AP11" s="527" t="s">
        <v>538</v>
      </c>
      <c r="AQ11" s="12">
        <f>F88</f>
        <v>0</v>
      </c>
      <c r="AR11" s="12">
        <f>I88</f>
        <v>0</v>
      </c>
      <c r="AS11" s="12">
        <f>L88</f>
        <v>0</v>
      </c>
      <c r="AT11" s="371">
        <f>AO2/12</f>
        <v>0.25</v>
      </c>
      <c r="AU11" s="350" t="str">
        <f>IF(AQ11=0," ",AR11/AQ11)</f>
        <v xml:space="preserve"> </v>
      </c>
      <c r="AV11" s="350" t="str">
        <f>IF(AQ11=0," ",AS11/AQ11)</f>
        <v xml:space="preserve"> </v>
      </c>
      <c r="AW11" s="351">
        <f>I88</f>
        <v>0</v>
      </c>
      <c r="AX11" s="351">
        <f>L88</f>
        <v>0</v>
      </c>
      <c r="AY11" s="351">
        <f t="shared" si="0"/>
        <v>0</v>
      </c>
      <c r="AZ11" s="352">
        <f>AX11-AQ11</f>
        <v>0</v>
      </c>
      <c r="BB11" s="365" t="s">
        <v>429</v>
      </c>
      <c r="BC11" s="73">
        <f>F26</f>
        <v>13439321219</v>
      </c>
      <c r="BD11" s="74">
        <f>I26</f>
        <v>4250069418</v>
      </c>
      <c r="BE11" s="75">
        <f>K26</f>
        <v>303300</v>
      </c>
      <c r="BF11" s="53">
        <f>+ENERO!BE11+FEBRERO!BE11+MARZO!BE11</f>
        <v>336700</v>
      </c>
      <c r="BG11" s="68" t="s">
        <v>67</v>
      </c>
      <c r="BH11" s="84">
        <f>BN22</f>
        <v>162030003</v>
      </c>
      <c r="BI11" s="84">
        <f>BO22</f>
        <v>87224498</v>
      </c>
      <c r="BJ11" s="84">
        <f>BP22</f>
        <v>86929411</v>
      </c>
      <c r="BK11" s="84">
        <f>BQ22</f>
        <v>18943218</v>
      </c>
      <c r="BL11" s="40">
        <f>+ENERO!BK11+FEBRERO!BK11+MARZO!BK11</f>
        <v>33464427</v>
      </c>
      <c r="BM11" s="135" t="s">
        <v>441</v>
      </c>
      <c r="BN11" s="86">
        <f>X18+X67</f>
        <v>36988810</v>
      </c>
      <c r="BO11" s="84">
        <f>AA18+AA67</f>
        <v>19693894</v>
      </c>
      <c r="BP11" s="84">
        <f>AD18+AD67</f>
        <v>19693894</v>
      </c>
      <c r="BQ11" s="85">
        <f>AF18+AF67</f>
        <v>6872938</v>
      </c>
    </row>
    <row r="12" spans="1:69" s="9" customFormat="1" ht="24.95" customHeight="1">
      <c r="A12" s="611">
        <f>+IF(FEBRERO!A12=0,"",FEBRERO!A12)</f>
        <v>1001</v>
      </c>
      <c r="B12" s="638" t="str">
        <f>+IF(FEBRERO!B12=0,"",FEBRERO!B12)</f>
        <v>Bienestar Social (Caja, Bancos, Inversiones Tempor.) a Dic-31-2016</v>
      </c>
      <c r="C12" s="671">
        <f>+ENERO!C12</f>
        <v>0</v>
      </c>
      <c r="D12" s="373">
        <f>FEBRERO!D12+MARZO!P12</f>
        <v>0</v>
      </c>
      <c r="E12" s="373">
        <f>FEBRERO!E12+MARZO!Q12</f>
        <v>26156707</v>
      </c>
      <c r="F12" s="143">
        <f>SUM(C12:E12)</f>
        <v>26156707</v>
      </c>
      <c r="G12" s="219">
        <f>FEBRERO!I12</f>
        <v>26156707</v>
      </c>
      <c r="H12" s="374">
        <v>0</v>
      </c>
      <c r="I12" s="143">
        <f>SUM(G12:H12)</f>
        <v>26156707</v>
      </c>
      <c r="J12" s="219">
        <f>FEBRERO!L12</f>
        <v>26156707</v>
      </c>
      <c r="K12" s="131">
        <f>+H12</f>
        <v>0</v>
      </c>
      <c r="L12" s="143">
        <f>SUM(J12:K12)</f>
        <v>26156707</v>
      </c>
      <c r="M12" s="219">
        <f>F12-I12</f>
        <v>0</v>
      </c>
      <c r="N12" s="143">
        <f>F12-L12</f>
        <v>0</v>
      </c>
      <c r="O12" s="294"/>
      <c r="P12" s="372">
        <v>0</v>
      </c>
      <c r="Q12" s="375">
        <v>0</v>
      </c>
      <c r="S12" s="702">
        <f>+IF(FEBRERO!S12=0,"",FEBRERO!S12)</f>
        <v>1000000</v>
      </c>
      <c r="T12" s="720" t="str">
        <f>+IF(FEBRERO!T12=0,"",FEBRERO!T12)</f>
        <v>GASTOS DE PERSONAL</v>
      </c>
      <c r="U12" s="363">
        <f t="shared" ref="U12:AJ12" si="9">U14+U63</f>
        <v>27757873896</v>
      </c>
      <c r="V12" s="377">
        <f t="shared" si="9"/>
        <v>-489268627</v>
      </c>
      <c r="W12" s="377">
        <f t="shared" si="9"/>
        <v>1303342000</v>
      </c>
      <c r="X12" s="378">
        <f t="shared" si="9"/>
        <v>28571947269</v>
      </c>
      <c r="Y12" s="363">
        <f t="shared" si="9"/>
        <v>14886841391</v>
      </c>
      <c r="Z12" s="377">
        <f t="shared" si="9"/>
        <v>4674055982</v>
      </c>
      <c r="AA12" s="364">
        <f t="shared" si="9"/>
        <v>19560897373</v>
      </c>
      <c r="AB12" s="363">
        <f t="shared" si="9"/>
        <v>7002857350</v>
      </c>
      <c r="AC12" s="377">
        <f t="shared" si="9"/>
        <v>3873295134</v>
      </c>
      <c r="AD12" s="364">
        <f t="shared" si="9"/>
        <v>10876152484</v>
      </c>
      <c r="AE12" s="363">
        <f t="shared" si="9"/>
        <v>3831148637</v>
      </c>
      <c r="AF12" s="377">
        <f t="shared" si="9"/>
        <v>1924893547</v>
      </c>
      <c r="AG12" s="364">
        <f t="shared" si="9"/>
        <v>5756042184</v>
      </c>
      <c r="AH12" s="363">
        <f t="shared" si="9"/>
        <v>9011049896</v>
      </c>
      <c r="AI12" s="377">
        <f t="shared" si="9"/>
        <v>17695794785</v>
      </c>
      <c r="AJ12" s="364">
        <f t="shared" si="9"/>
        <v>22815905085</v>
      </c>
      <c r="AK12" s="10"/>
      <c r="AL12" s="379">
        <f>AL14+AL63</f>
        <v>561207438</v>
      </c>
      <c r="AM12" s="380">
        <f>AM14+AM63</f>
        <v>1100000000</v>
      </c>
      <c r="AO12" s="370"/>
      <c r="AP12" s="527" t="s">
        <v>539</v>
      </c>
      <c r="AQ12" s="12">
        <f>F89</f>
        <v>0</v>
      </c>
      <c r="AR12" s="12">
        <f>I89</f>
        <v>0</v>
      </c>
      <c r="AS12" s="12">
        <f>L89</f>
        <v>0</v>
      </c>
      <c r="AT12" s="13"/>
      <c r="AU12" s="350"/>
      <c r="AV12" s="350"/>
      <c r="AW12" s="351">
        <f>I89</f>
        <v>0</v>
      </c>
      <c r="AX12" s="351">
        <f>L89</f>
        <v>0</v>
      </c>
      <c r="AY12" s="351">
        <f t="shared" si="0"/>
        <v>0</v>
      </c>
      <c r="AZ12" s="352"/>
      <c r="BB12" s="365" t="s">
        <v>430</v>
      </c>
      <c r="BC12" s="73">
        <f>F23</f>
        <v>18905646713</v>
      </c>
      <c r="BD12" s="74">
        <f>I23</f>
        <v>3329530533</v>
      </c>
      <c r="BE12" s="75">
        <f>K23</f>
        <v>1950079</v>
      </c>
      <c r="BF12" s="53">
        <f>+ENERO!BE12+FEBRERO!BE12+MARZO!BE12</f>
        <v>2581950</v>
      </c>
      <c r="BG12" s="381" t="s">
        <v>391</v>
      </c>
      <c r="BH12" s="84">
        <f>BN25</f>
        <v>14723406346</v>
      </c>
      <c r="BI12" s="84">
        <f>BO25</f>
        <v>5333076434</v>
      </c>
      <c r="BJ12" s="84">
        <f>BP25</f>
        <v>3300965513</v>
      </c>
      <c r="BK12" s="84">
        <f>BQ25</f>
        <v>280275023</v>
      </c>
      <c r="BL12" s="40">
        <f>+ENERO!BK12+FEBRERO!BK12+MARZO!BK12</f>
        <v>748273628</v>
      </c>
      <c r="BM12" s="136" t="s">
        <v>442</v>
      </c>
      <c r="BN12" s="86">
        <f>X16+X65-X81-X33-BN10-BN11</f>
        <v>423804706</v>
      </c>
      <c r="BO12" s="84">
        <f>AA16+AA65-AA81-AA33-BO10-BO11</f>
        <v>82473818</v>
      </c>
      <c r="BP12" s="84">
        <f>AD16+AD65-AD81-AD33-BP10-BP11</f>
        <v>82473818</v>
      </c>
      <c r="BQ12" s="85">
        <f>AF16+AF65-AF81-AF33-BQ10-BQ11</f>
        <v>8910528</v>
      </c>
    </row>
    <row r="13" spans="1:69" s="9" customFormat="1" ht="24.95" customHeight="1">
      <c r="A13" s="611">
        <f>+IF(FEBRERO!A13=0,"",FEBRERO!A13)</f>
        <v>1002</v>
      </c>
      <c r="B13" s="638" t="str">
        <f>+IF(FEBRERO!B13=0,"",FEBRERO!B13)</f>
        <v>Fondo Vivienda (Caja, Bancos, Inversiones Tempor.) a Dic-31-2016</v>
      </c>
      <c r="C13" s="671">
        <f>+ENERO!C13</f>
        <v>0</v>
      </c>
      <c r="D13" s="373">
        <f>FEBRERO!D13+MARZO!P13</f>
        <v>0</v>
      </c>
      <c r="E13" s="373">
        <f>FEBRERO!E13+MARZO!Q13</f>
        <v>53878092</v>
      </c>
      <c r="F13" s="143">
        <f>SUM(C13:E13)</f>
        <v>53878092</v>
      </c>
      <c r="G13" s="219">
        <f>FEBRERO!I13</f>
        <v>53878092</v>
      </c>
      <c r="H13" s="374">
        <v>0</v>
      </c>
      <c r="I13" s="143">
        <f>SUM(G13:H13)</f>
        <v>53878092</v>
      </c>
      <c r="J13" s="219">
        <f>FEBRERO!L13</f>
        <v>53878092</v>
      </c>
      <c r="K13" s="131">
        <f>+H13</f>
        <v>0</v>
      </c>
      <c r="L13" s="143">
        <f>SUM(J13:K13)</f>
        <v>53878092</v>
      </c>
      <c r="M13" s="219">
        <f>F13-I13</f>
        <v>0</v>
      </c>
      <c r="N13" s="143">
        <f>F13-L13</f>
        <v>0</v>
      </c>
      <c r="O13" s="382"/>
      <c r="P13" s="372">
        <v>0</v>
      </c>
      <c r="Q13" s="375">
        <v>0</v>
      </c>
      <c r="S13" s="366"/>
      <c r="T13" s="695"/>
      <c r="U13" s="367"/>
      <c r="V13" s="161"/>
      <c r="W13" s="161"/>
      <c r="X13" s="161"/>
      <c r="Y13" s="367"/>
      <c r="Z13" s="161"/>
      <c r="AA13" s="166"/>
      <c r="AB13" s="367"/>
      <c r="AC13" s="161"/>
      <c r="AD13" s="166"/>
      <c r="AE13" s="367"/>
      <c r="AF13" s="161"/>
      <c r="AG13" s="166"/>
      <c r="AH13" s="367"/>
      <c r="AI13" s="161"/>
      <c r="AJ13" s="166"/>
      <c r="AK13" s="10"/>
      <c r="AL13" s="368"/>
      <c r="AM13" s="369"/>
      <c r="AO13" s="20"/>
      <c r="AP13" s="527" t="s">
        <v>540</v>
      </c>
      <c r="AQ13" s="12">
        <f>F90</f>
        <v>0</v>
      </c>
      <c r="AR13" s="12">
        <f>I90</f>
        <v>0</v>
      </c>
      <c r="AS13" s="12">
        <f>L90</f>
        <v>0</v>
      </c>
      <c r="AT13" s="13"/>
      <c r="AU13" s="350"/>
      <c r="AV13" s="350"/>
      <c r="AW13" s="351">
        <f>I90</f>
        <v>0</v>
      </c>
      <c r="AX13" s="351">
        <f>L90</f>
        <v>0</v>
      </c>
      <c r="AY13" s="351">
        <f t="shared" si="0"/>
        <v>0</v>
      </c>
      <c r="AZ13" s="352"/>
      <c r="BA13" s="382"/>
      <c r="BB13" s="383" t="s">
        <v>431</v>
      </c>
      <c r="BC13" s="87">
        <f>+F30+F33+F36+F38+F39+F40</f>
        <v>157521482</v>
      </c>
      <c r="BD13" s="88">
        <f>+I30+I33+I36+I38+I39+I40</f>
        <v>172630233</v>
      </c>
      <c r="BE13" s="89">
        <f>+K30+K33+K36+K38+K39+K40</f>
        <v>807050</v>
      </c>
      <c r="BF13" s="53">
        <f>+ENERO!BE13+FEBRERO!BE13+MARZO!BE13</f>
        <v>992550</v>
      </c>
      <c r="BG13" s="91" t="s">
        <v>70</v>
      </c>
      <c r="BH13" s="84">
        <f t="shared" ref="BH13:BK15" si="10">BN29</f>
        <v>433878092</v>
      </c>
      <c r="BI13" s="84">
        <f t="shared" si="10"/>
        <v>292700372</v>
      </c>
      <c r="BJ13" s="84">
        <f t="shared" si="10"/>
        <v>142683852</v>
      </c>
      <c r="BK13" s="84">
        <f t="shared" si="10"/>
        <v>135351186</v>
      </c>
      <c r="BL13" s="40">
        <f>+ENERO!BK13+FEBRERO!BK13+MARZO!BK13</f>
        <v>135351186</v>
      </c>
      <c r="BM13" s="139" t="s">
        <v>443</v>
      </c>
      <c r="BN13" s="83">
        <f>X43-X55+X57-X61+X90-X102+X104-X108</f>
        <v>516757377</v>
      </c>
      <c r="BO13" s="81">
        <f>AA43-AA55+AA57-AA61+AA90-AA102+AA104-AA108</f>
        <v>102867738</v>
      </c>
      <c r="BP13" s="81">
        <f>AD43-AD55+AD57-AD61+AD90-AD102+AD104-AD108</f>
        <v>102867738</v>
      </c>
      <c r="BQ13" s="82">
        <f>AF43-AF55+AF57-AF61+AF90-AF102+AF104-AF108</f>
        <v>34554562</v>
      </c>
    </row>
    <row r="14" spans="1:69" s="9" customFormat="1" ht="24.95" customHeight="1">
      <c r="A14" s="611">
        <f>+IF(FEBRERO!A14=0,"",FEBRERO!A14)</f>
        <v>1003</v>
      </c>
      <c r="B14" s="638" t="str">
        <f>+IF(FEBRERO!B14=0,"",FEBRERO!B14)</f>
        <v>Fondos Comunes y Especiales (Caja, Bancos, Invers. Tempor.) a Dic-31-2016</v>
      </c>
      <c r="C14" s="671">
        <f>+ENERO!C14</f>
        <v>0</v>
      </c>
      <c r="D14" s="373">
        <f>FEBRERO!D14+MARZO!P14</f>
        <v>0</v>
      </c>
      <c r="E14" s="373">
        <f>FEBRERO!E14+MARZO!Q14</f>
        <v>433953123</v>
      </c>
      <c r="F14" s="143">
        <f>SUM(C14:E14)</f>
        <v>433953123</v>
      </c>
      <c r="G14" s="219">
        <f>FEBRERO!I14</f>
        <v>433953123</v>
      </c>
      <c r="H14" s="374">
        <v>0</v>
      </c>
      <c r="I14" s="143">
        <f>SUM(G14:H14)</f>
        <v>433953123</v>
      </c>
      <c r="J14" s="219">
        <f>FEBRERO!L14</f>
        <v>433953123</v>
      </c>
      <c r="K14" s="131">
        <f>+H14</f>
        <v>0</v>
      </c>
      <c r="L14" s="143">
        <f>SUM(J14:K14)</f>
        <v>433953123</v>
      </c>
      <c r="M14" s="219">
        <f>F14-I14</f>
        <v>0</v>
      </c>
      <c r="N14" s="143">
        <f>F14-L14</f>
        <v>0</v>
      </c>
      <c r="O14" s="382"/>
      <c r="P14" s="372">
        <v>0</v>
      </c>
      <c r="Q14" s="375">
        <v>0</v>
      </c>
      <c r="S14" s="703">
        <f>+IF(FEBRERO!S14=0,"",FEBRERO!S14)</f>
        <v>1010000</v>
      </c>
      <c r="T14" s="721" t="str">
        <f>+IF(FEBRERO!T14=0,"",FEBRERO!T14)</f>
        <v>Gastos de Administración</v>
      </c>
      <c r="U14" s="128">
        <f t="shared" ref="U14:AJ14" si="11">U16+U35+U43+U57</f>
        <v>4011945263</v>
      </c>
      <c r="V14" s="122">
        <f t="shared" si="11"/>
        <v>559843344</v>
      </c>
      <c r="W14" s="122">
        <f t="shared" si="11"/>
        <v>224802080</v>
      </c>
      <c r="X14" s="129">
        <f t="shared" si="11"/>
        <v>4796590687</v>
      </c>
      <c r="Y14" s="128">
        <f t="shared" si="11"/>
        <v>2185145314</v>
      </c>
      <c r="Z14" s="122">
        <f t="shared" si="11"/>
        <v>1724632724</v>
      </c>
      <c r="AA14" s="130">
        <f t="shared" si="11"/>
        <v>3909778038</v>
      </c>
      <c r="AB14" s="128">
        <f t="shared" si="11"/>
        <v>1260402616</v>
      </c>
      <c r="AC14" s="122">
        <f t="shared" si="11"/>
        <v>614436953</v>
      </c>
      <c r="AD14" s="130">
        <f t="shared" si="11"/>
        <v>1874839569</v>
      </c>
      <c r="AE14" s="128">
        <f t="shared" si="11"/>
        <v>817770469</v>
      </c>
      <c r="AF14" s="122">
        <f t="shared" si="11"/>
        <v>432952327</v>
      </c>
      <c r="AG14" s="130">
        <f t="shared" si="11"/>
        <v>1250722796</v>
      </c>
      <c r="AH14" s="128">
        <f t="shared" si="11"/>
        <v>886812649</v>
      </c>
      <c r="AI14" s="122">
        <f t="shared" si="11"/>
        <v>2921751118</v>
      </c>
      <c r="AJ14" s="130">
        <f t="shared" si="11"/>
        <v>3545867891</v>
      </c>
      <c r="AK14" s="10"/>
      <c r="AL14" s="128">
        <f>AL16+AL35+AL43+AL57</f>
        <v>115563931</v>
      </c>
      <c r="AM14" s="130">
        <f>AM16+AM35+AM43+AM57</f>
        <v>100000000</v>
      </c>
      <c r="AO14" s="21"/>
      <c r="AP14" s="11" t="s">
        <v>73</v>
      </c>
      <c r="AQ14" s="12">
        <f>F19-AQ7-AQ8-AQ9-AQ10-AQ11-AQ12-AQ13</f>
        <v>8723339141</v>
      </c>
      <c r="AR14" s="12">
        <f>I19-AR7-AR8-AR9-AR10-AR11-AR12-AR13</f>
        <v>4027291779</v>
      </c>
      <c r="AS14" s="12">
        <f>L19-AS7-AS8-AS9-AS10-AS11-AS12-AS13</f>
        <v>1953603966</v>
      </c>
      <c r="AT14" s="382"/>
      <c r="AU14" s="350">
        <f>IF(AQ14=0," ",AR14/AQ14)</f>
        <v>0.46166860119785869</v>
      </c>
      <c r="AV14" s="350">
        <f>IF(AQ14=0," ",AS14/AQ14)</f>
        <v>0.22395139457756408</v>
      </c>
      <c r="AW14" s="351">
        <f>(I41+I46+I49+I52+I55+I58+I61+I64+I67+I70+I73+I78+I81+I82+I83+I85+I94+I104)/AO$2*12+I47+I50+I53+I56+I59+I62+I65+I68+I71+I74</f>
        <v>14205740524</v>
      </c>
      <c r="AX14" s="351">
        <f>(L41+L46+L49+L52+L55+L58+L61+L64+L67+L70+L73+L78+L81+L82+L83+L85+L94+L104)/AO$2*12+L47+L50+L53+L56+L59+L62+L65+L68+L71+L74</f>
        <v>3192049588</v>
      </c>
      <c r="AY14" s="351">
        <f t="shared" si="0"/>
        <v>5482401383</v>
      </c>
      <c r="AZ14" s="352">
        <f>AX14-AQ14</f>
        <v>-5531289553</v>
      </c>
      <c r="BB14" s="383" t="s">
        <v>432</v>
      </c>
      <c r="BC14" s="92">
        <f>+F64</f>
        <v>5110724757</v>
      </c>
      <c r="BD14" s="93">
        <f>+I64</f>
        <v>596337278</v>
      </c>
      <c r="BE14" s="94">
        <f>K64</f>
        <v>0</v>
      </c>
      <c r="BF14" s="53">
        <f>+ENERO!BE14+FEBRERO!BE14+MARZO!BE14</f>
        <v>0</v>
      </c>
      <c r="BG14" s="91" t="s">
        <v>74</v>
      </c>
      <c r="BH14" s="81">
        <f t="shared" si="10"/>
        <v>0</v>
      </c>
      <c r="BI14" s="81">
        <f t="shared" si="10"/>
        <v>0</v>
      </c>
      <c r="BJ14" s="81">
        <f t="shared" si="10"/>
        <v>0</v>
      </c>
      <c r="BK14" s="81">
        <f t="shared" si="10"/>
        <v>0</v>
      </c>
      <c r="BL14" s="40">
        <f>+ENERO!BK14+FEBRERO!BK14+MARZO!BK14</f>
        <v>0</v>
      </c>
      <c r="BM14" s="138" t="s">
        <v>439</v>
      </c>
      <c r="BN14" s="86">
        <f>X35-X41+X83-X88</f>
        <v>22156740207</v>
      </c>
      <c r="BO14" s="84">
        <f>AA35-AA41+AA83-AA88</f>
        <v>15127675084</v>
      </c>
      <c r="BP14" s="84">
        <f>AD35-AD41+AD83-AD88</f>
        <v>6442930195</v>
      </c>
      <c r="BQ14" s="85">
        <f>AF35-AF41+AF83-AF88</f>
        <v>628236846</v>
      </c>
    </row>
    <row r="15" spans="1:69" s="9" customFormat="1" ht="24.95" customHeight="1" thickBot="1">
      <c r="A15" s="612">
        <f>+IF(FEBRERO!A15=0,"",FEBRERO!A15)</f>
        <v>1004</v>
      </c>
      <c r="B15" s="638" t="str">
        <f>+IF(FEBRERO!B15=0,"",FEBRERO!B15)</f>
        <v>Cesantias Ley 50/1990 a Dic-31-2016</v>
      </c>
      <c r="C15" s="769">
        <f>+ENERO!C15</f>
        <v>0</v>
      </c>
      <c r="D15" s="385">
        <f>FEBRERO!D15+MARZO!P15</f>
        <v>0</v>
      </c>
      <c r="E15" s="385">
        <f>FEBRERO!E15+MARZO!Q15</f>
        <v>103342000</v>
      </c>
      <c r="F15" s="386">
        <f>SUM(C15:E15)</f>
        <v>103342000</v>
      </c>
      <c r="G15" s="387">
        <f>FEBRERO!I15</f>
        <v>103342000</v>
      </c>
      <c r="H15" s="388">
        <v>0</v>
      </c>
      <c r="I15" s="386">
        <f>SUM(G15:H15)</f>
        <v>103342000</v>
      </c>
      <c r="J15" s="387">
        <f>FEBRERO!L15</f>
        <v>103342000</v>
      </c>
      <c r="K15" s="165">
        <f>+H15</f>
        <v>0</v>
      </c>
      <c r="L15" s="386">
        <f>SUM(J15:K15)</f>
        <v>103342000</v>
      </c>
      <c r="M15" s="387">
        <f>F15-I15</f>
        <v>0</v>
      </c>
      <c r="N15" s="386">
        <f>F15-L15</f>
        <v>0</v>
      </c>
      <c r="O15" s="382"/>
      <c r="P15" s="384">
        <v>0</v>
      </c>
      <c r="Q15" s="389">
        <v>0</v>
      </c>
      <c r="S15" s="366" t="str">
        <f>+IF(FEBRERO!S15=0,"",FEBRERO!S15)</f>
        <v/>
      </c>
      <c r="T15" s="695" t="str">
        <f>+IF(FEBRERO!T15=0,"",FEBRERO!T15)</f>
        <v xml:space="preserve"> </v>
      </c>
      <c r="U15" s="367"/>
      <c r="V15" s="161"/>
      <c r="W15" s="161"/>
      <c r="X15" s="161"/>
      <c r="Y15" s="367"/>
      <c r="Z15" s="161"/>
      <c r="AA15" s="166"/>
      <c r="AB15" s="367"/>
      <c r="AC15" s="161"/>
      <c r="AD15" s="166"/>
      <c r="AE15" s="367"/>
      <c r="AF15" s="161"/>
      <c r="AG15" s="166"/>
      <c r="AH15" s="367"/>
      <c r="AI15" s="161"/>
      <c r="AJ15" s="166"/>
      <c r="AK15" s="10"/>
      <c r="AL15" s="170"/>
      <c r="AM15" s="171"/>
      <c r="AO15" s="20"/>
      <c r="AP15" s="11" t="s">
        <v>76</v>
      </c>
      <c r="AQ15" s="12">
        <f>F113</f>
        <v>9054339033</v>
      </c>
      <c r="AR15" s="12">
        <f>I113</f>
        <v>1541328</v>
      </c>
      <c r="AS15" s="12">
        <f>L113</f>
        <v>1541328</v>
      </c>
      <c r="AT15" s="13"/>
      <c r="AU15" s="342">
        <f>IF(AQ15=0," ",AR15/AQ15)</f>
        <v>1.7023086880029356E-4</v>
      </c>
      <c r="AV15" s="342">
        <f>IF(AQ15=0," ",AS15/AQ15)</f>
        <v>1.7023086880029356E-4</v>
      </c>
      <c r="AW15" s="12">
        <f>+AR15</f>
        <v>1541328</v>
      </c>
      <c r="AX15" s="12">
        <f>+AS15</f>
        <v>1541328</v>
      </c>
      <c r="AY15" s="12">
        <f t="shared" si="0"/>
        <v>-9052797705</v>
      </c>
      <c r="AZ15" s="343">
        <f>AX15-AQ15</f>
        <v>-9052797705</v>
      </c>
      <c r="BA15" s="382"/>
      <c r="BB15" s="383" t="s">
        <v>77</v>
      </c>
      <c r="BC15" s="92">
        <f>F46+F49</f>
        <v>375197511</v>
      </c>
      <c r="BD15" s="93">
        <f>I46+I49</f>
        <v>48053376</v>
      </c>
      <c r="BE15" s="94">
        <f>K46+K49</f>
        <v>0</v>
      </c>
      <c r="BF15" s="53">
        <f>+ENERO!BE15+FEBRERO!BE15+MARZO!BE15</f>
        <v>0</v>
      </c>
      <c r="BG15" s="91" t="s">
        <v>78</v>
      </c>
      <c r="BH15" s="81">
        <f t="shared" si="10"/>
        <v>5978923019</v>
      </c>
      <c r="BI15" s="81">
        <f t="shared" si="10"/>
        <v>5965415275</v>
      </c>
      <c r="BJ15" s="81">
        <f t="shared" si="10"/>
        <v>5965415275</v>
      </c>
      <c r="BK15" s="81">
        <f t="shared" si="10"/>
        <v>1891811916</v>
      </c>
      <c r="BL15" s="40">
        <f>+ENERO!BK15+FEBRERO!BK15+MARZO!BK15</f>
        <v>5947501275</v>
      </c>
      <c r="BM15" s="71" t="s">
        <v>66</v>
      </c>
      <c r="BN15" s="83">
        <f>SUM(BN16:BN21)</f>
        <v>8508053842</v>
      </c>
      <c r="BO15" s="81">
        <f>SUM(BO16:BO21)</f>
        <v>5688042766</v>
      </c>
      <c r="BP15" s="81">
        <f>SUM(BP16:BP21)</f>
        <v>2126674361</v>
      </c>
      <c r="BQ15" s="82">
        <f>SUM(BQ16:BQ21)</f>
        <v>342095295</v>
      </c>
    </row>
    <row r="16" spans="1:69" s="9" customFormat="1" ht="24.95" customHeight="1" thickBot="1">
      <c r="A16" s="732" t="str">
        <f>+IF(FEBRERO!A16=0,"",FEBRERO!A16)</f>
        <v/>
      </c>
      <c r="B16" s="639" t="str">
        <f>+IF(FEBRERO!B16=0,"",FEBRERO!B16)</f>
        <v/>
      </c>
      <c r="C16" s="390"/>
      <c r="D16" s="390"/>
      <c r="E16" s="390"/>
      <c r="F16" s="390"/>
      <c r="G16" s="390"/>
      <c r="H16" s="390"/>
      <c r="I16" s="390"/>
      <c r="J16" s="390"/>
      <c r="K16" s="390"/>
      <c r="L16" s="390"/>
      <c r="M16" s="390"/>
      <c r="N16" s="391"/>
      <c r="O16" s="382"/>
      <c r="P16" s="392"/>
      <c r="Q16" s="393"/>
      <c r="S16" s="704">
        <f>+IF(FEBRERO!S16=0,"",FEBRERO!S16)</f>
        <v>1010100</v>
      </c>
      <c r="T16" s="722" t="str">
        <f>+IF(FEBRERO!T16=0,"",FEBRERO!T16)</f>
        <v>Servicios Personales Asociados a Nómina</v>
      </c>
      <c r="U16" s="128">
        <f t="shared" ref="U16:AJ16" si="12">SUM(U17:U20)+U33</f>
        <v>762990941</v>
      </c>
      <c r="V16" s="122">
        <f t="shared" si="12"/>
        <v>0</v>
      </c>
      <c r="W16" s="122">
        <f t="shared" si="12"/>
        <v>0</v>
      </c>
      <c r="X16" s="129">
        <f t="shared" si="12"/>
        <v>762990941</v>
      </c>
      <c r="Y16" s="128">
        <f t="shared" si="12"/>
        <v>91547540</v>
      </c>
      <c r="Z16" s="122">
        <f t="shared" si="12"/>
        <v>38198510</v>
      </c>
      <c r="AA16" s="130">
        <f t="shared" si="12"/>
        <v>129746050</v>
      </c>
      <c r="AB16" s="128">
        <f t="shared" si="12"/>
        <v>91547540</v>
      </c>
      <c r="AC16" s="122">
        <f t="shared" si="12"/>
        <v>38198510</v>
      </c>
      <c r="AD16" s="130">
        <f t="shared" si="12"/>
        <v>129746050</v>
      </c>
      <c r="AE16" s="128">
        <f t="shared" si="12"/>
        <v>90643061</v>
      </c>
      <c r="AF16" s="122">
        <f t="shared" si="12"/>
        <v>38198510</v>
      </c>
      <c r="AG16" s="130">
        <f t="shared" si="12"/>
        <v>128841571</v>
      </c>
      <c r="AH16" s="128">
        <f t="shared" si="12"/>
        <v>633244891</v>
      </c>
      <c r="AI16" s="122">
        <f t="shared" si="12"/>
        <v>633244891</v>
      </c>
      <c r="AJ16" s="130">
        <f t="shared" si="12"/>
        <v>634149370</v>
      </c>
      <c r="AK16" s="10"/>
      <c r="AL16" s="128">
        <f>SUM(AL17:AL20)+AL33</f>
        <v>0</v>
      </c>
      <c r="AM16" s="130">
        <f>SUM(AM17:AM20)+AM33</f>
        <v>0</v>
      </c>
      <c r="AO16" s="21"/>
      <c r="AP16" s="394" t="s">
        <v>81</v>
      </c>
      <c r="AQ16" s="395">
        <f>F10</f>
        <v>617329922</v>
      </c>
      <c r="AR16" s="395">
        <f>I10</f>
        <v>617329922</v>
      </c>
      <c r="AS16" s="395">
        <f>L10</f>
        <v>617329922</v>
      </c>
      <c r="AT16" s="382"/>
      <c r="AU16" s="396">
        <f>IF(AQ16=0," ",AR16/AQ16)</f>
        <v>1</v>
      </c>
      <c r="AV16" s="396">
        <f>IF(AQ16=0," ",AS16/AQ16)</f>
        <v>1</v>
      </c>
      <c r="AW16" s="395">
        <f t="shared" ref="AW16:AX16" si="13">+AR16</f>
        <v>617329922</v>
      </c>
      <c r="AX16" s="395">
        <f t="shared" si="13"/>
        <v>617329922</v>
      </c>
      <c r="AY16" s="12">
        <f t="shared" si="0"/>
        <v>0</v>
      </c>
      <c r="AZ16" s="397">
        <f>AX16-AQ16</f>
        <v>0</v>
      </c>
      <c r="BA16" s="382"/>
      <c r="BB16" s="365" t="s">
        <v>433</v>
      </c>
      <c r="BC16" s="73">
        <f>F43</f>
        <v>0</v>
      </c>
      <c r="BD16" s="74">
        <f>I43</f>
        <v>0</v>
      </c>
      <c r="BE16" s="75">
        <f>K43</f>
        <v>0</v>
      </c>
      <c r="BF16" s="53">
        <f>+ENERO!BE16+FEBRERO!BE16+MARZO!BE16</f>
        <v>0</v>
      </c>
      <c r="BG16" s="91" t="s">
        <v>82</v>
      </c>
      <c r="BH16" s="96">
        <f>BH7+BH12+BH13+BH14+BH15</f>
        <v>54453533521</v>
      </c>
      <c r="BI16" s="96">
        <f>BI7+BI12+BI13+BI14+BI15</f>
        <v>33002652545</v>
      </c>
      <c r="BJ16" s="96">
        <f>BJ7+BJ12+BJ13+BJ14+BJ15</f>
        <v>18574116723</v>
      </c>
      <c r="BK16" s="96">
        <f>BK7+BK12+BK13+BK14+BK15</f>
        <v>3448675523</v>
      </c>
      <c r="BL16" s="40">
        <f>+ENERO!BK16+FEBRERO!BK16+MARZO!BK16</f>
        <v>9713168340</v>
      </c>
      <c r="BM16" s="137" t="s">
        <v>83</v>
      </c>
      <c r="BN16" s="83">
        <f>X114-X121+X147-X148-X153</f>
        <v>1070052974</v>
      </c>
      <c r="BO16" s="81">
        <f>AA114-AA121+AA147-AA148-AA153</f>
        <v>360820049</v>
      </c>
      <c r="BP16" s="81">
        <f>AD114-AD121+AD147-AD148-AD153</f>
        <v>243623711</v>
      </c>
      <c r="BQ16" s="82">
        <f>AF114-AF121+AF147-AF148-AF153</f>
        <v>23613471</v>
      </c>
    </row>
    <row r="17" spans="1:70" s="382" customFormat="1" ht="24.95" customHeight="1" thickBot="1">
      <c r="A17" s="731">
        <f>+IF(FEBRERO!A17=0,"",FEBRERO!A17)</f>
        <v>11</v>
      </c>
      <c r="B17" s="640" t="str">
        <f>+IF(FEBRERO!B17=0,"",FEBRERO!B17)</f>
        <v>INGRESOS  CORRIENTES</v>
      </c>
      <c r="C17" s="334">
        <f>C19+C94+C104</f>
        <v>41169250887</v>
      </c>
      <c r="D17" s="331">
        <f t="shared" ref="D17:N17" si="14">D19+D94+D104</f>
        <v>0</v>
      </c>
      <c r="E17" s="331">
        <f t="shared" si="14"/>
        <v>3612613679</v>
      </c>
      <c r="F17" s="331">
        <f t="shared" si="14"/>
        <v>44781864566</v>
      </c>
      <c r="G17" s="331">
        <f t="shared" si="14"/>
        <v>12226072425</v>
      </c>
      <c r="H17" s="331">
        <f t="shared" si="14"/>
        <v>8165361072</v>
      </c>
      <c r="I17" s="331">
        <f t="shared" si="14"/>
        <v>20391433497</v>
      </c>
      <c r="J17" s="331">
        <f t="shared" si="14"/>
        <v>5593159071</v>
      </c>
      <c r="K17" s="331">
        <f t="shared" si="14"/>
        <v>4266674494</v>
      </c>
      <c r="L17" s="331">
        <f t="shared" si="14"/>
        <v>9859833565</v>
      </c>
      <c r="M17" s="331">
        <f t="shared" si="14"/>
        <v>24390431069</v>
      </c>
      <c r="N17" s="332">
        <f t="shared" si="14"/>
        <v>34922031001</v>
      </c>
      <c r="P17" s="174">
        <f t="shared" ref="P17:Q17" si="15">P19+P94+P104</f>
        <v>0</v>
      </c>
      <c r="Q17" s="175">
        <f t="shared" si="15"/>
        <v>2775776714</v>
      </c>
      <c r="R17" s="9"/>
      <c r="S17" s="705">
        <f>+IF(FEBRERO!S17=0,"",FEBRERO!S17)</f>
        <v>1010101</v>
      </c>
      <c r="T17" s="723" t="str">
        <f>+IF(FEBRERO!T17=0,"",FEBRERO!T17)</f>
        <v>Sueldos del Personal de nómina</v>
      </c>
      <c r="U17" s="29">
        <f>+ENERO!U17</f>
        <v>619731764</v>
      </c>
      <c r="V17" s="15">
        <f>FEBRERO!V17+MARZO!AL17</f>
        <v>0</v>
      </c>
      <c r="W17" s="15">
        <f>FEBRERO!W17+MARZO!AM17</f>
        <v>0</v>
      </c>
      <c r="X17" s="18">
        <f>SUM(U17:W17)</f>
        <v>619731764</v>
      </c>
      <c r="Y17" s="19">
        <f>FEBRERO!AA17</f>
        <v>70872557</v>
      </c>
      <c r="Z17" s="374">
        <v>38144876</v>
      </c>
      <c r="AA17" s="16">
        <f>SUM(Y17:Z17)</f>
        <v>109017433</v>
      </c>
      <c r="AB17" s="19">
        <f>FEBRERO!AD17</f>
        <v>70872557</v>
      </c>
      <c r="AC17" s="374">
        <v>38144876</v>
      </c>
      <c r="AD17" s="16">
        <f>SUM(AB17:AC17)</f>
        <v>109017433</v>
      </c>
      <c r="AE17" s="19">
        <f>FEBRERO!AG17</f>
        <v>70719477</v>
      </c>
      <c r="AF17" s="374">
        <v>38144876</v>
      </c>
      <c r="AG17" s="16">
        <f>SUM(AE17:AF17)</f>
        <v>108864353</v>
      </c>
      <c r="AH17" s="19">
        <f>X17-AA17</f>
        <v>510714331</v>
      </c>
      <c r="AI17" s="15">
        <f>X17-AD17</f>
        <v>510714331</v>
      </c>
      <c r="AJ17" s="16">
        <f>X17-AG17</f>
        <v>510867411</v>
      </c>
      <c r="AK17" s="9"/>
      <c r="AL17" s="372">
        <v>0</v>
      </c>
      <c r="AM17" s="375">
        <v>0</v>
      </c>
      <c r="AN17" s="9"/>
      <c r="AO17" s="349"/>
      <c r="AP17" s="399" t="s">
        <v>85</v>
      </c>
      <c r="AQ17" s="400">
        <f>SUM(AQ7:AQ16)</f>
        <v>53786093521</v>
      </c>
      <c r="AR17" s="401">
        <f>SUM(AR7:AR16)</f>
        <v>20170346272</v>
      </c>
      <c r="AS17" s="402">
        <f>SUM(AS7:AS16)</f>
        <v>10318481261</v>
      </c>
      <c r="AT17" s="403"/>
      <c r="AU17" s="401">
        <f>IF(AQ17=0," ",AR17/AQ17)</f>
        <v>0.37501043395398814</v>
      </c>
      <c r="AV17" s="401">
        <f>IF(AQ17=0," ",AS17/AQ17)</f>
        <v>0.19184292045621976</v>
      </c>
      <c r="AW17" s="404">
        <f>SUM(AX7:AX16)</f>
        <v>11570812383</v>
      </c>
      <c r="AX17" s="404">
        <f>SUM(AX7:AX16)</f>
        <v>11570812383</v>
      </c>
      <c r="AY17" s="404">
        <f>SUM(AY7:AY16)</f>
        <v>-88881410</v>
      </c>
      <c r="AZ17" s="405">
        <f>SUM(AZ7:AZ16)</f>
        <v>-42215281138</v>
      </c>
      <c r="BA17" s="9"/>
      <c r="BB17" s="365" t="s">
        <v>434</v>
      </c>
      <c r="BC17" s="73">
        <f>F41+F52+F55+F58+F61+F67+F70+F73+F76+F79+F82+F86+F87+F88+F89+F90+F91</f>
        <v>2513399205</v>
      </c>
      <c r="BD17" s="74">
        <f>I41+I52+I55+I58+I61+I67+I70+I73+I76+I79+I82+I86+I87+I88+I89+I90+I91</f>
        <v>1657297575</v>
      </c>
      <c r="BE17" s="75">
        <f>K41+K52+K55+K58+K61+K67+K70+K73+K76+K79+K82+K86+K87+K88+K89+K90+K91</f>
        <v>75441487</v>
      </c>
      <c r="BF17" s="53">
        <f>+ENERO!BE17+FEBRERO!BE17+MARZO!BE17</f>
        <v>198142202</v>
      </c>
      <c r="BG17" s="98" t="s">
        <v>86</v>
      </c>
      <c r="BH17" s="99">
        <f>BC23-BH16</f>
        <v>-54453533521</v>
      </c>
      <c r="BI17" s="99"/>
      <c r="BJ17" s="99"/>
      <c r="BK17" s="99"/>
      <c r="BL17" s="40">
        <f>+ENERO!BK17+FEBRERO!BK17+MARZO!BK17</f>
        <v>0</v>
      </c>
      <c r="BM17" s="137" t="s">
        <v>449</v>
      </c>
      <c r="BN17" s="83">
        <f>X123-X126-X139+X155-X156-X167-X168</f>
        <v>4972439656</v>
      </c>
      <c r="BO17" s="81">
        <f>AA123-AA126-AA139+AA155-AA156-AA167-AA168</f>
        <v>4361106457</v>
      </c>
      <c r="BP17" s="81">
        <f>AD123-AD126-AD139+AD155-AD156-AD167-AD168</f>
        <v>1451747733</v>
      </c>
      <c r="BQ17" s="82">
        <f>AF123-AF126-AF139+AF155-AF156-AF167-AF168</f>
        <v>193030604</v>
      </c>
      <c r="BR17" s="9"/>
    </row>
    <row r="18" spans="1:70" s="9" customFormat="1" ht="24.95" customHeight="1" thickBot="1">
      <c r="A18" s="611" t="str">
        <f>+IF(FEBRERO!A18=0,"",FEBRERO!A18)</f>
        <v/>
      </c>
      <c r="B18" s="641" t="str">
        <f>+IF(FEBRERO!B18=0,"",FEBRERO!B18)</f>
        <v/>
      </c>
      <c r="C18" s="294"/>
      <c r="D18" s="294"/>
      <c r="E18" s="294"/>
      <c r="F18" s="294"/>
      <c r="G18" s="294"/>
      <c r="H18" s="294"/>
      <c r="I18" s="294"/>
      <c r="J18" s="294"/>
      <c r="K18" s="294"/>
      <c r="L18" s="294"/>
      <c r="M18" s="294"/>
      <c r="N18" s="463"/>
      <c r="P18" s="407"/>
      <c r="Q18" s="406"/>
      <c r="S18" s="705">
        <f>+IF(FEBRERO!S18=0,"",FEBRERO!S18)</f>
        <v>1010102</v>
      </c>
      <c r="T18" s="723" t="str">
        <f>+IF(FEBRERO!T18=0,"",FEBRERO!T18)</f>
        <v>Horas Extras,Dominic.,Festivos y Rec. Nocturnos</v>
      </c>
      <c r="U18" s="29">
        <f>+ENERO!U18</f>
        <v>0</v>
      </c>
      <c r="V18" s="15">
        <f>FEBRERO!V18+MARZO!AL18</f>
        <v>0</v>
      </c>
      <c r="W18" s="15">
        <f>FEBRERO!W18+MARZO!AM18</f>
        <v>0</v>
      </c>
      <c r="X18" s="18">
        <f>SUM(U18:W18)</f>
        <v>0</v>
      </c>
      <c r="Y18" s="19">
        <f>FEBRERO!AA18</f>
        <v>0</v>
      </c>
      <c r="Z18" s="374">
        <v>0</v>
      </c>
      <c r="AA18" s="16">
        <f>SUM(Y18:Z18)</f>
        <v>0</v>
      </c>
      <c r="AB18" s="19">
        <f>FEBRERO!AD18</f>
        <v>0</v>
      </c>
      <c r="AC18" s="374">
        <v>0</v>
      </c>
      <c r="AD18" s="16">
        <f>SUM(AB18:AC18)</f>
        <v>0</v>
      </c>
      <c r="AE18" s="19">
        <f>FEBRERO!AG18</f>
        <v>0</v>
      </c>
      <c r="AF18" s="374">
        <v>0</v>
      </c>
      <c r="AG18" s="16">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53">
        <f>+ENERO!BE18+FEBRERO!BE18+MARZO!BE18</f>
        <v>0</v>
      </c>
      <c r="BM18" s="137" t="s">
        <v>87</v>
      </c>
      <c r="BN18" s="83">
        <f>X148+X156</f>
        <v>1561061212</v>
      </c>
      <c r="BO18" s="81">
        <f>AA148+AA156</f>
        <v>668906499</v>
      </c>
      <c r="BP18" s="81">
        <f>AD148+AD156</f>
        <v>134136103</v>
      </c>
      <c r="BQ18" s="82">
        <f>AF148+AF156</f>
        <v>40345874</v>
      </c>
      <c r="BR18" s="382"/>
    </row>
    <row r="19" spans="1:70" s="9" customFormat="1" ht="24.95" customHeight="1" thickBot="1">
      <c r="A19" s="733">
        <f>+IF(FEBRERO!A19=0,"",FEBRERO!A19)</f>
        <v>113</v>
      </c>
      <c r="B19" s="642" t="str">
        <f>+IF(FEBRERO!B19=0,"",FEBRERO!B19)</f>
        <v>VENTA DE SERVICIOS</v>
      </c>
      <c r="C19" s="334">
        <f t="shared" ref="C19:N19" si="16">C21+C85</f>
        <v>40501810887</v>
      </c>
      <c r="D19" s="331">
        <f t="shared" si="16"/>
        <v>0</v>
      </c>
      <c r="E19" s="331">
        <f t="shared" si="16"/>
        <v>3612613679</v>
      </c>
      <c r="F19" s="332">
        <f t="shared" si="16"/>
        <v>44114424566</v>
      </c>
      <c r="G19" s="334">
        <f t="shared" si="16"/>
        <v>12065044548</v>
      </c>
      <c r="H19" s="331">
        <f t="shared" si="16"/>
        <v>7486430474</v>
      </c>
      <c r="I19" s="332">
        <f t="shared" si="16"/>
        <v>19551475022</v>
      </c>
      <c r="J19" s="334">
        <f t="shared" si="16"/>
        <v>5494278936</v>
      </c>
      <c r="K19" s="331">
        <f t="shared" si="16"/>
        <v>4205331075</v>
      </c>
      <c r="L19" s="332">
        <f t="shared" si="16"/>
        <v>9699610011</v>
      </c>
      <c r="M19" s="334">
        <f t="shared" si="16"/>
        <v>24562949544</v>
      </c>
      <c r="N19" s="332">
        <f t="shared" si="16"/>
        <v>34414814555</v>
      </c>
      <c r="O19" s="382"/>
      <c r="P19" s="43">
        <f>P21+P85</f>
        <v>0</v>
      </c>
      <c r="Q19" s="45">
        <f>Q21+Q85</f>
        <v>2775776714</v>
      </c>
      <c r="S19" s="705">
        <f>+IF(FEBRERO!S19=0,"",FEBRERO!S19)</f>
        <v>1010103</v>
      </c>
      <c r="T19" s="723" t="str">
        <f>+IF(FEBRERO!T19=0,"",FEBRERO!T19)</f>
        <v>Prima Técnica</v>
      </c>
      <c r="U19" s="29">
        <f>+ENERO!U19</f>
        <v>0</v>
      </c>
      <c r="V19" s="15">
        <f>FEBRERO!V19+MARZO!AL19</f>
        <v>0</v>
      </c>
      <c r="W19" s="15">
        <f>FEBRERO!W19+MARZO!AM19</f>
        <v>0</v>
      </c>
      <c r="X19" s="18">
        <f>SUM(U19:W19)</f>
        <v>0</v>
      </c>
      <c r="Y19" s="19">
        <f>FEBRERO!AA19</f>
        <v>0</v>
      </c>
      <c r="Z19" s="374">
        <v>0</v>
      </c>
      <c r="AA19" s="16">
        <f>SUM(Y19:Z19)</f>
        <v>0</v>
      </c>
      <c r="AB19" s="19">
        <f>FEBRERO!AD19</f>
        <v>0</v>
      </c>
      <c r="AC19" s="374">
        <v>0</v>
      </c>
      <c r="AD19" s="16">
        <f>SUM(AB19:AC19)</f>
        <v>0</v>
      </c>
      <c r="AE19" s="19">
        <f>FEBRERO!AG19</f>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667440000</v>
      </c>
      <c r="BD19" s="93">
        <f>+I105+I106+I107+I108+I109+I110+I98</f>
        <v>788292348</v>
      </c>
      <c r="BE19" s="94">
        <f>+K105+K106+K107+K108+K109+K110+K98</f>
        <v>9677292</v>
      </c>
      <c r="BF19" s="53">
        <f>+ENERO!BE19+FEBRERO!BE19+MARZO!BE19</f>
        <v>108557427</v>
      </c>
      <c r="BG19" s="382"/>
      <c r="BH19" s="382"/>
      <c r="BI19" s="382"/>
      <c r="BJ19" s="382"/>
      <c r="BK19" s="382"/>
      <c r="BM19" s="137" t="s">
        <v>94</v>
      </c>
      <c r="BN19" s="83">
        <f>X126+X167</f>
        <v>904500000</v>
      </c>
      <c r="BO19" s="81">
        <f>AA126+AA167</f>
        <v>297209761</v>
      </c>
      <c r="BP19" s="81">
        <f>AD126+AD167</f>
        <v>297166814</v>
      </c>
      <c r="BQ19" s="82">
        <f>AF126+AF167</f>
        <v>85105346</v>
      </c>
    </row>
    <row r="20" spans="1:70" s="422" customFormat="1" ht="24.95" customHeight="1" thickBot="1">
      <c r="A20" s="611" t="str">
        <f>+IF(FEBRERO!A20=0,"",FEBRERO!A20)</f>
        <v/>
      </c>
      <c r="B20" s="643" t="str">
        <f>+IF(FEBRERO!B20=0,"",FEBRERO!B20)</f>
        <v/>
      </c>
      <c r="C20" s="294"/>
      <c r="D20" s="294"/>
      <c r="E20" s="294"/>
      <c r="F20" s="294"/>
      <c r="G20" s="294"/>
      <c r="H20" s="294"/>
      <c r="I20" s="294"/>
      <c r="J20" s="294"/>
      <c r="K20" s="294"/>
      <c r="L20" s="294"/>
      <c r="M20" s="294"/>
      <c r="N20" s="463"/>
      <c r="O20" s="9"/>
      <c r="P20" s="407"/>
      <c r="Q20" s="406"/>
      <c r="R20" s="9"/>
      <c r="S20" s="705">
        <f>+IF(FEBRERO!S20=0,"",FEBRERO!S20)</f>
        <v>1010104</v>
      </c>
      <c r="T20" s="723" t="str">
        <f>+IF(FEBRERO!T20=0,"",FEBRERO!T20)</f>
        <v>Otros</v>
      </c>
      <c r="U20" s="29">
        <f t="shared" ref="U20:AJ20" si="17">SUM(U21:U32)</f>
        <v>143259177</v>
      </c>
      <c r="V20" s="15">
        <f t="shared" si="17"/>
        <v>0</v>
      </c>
      <c r="W20" s="15">
        <f t="shared" si="17"/>
        <v>0</v>
      </c>
      <c r="X20" s="18">
        <f t="shared" si="17"/>
        <v>143259177</v>
      </c>
      <c r="Y20" s="19">
        <f t="shared" si="17"/>
        <v>20674983</v>
      </c>
      <c r="Z20" s="142">
        <f t="shared" si="17"/>
        <v>53634</v>
      </c>
      <c r="AA20" s="16">
        <f t="shared" si="17"/>
        <v>20728617</v>
      </c>
      <c r="AB20" s="19">
        <f t="shared" si="17"/>
        <v>20674983</v>
      </c>
      <c r="AC20" s="142">
        <f t="shared" si="17"/>
        <v>53634</v>
      </c>
      <c r="AD20" s="16">
        <f t="shared" si="17"/>
        <v>20728617</v>
      </c>
      <c r="AE20" s="19">
        <f t="shared" si="17"/>
        <v>19923584</v>
      </c>
      <c r="AF20" s="142">
        <f t="shared" si="17"/>
        <v>53634</v>
      </c>
      <c r="AG20" s="16">
        <f t="shared" si="17"/>
        <v>19977218</v>
      </c>
      <c r="AH20" s="19">
        <f t="shared" si="17"/>
        <v>122530560</v>
      </c>
      <c r="AI20" s="15">
        <f t="shared" si="17"/>
        <v>122530560</v>
      </c>
      <c r="AJ20" s="16">
        <f t="shared" si="17"/>
        <v>123281959</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1411839</v>
      </c>
      <c r="BD20" s="66">
        <f>+I115+I117+I119+I120+I121+I123+I124</f>
        <v>1541328</v>
      </c>
      <c r="BE20" s="67">
        <f>+K115+K117+K119+K120+K121+K123+K124</f>
        <v>129489</v>
      </c>
      <c r="BF20" s="53">
        <f>+ENERO!BE20+FEBRERO!BE20+MARZO!BE20</f>
        <v>1541328</v>
      </c>
      <c r="BG20" s="382"/>
      <c r="BH20" s="382"/>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4">
        <f>+IF(FEBRERO!A21=0,"",FEBRERO!A21)</f>
        <v>11301</v>
      </c>
      <c r="B21" s="644" t="str">
        <f>+IF(FEBRERO!B21=0,"",FEBRERO!B21)</f>
        <v>Venta de Servicios de Salud</v>
      </c>
      <c r="C21" s="174">
        <f t="shared" ref="C21:N21" si="18">C22+C25+C28+C41+C42+C45+C48+C51+C54+C57+C60+C63+C66+C69+C72+C75+C78+C81</f>
        <v>40501810887</v>
      </c>
      <c r="D21" s="354">
        <f t="shared" si="18"/>
        <v>0</v>
      </c>
      <c r="E21" s="354">
        <f t="shared" si="18"/>
        <v>3612613679</v>
      </c>
      <c r="F21" s="354">
        <f t="shared" si="18"/>
        <v>44114424566</v>
      </c>
      <c r="G21" s="354">
        <f t="shared" si="18"/>
        <v>12065044548</v>
      </c>
      <c r="H21" s="354">
        <f t="shared" si="18"/>
        <v>7486430474</v>
      </c>
      <c r="I21" s="354">
        <f t="shared" si="18"/>
        <v>19551475022</v>
      </c>
      <c r="J21" s="354">
        <f t="shared" si="18"/>
        <v>5494278936</v>
      </c>
      <c r="K21" s="354">
        <f t="shared" si="18"/>
        <v>4205331075</v>
      </c>
      <c r="L21" s="354">
        <f t="shared" si="18"/>
        <v>9699610011</v>
      </c>
      <c r="M21" s="354">
        <f t="shared" si="18"/>
        <v>24562949544</v>
      </c>
      <c r="N21" s="175">
        <f t="shared" si="18"/>
        <v>34414814555</v>
      </c>
      <c r="O21" s="382"/>
      <c r="P21" s="43">
        <f>P22+P25+P28+P41+P42+P45+P48+P51+P54+P57+P60+P63+P66+P69+P72+P75+P78+P81</f>
        <v>0</v>
      </c>
      <c r="Q21" s="45">
        <f>Q22+Q25+Q28+Q41+Q42+Q45+Q48+Q51+Q54+Q57+Q60+Q63+Q66+Q69+Q72+Q75+Q78+Q81</f>
        <v>2775776714</v>
      </c>
      <c r="R21" s="9"/>
      <c r="S21" s="706" t="str">
        <f>+IF(FEBRERO!S21=0,"",FEBRERO!S21)</f>
        <v>1010104-1</v>
      </c>
      <c r="T21" s="724" t="str">
        <f>+IF(FEBRERO!T21=0,"",FEBRERO!T21)</f>
        <v xml:space="preserve">Prima de Navidad </v>
      </c>
      <c r="U21" s="29">
        <f>+ENERO!U21</f>
        <v>52257791</v>
      </c>
      <c r="V21" s="15">
        <f>FEBRERO!V21+MARZO!AL21</f>
        <v>0</v>
      </c>
      <c r="W21" s="15">
        <f>FEBRERO!W21+MARZO!AM21</f>
        <v>0</v>
      </c>
      <c r="X21" s="18">
        <f t="shared" ref="X21:X33" si="19">SUM(U21:W21)</f>
        <v>52257791</v>
      </c>
      <c r="Y21" s="19">
        <f>FEBRERO!AA21</f>
        <v>317672</v>
      </c>
      <c r="Z21" s="374">
        <v>0</v>
      </c>
      <c r="AA21" s="16">
        <f t="shared" ref="AA21:AA33" si="20">SUM(Y21:Z21)</f>
        <v>317672</v>
      </c>
      <c r="AB21" s="19">
        <f>FEBRERO!AD21</f>
        <v>317672</v>
      </c>
      <c r="AC21" s="374">
        <v>0</v>
      </c>
      <c r="AD21" s="16">
        <f t="shared" ref="AD21:AD33" si="21">SUM(AB21:AC21)</f>
        <v>317672</v>
      </c>
      <c r="AE21" s="19">
        <f>FEBRERO!AG21</f>
        <v>0</v>
      </c>
      <c r="AF21" s="374">
        <v>0</v>
      </c>
      <c r="AG21" s="16">
        <f t="shared" ref="AG21:AG33" si="22">SUM(AE21:AF21)</f>
        <v>0</v>
      </c>
      <c r="AH21" s="19">
        <f t="shared" ref="AH21:AH33" si="23">X21-AA21</f>
        <v>51940119</v>
      </c>
      <c r="AI21" s="15">
        <f t="shared" ref="AI21:AI33" si="24">X21-AD21</f>
        <v>51940119</v>
      </c>
      <c r="AJ21" s="16">
        <f t="shared" ref="AJ21:AJ33" si="25">X21-AG21</f>
        <v>52257791</v>
      </c>
      <c r="AK21" s="9"/>
      <c r="AL21" s="372">
        <v>0</v>
      </c>
      <c r="AM21" s="375">
        <v>0</v>
      </c>
      <c r="AN21" s="9"/>
      <c r="AO21" s="349"/>
      <c r="AP21" s="423"/>
      <c r="AQ21" s="424"/>
      <c r="AR21" s="425" t="str">
        <f>AR6</f>
        <v>MARZO</v>
      </c>
      <c r="AS21" s="426" t="str">
        <f>AR6</f>
        <v>MARZO</v>
      </c>
      <c r="AT21" s="425" t="str">
        <f>AR6</f>
        <v>MARZO</v>
      </c>
      <c r="AU21" s="425" t="s">
        <v>44</v>
      </c>
      <c r="AV21" s="425" t="s">
        <v>22</v>
      </c>
      <c r="AW21" s="427"/>
      <c r="AX21" s="427"/>
      <c r="AY21" s="425" t="s">
        <v>44</v>
      </c>
      <c r="AZ21" s="428" t="s">
        <v>22</v>
      </c>
      <c r="BA21" s="9"/>
      <c r="BB21" s="101" t="s">
        <v>437</v>
      </c>
      <c r="BC21" s="65">
        <f>SUMIF($B8:B122,$B24,F8:F122)+F122</f>
        <v>12665540873</v>
      </c>
      <c r="BD21" s="66">
        <f>SUMIF($B8:B122,$B24,I8:I122)+I122</f>
        <v>9549222736</v>
      </c>
      <c r="BE21" s="67">
        <f>SUMIF($B8:B122,$B24,K8:K122)+K122</f>
        <v>4178495286</v>
      </c>
      <c r="BF21" s="53">
        <f>+ENERO!BE21+FEBRERO!BE21+MARZO!BE21</f>
        <v>9549222736</v>
      </c>
      <c r="BG21" s="382"/>
      <c r="BH21" s="382"/>
      <c r="BI21" s="382"/>
      <c r="BJ21" s="382"/>
      <c r="BK21" s="382"/>
      <c r="BL21" s="382"/>
      <c r="BM21" s="137" t="s">
        <v>99</v>
      </c>
      <c r="BN21" s="83">
        <v>0</v>
      </c>
      <c r="BO21" s="81">
        <v>0</v>
      </c>
      <c r="BP21" s="81">
        <v>0</v>
      </c>
      <c r="BQ21" s="82">
        <v>0</v>
      </c>
      <c r="BR21" s="382"/>
    </row>
    <row r="22" spans="1:70" s="9" customFormat="1" ht="24.95" customHeight="1" thickBot="1">
      <c r="A22" s="733">
        <f>+IF(FEBRERO!A22=0,"",FEBRERO!A22)</f>
        <v>1130101</v>
      </c>
      <c r="B22" s="645" t="str">
        <f>+IF(FEBRERO!B22=0,"",FEBRERO!B22)</f>
        <v>EPS - REGIMEN CONTRIBUTIVO</v>
      </c>
      <c r="C22" s="43">
        <f t="shared" ref="C22:N22" si="26">SUM(C23:C24)</f>
        <v>18905646713</v>
      </c>
      <c r="D22" s="44">
        <f t="shared" si="26"/>
        <v>0</v>
      </c>
      <c r="E22" s="44">
        <f t="shared" si="26"/>
        <v>1622415598</v>
      </c>
      <c r="F22" s="44">
        <f t="shared" si="26"/>
        <v>20528062311</v>
      </c>
      <c r="G22" s="44">
        <f t="shared" si="26"/>
        <v>4852101166</v>
      </c>
      <c r="H22" s="44">
        <f t="shared" si="26"/>
        <v>2700261078</v>
      </c>
      <c r="I22" s="44">
        <f t="shared" si="26"/>
        <v>7552362244</v>
      </c>
      <c r="J22" s="44">
        <f t="shared" si="26"/>
        <v>2525936816</v>
      </c>
      <c r="K22" s="44">
        <f t="shared" si="26"/>
        <v>1699476845</v>
      </c>
      <c r="L22" s="44">
        <f t="shared" si="26"/>
        <v>4225413661</v>
      </c>
      <c r="M22" s="44">
        <f t="shared" si="26"/>
        <v>12975700067</v>
      </c>
      <c r="N22" s="45">
        <f t="shared" si="26"/>
        <v>16302648650</v>
      </c>
      <c r="P22" s="43">
        <f>SUM(P23:P24)</f>
        <v>0</v>
      </c>
      <c r="Q22" s="45">
        <f>SUM(Q23:Q24)</f>
        <v>927588431</v>
      </c>
      <c r="S22" s="706" t="str">
        <f>+IF(FEBRERO!S22=0,"",FEBRERO!S22)</f>
        <v>1010104-2</v>
      </c>
      <c r="T22" s="724" t="str">
        <f>+IF(FEBRERO!T22=0,"",FEBRERO!T22)</f>
        <v>Prima Vida Cara</v>
      </c>
      <c r="U22" s="29">
        <f>+ENERO!U22</f>
        <v>24380551</v>
      </c>
      <c r="V22" s="15">
        <f>FEBRERO!V22+MARZO!AL22</f>
        <v>0</v>
      </c>
      <c r="W22" s="15">
        <f>FEBRERO!W22+MARZO!AM22</f>
        <v>0</v>
      </c>
      <c r="X22" s="18">
        <f t="shared" si="19"/>
        <v>24380551</v>
      </c>
      <c r="Y22" s="19">
        <f>FEBRERO!AA22</f>
        <v>19210353</v>
      </c>
      <c r="Z22" s="374">
        <v>0</v>
      </c>
      <c r="AA22" s="16">
        <f t="shared" si="20"/>
        <v>19210353</v>
      </c>
      <c r="AB22" s="19">
        <f>FEBRERO!AD22</f>
        <v>19210353</v>
      </c>
      <c r="AC22" s="374">
        <v>0</v>
      </c>
      <c r="AD22" s="16">
        <f t="shared" si="21"/>
        <v>19210353</v>
      </c>
      <c r="AE22" s="19">
        <f>FEBRERO!AG22</f>
        <v>19210353</v>
      </c>
      <c r="AF22" s="374">
        <v>0</v>
      </c>
      <c r="AG22" s="16">
        <f t="shared" si="22"/>
        <v>19210353</v>
      </c>
      <c r="AH22" s="19">
        <f t="shared" si="23"/>
        <v>5170198</v>
      </c>
      <c r="AI22" s="15">
        <f t="shared" si="24"/>
        <v>5170198</v>
      </c>
      <c r="AJ22" s="16">
        <f t="shared" si="25"/>
        <v>5170198</v>
      </c>
      <c r="AL22" s="372">
        <v>0</v>
      </c>
      <c r="AM22" s="375">
        <v>0</v>
      </c>
      <c r="AO22" s="21"/>
      <c r="AP22" s="429" t="s">
        <v>104</v>
      </c>
      <c r="AQ22" s="430">
        <f>X17+X66</f>
        <v>1512951119</v>
      </c>
      <c r="AR22" s="430">
        <f>AD17+AD66</f>
        <v>303482666</v>
      </c>
      <c r="AS22" s="430">
        <f>AG17+AG66</f>
        <v>303329586</v>
      </c>
      <c r="AT22" s="431"/>
      <c r="AU22" s="432">
        <f t="shared" ref="AU22:AU32" si="27">IF(AQ22=0," ",AR22/AQ22)</f>
        <v>0.20058986849528215</v>
      </c>
      <c r="AV22" s="432">
        <f t="shared" ref="AV22:AV32" si="28">IF(AQ22=0," ",AS22/AQ22)</f>
        <v>0.20048868875584605</v>
      </c>
      <c r="AW22" s="433">
        <f>AR22/$AO$2*12</f>
        <v>1213930664</v>
      </c>
      <c r="AX22" s="433">
        <f>AS22/$AO$2*12</f>
        <v>1213318344</v>
      </c>
      <c r="AY22" s="433">
        <f t="shared" ref="AY22:AY31" si="29">AQ22-AW22</f>
        <v>299020455</v>
      </c>
      <c r="AZ22" s="434">
        <f t="shared" ref="AZ22:AZ31" si="30">AQ22-AX22</f>
        <v>299632775</v>
      </c>
      <c r="BA22" s="382"/>
      <c r="BB22" s="102" t="s">
        <v>109</v>
      </c>
      <c r="BC22" s="103">
        <f>BC7+BC8+BC20+BC21</f>
        <v>54453533521</v>
      </c>
      <c r="BD22" s="104">
        <f>BD7+BD8+BD20+BD21</f>
        <v>21010304747</v>
      </c>
      <c r="BE22" s="105">
        <f>BE7+BE8+BE20+BE21</f>
        <v>4266803983</v>
      </c>
      <c r="BF22" s="53">
        <f>+ENERO!BE22+FEBRERO!BE22+MARZO!BE22</f>
        <v>10478704815</v>
      </c>
      <c r="BG22" s="382"/>
      <c r="BH22" s="382"/>
      <c r="BI22" s="382"/>
      <c r="BJ22" s="382"/>
      <c r="BK22" s="382"/>
      <c r="BM22" s="71" t="s">
        <v>67</v>
      </c>
      <c r="BN22" s="83">
        <f>BN23+BN24</f>
        <v>162030003</v>
      </c>
      <c r="BO22" s="81">
        <f>BO23+BO24</f>
        <v>87224498</v>
      </c>
      <c r="BP22" s="81">
        <f>BP23+BP24</f>
        <v>86929411</v>
      </c>
      <c r="BQ22" s="82">
        <f>BQ23+BQ24</f>
        <v>18943218</v>
      </c>
      <c r="BR22" s="382"/>
    </row>
    <row r="23" spans="1:70" s="422" customFormat="1" ht="24.95" customHeight="1">
      <c r="A23" s="611" t="str">
        <f>+IF(FEBRERO!A23=0,"",FEBRERO!A23)</f>
        <v>1130101-1</v>
      </c>
      <c r="B23" s="646" t="str">
        <f>+CONCATENATE("Vigencia ",INSTRUCCIONES!$F$3)</f>
        <v>Vigencia 2017</v>
      </c>
      <c r="C23" s="671">
        <f>+ENERO!C23</f>
        <v>18905646713</v>
      </c>
      <c r="D23" s="373">
        <f>FEBRERO!D23+MARZO!P23</f>
        <v>0</v>
      </c>
      <c r="E23" s="373">
        <f>FEBRERO!E23+MARZO!Q23</f>
        <v>0</v>
      </c>
      <c r="F23" s="373">
        <f>SUM(C23:E23)</f>
        <v>18905646713</v>
      </c>
      <c r="G23" s="373">
        <f>FEBRERO!I23</f>
        <v>2326796221</v>
      </c>
      <c r="H23" s="374">
        <v>1002734312</v>
      </c>
      <c r="I23" s="373">
        <f>SUM(G23:H23)</f>
        <v>3329530533</v>
      </c>
      <c r="J23" s="373">
        <f>FEBRERO!L23</f>
        <v>631871</v>
      </c>
      <c r="K23" s="374">
        <v>1950079</v>
      </c>
      <c r="L23" s="373">
        <f>SUM(J23:K23)</f>
        <v>2581950</v>
      </c>
      <c r="M23" s="373">
        <f>F23-I23</f>
        <v>15576116180</v>
      </c>
      <c r="N23" s="143">
        <f>F23-L23</f>
        <v>18903064763</v>
      </c>
      <c r="O23" s="9"/>
      <c r="P23" s="372">
        <v>0</v>
      </c>
      <c r="Q23" s="375">
        <v>0</v>
      </c>
      <c r="R23" s="9"/>
      <c r="S23" s="706" t="str">
        <f>+IF(FEBRERO!S23=0,"",FEBRERO!S23)</f>
        <v>1010104-3</v>
      </c>
      <c r="T23" s="724" t="str">
        <f>+IF(FEBRERO!T23=0,"",FEBRERO!T23)</f>
        <v>Prima de Vacaciones</v>
      </c>
      <c r="U23" s="29">
        <f>+ENERO!U23</f>
        <v>25221642</v>
      </c>
      <c r="V23" s="15">
        <f>FEBRERO!V23+MARZO!AL23</f>
        <v>0</v>
      </c>
      <c r="W23" s="15">
        <f>FEBRERO!W23+MARZO!AM23</f>
        <v>0</v>
      </c>
      <c r="X23" s="18">
        <f t="shared" si="19"/>
        <v>25221642</v>
      </c>
      <c r="Y23" s="19">
        <f>FEBRERO!AA23</f>
        <v>153080</v>
      </c>
      <c r="Z23" s="374">
        <v>0</v>
      </c>
      <c r="AA23" s="16">
        <f t="shared" si="20"/>
        <v>153080</v>
      </c>
      <c r="AB23" s="19">
        <f>FEBRERO!AD23</f>
        <v>153080</v>
      </c>
      <c r="AC23" s="374">
        <v>0</v>
      </c>
      <c r="AD23" s="16">
        <f t="shared" si="21"/>
        <v>153080</v>
      </c>
      <c r="AE23" s="19">
        <f>FEBRERO!AG23</f>
        <v>0</v>
      </c>
      <c r="AF23" s="374">
        <v>0</v>
      </c>
      <c r="AG23" s="16">
        <f t="shared" si="22"/>
        <v>0</v>
      </c>
      <c r="AH23" s="19">
        <f t="shared" si="23"/>
        <v>25068562</v>
      </c>
      <c r="AI23" s="15">
        <f t="shared" si="24"/>
        <v>25068562</v>
      </c>
      <c r="AJ23" s="16">
        <f t="shared" si="25"/>
        <v>25221642</v>
      </c>
      <c r="AK23" s="9"/>
      <c r="AL23" s="372">
        <v>0</v>
      </c>
      <c r="AM23" s="375">
        <v>0</v>
      </c>
      <c r="AN23" s="9"/>
      <c r="AO23" s="370"/>
      <c r="AP23" s="435" t="s">
        <v>108</v>
      </c>
      <c r="AQ23" s="436">
        <f>X16+X65-AQ22</f>
        <v>460793516</v>
      </c>
      <c r="AR23" s="436">
        <f>AD16+AD65-AR22</f>
        <v>102167712</v>
      </c>
      <c r="AS23" s="436">
        <f>AG16+AG65-AS22</f>
        <v>101416313</v>
      </c>
      <c r="AT23" s="327"/>
      <c r="AU23" s="342">
        <f t="shared" si="27"/>
        <v>0.22172124487966971</v>
      </c>
      <c r="AV23" s="342">
        <f t="shared" si="28"/>
        <v>0.22009058174334206</v>
      </c>
      <c r="AW23" s="436">
        <f>(AR23-AD21-AD22-AD23-AD25-AD30-AD33-AD70-AD71-AD72-AD74-AD78-AD81)/$AO$2*12+AX22/12*2.5+AD30+AD33+AD78+AD81</f>
        <v>431965839</v>
      </c>
      <c r="AX23" s="436">
        <f>(AS23-AG21-AG22-AG23-AG25-AG30-AG33-AG70-AG71-AG72-AG74-AG78-AG81)/$AO$2*12+AX22/12*2.5+AG30+AG33+AG78+AG81</f>
        <v>431455571</v>
      </c>
      <c r="AY23" s="436">
        <f t="shared" si="29"/>
        <v>28827677</v>
      </c>
      <c r="AZ23" s="46">
        <f t="shared" si="30"/>
        <v>29337945</v>
      </c>
      <c r="BA23" s="382"/>
      <c r="BF23" s="382"/>
      <c r="BG23" s="382"/>
      <c r="BH23" s="382"/>
      <c r="BI23" s="382"/>
      <c r="BJ23" s="382"/>
      <c r="BK23" s="382"/>
      <c r="BL23" s="382"/>
      <c r="BM23" s="137" t="s">
        <v>105</v>
      </c>
      <c r="BN23" s="83">
        <f>X177</f>
        <v>18619412</v>
      </c>
      <c r="BO23" s="81">
        <f>AA177</f>
        <v>3980463</v>
      </c>
      <c r="BP23" s="81">
        <f>AD177</f>
        <v>3980463</v>
      </c>
      <c r="BQ23" s="82">
        <f>AF177</f>
        <v>1326821</v>
      </c>
      <c r="BR23" s="9"/>
    </row>
    <row r="24" spans="1:70" s="422" customFormat="1" ht="24.95" customHeight="1">
      <c r="A24" s="611" t="str">
        <f>+IF(FEBRERO!A24=0,"",FEBRERO!A24)</f>
        <v>1130101-2</v>
      </c>
      <c r="B24" s="646" t="str">
        <f>+IF(FEBRERO!B24=0,"",FEBRERO!B24)</f>
        <v>Vigencia Anterior</v>
      </c>
      <c r="C24" s="671">
        <f>+ENERO!C24</f>
        <v>0</v>
      </c>
      <c r="D24" s="373">
        <f>FEBRERO!D24+MARZO!P24</f>
        <v>0</v>
      </c>
      <c r="E24" s="373">
        <f>FEBRERO!E24+MARZO!Q24</f>
        <v>1622415598</v>
      </c>
      <c r="F24" s="373">
        <f>SUM(C24:E24)</f>
        <v>1622415598</v>
      </c>
      <c r="G24" s="373">
        <f>FEBRERO!I24</f>
        <v>2525304945</v>
      </c>
      <c r="H24" s="374">
        <v>1697526766</v>
      </c>
      <c r="I24" s="373">
        <f>SUM(G24:H24)</f>
        <v>4222831711</v>
      </c>
      <c r="J24" s="373">
        <f>FEBRERO!L24</f>
        <v>2525304945</v>
      </c>
      <c r="K24" s="374">
        <v>1697526766</v>
      </c>
      <c r="L24" s="373">
        <f>SUM(J24:K24)</f>
        <v>4222831711</v>
      </c>
      <c r="M24" s="373">
        <f>F24-I24</f>
        <v>-2600416113</v>
      </c>
      <c r="N24" s="143">
        <f>F24-L24</f>
        <v>-2600416113</v>
      </c>
      <c r="O24" s="382"/>
      <c r="P24" s="372">
        <v>0</v>
      </c>
      <c r="Q24" s="375">
        <v>927588431</v>
      </c>
      <c r="R24" s="9"/>
      <c r="S24" s="706" t="str">
        <f>+IF(FEBRERO!S24=0,"",FEBRERO!S24)</f>
        <v>1010104-4</v>
      </c>
      <c r="T24" s="724" t="str">
        <f>+IF(FEBRERO!T24=0,"",FEBRERO!T24)</f>
        <v>Prima Clima</v>
      </c>
      <c r="U24" s="29">
        <f>+ENERO!U24</f>
        <v>0</v>
      </c>
      <c r="V24" s="15">
        <f>FEBRERO!V24+MARZO!AL24</f>
        <v>0</v>
      </c>
      <c r="W24" s="15">
        <f>FEBRERO!W24+MARZO!AM24</f>
        <v>0</v>
      </c>
      <c r="X24" s="18">
        <f t="shared" si="19"/>
        <v>0</v>
      </c>
      <c r="Y24" s="19">
        <f>FEBRERO!AA24</f>
        <v>0</v>
      </c>
      <c r="Z24" s="374">
        <v>0</v>
      </c>
      <c r="AA24" s="16">
        <f t="shared" si="20"/>
        <v>0</v>
      </c>
      <c r="AB24" s="19">
        <f>FEBRERO!AD24</f>
        <v>0</v>
      </c>
      <c r="AC24" s="374">
        <v>0</v>
      </c>
      <c r="AD24" s="16">
        <f t="shared" si="21"/>
        <v>0</v>
      </c>
      <c r="AE24" s="19">
        <f>FEBRERO!AG24</f>
        <v>0</v>
      </c>
      <c r="AF24" s="374">
        <v>0</v>
      </c>
      <c r="AG24" s="16">
        <f t="shared" si="22"/>
        <v>0</v>
      </c>
      <c r="AH24" s="19">
        <f t="shared" si="23"/>
        <v>0</v>
      </c>
      <c r="AI24" s="15">
        <f t="shared" si="24"/>
        <v>0</v>
      </c>
      <c r="AJ24" s="16">
        <f t="shared" si="25"/>
        <v>0</v>
      </c>
      <c r="AK24" s="9"/>
      <c r="AL24" s="372">
        <v>0</v>
      </c>
      <c r="AM24" s="375">
        <v>0</v>
      </c>
      <c r="AN24" s="9"/>
      <c r="AO24" s="370"/>
      <c r="AP24" s="415" t="s">
        <v>113</v>
      </c>
      <c r="AQ24" s="431">
        <f>X35+X83</f>
        <v>26081445257</v>
      </c>
      <c r="AR24" s="431">
        <f>AD35+AD83</f>
        <v>10367634368</v>
      </c>
      <c r="AS24" s="431">
        <f>AG35+AG83</f>
        <v>5248428547</v>
      </c>
      <c r="AT24" s="431"/>
      <c r="AU24" s="373">
        <f t="shared" si="27"/>
        <v>0.39750996410819794</v>
      </c>
      <c r="AV24" s="373">
        <f t="shared" si="28"/>
        <v>0.2012322743346201</v>
      </c>
      <c r="AW24" s="373">
        <f>(AR24-AD41-AD88)/$AO$2*12+AD41+AD88</f>
        <v>29696424953</v>
      </c>
      <c r="AX24" s="373">
        <f>(AS24-AG41-AG88)/$AO$2*12+AG41+AG88</f>
        <v>9219601669</v>
      </c>
      <c r="AY24" s="373">
        <f t="shared" si="29"/>
        <v>-3614979696</v>
      </c>
      <c r="AZ24" s="143">
        <f t="shared" si="30"/>
        <v>16861843588</v>
      </c>
      <c r="BA24" s="9"/>
      <c r="BB24" s="437"/>
      <c r="BC24" s="382"/>
      <c r="BD24" s="382"/>
      <c r="BE24" s="382"/>
      <c r="BF24" s="382"/>
      <c r="BG24" s="382"/>
      <c r="BH24" s="382"/>
      <c r="BI24" s="382"/>
      <c r="BJ24" s="382"/>
      <c r="BK24" s="382"/>
      <c r="BL24" s="382"/>
      <c r="BM24" s="137" t="s">
        <v>110</v>
      </c>
      <c r="BN24" s="83">
        <f>X170-X177-X174-X183-X191</f>
        <v>143410591</v>
      </c>
      <c r="BO24" s="81">
        <f>AA170-AA177-AA174-AA183-AA191</f>
        <v>83244035</v>
      </c>
      <c r="BP24" s="81">
        <f>AD170-AD177-AD174-AD183-AD191</f>
        <v>82948948</v>
      </c>
      <c r="BQ24" s="82">
        <f>AF170-AF177-AF174-AF183-AF191</f>
        <v>17616397</v>
      </c>
      <c r="BR24" s="382"/>
    </row>
    <row r="25" spans="1:70" s="382" customFormat="1" ht="24.95" customHeight="1">
      <c r="A25" s="733">
        <f>+IF(FEBRERO!A25=0,"",FEBRERO!A25)</f>
        <v>1130102</v>
      </c>
      <c r="B25" s="645" t="str">
        <f>+IF(FEBRERO!B25=0,"",FEBRERO!B25)</f>
        <v>ARS - REGIMEN SUBSIDIADO</v>
      </c>
      <c r="C25" s="43">
        <f t="shared" ref="C25:N25" si="31">SUM(C26:C27)</f>
        <v>13439321219</v>
      </c>
      <c r="D25" s="44">
        <f t="shared" si="31"/>
        <v>0</v>
      </c>
      <c r="E25" s="44">
        <f t="shared" si="31"/>
        <v>1214180413</v>
      </c>
      <c r="F25" s="44">
        <f t="shared" si="31"/>
        <v>14653501632</v>
      </c>
      <c r="G25" s="44">
        <f t="shared" si="31"/>
        <v>4914553153</v>
      </c>
      <c r="H25" s="44">
        <f t="shared" si="31"/>
        <v>2853246392</v>
      </c>
      <c r="I25" s="44">
        <f t="shared" si="31"/>
        <v>7767799545</v>
      </c>
      <c r="J25" s="44">
        <f t="shared" si="31"/>
        <v>1976508375</v>
      </c>
      <c r="K25" s="44">
        <f t="shared" si="31"/>
        <v>1541558452</v>
      </c>
      <c r="L25" s="44">
        <f t="shared" si="31"/>
        <v>3518066827</v>
      </c>
      <c r="M25" s="44">
        <f t="shared" si="31"/>
        <v>6885702087</v>
      </c>
      <c r="N25" s="45">
        <f t="shared" si="31"/>
        <v>11135434805</v>
      </c>
      <c r="P25" s="43">
        <f>SUM(P26:P27)</f>
        <v>0</v>
      </c>
      <c r="Q25" s="45">
        <f>SUM(Q26:Q27)</f>
        <v>1213144903</v>
      </c>
      <c r="R25" s="9"/>
      <c r="S25" s="706" t="str">
        <f>+IF(FEBRERO!S25=0,"",FEBRERO!S25)</f>
        <v>1010104-5</v>
      </c>
      <c r="T25" s="724" t="str">
        <f>+IF(FEBRERO!T25=0,"",FEBRERO!T25)</f>
        <v>Prima de Servicios</v>
      </c>
      <c r="U25" s="29">
        <f>+ENERO!U25</f>
        <v>26128895</v>
      </c>
      <c r="V25" s="15">
        <f>FEBRERO!V25+MARZO!AL25</f>
        <v>0</v>
      </c>
      <c r="W25" s="15">
        <f>FEBRERO!W25+MARZO!AM25</f>
        <v>0</v>
      </c>
      <c r="X25" s="18">
        <f t="shared" si="19"/>
        <v>26128895</v>
      </c>
      <c r="Y25" s="19">
        <f>FEBRERO!AA25</f>
        <v>153080</v>
      </c>
      <c r="Z25" s="374">
        <v>0</v>
      </c>
      <c r="AA25" s="16">
        <f t="shared" si="20"/>
        <v>153080</v>
      </c>
      <c r="AB25" s="19">
        <f>FEBRERO!AD25</f>
        <v>153080</v>
      </c>
      <c r="AC25" s="374">
        <v>0</v>
      </c>
      <c r="AD25" s="16">
        <f t="shared" si="21"/>
        <v>153080</v>
      </c>
      <c r="AE25" s="19">
        <f>FEBRERO!AG25</f>
        <v>0</v>
      </c>
      <c r="AF25" s="374">
        <v>0</v>
      </c>
      <c r="AG25" s="16">
        <f t="shared" si="22"/>
        <v>0</v>
      </c>
      <c r="AH25" s="19">
        <f t="shared" si="23"/>
        <v>25975815</v>
      </c>
      <c r="AI25" s="15">
        <f t="shared" si="24"/>
        <v>25975815</v>
      </c>
      <c r="AJ25" s="16">
        <f t="shared" si="25"/>
        <v>26128895</v>
      </c>
      <c r="AK25" s="9"/>
      <c r="AL25" s="372">
        <v>0</v>
      </c>
      <c r="AM25" s="375">
        <v>0</v>
      </c>
      <c r="AN25" s="9"/>
      <c r="AO25" s="21"/>
      <c r="AP25" s="438" t="s">
        <v>116</v>
      </c>
      <c r="AQ25" s="373">
        <f>X43+X57+X90+X104</f>
        <v>516757377</v>
      </c>
      <c r="AR25" s="373">
        <f>AD43+AD57+AD90+AD104</f>
        <v>102867738</v>
      </c>
      <c r="AS25" s="373">
        <f>AG43+AG57+AG90+AG104</f>
        <v>102867738</v>
      </c>
      <c r="AT25" s="431"/>
      <c r="AU25" s="373">
        <f t="shared" si="27"/>
        <v>0.19906389841436167</v>
      </c>
      <c r="AV25" s="373">
        <f t="shared" si="28"/>
        <v>0.19906389841436167</v>
      </c>
      <c r="AW25" s="373">
        <f>(AR25-AD55-AD61-AD102-AD108)/$AO$2*12+AD55+AD61+AD102+AD108</f>
        <v>411470952</v>
      </c>
      <c r="AX25" s="373">
        <f>(AS25-AG55-AG61-AG102-AG108)/$AO$2*12+AG55+AG61+AG102+AG108</f>
        <v>411470952</v>
      </c>
      <c r="AY25" s="373">
        <f t="shared" si="29"/>
        <v>105286425</v>
      </c>
      <c r="AZ25" s="143">
        <f t="shared" si="30"/>
        <v>105286425</v>
      </c>
      <c r="BM25" s="140" t="s">
        <v>445</v>
      </c>
      <c r="BN25" s="106">
        <f>+SUM(BN26:BN28)</f>
        <v>14723406346</v>
      </c>
      <c r="BO25" s="107">
        <f>+SUM(BO26:BO28)</f>
        <v>5333076434</v>
      </c>
      <c r="BP25" s="107">
        <f>+SUM(BP26:BP28)</f>
        <v>3300965513</v>
      </c>
      <c r="BQ25" s="108">
        <f>+SUM(BQ26:BQ28)</f>
        <v>280275023</v>
      </c>
    </row>
    <row r="26" spans="1:70" s="9" customFormat="1" ht="24.95" customHeight="1">
      <c r="A26" s="611" t="str">
        <f>+IF(FEBRERO!A26=0,"",FEBRERO!A26)</f>
        <v>1130102-1</v>
      </c>
      <c r="B26" s="646" t="str">
        <f>+CONCATENATE("Vigencia ",INSTRUCCIONES!$F$3)</f>
        <v>Vigencia 2017</v>
      </c>
      <c r="C26" s="671">
        <f>+ENERO!C26</f>
        <v>13439321219</v>
      </c>
      <c r="D26" s="373">
        <f>FEBRERO!D26+MARZO!P26</f>
        <v>0</v>
      </c>
      <c r="E26" s="373">
        <f>FEBRERO!E26+MARZO!Q26</f>
        <v>0</v>
      </c>
      <c r="F26" s="373">
        <f>SUM(C26:E26)</f>
        <v>13439321219</v>
      </c>
      <c r="G26" s="373">
        <f>FEBRERO!I26</f>
        <v>2938078178</v>
      </c>
      <c r="H26" s="374">
        <v>1311991240</v>
      </c>
      <c r="I26" s="373">
        <f>SUM(G26:H26)</f>
        <v>4250069418</v>
      </c>
      <c r="J26" s="373">
        <f>FEBRERO!L26</f>
        <v>33400</v>
      </c>
      <c r="K26" s="374">
        <v>303300</v>
      </c>
      <c r="L26" s="373">
        <f>SUM(J26:K26)</f>
        <v>336700</v>
      </c>
      <c r="M26" s="373">
        <f>F26-I26</f>
        <v>9189251801</v>
      </c>
      <c r="N26" s="143">
        <f>F26-L26</f>
        <v>13438984519</v>
      </c>
      <c r="P26" s="372">
        <v>0</v>
      </c>
      <c r="Q26" s="375">
        <v>0</v>
      </c>
      <c r="S26" s="706" t="str">
        <f>+IF(FEBRERO!S26=0,"",FEBRERO!S26)</f>
        <v>1010104-8</v>
      </c>
      <c r="T26" s="724" t="str">
        <f>+IF(FEBRERO!T26=0,"",FEBRERO!T26)</f>
        <v>Bonific. por Servicios Prestados</v>
      </c>
      <c r="U26" s="29">
        <f>+ENERO!U26</f>
        <v>12868455</v>
      </c>
      <c r="V26" s="15">
        <f>FEBRERO!V26+MARZO!AL26</f>
        <v>0</v>
      </c>
      <c r="W26" s="15">
        <f>FEBRERO!W26+MARZO!AM26</f>
        <v>0</v>
      </c>
      <c r="X26" s="18">
        <f t="shared" si="19"/>
        <v>12868455</v>
      </c>
      <c r="Y26" s="19">
        <f>FEBRERO!AA26</f>
        <v>713119</v>
      </c>
      <c r="Z26" s="374">
        <v>0</v>
      </c>
      <c r="AA26" s="16">
        <f t="shared" si="20"/>
        <v>713119</v>
      </c>
      <c r="AB26" s="19">
        <f>FEBRERO!AD26</f>
        <v>713119</v>
      </c>
      <c r="AC26" s="374">
        <v>0</v>
      </c>
      <c r="AD26" s="16">
        <f t="shared" si="21"/>
        <v>713119</v>
      </c>
      <c r="AE26" s="19">
        <f>FEBRERO!AG26</f>
        <v>605963</v>
      </c>
      <c r="AF26" s="374">
        <v>0</v>
      </c>
      <c r="AG26" s="16">
        <f t="shared" si="22"/>
        <v>605963</v>
      </c>
      <c r="AH26" s="19">
        <f t="shared" si="23"/>
        <v>12155336</v>
      </c>
      <c r="AI26" s="15">
        <f t="shared" si="24"/>
        <v>12155336</v>
      </c>
      <c r="AJ26" s="16">
        <f t="shared" si="25"/>
        <v>12262492</v>
      </c>
      <c r="AL26" s="372">
        <v>0</v>
      </c>
      <c r="AM26" s="375">
        <v>0</v>
      </c>
      <c r="AO26" s="21"/>
      <c r="AP26" s="439" t="s">
        <v>120</v>
      </c>
      <c r="AQ26" s="327">
        <f>X110</f>
        <v>9050098309</v>
      </c>
      <c r="AR26" s="327">
        <f>AD110</f>
        <v>2655869391</v>
      </c>
      <c r="AS26" s="327">
        <f>AG110</f>
        <v>1546434843</v>
      </c>
      <c r="AT26" s="371">
        <f>AO2/12</f>
        <v>0.25</v>
      </c>
      <c r="AU26" s="342">
        <f t="shared" si="27"/>
        <v>0.29346304319797639</v>
      </c>
      <c r="AV26" s="342">
        <f t="shared" si="28"/>
        <v>0.17087492203947946</v>
      </c>
      <c r="AW26" s="436">
        <f>(AR26-AD121-AD139-AD143-AD153-AD168)/$AO$2*12+AD121+AD139+AD143+AD153+AD168</f>
        <v>9035892474</v>
      </c>
      <c r="AX26" s="436">
        <f>(AS26-AG121-AG139-AG143-AG153-AG168)/$AO$2*12+AG121+AG139+AG143+AG153+AG168</f>
        <v>4598154282</v>
      </c>
      <c r="AY26" s="436">
        <f t="shared" si="29"/>
        <v>14205835</v>
      </c>
      <c r="AZ26" s="46">
        <f t="shared" si="30"/>
        <v>4451944027</v>
      </c>
      <c r="BA26" s="382"/>
      <c r="BB26" s="382"/>
      <c r="BC26" s="382"/>
      <c r="BD26" s="382"/>
      <c r="BE26" s="382"/>
      <c r="BF26" s="382"/>
      <c r="BG26" s="382"/>
      <c r="BH26" s="382"/>
      <c r="BI26" s="382"/>
      <c r="BJ26" s="382"/>
      <c r="BK26" s="382"/>
      <c r="BM26" s="109" t="s">
        <v>446</v>
      </c>
      <c r="BN26" s="86">
        <f>+X198+X212</f>
        <v>6446158346</v>
      </c>
      <c r="BO26" s="84">
        <f>+AA198+AA212</f>
        <v>1515605839</v>
      </c>
      <c r="BP26" s="84">
        <f>+AD198+AD212</f>
        <v>1028433789</v>
      </c>
      <c r="BQ26" s="85">
        <f>+AF198+AF212</f>
        <v>9559283</v>
      </c>
      <c r="BR26" s="382"/>
    </row>
    <row r="27" spans="1:70" s="422" customFormat="1" ht="24.95" customHeight="1">
      <c r="A27" s="611" t="str">
        <f>+IF(FEBRERO!A27=0,"",FEBRERO!A27)</f>
        <v>1130102-2</v>
      </c>
      <c r="B27" s="646" t="str">
        <f>+IF(FEBRERO!B27=0,"",FEBRERO!B27)</f>
        <v>Vigencia Anterior</v>
      </c>
      <c r="C27" s="671">
        <f>+ENERO!C27</f>
        <v>0</v>
      </c>
      <c r="D27" s="373">
        <f>FEBRERO!D27+MARZO!P27</f>
        <v>0</v>
      </c>
      <c r="E27" s="373">
        <f>FEBRERO!E27+MARZO!Q27</f>
        <v>1214180413</v>
      </c>
      <c r="F27" s="373">
        <f>SUM(C27:E27)</f>
        <v>1214180413</v>
      </c>
      <c r="G27" s="373">
        <f>FEBRERO!I27</f>
        <v>1976474975</v>
      </c>
      <c r="H27" s="374">
        <v>1541255152</v>
      </c>
      <c r="I27" s="373">
        <f>SUM(G27:H27)</f>
        <v>3517730127</v>
      </c>
      <c r="J27" s="373">
        <f>FEBRERO!L27</f>
        <v>1976474975</v>
      </c>
      <c r="K27" s="374">
        <v>1541255152</v>
      </c>
      <c r="L27" s="373">
        <f>SUM(J27:K27)</f>
        <v>3517730127</v>
      </c>
      <c r="M27" s="373">
        <f>F27-I27</f>
        <v>-2303549714</v>
      </c>
      <c r="N27" s="143">
        <f>F27-L27</f>
        <v>-2303549714</v>
      </c>
      <c r="O27" s="382"/>
      <c r="P27" s="372">
        <v>0</v>
      </c>
      <c r="Q27" s="375">
        <v>1213144903</v>
      </c>
      <c r="R27" s="9"/>
      <c r="S27" s="706" t="str">
        <f>+IF(FEBRERO!S27=0,"",FEBRERO!S27)</f>
        <v>1010104-9</v>
      </c>
      <c r="T27" s="724" t="str">
        <f>+IF(FEBRERO!T27=0,"",FEBRERO!T27)</f>
        <v>Auxilio de Transporte</v>
      </c>
      <c r="U27" s="29">
        <f>+ENERO!U27</f>
        <v>0</v>
      </c>
      <c r="V27" s="15">
        <f>FEBRERO!V27+MARZO!AL27</f>
        <v>0</v>
      </c>
      <c r="W27" s="15">
        <f>FEBRERO!W27+MARZO!AM27</f>
        <v>0</v>
      </c>
      <c r="X27" s="18">
        <f t="shared" si="19"/>
        <v>0</v>
      </c>
      <c r="Y27" s="19">
        <f>FEBRERO!AA27</f>
        <v>0</v>
      </c>
      <c r="Z27" s="374">
        <v>0</v>
      </c>
      <c r="AA27" s="16">
        <f t="shared" si="20"/>
        <v>0</v>
      </c>
      <c r="AB27" s="19">
        <f>FEBRERO!AD27</f>
        <v>0</v>
      </c>
      <c r="AC27" s="374">
        <v>0</v>
      </c>
      <c r="AD27" s="16">
        <f t="shared" si="21"/>
        <v>0</v>
      </c>
      <c r="AE27" s="19">
        <f>FEBRERO!AG27</f>
        <v>0</v>
      </c>
      <c r="AF27" s="374">
        <v>0</v>
      </c>
      <c r="AG27" s="16">
        <f t="shared" si="22"/>
        <v>0</v>
      </c>
      <c r="AH27" s="19">
        <f t="shared" si="23"/>
        <v>0</v>
      </c>
      <c r="AI27" s="15">
        <f t="shared" si="24"/>
        <v>0</v>
      </c>
      <c r="AJ27" s="16">
        <f t="shared" si="25"/>
        <v>0</v>
      </c>
      <c r="AK27" s="9"/>
      <c r="AL27" s="372">
        <v>0</v>
      </c>
      <c r="AM27" s="375">
        <v>0</v>
      </c>
      <c r="AN27" s="9"/>
      <c r="AO27" s="349"/>
      <c r="AP27" s="438" t="s">
        <v>124</v>
      </c>
      <c r="AQ27" s="373">
        <f>X170</f>
        <v>162687433</v>
      </c>
      <c r="AR27" s="373">
        <f>AD170</f>
        <v>86929411</v>
      </c>
      <c r="AS27" s="373">
        <f>AG170</f>
        <v>33464427</v>
      </c>
      <c r="AT27" s="431"/>
      <c r="AU27" s="373">
        <f t="shared" si="27"/>
        <v>0.53433390272990544</v>
      </c>
      <c r="AV27" s="373">
        <f t="shared" si="28"/>
        <v>0.20569767672220879</v>
      </c>
      <c r="AW27" s="373">
        <f>(AR27-AD174-AD183-AD191)/$AO$2*12+AD174+AD183+AD191</f>
        <v>347717644</v>
      </c>
      <c r="AX27" s="373">
        <f>(AS27-AG174-AG183-AG191)/$AO$2*12+AG174+AG183+AG191</f>
        <v>133857708</v>
      </c>
      <c r="AY27" s="373">
        <f t="shared" si="29"/>
        <v>-185030211</v>
      </c>
      <c r="AZ27" s="143">
        <f t="shared" si="30"/>
        <v>28829725</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3">
        <f>+IF(FEBRERO!A28=0,"",FEBRERO!A28)</f>
        <v>1130103</v>
      </c>
      <c r="B28" s="622" t="str">
        <f>+IF(FEBRERO!B28=0,"",FEBRERO!B28)</f>
        <v>SUBSIDIO A LA OFERTA- ATENCION PERSONAS POBRES NO CUBIERTOS CON SUBSIDIO A LA DEMANDA</v>
      </c>
      <c r="C28" s="43">
        <f>C29+C32+C35+C38+C39+C40</f>
        <v>157521482</v>
      </c>
      <c r="D28" s="44">
        <f>+D29+D32+D35+D38+D39+D40</f>
        <v>0</v>
      </c>
      <c r="E28" s="44">
        <f>+E29+E32+E35+E38+E39+E40</f>
        <v>0</v>
      </c>
      <c r="F28" s="44">
        <f>+F29+F32+F35+F38+F39+F40</f>
        <v>157521482</v>
      </c>
      <c r="G28" s="44">
        <f t="shared" ref="G28:N28" si="32">G29+G32+G35+G38+G39+G40</f>
        <v>66734908</v>
      </c>
      <c r="H28" s="44">
        <f t="shared" si="32"/>
        <v>106108283</v>
      </c>
      <c r="I28" s="44">
        <f t="shared" si="32"/>
        <v>172843191</v>
      </c>
      <c r="J28" s="44">
        <f t="shared" si="32"/>
        <v>398458</v>
      </c>
      <c r="K28" s="44">
        <f t="shared" si="32"/>
        <v>807050</v>
      </c>
      <c r="L28" s="44">
        <f t="shared" si="32"/>
        <v>1205508</v>
      </c>
      <c r="M28" s="44">
        <f t="shared" si="32"/>
        <v>-15321709</v>
      </c>
      <c r="N28" s="45">
        <f t="shared" si="32"/>
        <v>156315974</v>
      </c>
      <c r="O28" s="382"/>
      <c r="P28" s="43">
        <f>P29+P32+P35+P38+P39+P940</f>
        <v>0</v>
      </c>
      <c r="Q28" s="45">
        <f>Q29+Q32+Q35+Q38+Q39+Q40</f>
        <v>0</v>
      </c>
      <c r="R28" s="9"/>
      <c r="S28" s="706" t="str">
        <f>+IF(FEBRERO!S28=0,"",FEBRERO!S28)</f>
        <v>1010104-10</v>
      </c>
      <c r="T28" s="724" t="str">
        <f>+IF(FEBRERO!T28=0,"",FEBRERO!T28)</f>
        <v>Subsidio de Alimentación</v>
      </c>
      <c r="U28" s="29">
        <f>+ENERO!U28</f>
        <v>532000</v>
      </c>
      <c r="V28" s="15">
        <f>FEBRERO!V28+MARZO!AL28</f>
        <v>0</v>
      </c>
      <c r="W28" s="15">
        <f>FEBRERO!W28+MARZO!AM28</f>
        <v>0</v>
      </c>
      <c r="X28" s="18">
        <f t="shared" si="19"/>
        <v>532000</v>
      </c>
      <c r="Y28" s="19">
        <f>FEBRERO!AA28</f>
        <v>107268</v>
      </c>
      <c r="Z28" s="374">
        <v>53634</v>
      </c>
      <c r="AA28" s="16">
        <f t="shared" si="20"/>
        <v>160902</v>
      </c>
      <c r="AB28" s="19">
        <f>FEBRERO!AD28</f>
        <v>107268</v>
      </c>
      <c r="AC28" s="374">
        <v>53634</v>
      </c>
      <c r="AD28" s="16">
        <f t="shared" si="21"/>
        <v>160902</v>
      </c>
      <c r="AE28" s="19">
        <f>FEBRERO!AG28</f>
        <v>107268</v>
      </c>
      <c r="AF28" s="374">
        <v>53634</v>
      </c>
      <c r="AG28" s="16">
        <f t="shared" si="22"/>
        <v>160902</v>
      </c>
      <c r="AH28" s="19">
        <f t="shared" si="23"/>
        <v>371098</v>
      </c>
      <c r="AI28" s="15">
        <f t="shared" si="24"/>
        <v>371098</v>
      </c>
      <c r="AJ28" s="16">
        <f t="shared" si="25"/>
        <v>371098</v>
      </c>
      <c r="AK28" s="9"/>
      <c r="AL28" s="372">
        <v>0</v>
      </c>
      <c r="AM28" s="375">
        <v>0</v>
      </c>
      <c r="AN28" s="9"/>
      <c r="AO28" s="349"/>
      <c r="AP28" s="787" t="s">
        <v>586</v>
      </c>
      <c r="AQ28" s="373">
        <f>X195</f>
        <v>16234922418</v>
      </c>
      <c r="AR28" s="373">
        <f>AD195</f>
        <v>4812481585</v>
      </c>
      <c r="AS28" s="373">
        <f>AG195</f>
        <v>2241875700</v>
      </c>
      <c r="AT28" s="431"/>
      <c r="AU28" s="373">
        <f t="shared" si="27"/>
        <v>0.29642775377012581</v>
      </c>
      <c r="AV28" s="373">
        <f t="shared" si="28"/>
        <v>0.13808970823995964</v>
      </c>
      <c r="AW28" s="373">
        <f>(AR28-AD207)/$AO$2*12+AD207</f>
        <v>14715378124</v>
      </c>
      <c r="AX28" s="373">
        <f>(AS28-AG207)/$AO$2*12+AG207</f>
        <v>4486696584</v>
      </c>
      <c r="AY28" s="373">
        <f t="shared" si="29"/>
        <v>1519544294</v>
      </c>
      <c r="AZ28" s="143">
        <f t="shared" si="30"/>
        <v>11748225834</v>
      </c>
      <c r="BA28" s="382"/>
      <c r="BB28" s="382"/>
      <c r="BC28" s="382"/>
      <c r="BD28" s="382"/>
      <c r="BE28" s="382"/>
      <c r="BF28" s="382"/>
      <c r="BG28" s="382"/>
      <c r="BH28" s="382"/>
      <c r="BI28" s="382"/>
      <c r="BJ28" s="382"/>
      <c r="BK28" s="382"/>
      <c r="BL28" s="382"/>
      <c r="BM28" s="71" t="s">
        <v>448</v>
      </c>
      <c r="BN28" s="83">
        <f>+X196-X198-X207</f>
        <v>8277248000</v>
      </c>
      <c r="BO28" s="81">
        <f>+AA196-AA198-AA207</f>
        <v>3817470595</v>
      </c>
      <c r="BP28" s="81">
        <f>+AD196-AD198-AD207</f>
        <v>2272531724</v>
      </c>
      <c r="BQ28" s="82">
        <f>+AF196-AF198-AF207</f>
        <v>270715740</v>
      </c>
      <c r="BR28" s="9"/>
    </row>
    <row r="29" spans="1:70" s="9" customFormat="1" ht="24.95" customHeight="1">
      <c r="A29" s="611" t="str">
        <f>+IF(FEBRERO!A29=0,"",FEBRERO!A29)</f>
        <v>1130103-1</v>
      </c>
      <c r="B29" s="647"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82"/>
      <c r="P29" s="144">
        <f>SUM(P30:P31)</f>
        <v>0</v>
      </c>
      <c r="Q29" s="145">
        <f>SUM(Q30:Q31)</f>
        <v>0</v>
      </c>
      <c r="S29" s="706" t="str">
        <f>+IF(FEBRERO!S29=0,"",FEBRERO!S29)</f>
        <v>1010104-11</v>
      </c>
      <c r="T29" s="724" t="str">
        <f>+IF(FEBRERO!T29=0,"",FEBRERO!T29)</f>
        <v>Gastos de Representación</v>
      </c>
      <c r="U29" s="29">
        <f>+ENERO!U29</f>
        <v>0</v>
      </c>
      <c r="V29" s="15">
        <f>FEBRERO!V29+MARZO!AL29</f>
        <v>0</v>
      </c>
      <c r="W29" s="15">
        <f>FEBRERO!W29+MARZO!AM29</f>
        <v>0</v>
      </c>
      <c r="X29" s="18">
        <f t="shared" si="19"/>
        <v>0</v>
      </c>
      <c r="Y29" s="19">
        <f>FEBRERO!AA29</f>
        <v>0</v>
      </c>
      <c r="Z29" s="374">
        <v>0</v>
      </c>
      <c r="AA29" s="16">
        <f t="shared" si="20"/>
        <v>0</v>
      </c>
      <c r="AB29" s="19">
        <f>FEBRERO!AD29</f>
        <v>0</v>
      </c>
      <c r="AC29" s="374">
        <v>0</v>
      </c>
      <c r="AD29" s="16">
        <f t="shared" si="21"/>
        <v>0</v>
      </c>
      <c r="AE29" s="19">
        <f>FEBRERO!AG29</f>
        <v>0</v>
      </c>
      <c r="AF29" s="374">
        <v>0</v>
      </c>
      <c r="AG29" s="16">
        <f t="shared" si="22"/>
        <v>0</v>
      </c>
      <c r="AH29" s="19">
        <f t="shared" si="23"/>
        <v>0</v>
      </c>
      <c r="AI29" s="15">
        <f t="shared" si="24"/>
        <v>0</v>
      </c>
      <c r="AJ29" s="16">
        <f t="shared" si="25"/>
        <v>0</v>
      </c>
      <c r="AL29" s="372">
        <v>0</v>
      </c>
      <c r="AM29" s="375">
        <v>0</v>
      </c>
      <c r="AO29" s="21"/>
      <c r="AP29" s="787" t="s">
        <v>585</v>
      </c>
      <c r="AQ29" s="373">
        <f>X209</f>
        <v>0</v>
      </c>
      <c r="AR29" s="373">
        <f>AD209</f>
        <v>0</v>
      </c>
      <c r="AS29" s="373">
        <f>AG209</f>
        <v>0</v>
      </c>
      <c r="AT29" s="327"/>
      <c r="AU29" s="342" t="str">
        <f t="shared" si="27"/>
        <v xml:space="preserve"> </v>
      </c>
      <c r="AV29" s="342" t="str">
        <f t="shared" si="28"/>
        <v xml:space="preserve"> </v>
      </c>
      <c r="AW29" s="436">
        <f>(AR29-AD218)/$AO$2*12+AD218</f>
        <v>0</v>
      </c>
      <c r="AX29" s="436">
        <f>(AS29-AG218)/$AO$2*12+AG218</f>
        <v>0</v>
      </c>
      <c r="AY29" s="436">
        <f t="shared" si="29"/>
        <v>0</v>
      </c>
      <c r="AZ29" s="46">
        <f t="shared" si="30"/>
        <v>0</v>
      </c>
      <c r="BA29" s="382"/>
      <c r="BB29" s="422"/>
      <c r="BC29" s="422"/>
      <c r="BD29" s="422"/>
      <c r="BE29" s="422"/>
      <c r="BF29" s="422"/>
      <c r="BG29" s="382"/>
      <c r="BH29" s="382"/>
      <c r="BI29" s="382"/>
      <c r="BJ29" s="382"/>
      <c r="BK29" s="382"/>
      <c r="BM29" s="110" t="s">
        <v>70</v>
      </c>
      <c r="BN29" s="106">
        <f>X232-X256-X241</f>
        <v>433878092</v>
      </c>
      <c r="BO29" s="107">
        <f>AA232-AA256-AA241</f>
        <v>292700372</v>
      </c>
      <c r="BP29" s="107">
        <f>AD232-AD256-AD241</f>
        <v>142683852</v>
      </c>
      <c r="BQ29" s="108">
        <f>AF232-AF256-AF241</f>
        <v>135351186</v>
      </c>
      <c r="BR29" s="382"/>
    </row>
    <row r="30" spans="1:70" s="422" customFormat="1" ht="24.95" customHeight="1">
      <c r="A30" s="611" t="str">
        <f>+IF(FEBRERO!A30=0,"",FEBRERO!A30)</f>
        <v>1130103-1-1</v>
      </c>
      <c r="B30" s="646" t="str">
        <f>+CONCATENATE("Vigencia ",INSTRUCCIONES!$F$3)</f>
        <v>Vigencia 2017</v>
      </c>
      <c r="C30" s="671">
        <f>+ENERO!C30</f>
        <v>0</v>
      </c>
      <c r="D30" s="373">
        <f>FEBRERO!D30+MARZO!P30</f>
        <v>0</v>
      </c>
      <c r="E30" s="373">
        <f>FEBRERO!E30+MARZO!Q30</f>
        <v>0</v>
      </c>
      <c r="F30" s="373">
        <f>SUM(C30:E30)</f>
        <v>0</v>
      </c>
      <c r="G30" s="373">
        <f>FEBRERO!I30</f>
        <v>0</v>
      </c>
      <c r="H30" s="374">
        <v>0</v>
      </c>
      <c r="I30" s="373">
        <f>SUM(G30:H30)</f>
        <v>0</v>
      </c>
      <c r="J30" s="373">
        <f>FEBRERO!L30</f>
        <v>0</v>
      </c>
      <c r="K30" s="374">
        <v>0</v>
      </c>
      <c r="L30" s="373">
        <f>SUM(J30:K30)</f>
        <v>0</v>
      </c>
      <c r="M30" s="373">
        <f>F30-I30</f>
        <v>0</v>
      </c>
      <c r="N30" s="143">
        <f>F30-L30</f>
        <v>0</v>
      </c>
      <c r="O30" s="9"/>
      <c r="P30" s="372">
        <v>0</v>
      </c>
      <c r="Q30" s="375">
        <v>0</v>
      </c>
      <c r="R30" s="9"/>
      <c r="S30" s="706" t="str">
        <f>+IF(FEBRERO!S30=0,"",FEBRERO!S30)</f>
        <v>1010104-12</v>
      </c>
      <c r="T30" s="724" t="str">
        <f>+IF(FEBRERO!T30=0,"",FEBRERO!T30)</f>
        <v xml:space="preserve"> Indemnizaciones por Vacaciones o Supresión de Cargos por Reestructuración</v>
      </c>
      <c r="U30" s="29">
        <f>+ENERO!U30</f>
        <v>0</v>
      </c>
      <c r="V30" s="15">
        <f>FEBRERO!V30+MARZO!AL30</f>
        <v>0</v>
      </c>
      <c r="W30" s="15">
        <f>FEBRERO!W30+MARZO!AM30</f>
        <v>0</v>
      </c>
      <c r="X30" s="18">
        <f t="shared" si="19"/>
        <v>0</v>
      </c>
      <c r="Y30" s="19">
        <f>FEBRERO!AA30</f>
        <v>0</v>
      </c>
      <c r="Z30" s="374">
        <v>0</v>
      </c>
      <c r="AA30" s="16">
        <f t="shared" si="20"/>
        <v>0</v>
      </c>
      <c r="AB30" s="19">
        <f>FEBRERO!AD30</f>
        <v>0</v>
      </c>
      <c r="AC30" s="374">
        <v>0</v>
      </c>
      <c r="AD30" s="16">
        <f t="shared" si="21"/>
        <v>0</v>
      </c>
      <c r="AE30" s="19">
        <f>FEBRERO!AG30</f>
        <v>0</v>
      </c>
      <c r="AF30" s="374">
        <v>0</v>
      </c>
      <c r="AG30" s="16">
        <f t="shared" si="22"/>
        <v>0</v>
      </c>
      <c r="AH30" s="19">
        <f t="shared" si="23"/>
        <v>0</v>
      </c>
      <c r="AI30" s="15">
        <f t="shared" si="24"/>
        <v>0</v>
      </c>
      <c r="AJ30" s="16">
        <f t="shared" si="25"/>
        <v>0</v>
      </c>
      <c r="AK30" s="9"/>
      <c r="AL30" s="372">
        <v>0</v>
      </c>
      <c r="AM30" s="375">
        <v>0</v>
      </c>
      <c r="AN30" s="9"/>
      <c r="AO30" s="370" t="s">
        <v>51</v>
      </c>
      <c r="AP30" s="438" t="s">
        <v>132</v>
      </c>
      <c r="AQ30" s="373">
        <f>X220+X232</f>
        <v>433878092</v>
      </c>
      <c r="AR30" s="373">
        <f>AD220+AD232</f>
        <v>142683852</v>
      </c>
      <c r="AS30" s="373">
        <f>AG220+AG232</f>
        <v>135351186</v>
      </c>
      <c r="AT30" s="431"/>
      <c r="AU30" s="373">
        <f t="shared" si="27"/>
        <v>0.32885700990867267</v>
      </c>
      <c r="AV30" s="373">
        <f t="shared" si="28"/>
        <v>0.31195671893938354</v>
      </c>
      <c r="AW30" s="373">
        <f>(AR30-AD225-AD230-AD241-AD256)/$AO$2*12+AD225+AD230+AD241+AD256</f>
        <v>570735408</v>
      </c>
      <c r="AX30" s="373">
        <f>(AS30-AG225-AG230-AG241-AG256)/$AO$2*12+AG225+AG230+AG241+AG256</f>
        <v>541404744</v>
      </c>
      <c r="AY30" s="373">
        <f t="shared" si="29"/>
        <v>-136857316</v>
      </c>
      <c r="AZ30" s="143">
        <f t="shared" si="30"/>
        <v>-107526652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+IF(FEBRERO!A31=0,"",FEBRERO!A31)</f>
        <v>1130103-1-2</v>
      </c>
      <c r="B31" s="646" t="str">
        <f>+IF(FEBRERO!B31=0,"",FEBRERO!B31)</f>
        <v>Vigencia Anterior</v>
      </c>
      <c r="C31" s="671">
        <f>+ENERO!C31</f>
        <v>0</v>
      </c>
      <c r="D31" s="373">
        <f>FEBRERO!D31+MARZO!P31</f>
        <v>0</v>
      </c>
      <c r="E31" s="373">
        <f>FEBRERO!E31+MARZO!Q31</f>
        <v>0</v>
      </c>
      <c r="F31" s="373">
        <f>SUM(C31:E31)</f>
        <v>0</v>
      </c>
      <c r="G31" s="373">
        <f>FEBRERO!I31</f>
        <v>0</v>
      </c>
      <c r="H31" s="374">
        <v>0</v>
      </c>
      <c r="I31" s="373">
        <f>SUM(G31:H31)</f>
        <v>0</v>
      </c>
      <c r="J31" s="373">
        <f>FEBRERO!L31</f>
        <v>0</v>
      </c>
      <c r="K31" s="374">
        <v>0</v>
      </c>
      <c r="L31" s="373">
        <f>SUM(J31:K31)</f>
        <v>0</v>
      </c>
      <c r="M31" s="373">
        <f>F31-I31</f>
        <v>0</v>
      </c>
      <c r="N31" s="143">
        <f>F31-L31</f>
        <v>0</v>
      </c>
      <c r="O31" s="382"/>
      <c r="P31" s="372">
        <v>0</v>
      </c>
      <c r="Q31" s="375">
        <v>0</v>
      </c>
      <c r="R31" s="9"/>
      <c r="S31" s="706" t="str">
        <f>+IF(FEBRERO!S31=0,"",FEBRERO!S31)</f>
        <v>1010104-13</v>
      </c>
      <c r="T31" s="724" t="str">
        <f>+IF(FEBRERO!T31=0,"",FEBRERO!T31)</f>
        <v>Bonificación Especial por Recreación</v>
      </c>
      <c r="U31" s="29">
        <f>+ENERO!U31</f>
        <v>1869843</v>
      </c>
      <c r="V31" s="15">
        <f>FEBRERO!V31+MARZO!AL31</f>
        <v>0</v>
      </c>
      <c r="W31" s="15">
        <f>FEBRERO!W31+MARZO!AM31</f>
        <v>0</v>
      </c>
      <c r="X31" s="18">
        <f t="shared" si="19"/>
        <v>1869843</v>
      </c>
      <c r="Y31" s="19">
        <f>FEBRERO!AA31</f>
        <v>20411</v>
      </c>
      <c r="Z31" s="374">
        <v>0</v>
      </c>
      <c r="AA31" s="16">
        <f t="shared" si="20"/>
        <v>20411</v>
      </c>
      <c r="AB31" s="19">
        <f>FEBRERO!AD31</f>
        <v>20411</v>
      </c>
      <c r="AC31" s="374">
        <v>0</v>
      </c>
      <c r="AD31" s="16">
        <f t="shared" si="21"/>
        <v>20411</v>
      </c>
      <c r="AE31" s="19">
        <f>FEBRERO!AG31</f>
        <v>0</v>
      </c>
      <c r="AF31" s="374">
        <v>0</v>
      </c>
      <c r="AG31" s="16">
        <f t="shared" si="22"/>
        <v>0</v>
      </c>
      <c r="AH31" s="19">
        <f t="shared" si="23"/>
        <v>1849432</v>
      </c>
      <c r="AI31" s="15">
        <f t="shared" si="24"/>
        <v>1849432</v>
      </c>
      <c r="AJ31" s="16">
        <f t="shared" si="25"/>
        <v>1869843</v>
      </c>
      <c r="AK31" s="9"/>
      <c r="AL31" s="372">
        <v>0</v>
      </c>
      <c r="AM31" s="375">
        <v>0</v>
      </c>
      <c r="AN31" s="9"/>
      <c r="AO31" s="349"/>
      <c r="AP31" s="415" t="s">
        <v>135</v>
      </c>
      <c r="AQ31" s="431">
        <f>X258</f>
        <v>0</v>
      </c>
      <c r="AR31" s="431">
        <f>AD258</f>
        <v>-8095411908</v>
      </c>
      <c r="AS31" s="431">
        <f>AG258</f>
        <v>-9713168340</v>
      </c>
      <c r="AT31" s="431"/>
      <c r="AU31" s="373" t="str">
        <f t="shared" si="27"/>
        <v xml:space="preserve"> </v>
      </c>
      <c r="AV31" s="373" t="str">
        <f t="shared" si="28"/>
        <v xml:space="preserve"> </v>
      </c>
      <c r="AW31" s="373">
        <f>AQ31</f>
        <v>0</v>
      </c>
      <c r="AX31" s="373">
        <f>AQ31</f>
        <v>0</v>
      </c>
      <c r="AY31" s="373">
        <f t="shared" si="29"/>
        <v>0</v>
      </c>
      <c r="AZ31" s="143">
        <f t="shared" si="30"/>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5978923019</v>
      </c>
      <c r="BO31" s="107">
        <f>AA33+AA41+AA55+AA61+AA81+AA88+AA102+AA108+AA121+AA139+AA143+AA153+AA168+AA174+AA183+AA191+AA207+AA218+AA230+AA241+AA256+AA225</f>
        <v>5965415275</v>
      </c>
      <c r="BP31" s="107">
        <f>AD33+AD41+AD55+AD61+AD81+AD88+AD102+AD108+AD121+AD139+AD143+AD153+AD168+AD174+AD183+AD191+AD207+AD218+AD230+AD241+AD256+AD225</f>
        <v>5965415275</v>
      </c>
      <c r="BQ31" s="108">
        <f>AF33+AF41+AF55+AF61+AF81+AF88+AF102+AF108+AF121+AF139+AF143+AF153+AF168+AF174+AF183+AF191+AF207+AF218+AF230+AF241+AF256+AF225</f>
        <v>1891811916</v>
      </c>
      <c r="BR31" s="9"/>
    </row>
    <row r="32" spans="1:70" s="9" customFormat="1" ht="24.95" customHeight="1" thickBot="1">
      <c r="A32" s="611" t="str">
        <f>+IF(FEBRERO!A32=0,"",FEBRERO!A32)</f>
        <v>1130103-2</v>
      </c>
      <c r="B32" s="647" t="str">
        <f>+IF(FEBRERO!B32=0,"",FEBRERO!B32)</f>
        <v>Prestación de Servicios de salud  2o. Nivel</v>
      </c>
      <c r="C32" s="19">
        <f t="shared" ref="C32:N32" si="34">SUM(C33:C34)</f>
        <v>157521482</v>
      </c>
      <c r="D32" s="15">
        <f t="shared" si="34"/>
        <v>0</v>
      </c>
      <c r="E32" s="15">
        <f t="shared" si="34"/>
        <v>0</v>
      </c>
      <c r="F32" s="15">
        <f t="shared" si="34"/>
        <v>157521482</v>
      </c>
      <c r="G32" s="15">
        <f t="shared" si="34"/>
        <v>66734908</v>
      </c>
      <c r="H32" s="15">
        <f t="shared" si="34"/>
        <v>106108283</v>
      </c>
      <c r="I32" s="15">
        <f t="shared" si="34"/>
        <v>172843191</v>
      </c>
      <c r="J32" s="15">
        <f t="shared" si="34"/>
        <v>398458</v>
      </c>
      <c r="K32" s="15">
        <f t="shared" si="34"/>
        <v>807050</v>
      </c>
      <c r="L32" s="15">
        <f t="shared" si="34"/>
        <v>1205508</v>
      </c>
      <c r="M32" s="15">
        <f t="shared" si="34"/>
        <v>-15321709</v>
      </c>
      <c r="N32" s="16">
        <f t="shared" si="34"/>
        <v>156315974</v>
      </c>
      <c r="O32" s="382"/>
      <c r="P32" s="144">
        <f>SUM(P33:P34)</f>
        <v>0</v>
      </c>
      <c r="Q32" s="145">
        <f>SUM(Q33:Q34)</f>
        <v>0</v>
      </c>
      <c r="S32" s="706" t="str">
        <f>+IF(FEBRERO!S32=0,"",FEBRERO!S32)</f>
        <v>1010104-14</v>
      </c>
      <c r="T32" s="724" t="str">
        <f>+IF(FEBRERO!T32=0,"",FEBRERO!T32)</f>
        <v/>
      </c>
      <c r="U32" s="29">
        <f>+ENERO!U32</f>
        <v>0</v>
      </c>
      <c r="V32" s="15">
        <f>FEBRERO!V32+MARZO!AL32</f>
        <v>0</v>
      </c>
      <c r="W32" s="15">
        <f>FEBRERO!W32+MARZO!AM32</f>
        <v>0</v>
      </c>
      <c r="X32" s="18">
        <f t="shared" si="19"/>
        <v>0</v>
      </c>
      <c r="Y32" s="19">
        <f>FEBRERO!AA32</f>
        <v>0</v>
      </c>
      <c r="Z32" s="374">
        <v>0</v>
      </c>
      <c r="AA32" s="16">
        <f t="shared" si="20"/>
        <v>0</v>
      </c>
      <c r="AB32" s="19">
        <f>FEBRERO!AD32</f>
        <v>0</v>
      </c>
      <c r="AC32" s="374">
        <v>0</v>
      </c>
      <c r="AD32" s="16">
        <f t="shared" si="21"/>
        <v>0</v>
      </c>
      <c r="AE32" s="19">
        <f>FEBRERO!AG32</f>
        <v>0</v>
      </c>
      <c r="AF32" s="374">
        <v>0</v>
      </c>
      <c r="AG32" s="16">
        <f t="shared" si="22"/>
        <v>0</v>
      </c>
      <c r="AH32" s="19">
        <f t="shared" si="23"/>
        <v>0</v>
      </c>
      <c r="AI32" s="15">
        <f t="shared" si="24"/>
        <v>0</v>
      </c>
      <c r="AJ32" s="16">
        <f t="shared" si="25"/>
        <v>0</v>
      </c>
      <c r="AL32" s="372">
        <v>0</v>
      </c>
      <c r="AM32" s="375">
        <v>0</v>
      </c>
      <c r="AO32" s="21"/>
      <c r="AP32" s="440" t="s">
        <v>140</v>
      </c>
      <c r="AQ32" s="395">
        <f>SUM(AQ22:AQ31)</f>
        <v>54453533521</v>
      </c>
      <c r="AR32" s="395">
        <f>SUM(AR22:AR31)</f>
        <v>10478704815</v>
      </c>
      <c r="AS32" s="395">
        <f>SUM(AS22:AS31)</f>
        <v>0</v>
      </c>
      <c r="AT32" s="441"/>
      <c r="AU32" s="442">
        <f t="shared" si="27"/>
        <v>0.19243388146627599</v>
      </c>
      <c r="AV32" s="442">
        <f t="shared" si="28"/>
        <v>0</v>
      </c>
      <c r="AW32" s="351">
        <f>SUM(AW22:AW31)</f>
        <v>56423516058</v>
      </c>
      <c r="AX32" s="351">
        <f>SUM(AX22:AX31)</f>
        <v>21035959854</v>
      </c>
      <c r="AY32" s="351">
        <f>SUM(AY22:AY31)</f>
        <v>-1969982537</v>
      </c>
      <c r="AZ32" s="352">
        <f>SUM(AZ22:AZ31)</f>
        <v>33417573667</v>
      </c>
      <c r="BA32" s="382"/>
      <c r="BB32" s="422"/>
      <c r="BC32" s="422"/>
      <c r="BD32" s="422"/>
      <c r="BE32" s="422"/>
      <c r="BF32" s="422"/>
      <c r="BG32" s="382"/>
      <c r="BH32" s="382"/>
      <c r="BI32" s="382"/>
      <c r="BJ32" s="382"/>
      <c r="BK32" s="382"/>
      <c r="BM32" s="110" t="s">
        <v>136</v>
      </c>
      <c r="BN32" s="106">
        <f>+BN7+BN25+BN29+BN30+BN31</f>
        <v>54453533521</v>
      </c>
      <c r="BO32" s="107">
        <f t="shared" ref="BO32:BQ32" si="35">+BO7+BO25+BO29+BO30+BO31</f>
        <v>33002652545</v>
      </c>
      <c r="BP32" s="107">
        <f t="shared" si="35"/>
        <v>18574116723</v>
      </c>
      <c r="BQ32" s="108">
        <f t="shared" si="35"/>
        <v>3448675523</v>
      </c>
      <c r="BR32" s="382"/>
    </row>
    <row r="33" spans="1:70" s="422" customFormat="1" ht="24.95" customHeight="1" thickBot="1">
      <c r="A33" s="611" t="str">
        <f>+IF(FEBRERO!A33=0,"",FEBRERO!A33)</f>
        <v>1130103-2-1</v>
      </c>
      <c r="B33" s="646" t="str">
        <f>+CONCATENATE("Vigencia ",INSTRUCCIONES!$F$3)</f>
        <v>Vigencia 2017</v>
      </c>
      <c r="C33" s="671">
        <f>+ENERO!C33</f>
        <v>157521482</v>
      </c>
      <c r="D33" s="373">
        <f>FEBRERO!D33+MARZO!P33</f>
        <v>0</v>
      </c>
      <c r="E33" s="373">
        <f>FEBRERO!E33+MARZO!Q33</f>
        <v>0</v>
      </c>
      <c r="F33" s="373">
        <f>SUM(C33:E33)</f>
        <v>157521482</v>
      </c>
      <c r="G33" s="373">
        <f>FEBRERO!I33</f>
        <v>66521950</v>
      </c>
      <c r="H33" s="374">
        <v>106108283</v>
      </c>
      <c r="I33" s="373">
        <f>SUM(G33:H33)</f>
        <v>172630233</v>
      </c>
      <c r="J33" s="373">
        <f>FEBRERO!L33</f>
        <v>185500</v>
      </c>
      <c r="K33" s="374">
        <v>807050</v>
      </c>
      <c r="L33" s="373">
        <f>SUM(J33:K33)</f>
        <v>992550</v>
      </c>
      <c r="M33" s="373">
        <f>F33-I33</f>
        <v>-15108751</v>
      </c>
      <c r="N33" s="143">
        <f>F33-L33</f>
        <v>156528932</v>
      </c>
      <c r="O33" s="9"/>
      <c r="P33" s="372">
        <v>0</v>
      </c>
      <c r="Q33" s="375">
        <v>0</v>
      </c>
      <c r="R33" s="9"/>
      <c r="S33" s="705">
        <f>+IF(FEBRERO!S33=0,"",FEBRERO!S33)</f>
        <v>1010199</v>
      </c>
      <c r="T33" s="723" t="str">
        <f>+IF(FEBRERO!T33=0,"",FEBRERO!T33)</f>
        <v>Vigencias Anteriores</v>
      </c>
      <c r="U33" s="29">
        <f>+ENERO!U33</f>
        <v>0</v>
      </c>
      <c r="V33" s="15">
        <f>FEBRERO!V33+MARZO!AL33</f>
        <v>0</v>
      </c>
      <c r="W33" s="15">
        <f>FEBRERO!W33+MARZO!AM33</f>
        <v>0</v>
      </c>
      <c r="X33" s="18">
        <f t="shared" si="19"/>
        <v>0</v>
      </c>
      <c r="Y33" s="19">
        <f>FEBRERO!AA33</f>
        <v>0</v>
      </c>
      <c r="Z33" s="374">
        <v>0</v>
      </c>
      <c r="AA33" s="16">
        <f t="shared" si="20"/>
        <v>0</v>
      </c>
      <c r="AB33" s="19">
        <f>FEBRERO!AD33</f>
        <v>0</v>
      </c>
      <c r="AC33" s="374">
        <v>0</v>
      </c>
      <c r="AD33" s="16">
        <f t="shared" si="21"/>
        <v>0</v>
      </c>
      <c r="AE33" s="19">
        <f>FEBRERO!AG33</f>
        <v>0</v>
      </c>
      <c r="AF33" s="374">
        <v>0</v>
      </c>
      <c r="AG33" s="16">
        <f t="shared" si="22"/>
        <v>0</v>
      </c>
      <c r="AH33" s="19">
        <f t="shared" si="23"/>
        <v>0</v>
      </c>
      <c r="AI33" s="15">
        <f t="shared" si="24"/>
        <v>0</v>
      </c>
      <c r="AJ33" s="16">
        <f t="shared" si="25"/>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-11992347798</v>
      </c>
      <c r="BP33" s="113">
        <f>AD258</f>
        <v>-8095411908</v>
      </c>
      <c r="BQ33" s="114">
        <f>AF258</f>
        <v>40526153183</v>
      </c>
      <c r="BR33" s="382"/>
    </row>
    <row r="34" spans="1:70" s="422" customFormat="1" ht="24.95" customHeight="1" thickBot="1">
      <c r="A34" s="611" t="str">
        <f>+IF(FEBRERO!A34=0,"",FEBRERO!A34)</f>
        <v>1130103-2-2</v>
      </c>
      <c r="B34" s="646" t="str">
        <f>+IF(FEBRERO!B34=0,"",FEBRERO!B34)</f>
        <v>Vigencia Anterior</v>
      </c>
      <c r="C34" s="671">
        <f>+ENERO!C34</f>
        <v>0</v>
      </c>
      <c r="D34" s="373">
        <f>FEBRERO!D34+MARZO!P34</f>
        <v>0</v>
      </c>
      <c r="E34" s="373">
        <f>FEBRERO!E34+MARZO!Q34</f>
        <v>0</v>
      </c>
      <c r="F34" s="373">
        <f>SUM(C34:E34)</f>
        <v>0</v>
      </c>
      <c r="G34" s="373">
        <f>FEBRERO!I34</f>
        <v>212958</v>
      </c>
      <c r="H34" s="374">
        <v>0</v>
      </c>
      <c r="I34" s="373">
        <f>SUM(G34:H34)</f>
        <v>212958</v>
      </c>
      <c r="J34" s="373">
        <f>FEBRERO!L34</f>
        <v>212958</v>
      </c>
      <c r="K34" s="374">
        <v>0</v>
      </c>
      <c r="L34" s="373">
        <f>SUM(J34:K34)</f>
        <v>212958</v>
      </c>
      <c r="M34" s="373">
        <f>F34-I34</f>
        <v>-212958</v>
      </c>
      <c r="N34" s="143">
        <f>F34-L34</f>
        <v>-212958</v>
      </c>
      <c r="O34" s="382"/>
      <c r="P34" s="372">
        <v>0</v>
      </c>
      <c r="Q34" s="375">
        <v>0</v>
      </c>
      <c r="R34" s="9"/>
      <c r="S34" s="366" t="str">
        <f>+IF(FEBRERO!S34=0,"",FEBRERO!S34)</f>
        <v/>
      </c>
      <c r="T34" s="695" t="str">
        <f>+IF(FEBRERO!T34=0,"",FEBRERO!T34)</f>
        <v/>
      </c>
      <c r="U34" s="367"/>
      <c r="V34" s="161"/>
      <c r="W34" s="161"/>
      <c r="X34" s="161"/>
      <c r="Y34" s="367"/>
      <c r="Z34" s="161"/>
      <c r="AA34" s="166"/>
      <c r="AB34" s="367"/>
      <c r="AC34" s="161"/>
      <c r="AD34" s="166"/>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+IF(FEBRERO!A35=0,"",FEBRERO!A35)</f>
        <v>1130103-3</v>
      </c>
      <c r="B35" s="647" t="str">
        <f>+IF(FEBRERO!B35=0,"",FEBRERO!B35)</f>
        <v>Prestación de Servicios de salud  3o. Nivel</v>
      </c>
      <c r="C35" s="19">
        <f t="shared" ref="C35:N35" si="36">SUM(C36:C37)</f>
        <v>0</v>
      </c>
      <c r="D35" s="15">
        <f t="shared" si="36"/>
        <v>0</v>
      </c>
      <c r="E35" s="15">
        <f t="shared" si="36"/>
        <v>0</v>
      </c>
      <c r="F35" s="15">
        <f t="shared" si="36"/>
        <v>0</v>
      </c>
      <c r="G35" s="15">
        <f t="shared" si="36"/>
        <v>0</v>
      </c>
      <c r="H35" s="15">
        <f t="shared" si="36"/>
        <v>0</v>
      </c>
      <c r="I35" s="15">
        <f t="shared" si="36"/>
        <v>0</v>
      </c>
      <c r="J35" s="15">
        <f t="shared" si="36"/>
        <v>0</v>
      </c>
      <c r="K35" s="15">
        <f t="shared" si="36"/>
        <v>0</v>
      </c>
      <c r="L35" s="15">
        <f t="shared" si="36"/>
        <v>0</v>
      </c>
      <c r="M35" s="15">
        <f t="shared" si="36"/>
        <v>0</v>
      </c>
      <c r="N35" s="16">
        <f t="shared" si="36"/>
        <v>0</v>
      </c>
      <c r="P35" s="144">
        <f>SUM(P36:P37)</f>
        <v>0</v>
      </c>
      <c r="Q35" s="145">
        <f>SUM(Q36:Q37)</f>
        <v>0</v>
      </c>
      <c r="R35" s="9"/>
      <c r="S35" s="704">
        <f>+IF(FEBRERO!S35=0,"",FEBRERO!S35)</f>
        <v>1010200</v>
      </c>
      <c r="T35" s="722" t="str">
        <f>+IF(FEBRERO!T35=0,"",FEBRERO!T35)</f>
        <v>Servicios Personales Indirectos</v>
      </c>
      <c r="U35" s="128">
        <f t="shared" ref="U35:AJ35" si="37">SUM(U36:U41)</f>
        <v>3034900183</v>
      </c>
      <c r="V35" s="122">
        <f t="shared" si="37"/>
        <v>584645424</v>
      </c>
      <c r="W35" s="122">
        <f t="shared" si="37"/>
        <v>200000000</v>
      </c>
      <c r="X35" s="129">
        <f t="shared" si="37"/>
        <v>3819545607</v>
      </c>
      <c r="Y35" s="128">
        <f t="shared" si="37"/>
        <v>2070700854</v>
      </c>
      <c r="Z35" s="122">
        <f t="shared" si="37"/>
        <v>1674927708</v>
      </c>
      <c r="AA35" s="130">
        <f t="shared" si="37"/>
        <v>3745628562</v>
      </c>
      <c r="AB35" s="128">
        <f t="shared" si="37"/>
        <v>1145958156</v>
      </c>
      <c r="AC35" s="122">
        <f t="shared" si="37"/>
        <v>564731937</v>
      </c>
      <c r="AD35" s="130">
        <f t="shared" si="37"/>
        <v>1710690093</v>
      </c>
      <c r="AE35" s="128">
        <f t="shared" si="37"/>
        <v>704230488</v>
      </c>
      <c r="AF35" s="122">
        <f t="shared" si="37"/>
        <v>383247311</v>
      </c>
      <c r="AG35" s="130">
        <f t="shared" si="37"/>
        <v>1087477799</v>
      </c>
      <c r="AH35" s="128">
        <f t="shared" si="37"/>
        <v>73917045</v>
      </c>
      <c r="AI35" s="122">
        <f t="shared" si="37"/>
        <v>2108855514</v>
      </c>
      <c r="AJ35" s="130">
        <f t="shared" si="37"/>
        <v>2732067808</v>
      </c>
      <c r="AK35" s="9"/>
      <c r="AL35" s="128">
        <f>SUM(AL36:AL41)</f>
        <v>115563931</v>
      </c>
      <c r="AM35" s="130">
        <f>SUM(AM36:AM41)</f>
        <v>100000000</v>
      </c>
      <c r="AN35" s="9"/>
      <c r="AO35" s="349"/>
      <c r="AP35" s="450"/>
      <c r="AQ35" s="292"/>
      <c r="AR35" s="451"/>
      <c r="AS35" s="451"/>
      <c r="AT35" s="451"/>
      <c r="AU35" s="452">
        <f>AR17-AR32</f>
        <v>9691641457</v>
      </c>
      <c r="AV35" s="453">
        <f>AS17-AR32</f>
        <v>-160223554</v>
      </c>
      <c r="AW35" s="453" t="s">
        <v>153</v>
      </c>
      <c r="AX35" s="454"/>
      <c r="AY35" s="453">
        <f>AY17+AY32</f>
        <v>-2058863947</v>
      </c>
      <c r="AZ35" s="455">
        <f>AZ17+AY32</f>
        <v>-44185263675</v>
      </c>
      <c r="BB35" s="422"/>
      <c r="BC35" s="422"/>
      <c r="BD35" s="422"/>
      <c r="BE35" s="422"/>
      <c r="BF35" s="422"/>
    </row>
    <row r="36" spans="1:70" s="382" customFormat="1" ht="24.95" customHeight="1" thickBot="1">
      <c r="A36" s="611" t="str">
        <f>+IF(FEBRERO!A36=0,"",FEBRERO!A36)</f>
        <v>1130103-3-1</v>
      </c>
      <c r="B36" s="646" t="str">
        <f>+CONCATENATE("Vigencia ",INSTRUCCIONES!$F$3)</f>
        <v>Vigencia 2017</v>
      </c>
      <c r="C36" s="671">
        <f>+ENERO!C36</f>
        <v>0</v>
      </c>
      <c r="D36" s="373">
        <f>FEBRERO!D36+MARZO!P36</f>
        <v>0</v>
      </c>
      <c r="E36" s="373">
        <f>FEBRERO!E36+MARZO!Q36</f>
        <v>0</v>
      </c>
      <c r="F36" s="373">
        <f t="shared" ref="F36:F41" si="38">SUM(C36:E36)</f>
        <v>0</v>
      </c>
      <c r="G36" s="373">
        <f>FEBRERO!I36</f>
        <v>0</v>
      </c>
      <c r="H36" s="374">
        <v>0</v>
      </c>
      <c r="I36" s="373">
        <f t="shared" ref="I36:I41" si="39">SUM(G36:H36)</f>
        <v>0</v>
      </c>
      <c r="J36" s="373">
        <f>FEBRERO!L36</f>
        <v>0</v>
      </c>
      <c r="K36" s="374">
        <v>0</v>
      </c>
      <c r="L36" s="373">
        <f t="shared" ref="L36:L41" si="40">SUM(J36:K36)</f>
        <v>0</v>
      </c>
      <c r="M36" s="373">
        <f t="shared" ref="M36:M41" si="41">F36-I36</f>
        <v>0</v>
      </c>
      <c r="N36" s="143">
        <f t="shared" ref="N36:N41" si="42">F36-L36</f>
        <v>0</v>
      </c>
      <c r="O36" s="9"/>
      <c r="P36" s="372">
        <v>0</v>
      </c>
      <c r="Q36" s="375">
        <v>0</v>
      </c>
      <c r="R36" s="9"/>
      <c r="S36" s="705" t="str">
        <f>+IF(FEBRERO!S36=0,"",FEBRERO!S36)</f>
        <v>1010200-1</v>
      </c>
      <c r="T36" s="723" t="str">
        <f>+IF(FEBRERO!T36=0,"",FEBRERO!T36)</f>
        <v>Remuneración y Honorarios por Servicios Técnicos y Profesionales</v>
      </c>
      <c r="U36" s="29">
        <f>+ENERO!U36</f>
        <v>999690000</v>
      </c>
      <c r="V36" s="15">
        <f>FEBRERO!V36+MARZO!AL36</f>
        <v>189000000</v>
      </c>
      <c r="W36" s="15">
        <f>FEBRERO!W36+MARZO!AM36</f>
        <v>0</v>
      </c>
      <c r="X36" s="18">
        <f t="shared" ref="X36:X41" si="43">SUM(U36:W36)</f>
        <v>1188690000</v>
      </c>
      <c r="Y36" s="19">
        <f>FEBRERO!AA36</f>
        <v>1098872499</v>
      </c>
      <c r="Z36" s="374">
        <v>89458481</v>
      </c>
      <c r="AA36" s="16">
        <f t="shared" ref="AA36:AA41" si="44">SUM(Y36:Z36)</f>
        <v>1188330980</v>
      </c>
      <c r="AB36" s="19">
        <f>FEBRERO!AD36</f>
        <v>321665365</v>
      </c>
      <c r="AC36" s="374">
        <v>125641832</v>
      </c>
      <c r="AD36" s="16">
        <f t="shared" ref="AD36:AD41" si="45">SUM(AB36:AC36)</f>
        <v>447307197</v>
      </c>
      <c r="AE36" s="19">
        <f>FEBRERO!AG36</f>
        <v>148859126</v>
      </c>
      <c r="AF36" s="374">
        <v>224577166</v>
      </c>
      <c r="AG36" s="16">
        <f t="shared" ref="AG36:AG41" si="46">SUM(AE36:AF36)</f>
        <v>373436292</v>
      </c>
      <c r="AH36" s="19">
        <f t="shared" ref="AH36:AH41" si="47">X36-AA36</f>
        <v>359020</v>
      </c>
      <c r="AI36" s="15">
        <f t="shared" ref="AI36:AI41" si="48">X36-AD36</f>
        <v>741382803</v>
      </c>
      <c r="AJ36" s="16">
        <f t="shared" ref="AJ36:AJ41" si="49">X36-AG36</f>
        <v>815253708</v>
      </c>
      <c r="AK36" s="9"/>
      <c r="AL36" s="372">
        <f>7631504+9000000+41000000</f>
        <v>57631504</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+IF(FEBRERO!A37=0,"",FEBRERO!A37)</f>
        <v>1130103-3-2</v>
      </c>
      <c r="B37" s="646" t="str">
        <f>+IF(FEBRERO!B37=0,"",FEBRERO!B37)</f>
        <v>Vigencia Anterior</v>
      </c>
      <c r="C37" s="671">
        <f>+ENERO!C37</f>
        <v>0</v>
      </c>
      <c r="D37" s="373">
        <f>FEBRERO!D37+MARZO!P37</f>
        <v>0</v>
      </c>
      <c r="E37" s="373">
        <f>FEBRERO!E37+MARZO!Q37</f>
        <v>0</v>
      </c>
      <c r="F37" s="373">
        <f t="shared" si="38"/>
        <v>0</v>
      </c>
      <c r="G37" s="373">
        <f>FEBRERO!I37</f>
        <v>0</v>
      </c>
      <c r="H37" s="374">
        <v>0</v>
      </c>
      <c r="I37" s="373">
        <f t="shared" si="39"/>
        <v>0</v>
      </c>
      <c r="J37" s="373">
        <f>FEBRERO!L37</f>
        <v>0</v>
      </c>
      <c r="K37" s="374">
        <v>0</v>
      </c>
      <c r="L37" s="373">
        <f t="shared" si="40"/>
        <v>0</v>
      </c>
      <c r="M37" s="373">
        <f t="shared" si="41"/>
        <v>0</v>
      </c>
      <c r="N37" s="143">
        <f t="shared" si="42"/>
        <v>0</v>
      </c>
      <c r="P37" s="372">
        <v>0</v>
      </c>
      <c r="Q37" s="375">
        <v>0</v>
      </c>
      <c r="R37" s="9"/>
      <c r="S37" s="705" t="str">
        <f>+IF(FEBRERO!S37=0,"",FEBRERO!S37)</f>
        <v>1010200-2</v>
      </c>
      <c r="T37" s="723" t="str">
        <f>+IF(FEBRERO!T37=0,"",FEBRERO!T37)</f>
        <v>Personal Supernumerario</v>
      </c>
      <c r="U37" s="29">
        <f>+ENERO!U37</f>
        <v>0</v>
      </c>
      <c r="V37" s="15">
        <f>FEBRERO!V37+MARZO!AL37</f>
        <v>0</v>
      </c>
      <c r="W37" s="15">
        <f>FEBRERO!W37+MARZO!AM37</f>
        <v>0</v>
      </c>
      <c r="X37" s="18">
        <f t="shared" si="43"/>
        <v>0</v>
      </c>
      <c r="Y37" s="19">
        <f>FEBRERO!AA37</f>
        <v>0</v>
      </c>
      <c r="Z37" s="374">
        <v>0</v>
      </c>
      <c r="AA37" s="16">
        <f t="shared" si="44"/>
        <v>0</v>
      </c>
      <c r="AB37" s="19">
        <f>FEBRERO!AD37</f>
        <v>0</v>
      </c>
      <c r="AC37" s="374">
        <v>0</v>
      </c>
      <c r="AD37" s="16">
        <f t="shared" si="45"/>
        <v>0</v>
      </c>
      <c r="AE37" s="19">
        <f>FEBRERO!AG37</f>
        <v>0</v>
      </c>
      <c r="AF37" s="374">
        <v>0</v>
      </c>
      <c r="AG37" s="16">
        <f t="shared" si="46"/>
        <v>0</v>
      </c>
      <c r="AH37" s="19">
        <f t="shared" si="47"/>
        <v>0</v>
      </c>
      <c r="AI37" s="15">
        <f t="shared" si="48"/>
        <v>0</v>
      </c>
      <c r="AJ37" s="16">
        <f t="shared" si="49"/>
        <v>0</v>
      </c>
      <c r="AK37" s="9"/>
      <c r="AL37" s="372">
        <v>0</v>
      </c>
      <c r="AM37" s="375">
        <v>0</v>
      </c>
      <c r="AN37" s="9"/>
      <c r="AO37" s="24" t="s">
        <v>156</v>
      </c>
    </row>
    <row r="38" spans="1:70" s="382" customFormat="1" ht="24.95" customHeight="1">
      <c r="A38" s="735" t="str">
        <f>+IF(FEBRERO!A38=0,"",FEBRERO!A38)</f>
        <v>1130103-4</v>
      </c>
      <c r="B38" s="648" t="str">
        <f>+IF(FEBRERO!B38=0,"",FEBRERO!B38)</f>
        <v xml:space="preserve"> Aportes Patronales  1o. Nivel</v>
      </c>
      <c r="C38" s="671">
        <f>+ENERO!C38</f>
        <v>0</v>
      </c>
      <c r="D38" s="373">
        <f>FEBRERO!D38+MARZO!P38</f>
        <v>0</v>
      </c>
      <c r="E38" s="373">
        <f>FEBRERO!E38+MARZO!Q38</f>
        <v>0</v>
      </c>
      <c r="F38" s="373">
        <f t="shared" si="38"/>
        <v>0</v>
      </c>
      <c r="G38" s="373">
        <f>FEBRERO!I38</f>
        <v>0</v>
      </c>
      <c r="H38" s="374">
        <v>0</v>
      </c>
      <c r="I38" s="373">
        <f t="shared" si="39"/>
        <v>0</v>
      </c>
      <c r="J38" s="373">
        <f>FEBRERO!L38</f>
        <v>0</v>
      </c>
      <c r="K38" s="374">
        <v>0</v>
      </c>
      <c r="L38" s="373">
        <f t="shared" si="40"/>
        <v>0</v>
      </c>
      <c r="M38" s="373">
        <f t="shared" si="41"/>
        <v>0</v>
      </c>
      <c r="N38" s="143">
        <f t="shared" si="42"/>
        <v>0</v>
      </c>
      <c r="O38" s="525"/>
      <c r="P38" s="372">
        <v>0</v>
      </c>
      <c r="Q38" s="375">
        <v>0</v>
      </c>
      <c r="R38" s="9"/>
      <c r="S38" s="705" t="str">
        <f>+IF(FEBRERO!S38=0,"",FEBRERO!S38)</f>
        <v>1010200-3</v>
      </c>
      <c r="T38" s="723" t="str">
        <f>+IF(FEBRERO!T38=0,"",FEBRERO!T38)</f>
        <v>Honorarios de la Junta Directiva</v>
      </c>
      <c r="U38" s="29">
        <f>+ENERO!U38</f>
        <v>5000000</v>
      </c>
      <c r="V38" s="15">
        <f>FEBRERO!V38+MARZO!AL38</f>
        <v>0</v>
      </c>
      <c r="W38" s="15">
        <f>FEBRERO!W38+MARZO!AM38</f>
        <v>0</v>
      </c>
      <c r="X38" s="18">
        <f t="shared" si="43"/>
        <v>5000000</v>
      </c>
      <c r="Y38" s="19">
        <f>FEBRERO!AA38</f>
        <v>737718</v>
      </c>
      <c r="Z38" s="374">
        <v>0</v>
      </c>
      <c r="AA38" s="16">
        <f t="shared" si="44"/>
        <v>737718</v>
      </c>
      <c r="AB38" s="19">
        <f>FEBRERO!AD38</f>
        <v>737718</v>
      </c>
      <c r="AC38" s="374">
        <v>0</v>
      </c>
      <c r="AD38" s="16">
        <f t="shared" si="45"/>
        <v>737718</v>
      </c>
      <c r="AE38" s="19">
        <f>FEBRERO!AG38</f>
        <v>0</v>
      </c>
      <c r="AF38" s="374">
        <v>737718</v>
      </c>
      <c r="AG38" s="16">
        <f t="shared" si="46"/>
        <v>737718</v>
      </c>
      <c r="AH38" s="19">
        <f t="shared" si="47"/>
        <v>4262282</v>
      </c>
      <c r="AI38" s="15">
        <f t="shared" si="48"/>
        <v>4262282</v>
      </c>
      <c r="AJ38" s="16">
        <f t="shared" si="49"/>
        <v>4262282</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5" t="str">
        <f>+IF(FEBRERO!A39=0,"",FEBRERO!A39)</f>
        <v>1130103-5</v>
      </c>
      <c r="B39" s="648" t="str">
        <f>+IF(FEBRERO!B39=0,"",FEBRERO!B39)</f>
        <v xml:space="preserve"> Aportes Patronales  2o. Nivel</v>
      </c>
      <c r="C39" s="671">
        <f>+ENERO!C39</f>
        <v>0</v>
      </c>
      <c r="D39" s="373">
        <f>FEBRERO!D39+MARZO!P39</f>
        <v>0</v>
      </c>
      <c r="E39" s="373">
        <f>FEBRERO!E39+MARZO!Q39</f>
        <v>0</v>
      </c>
      <c r="F39" s="373">
        <f t="shared" si="38"/>
        <v>0</v>
      </c>
      <c r="G39" s="373">
        <f>FEBRERO!I39</f>
        <v>0</v>
      </c>
      <c r="H39" s="374">
        <v>0</v>
      </c>
      <c r="I39" s="373">
        <f t="shared" si="39"/>
        <v>0</v>
      </c>
      <c r="J39" s="373">
        <f>FEBRERO!L39</f>
        <v>0</v>
      </c>
      <c r="K39" s="374">
        <v>0</v>
      </c>
      <c r="L39" s="373">
        <f t="shared" si="40"/>
        <v>0</v>
      </c>
      <c r="M39" s="373">
        <f t="shared" si="41"/>
        <v>0</v>
      </c>
      <c r="N39" s="143">
        <f t="shared" si="42"/>
        <v>0</v>
      </c>
      <c r="O39" s="525"/>
      <c r="P39" s="372">
        <v>0</v>
      </c>
      <c r="Q39" s="375">
        <v>0</v>
      </c>
      <c r="R39" s="9"/>
      <c r="S39" s="705" t="str">
        <f>+IF(FEBRERO!S39=0,"",FEBRERO!S39)</f>
        <v>1010200-4</v>
      </c>
      <c r="T39" s="723" t="str">
        <f>+IF(FEBRERO!T39=0,"",FEBRERO!T39)</f>
        <v>Otros Honorarios</v>
      </c>
      <c r="U39" s="29">
        <f>+ENERO!U39</f>
        <v>2030210183</v>
      </c>
      <c r="V39" s="15">
        <f>FEBRERO!V39+MARZO!AL39</f>
        <v>130000000</v>
      </c>
      <c r="W39" s="15">
        <f>FEBRERO!W39+MARZO!AM39</f>
        <v>0</v>
      </c>
      <c r="X39" s="18">
        <f t="shared" si="43"/>
        <v>2160210183</v>
      </c>
      <c r="Y39" s="19">
        <f>FEBRERO!AA39</f>
        <v>663377640</v>
      </c>
      <c r="Z39" s="374">
        <v>1427536800</v>
      </c>
      <c r="AA39" s="16">
        <f t="shared" si="44"/>
        <v>2090914440</v>
      </c>
      <c r="AB39" s="19">
        <f>FEBRERO!AD39</f>
        <v>515842076</v>
      </c>
      <c r="AC39" s="374">
        <v>281157678</v>
      </c>
      <c r="AD39" s="16">
        <f t="shared" si="45"/>
        <v>796999754</v>
      </c>
      <c r="AE39" s="19">
        <f>FEBRERO!AG39</f>
        <v>247658365</v>
      </c>
      <c r="AF39" s="374">
        <v>0</v>
      </c>
      <c r="AG39" s="16">
        <f t="shared" si="46"/>
        <v>247658365</v>
      </c>
      <c r="AH39" s="19">
        <f t="shared" si="47"/>
        <v>69295743</v>
      </c>
      <c r="AI39" s="15">
        <f t="shared" si="48"/>
        <v>1363210429</v>
      </c>
      <c r="AJ39" s="16">
        <f t="shared" si="49"/>
        <v>1912551818</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5" t="str">
        <f>+IF(FEBRERO!A40=0,"",FEBRERO!A40)</f>
        <v>1130103-6</v>
      </c>
      <c r="B40" s="648" t="str">
        <f>+IF(FEBRERO!B40=0,"",FEBRERO!B40)</f>
        <v xml:space="preserve"> Aportes Patronales  3er. Nivel</v>
      </c>
      <c r="C40" s="671">
        <f>+ENERO!C40</f>
        <v>0</v>
      </c>
      <c r="D40" s="373">
        <f>FEBRERO!D40+MARZO!P40</f>
        <v>0</v>
      </c>
      <c r="E40" s="373">
        <f>FEBRERO!E40+MARZO!Q40</f>
        <v>0</v>
      </c>
      <c r="F40" s="373">
        <f t="shared" si="38"/>
        <v>0</v>
      </c>
      <c r="G40" s="373">
        <f>FEBRERO!I40</f>
        <v>0</v>
      </c>
      <c r="H40" s="374">
        <v>0</v>
      </c>
      <c r="I40" s="373">
        <f t="shared" si="39"/>
        <v>0</v>
      </c>
      <c r="J40" s="373">
        <f>FEBRERO!L40</f>
        <v>0</v>
      </c>
      <c r="K40" s="374">
        <v>0</v>
      </c>
      <c r="L40" s="373">
        <f t="shared" si="40"/>
        <v>0</v>
      </c>
      <c r="M40" s="373">
        <f t="shared" si="41"/>
        <v>0</v>
      </c>
      <c r="N40" s="143">
        <f t="shared" si="42"/>
        <v>0</v>
      </c>
      <c r="O40" s="525"/>
      <c r="P40" s="372">
        <v>0</v>
      </c>
      <c r="Q40" s="375">
        <v>0</v>
      </c>
      <c r="R40" s="9"/>
      <c r="S40" s="705" t="str">
        <f>+IF(FEBRERO!S40=0,"",FEBRERO!S40)</f>
        <v>1010200-6</v>
      </c>
      <c r="T40" s="723" t="str">
        <f>+IF(FEBRERO!T40=0,"",FEBRERO!T40)</f>
        <v>Certificación, Habilitación y Acreditación</v>
      </c>
      <c r="U40" s="29">
        <f>+ENERO!U40</f>
        <v>0</v>
      </c>
      <c r="V40" s="15">
        <f>FEBRERO!V40+MARZO!AL40</f>
        <v>0</v>
      </c>
      <c r="W40" s="15">
        <f>FEBRERO!W40+MARZO!AM40</f>
        <v>0</v>
      </c>
      <c r="X40" s="18">
        <f t="shared" si="43"/>
        <v>0</v>
      </c>
      <c r="Y40" s="19">
        <f>FEBRERO!AA40</f>
        <v>0</v>
      </c>
      <c r="Z40" s="374">
        <v>0</v>
      </c>
      <c r="AA40" s="16">
        <f t="shared" si="44"/>
        <v>0</v>
      </c>
      <c r="AB40" s="19">
        <f>FEBRERO!AD40</f>
        <v>0</v>
      </c>
      <c r="AC40" s="374">
        <v>0</v>
      </c>
      <c r="AD40" s="16">
        <f t="shared" si="45"/>
        <v>0</v>
      </c>
      <c r="AE40" s="19">
        <f>FEBRERO!AG40</f>
        <v>0</v>
      </c>
      <c r="AF40" s="374">
        <v>0</v>
      </c>
      <c r="AG40" s="16">
        <f t="shared" si="46"/>
        <v>0</v>
      </c>
      <c r="AH40" s="19">
        <f t="shared" si="47"/>
        <v>0</v>
      </c>
      <c r="AI40" s="15">
        <f t="shared" si="48"/>
        <v>0</v>
      </c>
      <c r="AJ40" s="16">
        <f t="shared" si="49"/>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3">
        <f>+IF(FEBRERO!A41=0,"",FEBRERO!A41)</f>
        <v>1130104</v>
      </c>
      <c r="B41" s="645" t="str">
        <f>+IF(FEBRERO!B41=0,"",FEBRERO!B41)</f>
        <v>SUBSIDIO A LA OFERTA- ACTIVIDADES NO POS-S</v>
      </c>
      <c r="C41" s="671">
        <f>+ENERO!C41</f>
        <v>0</v>
      </c>
      <c r="D41" s="122">
        <f>FEBRERO!D41+MARZO!P41</f>
        <v>0</v>
      </c>
      <c r="E41" s="122">
        <f>FEBRERO!E41+MARZO!Q41</f>
        <v>0</v>
      </c>
      <c r="F41" s="122">
        <f t="shared" si="38"/>
        <v>0</v>
      </c>
      <c r="G41" s="122">
        <f>FEBRERO!I41</f>
        <v>0</v>
      </c>
      <c r="H41" s="374">
        <v>0</v>
      </c>
      <c r="I41" s="122">
        <f t="shared" si="39"/>
        <v>0</v>
      </c>
      <c r="J41" s="122">
        <f>FEBRERO!L41</f>
        <v>0</v>
      </c>
      <c r="K41" s="374">
        <v>0</v>
      </c>
      <c r="L41" s="122">
        <f t="shared" si="40"/>
        <v>0</v>
      </c>
      <c r="M41" s="122">
        <f t="shared" si="41"/>
        <v>0</v>
      </c>
      <c r="N41" s="130">
        <f t="shared" si="42"/>
        <v>0</v>
      </c>
      <c r="O41" s="382"/>
      <c r="P41" s="374">
        <v>0</v>
      </c>
      <c r="Q41" s="375">
        <v>0</v>
      </c>
      <c r="R41" s="9"/>
      <c r="S41" s="705">
        <f>+IF(FEBRERO!S41=0,"",FEBRERO!S41)</f>
        <v>1010299</v>
      </c>
      <c r="T41" s="723" t="str">
        <f>+IF(FEBRERO!T41=0,"",FEBRERO!T41)</f>
        <v>Vigencias Anteriores</v>
      </c>
      <c r="U41" s="29">
        <f>+ENERO!U41</f>
        <v>0</v>
      </c>
      <c r="V41" s="15">
        <f>FEBRERO!V41+MARZO!AL41</f>
        <v>265645424</v>
      </c>
      <c r="W41" s="15">
        <f>FEBRERO!W41+MARZO!AM41</f>
        <v>200000000</v>
      </c>
      <c r="X41" s="18">
        <f t="shared" si="43"/>
        <v>465645424</v>
      </c>
      <c r="Y41" s="19">
        <f>FEBRERO!AA41</f>
        <v>307712997</v>
      </c>
      <c r="Z41" s="374">
        <v>157932427</v>
      </c>
      <c r="AA41" s="16">
        <f t="shared" si="44"/>
        <v>465645424</v>
      </c>
      <c r="AB41" s="19">
        <f>FEBRERO!AD41</f>
        <v>307712997</v>
      </c>
      <c r="AC41" s="374">
        <v>157932427</v>
      </c>
      <c r="AD41" s="16">
        <f t="shared" si="45"/>
        <v>465645424</v>
      </c>
      <c r="AE41" s="19">
        <f>FEBRERO!AG41</f>
        <v>307712997</v>
      </c>
      <c r="AF41" s="374">
        <v>157932427</v>
      </c>
      <c r="AG41" s="814">
        <f t="shared" si="46"/>
        <v>465645424</v>
      </c>
      <c r="AH41" s="19">
        <f t="shared" si="47"/>
        <v>0</v>
      </c>
      <c r="AI41" s="15">
        <f t="shared" si="48"/>
        <v>0</v>
      </c>
      <c r="AJ41" s="16">
        <f t="shared" si="49"/>
        <v>0</v>
      </c>
      <c r="AK41" s="9"/>
      <c r="AL41" s="372">
        <f>-7631504+12000000+5000000+49000000-436069</f>
        <v>57932427</v>
      </c>
      <c r="AM41" s="375">
        <v>100000000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3">
        <f>+IF(FEBRERO!A42=0,"",FEBRERO!A42)</f>
        <v>1130106</v>
      </c>
      <c r="B42" s="645" t="str">
        <f>+IF(FEBRERO!B42=0,"",FEBRERO!B42)</f>
        <v>SALUD PUBLICA - PLAN DE INTERVENCIONES COLECTIVAS</v>
      </c>
      <c r="C42" s="43">
        <f t="shared" ref="C42:N42" si="50">SUM(C43:C44)</f>
        <v>0</v>
      </c>
      <c r="D42" s="44">
        <f t="shared" si="50"/>
        <v>0</v>
      </c>
      <c r="E42" s="44">
        <f t="shared" si="50"/>
        <v>0</v>
      </c>
      <c r="F42" s="44">
        <f t="shared" si="50"/>
        <v>0</v>
      </c>
      <c r="G42" s="44">
        <f t="shared" si="50"/>
        <v>0</v>
      </c>
      <c r="H42" s="44">
        <f t="shared" si="50"/>
        <v>0</v>
      </c>
      <c r="I42" s="44">
        <f t="shared" si="50"/>
        <v>0</v>
      </c>
      <c r="J42" s="44">
        <f t="shared" si="50"/>
        <v>0</v>
      </c>
      <c r="K42" s="44">
        <f t="shared" si="50"/>
        <v>0</v>
      </c>
      <c r="L42" s="44">
        <f t="shared" si="50"/>
        <v>0</v>
      </c>
      <c r="M42" s="44">
        <f t="shared" si="50"/>
        <v>0</v>
      </c>
      <c r="N42" s="45">
        <f t="shared" si="50"/>
        <v>0</v>
      </c>
      <c r="P42" s="43">
        <f>SUM(P43:P44)</f>
        <v>0</v>
      </c>
      <c r="Q42" s="45">
        <f>SUM(Q43:Q44)</f>
        <v>0</v>
      </c>
      <c r="R42" s="9"/>
      <c r="S42" s="366" t="str">
        <f>+IF(FEBRERO!S42=0,"",FEBRERO!S42)</f>
        <v/>
      </c>
      <c r="T42" s="695" t="str">
        <f>+IF(FEBRERO!T42=0,"",FEBRERO!T42)</f>
        <v/>
      </c>
      <c r="U42" s="367"/>
      <c r="V42" s="161"/>
      <c r="W42" s="161"/>
      <c r="X42" s="161"/>
      <c r="Y42" s="367"/>
      <c r="Z42" s="161"/>
      <c r="AA42" s="166"/>
      <c r="AB42" s="367"/>
      <c r="AC42" s="161"/>
      <c r="AD42" s="166"/>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+IF(FEBRERO!A43=0,"",FEBRERO!A43)</f>
        <v>1130106-1</v>
      </c>
      <c r="B43" s="646" t="str">
        <f>+CONCATENATE("Vigencia ",INSTRUCCIONES!$F$3)</f>
        <v>Vigencia 2017</v>
      </c>
      <c r="C43" s="671">
        <f>+ENERO!C43</f>
        <v>0</v>
      </c>
      <c r="D43" s="373">
        <f>FEBRERO!D43+MARZO!P43</f>
        <v>0</v>
      </c>
      <c r="E43" s="373">
        <f>FEBRERO!E43+MARZO!Q43</f>
        <v>0</v>
      </c>
      <c r="F43" s="373">
        <f>SUM(C43:E43)</f>
        <v>0</v>
      </c>
      <c r="G43" s="373">
        <f>FEBRERO!I43</f>
        <v>0</v>
      </c>
      <c r="H43" s="374">
        <v>0</v>
      </c>
      <c r="I43" s="373">
        <f>SUM(G43:H43)</f>
        <v>0</v>
      </c>
      <c r="J43" s="373">
        <f>FEBRERO!L43</f>
        <v>0</v>
      </c>
      <c r="K43" s="374">
        <v>0</v>
      </c>
      <c r="L43" s="373">
        <f>SUM(J43:K43)</f>
        <v>0</v>
      </c>
      <c r="M43" s="373">
        <f>F43-I43</f>
        <v>0</v>
      </c>
      <c r="N43" s="143">
        <f>F43-L43</f>
        <v>0</v>
      </c>
      <c r="O43" s="382"/>
      <c r="P43" s="372">
        <v>0</v>
      </c>
      <c r="Q43" s="375">
        <v>0</v>
      </c>
      <c r="R43" s="9"/>
      <c r="S43" s="704">
        <f>+IF(FEBRERO!S43=0,"",FEBRERO!S43)</f>
        <v>1010300</v>
      </c>
      <c r="T43" s="722" t="str">
        <f>+IF(FEBRERO!T43=0,"",FEBRERO!T43)</f>
        <v>Contribuciones Inherentes nómina al Sector Privado</v>
      </c>
      <c r="U43" s="128">
        <f t="shared" ref="U43:AJ43" si="51">U44+U49+U55</f>
        <v>182861553</v>
      </c>
      <c r="V43" s="122">
        <f t="shared" si="51"/>
        <v>-24802080</v>
      </c>
      <c r="W43" s="122">
        <f t="shared" si="51"/>
        <v>24802080</v>
      </c>
      <c r="X43" s="129">
        <f t="shared" si="51"/>
        <v>182861553</v>
      </c>
      <c r="Y43" s="128">
        <f t="shared" si="51"/>
        <v>19093329</v>
      </c>
      <c r="Z43" s="122">
        <f t="shared" si="51"/>
        <v>9588153</v>
      </c>
      <c r="AA43" s="130">
        <f t="shared" si="51"/>
        <v>28681482</v>
      </c>
      <c r="AB43" s="128">
        <f t="shared" si="51"/>
        <v>19093329</v>
      </c>
      <c r="AC43" s="122">
        <f t="shared" si="51"/>
        <v>9588153</v>
      </c>
      <c r="AD43" s="130">
        <f t="shared" si="51"/>
        <v>28681482</v>
      </c>
      <c r="AE43" s="128">
        <f t="shared" si="51"/>
        <v>19093329</v>
      </c>
      <c r="AF43" s="122">
        <f t="shared" si="51"/>
        <v>9588153</v>
      </c>
      <c r="AG43" s="130">
        <f t="shared" si="51"/>
        <v>28681482</v>
      </c>
      <c r="AH43" s="128">
        <f t="shared" si="51"/>
        <v>154180071</v>
      </c>
      <c r="AI43" s="122">
        <f t="shared" si="51"/>
        <v>154180071</v>
      </c>
      <c r="AJ43" s="130">
        <f t="shared" si="51"/>
        <v>154180071</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+IF(FEBRERO!A44=0,"",FEBRERO!A44)</f>
        <v>1130106-2</v>
      </c>
      <c r="B44" s="646" t="str">
        <f>+IF(FEBRERO!B44=0,"",FEBRERO!B44)</f>
        <v>Vigencia Anterior</v>
      </c>
      <c r="C44" s="671">
        <f>+ENERO!C44</f>
        <v>0</v>
      </c>
      <c r="D44" s="373">
        <f>FEBRERO!D44+MARZO!P44</f>
        <v>0</v>
      </c>
      <c r="E44" s="373">
        <f>FEBRERO!E44+MARZO!Q44</f>
        <v>0</v>
      </c>
      <c r="F44" s="373">
        <f>SUM(C44:E44)</f>
        <v>0</v>
      </c>
      <c r="G44" s="373">
        <f>FEBRERO!I44</f>
        <v>0</v>
      </c>
      <c r="H44" s="374">
        <v>0</v>
      </c>
      <c r="I44" s="373">
        <f>SUM(G44:H44)</f>
        <v>0</v>
      </c>
      <c r="J44" s="373">
        <f>FEBRERO!L44</f>
        <v>0</v>
      </c>
      <c r="K44" s="374">
        <v>0</v>
      </c>
      <c r="L44" s="373">
        <f>SUM(J44:K44)</f>
        <v>0</v>
      </c>
      <c r="M44" s="373">
        <f>F44-I44</f>
        <v>0</v>
      </c>
      <c r="N44" s="143">
        <f>F44-L44</f>
        <v>0</v>
      </c>
      <c r="O44" s="382"/>
      <c r="P44" s="372">
        <v>0</v>
      </c>
      <c r="Q44" s="375">
        <v>0</v>
      </c>
      <c r="R44" s="9"/>
      <c r="S44" s="705">
        <f>+IF(FEBRERO!S44=0,"",FEBRERO!S44)</f>
        <v>1010301</v>
      </c>
      <c r="T44" s="723" t="str">
        <f>+IF(FEBRERO!T44=0,"",FEBRERO!T44)</f>
        <v>Contribuciones - SGP - Aportes Patronales - Cuentas Maestras</v>
      </c>
      <c r="U44" s="29">
        <f t="shared" ref="U44:AJ44" si="52">SUM(U45:U48)</f>
        <v>0</v>
      </c>
      <c r="V44" s="15">
        <f t="shared" si="52"/>
        <v>0</v>
      </c>
      <c r="W44" s="15">
        <f t="shared" si="52"/>
        <v>0</v>
      </c>
      <c r="X44" s="18">
        <f t="shared" si="52"/>
        <v>0</v>
      </c>
      <c r="Y44" s="19">
        <f t="shared" si="52"/>
        <v>0</v>
      </c>
      <c r="Z44" s="142">
        <f t="shared" si="52"/>
        <v>0</v>
      </c>
      <c r="AA44" s="16">
        <f t="shared" si="52"/>
        <v>0</v>
      </c>
      <c r="AB44" s="19">
        <f t="shared" si="52"/>
        <v>0</v>
      </c>
      <c r="AC44" s="142">
        <f t="shared" si="52"/>
        <v>0</v>
      </c>
      <c r="AD44" s="16">
        <f t="shared" si="52"/>
        <v>0</v>
      </c>
      <c r="AE44" s="19">
        <f t="shared" si="52"/>
        <v>0</v>
      </c>
      <c r="AF44" s="142">
        <f t="shared" si="52"/>
        <v>0</v>
      </c>
      <c r="AG44" s="16">
        <f t="shared" si="52"/>
        <v>0</v>
      </c>
      <c r="AH44" s="19">
        <f t="shared" si="52"/>
        <v>0</v>
      </c>
      <c r="AI44" s="15">
        <f t="shared" si="52"/>
        <v>0</v>
      </c>
      <c r="AJ44" s="16">
        <f t="shared" si="52"/>
        <v>0</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3">
        <f>+IF(FEBRERO!A45=0,"",FEBRERO!A45)</f>
        <v>1130107</v>
      </c>
      <c r="B45" s="645" t="str">
        <f>+IF(FEBRERO!B45=0,"",FEBRERO!B45)</f>
        <v>MINSALUD-FOSYGA-RECLAMACIONES ECAT</v>
      </c>
      <c r="C45" s="43">
        <f t="shared" ref="C45:N45" si="53">SUM(C46:C47)</f>
        <v>375197511</v>
      </c>
      <c r="D45" s="44">
        <f t="shared" si="53"/>
        <v>0</v>
      </c>
      <c r="E45" s="44">
        <f t="shared" si="53"/>
        <v>0</v>
      </c>
      <c r="F45" s="44">
        <f t="shared" si="53"/>
        <v>375197511</v>
      </c>
      <c r="G45" s="44">
        <f t="shared" si="53"/>
        <v>4220966</v>
      </c>
      <c r="H45" s="44">
        <f t="shared" si="53"/>
        <v>43911897</v>
      </c>
      <c r="I45" s="44">
        <f t="shared" si="53"/>
        <v>48132863</v>
      </c>
      <c r="J45" s="44">
        <f t="shared" si="53"/>
        <v>79487</v>
      </c>
      <c r="K45" s="44">
        <f t="shared" si="53"/>
        <v>0</v>
      </c>
      <c r="L45" s="44">
        <f t="shared" si="53"/>
        <v>79487</v>
      </c>
      <c r="M45" s="44">
        <f t="shared" si="53"/>
        <v>327064648</v>
      </c>
      <c r="N45" s="45">
        <f t="shared" si="53"/>
        <v>375118024</v>
      </c>
      <c r="P45" s="43">
        <f>SUM(P46:P47)</f>
        <v>0</v>
      </c>
      <c r="Q45" s="45">
        <f>SUM(Q46:Q47)</f>
        <v>0</v>
      </c>
      <c r="R45" s="9"/>
      <c r="S45" s="706" t="str">
        <f>+IF(FEBRERO!S45=0,"",FEBRERO!S45)</f>
        <v>1010301-1</v>
      </c>
      <c r="T45" s="724" t="str">
        <f>+IF(FEBRERO!T45=0,"",FEBRERO!T45)</f>
        <v>E.P.S. - Aportes cuentas maestras</v>
      </c>
      <c r="U45" s="29">
        <f>+ENERO!U45</f>
        <v>0</v>
      </c>
      <c r="V45" s="15">
        <f>FEBRERO!V45+MARZO!AL45</f>
        <v>0</v>
      </c>
      <c r="W45" s="15">
        <f>FEBRERO!W45+MARZO!AM45</f>
        <v>0</v>
      </c>
      <c r="X45" s="18">
        <f>SUM(U45:W45)</f>
        <v>0</v>
      </c>
      <c r="Y45" s="19">
        <f>FEBRERO!AA45</f>
        <v>0</v>
      </c>
      <c r="Z45" s="374">
        <v>0</v>
      </c>
      <c r="AA45" s="16">
        <f>SUM(Y45:Z45)</f>
        <v>0</v>
      </c>
      <c r="AB45" s="19">
        <f>FEBRERO!AD45</f>
        <v>0</v>
      </c>
      <c r="AC45" s="374">
        <v>0</v>
      </c>
      <c r="AD45" s="16">
        <f>SUM(AB45:AC45)</f>
        <v>0</v>
      </c>
      <c r="AE45" s="19">
        <f>FEBRERO!AG45</f>
        <v>0</v>
      </c>
      <c r="AF45" s="374">
        <v>0</v>
      </c>
      <c r="AG45" s="16">
        <f>SUM(AE45:AF45)</f>
        <v>0</v>
      </c>
      <c r="AH45" s="19">
        <f>X45-AA45</f>
        <v>0</v>
      </c>
      <c r="AI45" s="15">
        <f>X45-AD45</f>
        <v>0</v>
      </c>
      <c r="AJ45" s="16">
        <f>X45-AG45</f>
        <v>0</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+IF(FEBRERO!A46=0,"",FEBRERO!A46)</f>
        <v>1130107-1</v>
      </c>
      <c r="B46" s="646" t="str">
        <f>+CONCATENATE("Vigencia ",INSTRUCCIONES!$F$3)</f>
        <v>Vigencia 2017</v>
      </c>
      <c r="C46" s="671">
        <f>+ENERO!C46</f>
        <v>375197511</v>
      </c>
      <c r="D46" s="373">
        <f>FEBRERO!D46+MARZO!P46</f>
        <v>0</v>
      </c>
      <c r="E46" s="373">
        <f>FEBRERO!E46+MARZO!Q46</f>
        <v>0</v>
      </c>
      <c r="F46" s="373">
        <f>SUM(C46:E46)</f>
        <v>375197511</v>
      </c>
      <c r="G46" s="373">
        <f>FEBRERO!I46</f>
        <v>4141479</v>
      </c>
      <c r="H46" s="374">
        <v>43911897</v>
      </c>
      <c r="I46" s="373">
        <f>SUM(G46:H46)</f>
        <v>48053376</v>
      </c>
      <c r="J46" s="373">
        <f>FEBRERO!L46</f>
        <v>0</v>
      </c>
      <c r="K46" s="374">
        <v>0</v>
      </c>
      <c r="L46" s="373">
        <f>SUM(J46:K46)</f>
        <v>0</v>
      </c>
      <c r="M46" s="373">
        <f>F46-I46</f>
        <v>327144135</v>
      </c>
      <c r="N46" s="143">
        <f>F46-L46</f>
        <v>375197511</v>
      </c>
      <c r="O46" s="382"/>
      <c r="P46" s="372">
        <v>0</v>
      </c>
      <c r="Q46" s="375">
        <v>0</v>
      </c>
      <c r="R46" s="9"/>
      <c r="S46" s="706" t="str">
        <f>+IF(FEBRERO!S46=0,"",FEBRERO!S46)</f>
        <v>1010301-2</v>
      </c>
      <c r="T46" s="724" t="str">
        <f>+IF(FEBRERO!T46=0,"",FEBRERO!T46)</f>
        <v>Fondos pensionales - Aportes cuentas maestras</v>
      </c>
      <c r="U46" s="29">
        <f>+ENERO!U46</f>
        <v>0</v>
      </c>
      <c r="V46" s="15">
        <f>FEBRERO!V46+MARZO!AL46</f>
        <v>0</v>
      </c>
      <c r="W46" s="15">
        <f>FEBRERO!W46+MARZO!AM46</f>
        <v>0</v>
      </c>
      <c r="X46" s="18">
        <f>SUM(U46:W46)</f>
        <v>0</v>
      </c>
      <c r="Y46" s="19">
        <f>FEBRERO!AA46</f>
        <v>0</v>
      </c>
      <c r="Z46" s="374">
        <v>0</v>
      </c>
      <c r="AA46" s="16">
        <f>SUM(Y46:Z46)</f>
        <v>0</v>
      </c>
      <c r="AB46" s="19">
        <f>FEBRERO!AD46</f>
        <v>0</v>
      </c>
      <c r="AC46" s="374">
        <v>0</v>
      </c>
      <c r="AD46" s="16">
        <f>SUM(AB46:AC46)</f>
        <v>0</v>
      </c>
      <c r="AE46" s="19">
        <f>FEBRERO!AG46</f>
        <v>0</v>
      </c>
      <c r="AF46" s="374">
        <v>0</v>
      </c>
      <c r="AG46" s="16">
        <f>SUM(AE46:AF46)</f>
        <v>0</v>
      </c>
      <c r="AH46" s="19">
        <f>X46-AA46</f>
        <v>0</v>
      </c>
      <c r="AI46" s="15">
        <f>X46-AD46</f>
        <v>0</v>
      </c>
      <c r="AJ46" s="16">
        <f>X46-AG46</f>
        <v>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+IF(FEBRERO!A47=0,"",FEBRERO!A47)</f>
        <v>1130107-2</v>
      </c>
      <c r="B47" s="646" t="str">
        <f>+IF(FEBRERO!B47=0,"",FEBRERO!B47)</f>
        <v>Vigencia Anterior</v>
      </c>
      <c r="C47" s="671">
        <f>+ENERO!C47</f>
        <v>0</v>
      </c>
      <c r="D47" s="373">
        <f>FEBRERO!D47+MARZO!P47</f>
        <v>0</v>
      </c>
      <c r="E47" s="373">
        <f>FEBRERO!E47+MARZO!Q47</f>
        <v>0</v>
      </c>
      <c r="F47" s="373">
        <f>SUM(C47:E47)</f>
        <v>0</v>
      </c>
      <c r="G47" s="373">
        <f>FEBRERO!I47</f>
        <v>79487</v>
      </c>
      <c r="H47" s="374">
        <v>0</v>
      </c>
      <c r="I47" s="373">
        <f>SUM(G47:H47)</f>
        <v>79487</v>
      </c>
      <c r="J47" s="373">
        <f>FEBRERO!L47</f>
        <v>79487</v>
      </c>
      <c r="K47" s="374">
        <v>0</v>
      </c>
      <c r="L47" s="373">
        <f>SUM(J47:K47)</f>
        <v>79487</v>
      </c>
      <c r="M47" s="373">
        <f>F47-I47</f>
        <v>-79487</v>
      </c>
      <c r="N47" s="143">
        <f>F47-L47</f>
        <v>-79487</v>
      </c>
      <c r="O47" s="382"/>
      <c r="P47" s="372">
        <v>0</v>
      </c>
      <c r="Q47" s="375">
        <v>0</v>
      </c>
      <c r="R47" s="9"/>
      <c r="S47" s="706" t="str">
        <f>+IF(FEBRERO!S47=0,"",FEBRERO!S47)</f>
        <v>1010301-3</v>
      </c>
      <c r="T47" s="724" t="str">
        <f>+IF(FEBRERO!T47=0,"",FEBRERO!T47)</f>
        <v>Fondos de cesantías - Aportes cuentas maestras</v>
      </c>
      <c r="U47" s="29">
        <f>+ENERO!U47</f>
        <v>0</v>
      </c>
      <c r="V47" s="15">
        <f>FEBRERO!V47+MARZO!AL47</f>
        <v>0</v>
      </c>
      <c r="W47" s="15">
        <f>FEBRERO!W47+MARZO!AM47</f>
        <v>0</v>
      </c>
      <c r="X47" s="18">
        <f>SUM(U47:W47)</f>
        <v>0</v>
      </c>
      <c r="Y47" s="19">
        <f>FEBRERO!AA47</f>
        <v>0</v>
      </c>
      <c r="Z47" s="374">
        <v>0</v>
      </c>
      <c r="AA47" s="16">
        <f>SUM(Y47:Z47)</f>
        <v>0</v>
      </c>
      <c r="AB47" s="19">
        <f>FEBRERO!AD47</f>
        <v>0</v>
      </c>
      <c r="AC47" s="374">
        <v>0</v>
      </c>
      <c r="AD47" s="16">
        <f>SUM(AB47:AC47)</f>
        <v>0</v>
      </c>
      <c r="AE47" s="19">
        <f>FEBRERO!AG47</f>
        <v>0</v>
      </c>
      <c r="AF47" s="374">
        <v>0</v>
      </c>
      <c r="AG47" s="16">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3">
        <f>+IF(FEBRERO!A48=0,"",FEBRERO!A48)</f>
        <v>1130108</v>
      </c>
      <c r="B48" s="645"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706" t="str">
        <f>+IF(FEBRERO!S48=0,"",FEBRERO!S48)</f>
        <v>1010301-4</v>
      </c>
      <c r="T48" s="724" t="str">
        <f>+IF(FEBRERO!T48=0,"",FEBRERO!T48)</f>
        <v>Riesgos laborales - Aportes cuentas maestras</v>
      </c>
      <c r="U48" s="29">
        <f>+ENERO!U48</f>
        <v>0</v>
      </c>
      <c r="V48" s="15">
        <f>FEBRERO!V48+MARZO!AL48</f>
        <v>0</v>
      </c>
      <c r="W48" s="15">
        <f>FEBRERO!W48+MARZO!AM48</f>
        <v>0</v>
      </c>
      <c r="X48" s="18">
        <f>SUM(U48:W48)</f>
        <v>0</v>
      </c>
      <c r="Y48" s="19">
        <f>FEBRERO!AA48</f>
        <v>0</v>
      </c>
      <c r="Z48" s="374">
        <v>0</v>
      </c>
      <c r="AA48" s="16">
        <f>SUM(Y48:Z48)</f>
        <v>0</v>
      </c>
      <c r="AB48" s="19">
        <f>FEBRERO!AD48</f>
        <v>0</v>
      </c>
      <c r="AC48" s="374">
        <v>0</v>
      </c>
      <c r="AD48" s="16">
        <f>SUM(AB48:AC48)</f>
        <v>0</v>
      </c>
      <c r="AE48" s="19">
        <f>FEBRERO!AG48</f>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+IF(FEBRERO!A49=0,"",FEBRERO!A49)</f>
        <v>1130108-1</v>
      </c>
      <c r="B49" s="646" t="str">
        <f>+CONCATENATE("Vigencia ",INSTRUCCIONES!$F$3)</f>
        <v>Vigencia 2017</v>
      </c>
      <c r="C49" s="671">
        <f>+ENERO!C49</f>
        <v>0</v>
      </c>
      <c r="D49" s="373">
        <f>FEBRERO!D49+MARZO!P49</f>
        <v>0</v>
      </c>
      <c r="E49" s="373">
        <f>FEBRERO!E49+MARZO!Q49</f>
        <v>0</v>
      </c>
      <c r="F49" s="373">
        <f>SUM(C49:E49)</f>
        <v>0</v>
      </c>
      <c r="G49" s="373">
        <f>FEBRERO!I49</f>
        <v>0</v>
      </c>
      <c r="H49" s="374">
        <v>0</v>
      </c>
      <c r="I49" s="373">
        <f>SUM(G49:H49)</f>
        <v>0</v>
      </c>
      <c r="J49" s="373">
        <f>FEBRERO!L49</f>
        <v>0</v>
      </c>
      <c r="K49" s="374">
        <v>0</v>
      </c>
      <c r="L49" s="373">
        <f>SUM(J49:K49)</f>
        <v>0</v>
      </c>
      <c r="M49" s="373">
        <f>F49-I49</f>
        <v>0</v>
      </c>
      <c r="N49" s="143">
        <f>F49-L49</f>
        <v>0</v>
      </c>
      <c r="O49" s="382"/>
      <c r="P49" s="372">
        <v>0</v>
      </c>
      <c r="Q49" s="375">
        <v>0</v>
      </c>
      <c r="R49" s="9"/>
      <c r="S49" s="705">
        <f>+IF(FEBRERO!S49=0,"",FEBRERO!S49)</f>
        <v>1010302</v>
      </c>
      <c r="T49" s="723" t="str">
        <f>+IF(FEBRERO!T49=0,"",FEBRERO!T49)</f>
        <v>Contribuciones - Otros</v>
      </c>
      <c r="U49" s="29">
        <f t="shared" ref="U49:AJ49" si="55">SUM(U50:U54)</f>
        <v>182861553</v>
      </c>
      <c r="V49" s="15">
        <f t="shared" si="55"/>
        <v>0</v>
      </c>
      <c r="W49" s="15">
        <f t="shared" si="55"/>
        <v>0</v>
      </c>
      <c r="X49" s="18">
        <f t="shared" si="55"/>
        <v>182861553</v>
      </c>
      <c r="Y49" s="19">
        <f t="shared" si="55"/>
        <v>19093329</v>
      </c>
      <c r="Z49" s="142">
        <f t="shared" si="55"/>
        <v>9588153</v>
      </c>
      <c r="AA49" s="16">
        <f t="shared" si="55"/>
        <v>28681482</v>
      </c>
      <c r="AB49" s="19">
        <f t="shared" si="55"/>
        <v>19093329</v>
      </c>
      <c r="AC49" s="142">
        <f t="shared" si="55"/>
        <v>9588153</v>
      </c>
      <c r="AD49" s="16">
        <f t="shared" si="55"/>
        <v>28681482</v>
      </c>
      <c r="AE49" s="19">
        <f t="shared" si="55"/>
        <v>19093329</v>
      </c>
      <c r="AF49" s="142">
        <f t="shared" si="55"/>
        <v>9588153</v>
      </c>
      <c r="AG49" s="16">
        <f t="shared" si="55"/>
        <v>28681482</v>
      </c>
      <c r="AH49" s="19">
        <f t="shared" si="55"/>
        <v>154180071</v>
      </c>
      <c r="AI49" s="15">
        <f t="shared" si="55"/>
        <v>154180071</v>
      </c>
      <c r="AJ49" s="16">
        <f t="shared" si="55"/>
        <v>154180071</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+IF(FEBRERO!A50=0,"",FEBRERO!A50)</f>
        <v>1130108-2</v>
      </c>
      <c r="B50" s="646" t="str">
        <f>+IF(FEBRERO!B50=0,"",FEBRERO!B50)</f>
        <v>Vigencia Anterior</v>
      </c>
      <c r="C50" s="671">
        <f>+ENERO!C50</f>
        <v>0</v>
      </c>
      <c r="D50" s="373">
        <f>FEBRERO!D50+MARZO!P50</f>
        <v>0</v>
      </c>
      <c r="E50" s="373">
        <f>FEBRERO!E50+MARZO!Q50</f>
        <v>0</v>
      </c>
      <c r="F50" s="373">
        <f>SUM(C50:E50)</f>
        <v>0</v>
      </c>
      <c r="G50" s="373">
        <f>FEBRERO!I50</f>
        <v>0</v>
      </c>
      <c r="H50" s="374">
        <v>0</v>
      </c>
      <c r="I50" s="373">
        <f>SUM(G50:H50)</f>
        <v>0</v>
      </c>
      <c r="J50" s="373">
        <f>FEBRERO!L50</f>
        <v>0</v>
      </c>
      <c r="K50" s="374">
        <v>0</v>
      </c>
      <c r="L50" s="373">
        <f>SUM(J50:K50)</f>
        <v>0</v>
      </c>
      <c r="M50" s="373">
        <f>F50-I50</f>
        <v>0</v>
      </c>
      <c r="N50" s="143">
        <f>F50-L50</f>
        <v>0</v>
      </c>
      <c r="O50" s="382"/>
      <c r="P50" s="372">
        <v>0</v>
      </c>
      <c r="Q50" s="375">
        <v>0</v>
      </c>
      <c r="R50" s="9"/>
      <c r="S50" s="706" t="str">
        <f>+IF(FEBRERO!S50=0,"",FEBRERO!S50)</f>
        <v>1010302-1</v>
      </c>
      <c r="T50" s="724" t="str">
        <f>+IF(FEBRERO!T50=0,"",FEBRERO!T50)</f>
        <v>Aportes a E.P.S.- Con sit. Fondos</v>
      </c>
      <c r="U50" s="29">
        <f>+ENERO!U50</f>
        <v>72876516</v>
      </c>
      <c r="V50" s="15">
        <f>FEBRERO!V50+MARZO!AL50</f>
        <v>0</v>
      </c>
      <c r="W50" s="15">
        <f>FEBRERO!W50+MARZO!AM50</f>
        <v>0</v>
      </c>
      <c r="X50" s="18">
        <f t="shared" ref="X50:X55" si="56">SUM(U50:W50)</f>
        <v>72876516</v>
      </c>
      <c r="Y50" s="19">
        <f>FEBRERO!AA50</f>
        <v>6494330</v>
      </c>
      <c r="Z50" s="374">
        <v>3261201</v>
      </c>
      <c r="AA50" s="16">
        <f t="shared" ref="AA50:AA55" si="57">SUM(Y50:Z50)</f>
        <v>9755531</v>
      </c>
      <c r="AB50" s="19">
        <f>FEBRERO!AD50</f>
        <v>6494330</v>
      </c>
      <c r="AC50" s="374">
        <v>3261201</v>
      </c>
      <c r="AD50" s="16">
        <f t="shared" ref="AD50:AD55" si="58">SUM(AB50:AC50)</f>
        <v>9755531</v>
      </c>
      <c r="AE50" s="19">
        <f>FEBRERO!AG50</f>
        <v>6494330</v>
      </c>
      <c r="AF50" s="374">
        <v>3261201</v>
      </c>
      <c r="AG50" s="16">
        <f t="shared" ref="AG50:AG55" si="59">SUM(AE50:AF50)</f>
        <v>9755531</v>
      </c>
      <c r="AH50" s="19">
        <f t="shared" ref="AH50:AH55" si="60">X50-AA50</f>
        <v>63120985</v>
      </c>
      <c r="AI50" s="15">
        <f t="shared" ref="AI50:AI55" si="61">X50-AD50</f>
        <v>63120985</v>
      </c>
      <c r="AJ50" s="16">
        <f t="shared" ref="AJ50:AJ55" si="62">X50-AG50</f>
        <v>63120985</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3">
        <f>+IF(FEBRERO!A51=0,"",FEBRERO!A51)</f>
        <v>1130109</v>
      </c>
      <c r="B51" s="645"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706" t="str">
        <f>+IF(FEBRERO!S51=0,"",FEBRERO!S51)</f>
        <v>1010302-2</v>
      </c>
      <c r="T51" s="724" t="str">
        <f>+IF(FEBRERO!T51=0,"",FEBRERO!T51)</f>
        <v>Aportes Fondos Pensionales - Con Sit. Fondos</v>
      </c>
      <c r="U51" s="29">
        <f>+ENERO!U51</f>
        <v>75101971</v>
      </c>
      <c r="V51" s="15">
        <f>FEBRERO!V51+MARZO!AL51</f>
        <v>0</v>
      </c>
      <c r="W51" s="15">
        <f>FEBRERO!W51+MARZO!AM51</f>
        <v>0</v>
      </c>
      <c r="X51" s="18">
        <f t="shared" si="56"/>
        <v>75101971</v>
      </c>
      <c r="Y51" s="19">
        <f>FEBRERO!AA51</f>
        <v>9171050</v>
      </c>
      <c r="Z51" s="374">
        <v>4591993</v>
      </c>
      <c r="AA51" s="16">
        <f t="shared" si="57"/>
        <v>13763043</v>
      </c>
      <c r="AB51" s="19">
        <f>FEBRERO!AD51</f>
        <v>9171050</v>
      </c>
      <c r="AC51" s="374">
        <v>4591993</v>
      </c>
      <c r="AD51" s="16">
        <f t="shared" si="58"/>
        <v>13763043</v>
      </c>
      <c r="AE51" s="19">
        <f>FEBRERO!AG51</f>
        <v>9171050</v>
      </c>
      <c r="AF51" s="374">
        <v>4591993</v>
      </c>
      <c r="AG51" s="16">
        <f t="shared" si="59"/>
        <v>13763043</v>
      </c>
      <c r="AH51" s="19">
        <f t="shared" si="60"/>
        <v>61338928</v>
      </c>
      <c r="AI51" s="15">
        <f t="shared" si="61"/>
        <v>61338928</v>
      </c>
      <c r="AJ51" s="16">
        <f t="shared" si="62"/>
        <v>61338928</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+IF(FEBRERO!A52=0,"",FEBRERO!A52)</f>
        <v>1130109-1</v>
      </c>
      <c r="B52" s="646" t="str">
        <f>+CONCATENATE("Vigencia ",INSTRUCCIONES!$F$3)</f>
        <v>Vigencia 2017</v>
      </c>
      <c r="C52" s="671">
        <f>+ENERO!C52</f>
        <v>0</v>
      </c>
      <c r="D52" s="373">
        <f>FEBRERO!D52+MARZO!P52</f>
        <v>0</v>
      </c>
      <c r="E52" s="373">
        <f>FEBRERO!E52+MARZO!Q52</f>
        <v>0</v>
      </c>
      <c r="F52" s="373">
        <f>SUM(C52:E52)</f>
        <v>0</v>
      </c>
      <c r="G52" s="373">
        <f>FEBRERO!I52</f>
        <v>0</v>
      </c>
      <c r="H52" s="374">
        <v>0</v>
      </c>
      <c r="I52" s="373">
        <f>SUM(G52:H52)</f>
        <v>0</v>
      </c>
      <c r="J52" s="373">
        <f>FEBRERO!L52</f>
        <v>0</v>
      </c>
      <c r="K52" s="374">
        <v>0</v>
      </c>
      <c r="L52" s="373">
        <f>SUM(J52:K52)</f>
        <v>0</v>
      </c>
      <c r="M52" s="373">
        <f>F52-I52</f>
        <v>0</v>
      </c>
      <c r="N52" s="143">
        <f>F52-L52</f>
        <v>0</v>
      </c>
      <c r="O52" s="382"/>
      <c r="P52" s="372">
        <v>0</v>
      </c>
      <c r="Q52" s="375">
        <v>0</v>
      </c>
      <c r="R52" s="9"/>
      <c r="S52" s="706" t="str">
        <f>+IF(FEBRERO!S52=0,"",FEBRERO!S52)</f>
        <v>1010302-3</v>
      </c>
      <c r="T52" s="724" t="str">
        <f>+IF(FEBRERO!T52=0,"",FEBRERO!T52)</f>
        <v xml:space="preserve">Aportes a Fondos de Cesantia - Con Sit. de Fondos </v>
      </c>
      <c r="U52" s="29">
        <f>+ENERO!U52</f>
        <v>12471386</v>
      </c>
      <c r="V52" s="15">
        <f>FEBRERO!V52+MARZO!AL52</f>
        <v>0</v>
      </c>
      <c r="W52" s="15">
        <f>FEBRERO!W52+MARZO!AM52</f>
        <v>0</v>
      </c>
      <c r="X52" s="18">
        <f t="shared" si="56"/>
        <v>12471386</v>
      </c>
      <c r="Y52" s="19">
        <f>FEBRERO!AA52</f>
        <v>0</v>
      </c>
      <c r="Z52" s="374">
        <v>0</v>
      </c>
      <c r="AA52" s="16">
        <f t="shared" si="57"/>
        <v>0</v>
      </c>
      <c r="AB52" s="19">
        <f>FEBRERO!AD52</f>
        <v>0</v>
      </c>
      <c r="AC52" s="374">
        <v>0</v>
      </c>
      <c r="AD52" s="16">
        <f t="shared" si="58"/>
        <v>0</v>
      </c>
      <c r="AE52" s="19">
        <f>FEBRERO!AG52</f>
        <v>0</v>
      </c>
      <c r="AF52" s="374">
        <v>0</v>
      </c>
      <c r="AG52" s="16">
        <f t="shared" si="59"/>
        <v>0</v>
      </c>
      <c r="AH52" s="19">
        <f t="shared" si="60"/>
        <v>12471386</v>
      </c>
      <c r="AI52" s="15">
        <f t="shared" si="61"/>
        <v>12471386</v>
      </c>
      <c r="AJ52" s="16">
        <f t="shared" si="62"/>
        <v>12471386</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+IF(FEBRERO!A53=0,"",FEBRERO!A53)</f>
        <v>1130109-2</v>
      </c>
      <c r="B53" s="646" t="str">
        <f>+IF(FEBRERO!B53=0,"",FEBRERO!B53)</f>
        <v>Vigencia Anterior</v>
      </c>
      <c r="C53" s="671">
        <f>+ENERO!C53</f>
        <v>0</v>
      </c>
      <c r="D53" s="373">
        <f>FEBRERO!D53+MARZO!P53</f>
        <v>0</v>
      </c>
      <c r="E53" s="373">
        <f>FEBRERO!E53+MARZO!Q53</f>
        <v>0</v>
      </c>
      <c r="F53" s="373">
        <f>SUM(C53:E53)</f>
        <v>0</v>
      </c>
      <c r="G53" s="373">
        <f>FEBRERO!I53</f>
        <v>0</v>
      </c>
      <c r="H53" s="374">
        <v>0</v>
      </c>
      <c r="I53" s="373">
        <f>SUM(G53:H53)</f>
        <v>0</v>
      </c>
      <c r="J53" s="373">
        <f>FEBRERO!L53</f>
        <v>0</v>
      </c>
      <c r="K53" s="374">
        <v>0</v>
      </c>
      <c r="L53" s="373">
        <f>SUM(J53:K53)</f>
        <v>0</v>
      </c>
      <c r="M53" s="373">
        <f>F53-I53</f>
        <v>0</v>
      </c>
      <c r="N53" s="143">
        <f>F53-L53</f>
        <v>0</v>
      </c>
      <c r="O53" s="382"/>
      <c r="P53" s="372">
        <v>0</v>
      </c>
      <c r="Q53" s="375">
        <v>0</v>
      </c>
      <c r="R53" s="9"/>
      <c r="S53" s="706" t="str">
        <f>+IF(FEBRERO!S53=0,"",FEBRERO!S53)</f>
        <v>1010302-4</v>
      </c>
      <c r="T53" s="724" t="str">
        <f>+IF(FEBRERO!T53=0,"",FEBRERO!T53)</f>
        <v>Aporte a ARL. - Con Sit. de Fondos</v>
      </c>
      <c r="U53" s="29">
        <f>+ENERO!U53</f>
        <v>15124020</v>
      </c>
      <c r="V53" s="15">
        <f>FEBRERO!V53+MARZO!AL53</f>
        <v>0</v>
      </c>
      <c r="W53" s="15">
        <f>FEBRERO!W53+MARZO!AM53</f>
        <v>0</v>
      </c>
      <c r="X53" s="18">
        <f t="shared" si="56"/>
        <v>15124020</v>
      </c>
      <c r="Y53" s="19">
        <f>FEBRERO!AA53</f>
        <v>386944</v>
      </c>
      <c r="Z53" s="374">
        <v>200276</v>
      </c>
      <c r="AA53" s="16">
        <f t="shared" si="57"/>
        <v>587220</v>
      </c>
      <c r="AB53" s="19">
        <f>FEBRERO!AD53</f>
        <v>386944</v>
      </c>
      <c r="AC53" s="374">
        <v>200276</v>
      </c>
      <c r="AD53" s="16">
        <f t="shared" si="58"/>
        <v>587220</v>
      </c>
      <c r="AE53" s="19">
        <f>FEBRERO!AG53</f>
        <v>386944</v>
      </c>
      <c r="AF53" s="374">
        <v>200276</v>
      </c>
      <c r="AG53" s="16">
        <f t="shared" si="59"/>
        <v>587220</v>
      </c>
      <c r="AH53" s="19">
        <f t="shared" si="60"/>
        <v>14536800</v>
      </c>
      <c r="AI53" s="15">
        <f t="shared" si="61"/>
        <v>14536800</v>
      </c>
      <c r="AJ53" s="16">
        <f t="shared" si="62"/>
        <v>14536800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3">
        <f>+IF(FEBRERO!A54=0,"",FEBRERO!A54)</f>
        <v>1130110</v>
      </c>
      <c r="B54" s="645" t="str">
        <f>+IF(FEBRERO!B54=0,"",FEBRERO!B54)</f>
        <v>EMPRESAS MEDICINA PREPAGADA</v>
      </c>
      <c r="C54" s="43">
        <f t="shared" ref="C54:N54" si="64">SUM(C55:C56)</f>
        <v>0</v>
      </c>
      <c r="D54" s="44">
        <f t="shared" si="64"/>
        <v>0</v>
      </c>
      <c r="E54" s="44">
        <f t="shared" si="64"/>
        <v>0</v>
      </c>
      <c r="F54" s="44">
        <f t="shared" si="64"/>
        <v>0</v>
      </c>
      <c r="G54" s="44">
        <f t="shared" si="64"/>
        <v>0</v>
      </c>
      <c r="H54" s="44">
        <f t="shared" si="64"/>
        <v>0</v>
      </c>
      <c r="I54" s="44">
        <f t="shared" si="64"/>
        <v>0</v>
      </c>
      <c r="J54" s="44">
        <f t="shared" si="64"/>
        <v>0</v>
      </c>
      <c r="K54" s="44">
        <f t="shared" si="64"/>
        <v>0</v>
      </c>
      <c r="L54" s="44">
        <f t="shared" si="64"/>
        <v>0</v>
      </c>
      <c r="M54" s="44">
        <f t="shared" si="64"/>
        <v>0</v>
      </c>
      <c r="N54" s="45">
        <f t="shared" si="64"/>
        <v>0</v>
      </c>
      <c r="P54" s="43">
        <f>SUM(P55:P56)</f>
        <v>0</v>
      </c>
      <c r="Q54" s="45">
        <f>SUM(Q55:Q56)</f>
        <v>0</v>
      </c>
      <c r="R54" s="9"/>
      <c r="S54" s="706" t="str">
        <f>+IF(FEBRERO!S54=0,"",FEBRERO!S54)</f>
        <v>1010302-5</v>
      </c>
      <c r="T54" s="724" t="str">
        <f>+IF(FEBRERO!T54=0,"",FEBRERO!T54)</f>
        <v>Aporte a Caja Compensación Familiar</v>
      </c>
      <c r="U54" s="29">
        <f>+ENERO!U54</f>
        <v>7287660</v>
      </c>
      <c r="V54" s="15">
        <f>FEBRERO!V54+MARZO!AL54</f>
        <v>0</v>
      </c>
      <c r="W54" s="15">
        <f>FEBRERO!W54+MARZO!AM54</f>
        <v>0</v>
      </c>
      <c r="X54" s="18">
        <f t="shared" si="56"/>
        <v>7287660</v>
      </c>
      <c r="Y54" s="19">
        <f>FEBRERO!AA54</f>
        <v>3041005</v>
      </c>
      <c r="Z54" s="374">
        <v>1534683</v>
      </c>
      <c r="AA54" s="16">
        <f t="shared" si="57"/>
        <v>4575688</v>
      </c>
      <c r="AB54" s="19">
        <f>FEBRERO!AD54</f>
        <v>3041005</v>
      </c>
      <c r="AC54" s="374">
        <v>1534683</v>
      </c>
      <c r="AD54" s="16">
        <f t="shared" si="58"/>
        <v>4575688</v>
      </c>
      <c r="AE54" s="19">
        <f>FEBRERO!AG54</f>
        <v>3041005</v>
      </c>
      <c r="AF54" s="374">
        <v>1534683</v>
      </c>
      <c r="AG54" s="16">
        <f t="shared" si="59"/>
        <v>4575688</v>
      </c>
      <c r="AH54" s="19">
        <f t="shared" si="60"/>
        <v>2711972</v>
      </c>
      <c r="AI54" s="15">
        <f t="shared" si="61"/>
        <v>2711972</v>
      </c>
      <c r="AJ54" s="16">
        <f t="shared" si="62"/>
        <v>2711972</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+IF(FEBRERO!A55=0,"",FEBRERO!A55)</f>
        <v>1130110-1</v>
      </c>
      <c r="B55" s="646" t="str">
        <f>+CONCATENATE("Vigencia ",INSTRUCCIONES!$F$3)</f>
        <v>Vigencia 2017</v>
      </c>
      <c r="C55" s="671">
        <f>+ENERO!C55</f>
        <v>0</v>
      </c>
      <c r="D55" s="373">
        <f>FEBRERO!D55+MARZO!P55</f>
        <v>0</v>
      </c>
      <c r="E55" s="373">
        <f>FEBRERO!E55+MARZO!Q55</f>
        <v>0</v>
      </c>
      <c r="F55" s="373">
        <f>SUM(C55:E55)</f>
        <v>0</v>
      </c>
      <c r="G55" s="373">
        <f>FEBRERO!I55</f>
        <v>0</v>
      </c>
      <c r="H55" s="374">
        <v>0</v>
      </c>
      <c r="I55" s="373">
        <f>SUM(G55:H55)</f>
        <v>0</v>
      </c>
      <c r="J55" s="373">
        <f>FEBRERO!L55</f>
        <v>0</v>
      </c>
      <c r="K55" s="374">
        <v>0</v>
      </c>
      <c r="L55" s="373">
        <f>SUM(J55:K55)</f>
        <v>0</v>
      </c>
      <c r="M55" s="373">
        <f>F55-I55</f>
        <v>0</v>
      </c>
      <c r="N55" s="143">
        <f>F55-L55</f>
        <v>0</v>
      </c>
      <c r="O55" s="382"/>
      <c r="P55" s="372">
        <v>0</v>
      </c>
      <c r="Q55" s="375">
        <v>0</v>
      </c>
      <c r="R55" s="9"/>
      <c r="S55" s="705">
        <f>+IF(FEBRERO!S55=0,"",FEBRERO!S55)</f>
        <v>1010399</v>
      </c>
      <c r="T55" s="723" t="str">
        <f>+IF(FEBRERO!T55=0,"",FEBRERO!T55)</f>
        <v>Vigencias Anteriores</v>
      </c>
      <c r="U55" s="29">
        <f>+ENERO!U55</f>
        <v>0</v>
      </c>
      <c r="V55" s="15">
        <f>FEBRERO!V55+MARZO!AL55</f>
        <v>-24802080</v>
      </c>
      <c r="W55" s="15">
        <f>FEBRERO!W55+MARZO!AM55</f>
        <v>24802080</v>
      </c>
      <c r="X55" s="18">
        <f t="shared" si="56"/>
        <v>0</v>
      </c>
      <c r="Y55" s="19">
        <f>FEBRERO!AA55</f>
        <v>0</v>
      </c>
      <c r="Z55" s="374">
        <v>0</v>
      </c>
      <c r="AA55" s="16">
        <f t="shared" si="57"/>
        <v>0</v>
      </c>
      <c r="AB55" s="19">
        <f>FEBRERO!AD55</f>
        <v>0</v>
      </c>
      <c r="AC55" s="374">
        <v>0</v>
      </c>
      <c r="AD55" s="16">
        <f t="shared" si="58"/>
        <v>0</v>
      </c>
      <c r="AE55" s="19">
        <f>FEBRERO!AG55</f>
        <v>0</v>
      </c>
      <c r="AF55" s="374">
        <v>0</v>
      </c>
      <c r="AG55" s="16">
        <f t="shared" si="59"/>
        <v>0</v>
      </c>
      <c r="AH55" s="19">
        <f t="shared" si="60"/>
        <v>0</v>
      </c>
      <c r="AI55" s="15">
        <f t="shared" si="61"/>
        <v>0</v>
      </c>
      <c r="AJ55" s="16">
        <f t="shared" si="62"/>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+IF(FEBRERO!A56=0,"",FEBRERO!A56)</f>
        <v>1130110-2</v>
      </c>
      <c r="B56" s="646" t="str">
        <f>+IF(FEBRERO!B56=0,"",FEBRERO!B56)</f>
        <v>Vigencia Anterior</v>
      </c>
      <c r="C56" s="671">
        <f>+ENERO!C56</f>
        <v>0</v>
      </c>
      <c r="D56" s="373">
        <f>FEBRERO!D56+MARZO!P56</f>
        <v>0</v>
      </c>
      <c r="E56" s="373">
        <f>FEBRERO!E56+MARZO!Q56</f>
        <v>0</v>
      </c>
      <c r="F56" s="373">
        <f>SUM(C56:E56)</f>
        <v>0</v>
      </c>
      <c r="G56" s="373">
        <f>FEBRERO!I56</f>
        <v>0</v>
      </c>
      <c r="H56" s="374">
        <v>0</v>
      </c>
      <c r="I56" s="373">
        <f>SUM(G56:H56)</f>
        <v>0</v>
      </c>
      <c r="J56" s="373">
        <f>FEBRERO!L56</f>
        <v>0</v>
      </c>
      <c r="K56" s="374">
        <v>0</v>
      </c>
      <c r="L56" s="373">
        <f>SUM(J56:K56)</f>
        <v>0</v>
      </c>
      <c r="M56" s="373">
        <f>F56-I56</f>
        <v>0</v>
      </c>
      <c r="N56" s="143">
        <f>F56-L56</f>
        <v>0</v>
      </c>
      <c r="O56" s="382"/>
      <c r="P56" s="372">
        <v>0</v>
      </c>
      <c r="Q56" s="375">
        <v>0</v>
      </c>
      <c r="R56" s="9"/>
      <c r="S56" s="366" t="str">
        <f>+IF(FEBRERO!S56=0,"",FEBRERO!S56)</f>
        <v/>
      </c>
      <c r="T56" s="695" t="str">
        <f>+IF(FEBRERO!T56=0,"",FEBRERO!T56)</f>
        <v/>
      </c>
      <c r="U56" s="367"/>
      <c r="V56" s="161"/>
      <c r="W56" s="161"/>
      <c r="X56" s="161"/>
      <c r="Y56" s="367"/>
      <c r="Z56" s="161"/>
      <c r="AA56" s="166"/>
      <c r="AB56" s="367"/>
      <c r="AC56" s="161"/>
      <c r="AD56" s="166"/>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3">
        <f>+IF(FEBRERO!A57=0,"",FEBRERO!A57)</f>
        <v>1130111</v>
      </c>
      <c r="B57" s="645" t="str">
        <f>+IF(FEBRERO!B57=0,"",FEBRERO!B57)</f>
        <v>IPS PRIVADAS</v>
      </c>
      <c r="C57" s="43">
        <f t="shared" ref="C57:N57" si="65">SUM(C58:C59)</f>
        <v>133639169</v>
      </c>
      <c r="D57" s="44">
        <f t="shared" si="65"/>
        <v>0</v>
      </c>
      <c r="E57" s="44">
        <f t="shared" si="65"/>
        <v>0</v>
      </c>
      <c r="F57" s="44">
        <f t="shared" si="65"/>
        <v>133639169</v>
      </c>
      <c r="G57" s="44">
        <f t="shared" si="65"/>
        <v>176960</v>
      </c>
      <c r="H57" s="44">
        <f t="shared" si="65"/>
        <v>18172</v>
      </c>
      <c r="I57" s="44">
        <f t="shared" si="65"/>
        <v>195132</v>
      </c>
      <c r="J57" s="44">
        <f t="shared" si="65"/>
        <v>176960</v>
      </c>
      <c r="K57" s="44">
        <f t="shared" si="65"/>
        <v>0</v>
      </c>
      <c r="L57" s="44">
        <f t="shared" si="65"/>
        <v>176960</v>
      </c>
      <c r="M57" s="44">
        <f t="shared" si="65"/>
        <v>133444037</v>
      </c>
      <c r="N57" s="45">
        <f t="shared" si="65"/>
        <v>133462209</v>
      </c>
      <c r="P57" s="43">
        <f>SUM(P58:P59)</f>
        <v>0</v>
      </c>
      <c r="Q57" s="45">
        <f>SUM(Q58:Q59)</f>
        <v>0</v>
      </c>
      <c r="R57" s="9"/>
      <c r="S57" s="704">
        <f>+IF(FEBRERO!S57=0,"",FEBRERO!S57)</f>
        <v>1010400</v>
      </c>
      <c r="T57" s="722" t="str">
        <f>+IF(FEBRERO!T57=0,"",FEBRERO!T57)</f>
        <v>Contribuciones Inherentes nómina del Sector Publico</v>
      </c>
      <c r="U57" s="128">
        <f t="shared" ref="U57:AJ57" si="66">U58+U61</f>
        <v>31192586</v>
      </c>
      <c r="V57" s="122">
        <f t="shared" si="66"/>
        <v>0</v>
      </c>
      <c r="W57" s="122">
        <f t="shared" si="66"/>
        <v>0</v>
      </c>
      <c r="X57" s="129">
        <f t="shared" si="66"/>
        <v>31192586</v>
      </c>
      <c r="Y57" s="128">
        <f t="shared" si="66"/>
        <v>3803591</v>
      </c>
      <c r="Z57" s="122">
        <f t="shared" si="66"/>
        <v>1918353</v>
      </c>
      <c r="AA57" s="130">
        <f t="shared" si="66"/>
        <v>5721944</v>
      </c>
      <c r="AB57" s="128">
        <f t="shared" si="66"/>
        <v>3803591</v>
      </c>
      <c r="AC57" s="122">
        <f t="shared" si="66"/>
        <v>1918353</v>
      </c>
      <c r="AD57" s="130">
        <f t="shared" si="66"/>
        <v>5721944</v>
      </c>
      <c r="AE57" s="128">
        <f t="shared" si="66"/>
        <v>3803591</v>
      </c>
      <c r="AF57" s="122">
        <f t="shared" si="66"/>
        <v>1918353</v>
      </c>
      <c r="AG57" s="130">
        <f t="shared" si="66"/>
        <v>5721944</v>
      </c>
      <c r="AH57" s="128">
        <f t="shared" si="66"/>
        <v>25470642</v>
      </c>
      <c r="AI57" s="122">
        <f t="shared" si="66"/>
        <v>25470642</v>
      </c>
      <c r="AJ57" s="130">
        <f t="shared" si="66"/>
        <v>25470642</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+IF(FEBRERO!A58=0,"",FEBRERO!A58)</f>
        <v>1130111-1</v>
      </c>
      <c r="B58" s="646" t="str">
        <f>+CONCATENATE("Vigencia ",INSTRUCCIONES!$F$3)</f>
        <v>Vigencia 2017</v>
      </c>
      <c r="C58" s="671">
        <f>+ENERO!C58</f>
        <v>133639169</v>
      </c>
      <c r="D58" s="373">
        <f>FEBRERO!D58+MARZO!P58</f>
        <v>0</v>
      </c>
      <c r="E58" s="373">
        <f>FEBRERO!E58+MARZO!Q58</f>
        <v>0</v>
      </c>
      <c r="F58" s="373">
        <f>SUM(C58:E58)</f>
        <v>133639169</v>
      </c>
      <c r="G58" s="373">
        <f>FEBRERO!I58</f>
        <v>0</v>
      </c>
      <c r="H58" s="374">
        <v>18172</v>
      </c>
      <c r="I58" s="373">
        <f>SUM(G58:H58)</f>
        <v>18172</v>
      </c>
      <c r="J58" s="373">
        <f>FEBRERO!L58</f>
        <v>0</v>
      </c>
      <c r="K58" s="374">
        <v>0</v>
      </c>
      <c r="L58" s="373">
        <f>SUM(J58:K58)</f>
        <v>0</v>
      </c>
      <c r="M58" s="373">
        <f>F58-I58</f>
        <v>133620997</v>
      </c>
      <c r="N58" s="143">
        <f>F58-L58</f>
        <v>133639169</v>
      </c>
      <c r="O58" s="382"/>
      <c r="P58" s="372">
        <v>0</v>
      </c>
      <c r="Q58" s="375">
        <v>0</v>
      </c>
      <c r="R58" s="9"/>
      <c r="S58" s="705">
        <f>+IF(FEBRERO!S58=0,"",FEBRERO!S58)</f>
        <v>1010402</v>
      </c>
      <c r="T58" s="723" t="str">
        <f>+IF(FEBRERO!T58=0,"",FEBRERO!T58)</f>
        <v>Contribuciones - Otros</v>
      </c>
      <c r="U58" s="29">
        <f t="shared" ref="U58:AJ58" si="67">SUM(U59:U60)</f>
        <v>31192586</v>
      </c>
      <c r="V58" s="15">
        <f t="shared" si="67"/>
        <v>0</v>
      </c>
      <c r="W58" s="15">
        <f t="shared" si="67"/>
        <v>0</v>
      </c>
      <c r="X58" s="18">
        <f t="shared" si="67"/>
        <v>31192586</v>
      </c>
      <c r="Y58" s="19">
        <f t="shared" si="67"/>
        <v>3803591</v>
      </c>
      <c r="Z58" s="142">
        <f t="shared" si="67"/>
        <v>1918353</v>
      </c>
      <c r="AA58" s="16">
        <f t="shared" si="67"/>
        <v>5721944</v>
      </c>
      <c r="AB58" s="19">
        <f t="shared" si="67"/>
        <v>3803591</v>
      </c>
      <c r="AC58" s="142">
        <f t="shared" si="67"/>
        <v>1918353</v>
      </c>
      <c r="AD58" s="16">
        <f t="shared" si="67"/>
        <v>5721944</v>
      </c>
      <c r="AE58" s="19">
        <f t="shared" si="67"/>
        <v>3803591</v>
      </c>
      <c r="AF58" s="142">
        <f t="shared" si="67"/>
        <v>1918353</v>
      </c>
      <c r="AG58" s="16">
        <f t="shared" si="67"/>
        <v>5721944</v>
      </c>
      <c r="AH58" s="19">
        <f t="shared" si="67"/>
        <v>25470642</v>
      </c>
      <c r="AI58" s="15">
        <f t="shared" si="67"/>
        <v>25470642</v>
      </c>
      <c r="AJ58" s="16">
        <f t="shared" si="67"/>
        <v>25470642</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+IF(FEBRERO!A59=0,"",FEBRERO!A59)</f>
        <v>1130111-2</v>
      </c>
      <c r="B59" s="646" t="str">
        <f>+IF(FEBRERO!B59=0,"",FEBRERO!B59)</f>
        <v>Vigencia Anterior</v>
      </c>
      <c r="C59" s="671">
        <f>+ENERO!C59</f>
        <v>0</v>
      </c>
      <c r="D59" s="373">
        <f>FEBRERO!D59+MARZO!P59</f>
        <v>0</v>
      </c>
      <c r="E59" s="373">
        <f>FEBRERO!E59+MARZO!Q59</f>
        <v>0</v>
      </c>
      <c r="F59" s="373">
        <f>SUM(C59:E59)</f>
        <v>0</v>
      </c>
      <c r="G59" s="373">
        <f>FEBRERO!I59</f>
        <v>176960</v>
      </c>
      <c r="H59" s="374">
        <v>0</v>
      </c>
      <c r="I59" s="373">
        <f>SUM(G59:H59)</f>
        <v>176960</v>
      </c>
      <c r="J59" s="373">
        <f>FEBRERO!L59</f>
        <v>176960</v>
      </c>
      <c r="K59" s="374">
        <v>0</v>
      </c>
      <c r="L59" s="373">
        <f>SUM(J59:K59)</f>
        <v>176960</v>
      </c>
      <c r="M59" s="373">
        <f>F59-I59</f>
        <v>-176960</v>
      </c>
      <c r="N59" s="143">
        <f>F59-L59</f>
        <v>-176960</v>
      </c>
      <c r="O59" s="382"/>
      <c r="P59" s="372">
        <v>0</v>
      </c>
      <c r="Q59" s="375">
        <v>0</v>
      </c>
      <c r="R59" s="9"/>
      <c r="S59" s="706" t="str">
        <f>+IF(FEBRERO!S59=0,"",FEBRERO!S59)</f>
        <v>1010402-1</v>
      </c>
      <c r="T59" s="723" t="str">
        <f>+IF(FEBRERO!T59=0,"",FEBRERO!T59)</f>
        <v>S.E.N.A.</v>
      </c>
      <c r="U59" s="29">
        <f>+ENERO!U59</f>
        <v>18775492</v>
      </c>
      <c r="V59" s="15">
        <f>FEBRERO!V59+MARZO!AL59</f>
        <v>0</v>
      </c>
      <c r="W59" s="15">
        <f>FEBRERO!W59+MARZO!AM59</f>
        <v>0</v>
      </c>
      <c r="X59" s="18">
        <f>SUM(U59:W59)</f>
        <v>18775492</v>
      </c>
      <c r="Y59" s="19">
        <f>FEBRERO!AA59</f>
        <v>1521080</v>
      </c>
      <c r="Z59" s="374">
        <v>767341</v>
      </c>
      <c r="AA59" s="16">
        <f>SUM(Y59:Z59)</f>
        <v>2288421</v>
      </c>
      <c r="AB59" s="19">
        <f>FEBRERO!AD59</f>
        <v>1521080</v>
      </c>
      <c r="AC59" s="374">
        <v>767341</v>
      </c>
      <c r="AD59" s="16">
        <f>SUM(AB59:AC59)</f>
        <v>2288421</v>
      </c>
      <c r="AE59" s="19">
        <f>FEBRERO!AG59</f>
        <v>1521080</v>
      </c>
      <c r="AF59" s="374">
        <v>767341</v>
      </c>
      <c r="AG59" s="16">
        <f>SUM(AE59:AF59)</f>
        <v>2288421</v>
      </c>
      <c r="AH59" s="19">
        <f>X59-AA59</f>
        <v>16487071</v>
      </c>
      <c r="AI59" s="15">
        <f>X59-AD59</f>
        <v>16487071</v>
      </c>
      <c r="AJ59" s="16">
        <f>X59-AG59</f>
        <v>16487071</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3">
        <f>+IF(FEBRERO!A60=0,"",FEBRERO!A60)</f>
        <v>1130112</v>
      </c>
      <c r="B60" s="645" t="str">
        <f>+IF(FEBRERO!B60=0,"",FEBRERO!B60)</f>
        <v>IPS PUBLICAS</v>
      </c>
      <c r="C60" s="43">
        <f t="shared" ref="C60:N60" si="68">SUM(C61:C62)</f>
        <v>45194994</v>
      </c>
      <c r="D60" s="44">
        <f t="shared" si="68"/>
        <v>0</v>
      </c>
      <c r="E60" s="44">
        <f t="shared" si="68"/>
        <v>95525</v>
      </c>
      <c r="F60" s="44">
        <f t="shared" si="68"/>
        <v>45290519</v>
      </c>
      <c r="G60" s="44">
        <f t="shared" si="68"/>
        <v>229864805</v>
      </c>
      <c r="H60" s="44">
        <f t="shared" si="68"/>
        <v>4228365</v>
      </c>
      <c r="I60" s="44">
        <f t="shared" si="68"/>
        <v>234093170</v>
      </c>
      <c r="J60" s="44">
        <f t="shared" si="68"/>
        <v>95525</v>
      </c>
      <c r="K60" s="44">
        <f t="shared" si="68"/>
        <v>0</v>
      </c>
      <c r="L60" s="44">
        <f t="shared" si="68"/>
        <v>95525</v>
      </c>
      <c r="M60" s="44">
        <f t="shared" si="68"/>
        <v>-188802651</v>
      </c>
      <c r="N60" s="45">
        <f t="shared" si="68"/>
        <v>45194994</v>
      </c>
      <c r="P60" s="43">
        <f>SUM(P61:P62)</f>
        <v>0</v>
      </c>
      <c r="Q60" s="45">
        <f>SUM(Q61:Q62)</f>
        <v>95525</v>
      </c>
      <c r="R60" s="9"/>
      <c r="S60" s="706" t="str">
        <f>+IF(FEBRERO!S60=0,"",FEBRERO!S60)</f>
        <v>1010402-2</v>
      </c>
      <c r="T60" s="723" t="str">
        <f>+IF(FEBRERO!T60=0,"",FEBRERO!T60)</f>
        <v>I.C.B.F.</v>
      </c>
      <c r="U60" s="29">
        <f>+ENERO!U60</f>
        <v>12417094</v>
      </c>
      <c r="V60" s="15">
        <f>FEBRERO!V60+MARZO!AL60</f>
        <v>0</v>
      </c>
      <c r="W60" s="15">
        <f>FEBRERO!W60+MARZO!AM60</f>
        <v>0</v>
      </c>
      <c r="X60" s="18">
        <f>SUM(U60:W60)</f>
        <v>12417094</v>
      </c>
      <c r="Y60" s="19">
        <f>FEBRERO!AA60</f>
        <v>2282511</v>
      </c>
      <c r="Z60" s="374">
        <v>1151012</v>
      </c>
      <c r="AA60" s="16">
        <f>SUM(Y60:Z60)</f>
        <v>3433523</v>
      </c>
      <c r="AB60" s="19">
        <f>FEBRERO!AD60</f>
        <v>2282511</v>
      </c>
      <c r="AC60" s="374">
        <v>1151012</v>
      </c>
      <c r="AD60" s="16">
        <f>SUM(AB60:AC60)</f>
        <v>3433523</v>
      </c>
      <c r="AE60" s="19">
        <f>FEBRERO!AG60</f>
        <v>2282511</v>
      </c>
      <c r="AF60" s="374">
        <v>1151012</v>
      </c>
      <c r="AG60" s="16">
        <f>SUM(AE60:AF60)</f>
        <v>3433523</v>
      </c>
      <c r="AH60" s="19">
        <f>X60-AA60</f>
        <v>8983571</v>
      </c>
      <c r="AI60" s="15">
        <f>X60-AD60</f>
        <v>8983571</v>
      </c>
      <c r="AJ60" s="16">
        <f>X60-AG60</f>
        <v>8983571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+IF(FEBRERO!A61=0,"",FEBRERO!A61)</f>
        <v>1130112-1</v>
      </c>
      <c r="B61" s="646" t="str">
        <f>+CONCATENATE("Vigencia ",INSTRUCCIONES!$F$3)</f>
        <v>Vigencia 2017</v>
      </c>
      <c r="C61" s="671">
        <f>+ENERO!C61</f>
        <v>45194994</v>
      </c>
      <c r="D61" s="373">
        <f>FEBRERO!D61+MARZO!P61</f>
        <v>0</v>
      </c>
      <c r="E61" s="373">
        <f>FEBRERO!E61+MARZO!Q61</f>
        <v>0</v>
      </c>
      <c r="F61" s="373">
        <f>SUM(C61:E61)</f>
        <v>45194994</v>
      </c>
      <c r="G61" s="373">
        <f>FEBRERO!I61</f>
        <v>229769280</v>
      </c>
      <c r="H61" s="374">
        <v>4228365</v>
      </c>
      <c r="I61" s="373">
        <f>SUM(G61:H61)</f>
        <v>233997645</v>
      </c>
      <c r="J61" s="373">
        <f>FEBRERO!L61</f>
        <v>0</v>
      </c>
      <c r="K61" s="374">
        <v>0</v>
      </c>
      <c r="L61" s="373">
        <f>SUM(J61:K61)</f>
        <v>0</v>
      </c>
      <c r="M61" s="373">
        <f>F61-I61</f>
        <v>-188802651</v>
      </c>
      <c r="N61" s="143">
        <f>F61-L61</f>
        <v>45194994</v>
      </c>
      <c r="O61" s="382"/>
      <c r="P61" s="372">
        <v>0</v>
      </c>
      <c r="Q61" s="375">
        <v>0</v>
      </c>
      <c r="R61" s="9"/>
      <c r="S61" s="705">
        <f>+IF(FEBRERO!S61=0,"",FEBRERO!S61)</f>
        <v>1010499</v>
      </c>
      <c r="T61" s="723" t="str">
        <f>+IF(FEBRERO!T61=0,"",FEBRERO!T61)</f>
        <v>Vigencias Anteriores</v>
      </c>
      <c r="U61" s="29">
        <f>+ENERO!U61</f>
        <v>0</v>
      </c>
      <c r="V61" s="15">
        <f>FEBRERO!V61+MARZO!AL61</f>
        <v>0</v>
      </c>
      <c r="W61" s="15">
        <f>FEBRERO!W61+MARZO!AM61</f>
        <v>0</v>
      </c>
      <c r="X61" s="18">
        <f>SUM(U61:W61)</f>
        <v>0</v>
      </c>
      <c r="Y61" s="19">
        <f>FEBRERO!AA61</f>
        <v>0</v>
      </c>
      <c r="Z61" s="374">
        <v>0</v>
      </c>
      <c r="AA61" s="16">
        <f>SUM(Y61:Z61)</f>
        <v>0</v>
      </c>
      <c r="AB61" s="19">
        <f>FEBRERO!AD61</f>
        <v>0</v>
      </c>
      <c r="AC61" s="374">
        <v>0</v>
      </c>
      <c r="AD61" s="16">
        <f>SUM(AB61:AC61)</f>
        <v>0</v>
      </c>
      <c r="AE61" s="19">
        <f>FEBRERO!AG61</f>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+IF(FEBRERO!A62=0,"",FEBRERO!A62)</f>
        <v>1130112-2</v>
      </c>
      <c r="B62" s="646" t="str">
        <f>+IF(FEBRERO!B62=0,"",FEBRERO!B62)</f>
        <v>Vigencia Anterior</v>
      </c>
      <c r="C62" s="671">
        <f>+ENERO!C62</f>
        <v>0</v>
      </c>
      <c r="D62" s="373">
        <f>FEBRERO!D62+MARZO!P62</f>
        <v>0</v>
      </c>
      <c r="E62" s="373">
        <f>FEBRERO!E62+MARZO!Q62</f>
        <v>95525</v>
      </c>
      <c r="F62" s="373">
        <f>SUM(C62:E62)</f>
        <v>95525</v>
      </c>
      <c r="G62" s="373">
        <f>FEBRERO!I62</f>
        <v>95525</v>
      </c>
      <c r="H62" s="374">
        <v>0</v>
      </c>
      <c r="I62" s="373">
        <f>SUM(G62:H62)</f>
        <v>95525</v>
      </c>
      <c r="J62" s="373">
        <f>FEBRERO!L62</f>
        <v>95525</v>
      </c>
      <c r="K62" s="374">
        <v>0</v>
      </c>
      <c r="L62" s="373">
        <f>SUM(J62:K62)</f>
        <v>95525</v>
      </c>
      <c r="M62" s="373">
        <f>F62-I62</f>
        <v>0</v>
      </c>
      <c r="N62" s="143">
        <f>F62-L62</f>
        <v>0</v>
      </c>
      <c r="O62" s="382"/>
      <c r="P62" s="372">
        <v>0</v>
      </c>
      <c r="Q62" s="375">
        <v>95525</v>
      </c>
      <c r="R62" s="9"/>
      <c r="S62" s="366" t="str">
        <f>+IF(FEBRERO!S62=0,"",FEBRERO!S62)</f>
        <v/>
      </c>
      <c r="T62" s="695" t="str">
        <f>+IF(FEBRERO!T62=0,"",FEBRERO!T62)</f>
        <v/>
      </c>
      <c r="U62" s="367"/>
      <c r="V62" s="161"/>
      <c r="W62" s="161"/>
      <c r="X62" s="161"/>
      <c r="Y62" s="367"/>
      <c r="Z62" s="161"/>
      <c r="AA62" s="166"/>
      <c r="AB62" s="367"/>
      <c r="AC62" s="161"/>
      <c r="AD62" s="166"/>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3">
        <f>+IF(FEBRERO!A63=0,"",FEBRERO!A63)</f>
        <v>1130113</v>
      </c>
      <c r="B63" s="645" t="str">
        <f>+IF(FEBRERO!B63=0,"",FEBRERO!B63)</f>
        <v>COMPAÑIAS DE SEGUROS  - ACCIDENTES DE TRANSITO (SOAT)</v>
      </c>
      <c r="C63" s="43">
        <f t="shared" ref="C63:N63" si="69">SUM(C64:C65)</f>
        <v>5110724757</v>
      </c>
      <c r="D63" s="44">
        <f t="shared" si="69"/>
        <v>0</v>
      </c>
      <c r="E63" s="44">
        <f t="shared" si="69"/>
        <v>301515069</v>
      </c>
      <c r="F63" s="44">
        <f t="shared" si="69"/>
        <v>5412239826</v>
      </c>
      <c r="G63" s="44">
        <f t="shared" si="69"/>
        <v>743949700</v>
      </c>
      <c r="H63" s="44">
        <f t="shared" si="69"/>
        <v>435383057</v>
      </c>
      <c r="I63" s="44">
        <f t="shared" si="69"/>
        <v>1179332757</v>
      </c>
      <c r="J63" s="44">
        <f t="shared" si="69"/>
        <v>373707715</v>
      </c>
      <c r="K63" s="44">
        <f t="shared" si="69"/>
        <v>209287764</v>
      </c>
      <c r="L63" s="44">
        <f t="shared" si="69"/>
        <v>582995479</v>
      </c>
      <c r="M63" s="44">
        <f t="shared" si="69"/>
        <v>4232907069</v>
      </c>
      <c r="N63" s="45">
        <f t="shared" si="69"/>
        <v>4829244347</v>
      </c>
      <c r="P63" s="43">
        <f>SUM(P64:P65)</f>
        <v>0</v>
      </c>
      <c r="Q63" s="45">
        <f>SUM(Q64:Q65)</f>
        <v>280470720</v>
      </c>
      <c r="R63" s="9"/>
      <c r="S63" s="703">
        <f>+IF(FEBRERO!S63=0,"",FEBRERO!S63)</f>
        <v>1020010</v>
      </c>
      <c r="T63" s="721" t="str">
        <f>+IF(FEBRERO!T63=0,"",FEBRERO!T63)</f>
        <v>Gastos de Operación</v>
      </c>
      <c r="U63" s="128">
        <f t="shared" ref="U63:AJ63" si="70">U65+U83+U90+U104</f>
        <v>23745928633</v>
      </c>
      <c r="V63" s="122">
        <f t="shared" si="70"/>
        <v>-1049111971</v>
      </c>
      <c r="W63" s="122">
        <f t="shared" si="70"/>
        <v>1078539920</v>
      </c>
      <c r="X63" s="129">
        <f t="shared" si="70"/>
        <v>23775356582</v>
      </c>
      <c r="Y63" s="128">
        <f t="shared" si="70"/>
        <v>12701696077</v>
      </c>
      <c r="Z63" s="122">
        <f t="shared" si="70"/>
        <v>2949423258</v>
      </c>
      <c r="AA63" s="130">
        <f t="shared" si="70"/>
        <v>15651119335</v>
      </c>
      <c r="AB63" s="128">
        <f t="shared" si="70"/>
        <v>5742454734</v>
      </c>
      <c r="AC63" s="122">
        <f t="shared" si="70"/>
        <v>3258858181</v>
      </c>
      <c r="AD63" s="130">
        <f t="shared" si="70"/>
        <v>9001312915</v>
      </c>
      <c r="AE63" s="128">
        <f t="shared" si="70"/>
        <v>3013378168</v>
      </c>
      <c r="AF63" s="122">
        <f t="shared" si="70"/>
        <v>1491941220</v>
      </c>
      <c r="AG63" s="130">
        <f t="shared" si="70"/>
        <v>4505319388</v>
      </c>
      <c r="AH63" s="128">
        <f t="shared" si="70"/>
        <v>8124237247</v>
      </c>
      <c r="AI63" s="122">
        <f t="shared" si="70"/>
        <v>14774043667</v>
      </c>
      <c r="AJ63" s="130">
        <f t="shared" si="70"/>
        <v>19270037194</v>
      </c>
      <c r="AK63" s="9"/>
      <c r="AL63" s="128">
        <f>AL65+AL83+AL90+AL104</f>
        <v>445643507</v>
      </c>
      <c r="AM63" s="130">
        <f>AM65+AM83+AM90+AM104</f>
        <v>1000000000</v>
      </c>
      <c r="AN63" s="9"/>
      <c r="AO63" s="294"/>
      <c r="AP63" s="294"/>
      <c r="AQ63" s="294"/>
      <c r="AR63" s="294"/>
      <c r="AS63" s="294"/>
      <c r="AT63" s="294"/>
      <c r="AU63" s="294"/>
      <c r="AV63" s="294"/>
      <c r="AW63" s="294"/>
      <c r="AX63" s="294"/>
      <c r="AY63" s="294"/>
      <c r="AZ63" s="294"/>
    </row>
    <row r="64" spans="1:70" s="422" customFormat="1" ht="24.95" customHeight="1">
      <c r="A64" s="611" t="str">
        <f>+IF(FEBRERO!A64=0,"",FEBRERO!A64)</f>
        <v>1130113-1</v>
      </c>
      <c r="B64" s="646" t="str">
        <f>+CONCATENATE("Vigencia ",INSTRUCCIONES!$F$3)</f>
        <v>Vigencia 2017</v>
      </c>
      <c r="C64" s="671">
        <f>+ENERO!C64</f>
        <v>5110724757</v>
      </c>
      <c r="D64" s="373">
        <f>FEBRERO!D64+MARZO!P64</f>
        <v>0</v>
      </c>
      <c r="E64" s="373">
        <f>FEBRERO!E64+MARZO!Q64</f>
        <v>0</v>
      </c>
      <c r="F64" s="373">
        <f>SUM(C64:E64)</f>
        <v>5110724757</v>
      </c>
      <c r="G64" s="373">
        <f>FEBRERO!I64</f>
        <v>370241985</v>
      </c>
      <c r="H64" s="374">
        <v>226095293</v>
      </c>
      <c r="I64" s="373">
        <f>SUM(G64:H64)</f>
        <v>596337278</v>
      </c>
      <c r="J64" s="373">
        <f>FEBRERO!L64</f>
        <v>0</v>
      </c>
      <c r="K64" s="374">
        <v>0</v>
      </c>
      <c r="L64" s="373">
        <f>SUM(J64:K64)</f>
        <v>0</v>
      </c>
      <c r="M64" s="373">
        <f>F64-I64</f>
        <v>4514387479</v>
      </c>
      <c r="N64" s="143">
        <f>F64-L64</f>
        <v>5110724757</v>
      </c>
      <c r="O64" s="382"/>
      <c r="P64" s="372">
        <v>0</v>
      </c>
      <c r="Q64" s="375">
        <v>0</v>
      </c>
      <c r="R64" s="9"/>
      <c r="S64" s="366" t="str">
        <f>+IF(FEBRERO!S64=0,"",FEBRERO!S64)</f>
        <v/>
      </c>
      <c r="T64" s="695" t="str">
        <f>+IF(FEBRERO!T64=0,"",FEBRERO!T64)</f>
        <v/>
      </c>
      <c r="U64" s="367"/>
      <c r="V64" s="161"/>
      <c r="W64" s="161"/>
      <c r="X64" s="161"/>
      <c r="Y64" s="367"/>
      <c r="Z64" s="161"/>
      <c r="AA64" s="166"/>
      <c r="AB64" s="367"/>
      <c r="AC64" s="161"/>
      <c r="AD64" s="166"/>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+IF(FEBRERO!A65=0,"",FEBRERO!A65)</f>
        <v>1130113-2</v>
      </c>
      <c r="B65" s="646" t="str">
        <f>+IF(FEBRERO!B65=0,"",FEBRERO!B65)</f>
        <v>Vigencia Anterior</v>
      </c>
      <c r="C65" s="671">
        <f>+ENERO!C65</f>
        <v>0</v>
      </c>
      <c r="D65" s="373">
        <f>FEBRERO!D65+MARZO!P65</f>
        <v>0</v>
      </c>
      <c r="E65" s="373">
        <f>FEBRERO!E65+MARZO!Q65</f>
        <v>301515069</v>
      </c>
      <c r="F65" s="373">
        <f>SUM(C65:E65)</f>
        <v>301515069</v>
      </c>
      <c r="G65" s="373">
        <f>FEBRERO!I65</f>
        <v>373707715</v>
      </c>
      <c r="H65" s="374">
        <v>209287764</v>
      </c>
      <c r="I65" s="373">
        <f>SUM(G65:H65)</f>
        <v>582995479</v>
      </c>
      <c r="J65" s="373">
        <f>FEBRERO!L65</f>
        <v>373707715</v>
      </c>
      <c r="K65" s="374">
        <v>209287764</v>
      </c>
      <c r="L65" s="373">
        <f>SUM(J65:K65)</f>
        <v>582995479</v>
      </c>
      <c r="M65" s="373">
        <f>F65-I65</f>
        <v>-281480410</v>
      </c>
      <c r="N65" s="143">
        <f>F65-L65</f>
        <v>-281480410</v>
      </c>
      <c r="O65" s="382"/>
      <c r="P65" s="372">
        <v>0</v>
      </c>
      <c r="Q65" s="375">
        <v>280470720</v>
      </c>
      <c r="R65" s="9"/>
      <c r="S65" s="704">
        <f>+IF(FEBRERO!S65=0,"",FEBRERO!S65)</f>
        <v>1020100</v>
      </c>
      <c r="T65" s="722" t="str">
        <f>+IF(FEBRERO!T65=0,"",FEBRERO!T65)</f>
        <v>Servicios Personales Asociados a Nómina</v>
      </c>
      <c r="U65" s="128">
        <f t="shared" ref="U65:AJ65" si="71">SUM(U66:U69)+U81</f>
        <v>1210753694</v>
      </c>
      <c r="V65" s="122">
        <f t="shared" si="71"/>
        <v>0</v>
      </c>
      <c r="W65" s="122">
        <f t="shared" si="71"/>
        <v>0</v>
      </c>
      <c r="X65" s="129">
        <f t="shared" si="71"/>
        <v>1210753694</v>
      </c>
      <c r="Y65" s="128">
        <f t="shared" si="71"/>
        <v>196695361</v>
      </c>
      <c r="Z65" s="122">
        <f t="shared" si="71"/>
        <v>79208967</v>
      </c>
      <c r="AA65" s="130">
        <f t="shared" si="71"/>
        <v>275904328</v>
      </c>
      <c r="AB65" s="128">
        <f t="shared" si="71"/>
        <v>196695361</v>
      </c>
      <c r="AC65" s="122">
        <f t="shared" si="71"/>
        <v>79208967</v>
      </c>
      <c r="AD65" s="130">
        <f t="shared" si="71"/>
        <v>275904328</v>
      </c>
      <c r="AE65" s="128">
        <f t="shared" si="71"/>
        <v>196695361</v>
      </c>
      <c r="AF65" s="122">
        <f t="shared" si="71"/>
        <v>79208967</v>
      </c>
      <c r="AG65" s="130">
        <f t="shared" si="71"/>
        <v>275904328</v>
      </c>
      <c r="AH65" s="128">
        <f t="shared" si="71"/>
        <v>934849366</v>
      </c>
      <c r="AI65" s="122">
        <f t="shared" si="71"/>
        <v>934849366</v>
      </c>
      <c r="AJ65" s="130">
        <f t="shared" si="71"/>
        <v>934849366</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3">
        <f>+IF(FEBRERO!A66=0,"",FEBRERO!A66)</f>
        <v>1130114</v>
      </c>
      <c r="B66" s="645" t="str">
        <f>+IF(FEBRERO!B66=0,"",FEBRERO!B66)</f>
        <v xml:space="preserve">COMPAÑIAS DE SEGUROS  - PLANES DE SALUD  </v>
      </c>
      <c r="C66" s="43">
        <f t="shared" ref="C66:N66" si="72">SUM(C67:C68)</f>
        <v>0</v>
      </c>
      <c r="D66" s="44">
        <f t="shared" si="72"/>
        <v>0</v>
      </c>
      <c r="E66" s="44">
        <f t="shared" si="72"/>
        <v>2965187</v>
      </c>
      <c r="F66" s="44">
        <f t="shared" si="72"/>
        <v>2965187</v>
      </c>
      <c r="G66" s="44">
        <f t="shared" si="72"/>
        <v>88399251</v>
      </c>
      <c r="H66" s="44">
        <f t="shared" si="72"/>
        <v>100533090</v>
      </c>
      <c r="I66" s="44">
        <f t="shared" si="72"/>
        <v>188932341</v>
      </c>
      <c r="J66" s="44">
        <f t="shared" si="72"/>
        <v>7105339</v>
      </c>
      <c r="K66" s="44">
        <f t="shared" si="72"/>
        <v>168555</v>
      </c>
      <c r="L66" s="44">
        <f t="shared" si="72"/>
        <v>7273894</v>
      </c>
      <c r="M66" s="44">
        <f t="shared" si="72"/>
        <v>-185967154</v>
      </c>
      <c r="N66" s="45">
        <f t="shared" si="72"/>
        <v>-4308707</v>
      </c>
      <c r="P66" s="43">
        <f>SUM(P67:P68)</f>
        <v>0</v>
      </c>
      <c r="Q66" s="45">
        <f>SUM(Q67:Q68)</f>
        <v>2965187</v>
      </c>
      <c r="R66" s="9"/>
      <c r="S66" s="705">
        <f>+IF(FEBRERO!S66=0,"",FEBRERO!S66)</f>
        <v>1020101</v>
      </c>
      <c r="T66" s="723" t="str">
        <f>+IF(FEBRERO!T66=0,"",FEBRERO!T66)</f>
        <v>Sueldos del Personal de nómina</v>
      </c>
      <c r="U66" s="29">
        <f>+ENERO!U66</f>
        <v>893219355</v>
      </c>
      <c r="V66" s="15">
        <f>FEBRERO!V66+MARZO!AL66</f>
        <v>0</v>
      </c>
      <c r="W66" s="15">
        <f>FEBRERO!W66+MARZO!AM66</f>
        <v>0</v>
      </c>
      <c r="X66" s="18">
        <f>SUM(U66:W66)</f>
        <v>893219355</v>
      </c>
      <c r="Y66" s="19">
        <f>FEBRERO!AA66</f>
        <v>130986098</v>
      </c>
      <c r="Z66" s="374">
        <v>63479135</v>
      </c>
      <c r="AA66" s="16">
        <f>SUM(Y66:Z66)</f>
        <v>194465233</v>
      </c>
      <c r="AB66" s="19">
        <f>FEBRERO!AD66</f>
        <v>130986098</v>
      </c>
      <c r="AC66" s="374">
        <v>63479135</v>
      </c>
      <c r="AD66" s="16">
        <f>SUM(AB66:AC66)</f>
        <v>194465233</v>
      </c>
      <c r="AE66" s="19">
        <f>FEBRERO!AG66</f>
        <v>130986098</v>
      </c>
      <c r="AF66" s="374">
        <v>63479135</v>
      </c>
      <c r="AG66" s="16">
        <f>SUM(AE66:AF66)</f>
        <v>194465233</v>
      </c>
      <c r="AH66" s="19">
        <f>X66-AA66</f>
        <v>698754122</v>
      </c>
      <c r="AI66" s="15">
        <f>X66-AD66</f>
        <v>698754122</v>
      </c>
      <c r="AJ66" s="16">
        <f>X66-AG66</f>
        <v>698754122</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+IF(FEBRERO!A67=0,"",FEBRERO!A67)</f>
        <v>1130114-1</v>
      </c>
      <c r="B67" s="646" t="str">
        <f>+CONCATENATE("Vigencia ",INSTRUCCIONES!$F$3)</f>
        <v>Vigencia 2017</v>
      </c>
      <c r="C67" s="671">
        <f>+ENERO!C67</f>
        <v>0</v>
      </c>
      <c r="D67" s="373">
        <f>FEBRERO!D67+MARZO!P67</f>
        <v>0</v>
      </c>
      <c r="E67" s="373">
        <f>FEBRERO!E67+MARZO!Q67</f>
        <v>0</v>
      </c>
      <c r="F67" s="373">
        <f>SUM(C67:E67)</f>
        <v>0</v>
      </c>
      <c r="G67" s="373">
        <f>FEBRERO!I67</f>
        <v>81293912</v>
      </c>
      <c r="H67" s="374">
        <v>100364535</v>
      </c>
      <c r="I67" s="373">
        <f>SUM(G67:H67)</f>
        <v>181658447</v>
      </c>
      <c r="J67" s="373">
        <f>FEBRERO!L67</f>
        <v>0</v>
      </c>
      <c r="K67" s="374">
        <v>0</v>
      </c>
      <c r="L67" s="373">
        <f>SUM(J67:K67)</f>
        <v>0</v>
      </c>
      <c r="M67" s="373">
        <f>F67-I67</f>
        <v>-181658447</v>
      </c>
      <c r="N67" s="143">
        <f>F67-L67</f>
        <v>0</v>
      </c>
      <c r="O67" s="382"/>
      <c r="P67" s="372">
        <v>0</v>
      </c>
      <c r="Q67" s="375">
        <v>0</v>
      </c>
      <c r="R67" s="9"/>
      <c r="S67" s="705">
        <f>+IF(FEBRERO!S67=0,"",FEBRERO!S67)</f>
        <v>1020102</v>
      </c>
      <c r="T67" s="723" t="str">
        <f>+IF(FEBRERO!T67=0,"",FEBRERO!T67)</f>
        <v>Horas Extras,Dominic.,Festivos y Rec. Nocturnos</v>
      </c>
      <c r="U67" s="29">
        <f>+ENERO!U67</f>
        <v>36988810</v>
      </c>
      <c r="V67" s="15">
        <f>FEBRERO!V67+MARZO!AL67</f>
        <v>0</v>
      </c>
      <c r="W67" s="15">
        <f>FEBRERO!W67+MARZO!AM67</f>
        <v>0</v>
      </c>
      <c r="X67" s="18">
        <f>SUM(U67:W67)</f>
        <v>36988810</v>
      </c>
      <c r="Y67" s="19">
        <f>FEBRERO!AA67</f>
        <v>12820956</v>
      </c>
      <c r="Z67" s="374">
        <v>6872938</v>
      </c>
      <c r="AA67" s="16">
        <f>SUM(Y67:Z67)</f>
        <v>19693894</v>
      </c>
      <c r="AB67" s="19">
        <f>FEBRERO!AD67</f>
        <v>12820956</v>
      </c>
      <c r="AC67" s="374">
        <v>6872938</v>
      </c>
      <c r="AD67" s="16">
        <f>SUM(AB67:AC67)</f>
        <v>19693894</v>
      </c>
      <c r="AE67" s="19">
        <f>FEBRERO!AG67</f>
        <v>12820956</v>
      </c>
      <c r="AF67" s="374">
        <v>6872938</v>
      </c>
      <c r="AG67" s="16">
        <f>SUM(AE67:AF67)</f>
        <v>19693894</v>
      </c>
      <c r="AH67" s="19">
        <f>X67-AA67</f>
        <v>17294916</v>
      </c>
      <c r="AI67" s="15">
        <f>X67-AD67</f>
        <v>17294916</v>
      </c>
      <c r="AJ67" s="16">
        <f>X67-AG67</f>
        <v>17294916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+IF(FEBRERO!A68=0,"",FEBRERO!A68)</f>
        <v>1130114-2</v>
      </c>
      <c r="B68" s="646" t="str">
        <f>+IF(FEBRERO!B68=0,"",FEBRERO!B68)</f>
        <v>Vigencia Anterior</v>
      </c>
      <c r="C68" s="671">
        <f>+ENERO!C68</f>
        <v>0</v>
      </c>
      <c r="D68" s="373">
        <f>FEBRERO!D68+MARZO!P68</f>
        <v>0</v>
      </c>
      <c r="E68" s="373">
        <f>FEBRERO!E68+MARZO!Q68</f>
        <v>2965187</v>
      </c>
      <c r="F68" s="373">
        <f>SUM(C68:E68)</f>
        <v>2965187</v>
      </c>
      <c r="G68" s="373">
        <f>FEBRERO!I68</f>
        <v>7105339</v>
      </c>
      <c r="H68" s="374">
        <v>168555</v>
      </c>
      <c r="I68" s="373">
        <f>SUM(G68:H68)</f>
        <v>7273894</v>
      </c>
      <c r="J68" s="373">
        <f>FEBRERO!L68</f>
        <v>7105339</v>
      </c>
      <c r="K68" s="374">
        <v>168555</v>
      </c>
      <c r="L68" s="373">
        <f>SUM(J68:K68)</f>
        <v>7273894</v>
      </c>
      <c r="M68" s="373">
        <f>F68-I68</f>
        <v>-4308707</v>
      </c>
      <c r="N68" s="143">
        <f>F68-L68</f>
        <v>-4308707</v>
      </c>
      <c r="O68" s="382"/>
      <c r="P68" s="372">
        <v>0</v>
      </c>
      <c r="Q68" s="375">
        <v>2965187</v>
      </c>
      <c r="R68" s="9"/>
      <c r="S68" s="705">
        <f>+IF(FEBRERO!S68=0,"",FEBRERO!S68)</f>
        <v>1020103</v>
      </c>
      <c r="T68" s="723" t="str">
        <f>+IF(FEBRERO!T68=0,"",FEBRERO!T68)</f>
        <v>Prima Técnica</v>
      </c>
      <c r="U68" s="29">
        <f>+ENERO!U68</f>
        <v>0</v>
      </c>
      <c r="V68" s="15">
        <f>FEBRERO!V68+MARZO!AL68</f>
        <v>0</v>
      </c>
      <c r="W68" s="15">
        <f>FEBRERO!W68+MARZO!AM68</f>
        <v>0</v>
      </c>
      <c r="X68" s="18">
        <f>SUM(U68:W68)</f>
        <v>0</v>
      </c>
      <c r="Y68" s="19">
        <f>FEBRERO!AA68</f>
        <v>0</v>
      </c>
      <c r="Z68" s="374">
        <v>0</v>
      </c>
      <c r="AA68" s="16">
        <f>SUM(Y68:Z68)</f>
        <v>0</v>
      </c>
      <c r="AB68" s="19">
        <f>FEBRERO!AD68</f>
        <v>0</v>
      </c>
      <c r="AC68" s="374">
        <v>0</v>
      </c>
      <c r="AD68" s="16">
        <f>SUM(AB68:AC68)</f>
        <v>0</v>
      </c>
      <c r="AE68" s="19">
        <f>FEBRERO!AG68</f>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3">
        <f>+IF(FEBRERO!A69=0,"",FEBRERO!A69)</f>
        <v>1130115</v>
      </c>
      <c r="B69" s="645" t="str">
        <f>+IF(FEBRERO!B69=0,"",FEBRERO!B69)</f>
        <v>ENTIDADES DE REGIMEN ESPECIAL (Magisterio, Fuerza Pca.)</v>
      </c>
      <c r="C69" s="43">
        <f t="shared" ref="C69:N69" si="73">SUM(C70:C71)</f>
        <v>1373481412</v>
      </c>
      <c r="D69" s="44">
        <f t="shared" si="73"/>
        <v>0</v>
      </c>
      <c r="E69" s="44">
        <f t="shared" si="73"/>
        <v>421657583</v>
      </c>
      <c r="F69" s="44">
        <f t="shared" si="73"/>
        <v>1795138995</v>
      </c>
      <c r="G69" s="44">
        <f t="shared" si="73"/>
        <v>959365686</v>
      </c>
      <c r="H69" s="44">
        <f t="shared" si="73"/>
        <v>1082818987</v>
      </c>
      <c r="I69" s="44">
        <f t="shared" si="73"/>
        <v>2042184673</v>
      </c>
      <c r="J69" s="44">
        <f t="shared" si="73"/>
        <v>428077407</v>
      </c>
      <c r="K69" s="44">
        <f t="shared" si="73"/>
        <v>657561760</v>
      </c>
      <c r="L69" s="44">
        <f t="shared" si="73"/>
        <v>1085639167</v>
      </c>
      <c r="M69" s="44">
        <f t="shared" si="73"/>
        <v>-247045678</v>
      </c>
      <c r="N69" s="45">
        <f t="shared" si="73"/>
        <v>709499828</v>
      </c>
      <c r="P69" s="43">
        <f>SUM(P70:P71)</f>
        <v>0</v>
      </c>
      <c r="Q69" s="45">
        <f>SUM(Q70:Q71)</f>
        <v>304401063</v>
      </c>
      <c r="R69" s="9"/>
      <c r="S69" s="705">
        <f>+IF(FEBRERO!S69=0,"",FEBRERO!S69)</f>
        <v>1020104</v>
      </c>
      <c r="T69" s="723" t="str">
        <f>+IF(FEBRERO!T69=0,"",FEBRERO!T69)</f>
        <v>Otros</v>
      </c>
      <c r="U69" s="29">
        <f t="shared" ref="U69:AJ69" si="74">SUM(U70:U80)</f>
        <v>280545529</v>
      </c>
      <c r="V69" s="15">
        <f t="shared" si="74"/>
        <v>0</v>
      </c>
      <c r="W69" s="15">
        <f t="shared" si="74"/>
        <v>0</v>
      </c>
      <c r="X69" s="18">
        <f t="shared" si="74"/>
        <v>280545529</v>
      </c>
      <c r="Y69" s="19">
        <f t="shared" si="74"/>
        <v>52888307</v>
      </c>
      <c r="Z69" s="142">
        <f t="shared" si="74"/>
        <v>8856894</v>
      </c>
      <c r="AA69" s="16">
        <f t="shared" si="74"/>
        <v>61745201</v>
      </c>
      <c r="AB69" s="19">
        <f t="shared" si="74"/>
        <v>52888307</v>
      </c>
      <c r="AC69" s="142">
        <f t="shared" si="74"/>
        <v>8856894</v>
      </c>
      <c r="AD69" s="16">
        <f t="shared" si="74"/>
        <v>61745201</v>
      </c>
      <c r="AE69" s="19">
        <f t="shared" si="74"/>
        <v>52888307</v>
      </c>
      <c r="AF69" s="142">
        <f t="shared" si="74"/>
        <v>8856894</v>
      </c>
      <c r="AG69" s="16">
        <f t="shared" si="74"/>
        <v>61745201</v>
      </c>
      <c r="AH69" s="19">
        <f t="shared" si="74"/>
        <v>218800328</v>
      </c>
      <c r="AI69" s="15">
        <f t="shared" si="74"/>
        <v>218800328</v>
      </c>
      <c r="AJ69" s="16">
        <f t="shared" si="74"/>
        <v>218800328</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+IF(FEBRERO!A70=0,"",FEBRERO!A70)</f>
        <v>1130115-1</v>
      </c>
      <c r="B70" s="646" t="str">
        <f>+CONCATENATE("Vigencia ",INSTRUCCIONES!$F$3)</f>
        <v>Vigencia 2017</v>
      </c>
      <c r="C70" s="671">
        <f>+ENERO!C70</f>
        <v>1373481412</v>
      </c>
      <c r="D70" s="373">
        <f>FEBRERO!D70+MARZO!P70</f>
        <v>0</v>
      </c>
      <c r="E70" s="373">
        <f>FEBRERO!E70+MARZO!Q70</f>
        <v>0</v>
      </c>
      <c r="F70" s="373">
        <f>SUM(C70:E70)</f>
        <v>1373481412</v>
      </c>
      <c r="G70" s="373">
        <f>FEBRERO!I70</f>
        <v>531288279</v>
      </c>
      <c r="H70" s="374">
        <v>425289827</v>
      </c>
      <c r="I70" s="373">
        <f>SUM(G70:H70)</f>
        <v>956578106</v>
      </c>
      <c r="J70" s="373">
        <f>FEBRERO!L70</f>
        <v>0</v>
      </c>
      <c r="K70" s="374">
        <v>32600</v>
      </c>
      <c r="L70" s="373">
        <f>SUM(J70:K70)</f>
        <v>32600</v>
      </c>
      <c r="M70" s="373">
        <f>F70-I70</f>
        <v>416903306</v>
      </c>
      <c r="N70" s="143">
        <f>F70-L70</f>
        <v>1373448812</v>
      </c>
      <c r="O70" s="382"/>
      <c r="P70" s="372">
        <v>0</v>
      </c>
      <c r="Q70" s="375">
        <v>0</v>
      </c>
      <c r="R70" s="9"/>
      <c r="S70" s="706" t="str">
        <f>+IF(FEBRERO!S70=0,"",FEBRERO!S70)</f>
        <v>1020104-1</v>
      </c>
      <c r="T70" s="724" t="str">
        <f>+IF(FEBRERO!T70=0,"",FEBRERO!T70)</f>
        <v xml:space="preserve">Prima de Navidad </v>
      </c>
      <c r="U70" s="29">
        <f>+ENERO!U70</f>
        <v>72165521</v>
      </c>
      <c r="V70" s="15">
        <f>FEBRERO!V70+MARZO!AL70</f>
        <v>0</v>
      </c>
      <c r="W70" s="15">
        <f>FEBRERO!W70+MARZO!AM70</f>
        <v>0</v>
      </c>
      <c r="X70" s="18">
        <f t="shared" ref="X70:X81" si="75">SUM(U70:W70)</f>
        <v>72165521</v>
      </c>
      <c r="Y70" s="19">
        <f>FEBRERO!AA70</f>
        <v>0</v>
      </c>
      <c r="Z70" s="374">
        <v>0</v>
      </c>
      <c r="AA70" s="16">
        <f t="shared" ref="AA70:AA81" si="76">SUM(Y70:Z70)</f>
        <v>0</v>
      </c>
      <c r="AB70" s="19">
        <f>FEBRERO!AD70</f>
        <v>0</v>
      </c>
      <c r="AC70" s="374">
        <v>0</v>
      </c>
      <c r="AD70" s="16">
        <f t="shared" ref="AD70:AD81" si="77">SUM(AB70:AC70)</f>
        <v>0</v>
      </c>
      <c r="AE70" s="19">
        <f>FEBRERO!AG70</f>
        <v>0</v>
      </c>
      <c r="AF70" s="374">
        <v>0</v>
      </c>
      <c r="AG70" s="16">
        <f t="shared" ref="AG70:AG81" si="78">SUM(AE70:AF70)</f>
        <v>0</v>
      </c>
      <c r="AH70" s="19">
        <f t="shared" ref="AH70:AH81" si="79">X70-AA70</f>
        <v>72165521</v>
      </c>
      <c r="AI70" s="15">
        <f t="shared" ref="AI70:AI81" si="80">X70-AD70</f>
        <v>72165521</v>
      </c>
      <c r="AJ70" s="16">
        <f t="shared" ref="AJ70:AJ81" si="81">X70-AG70</f>
        <v>72165521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+IF(FEBRERO!A71=0,"",FEBRERO!A71)</f>
        <v>1130115-2</v>
      </c>
      <c r="B71" s="646" t="str">
        <f>+IF(FEBRERO!B71=0,"",FEBRERO!B71)</f>
        <v>Vigencia Anterior</v>
      </c>
      <c r="C71" s="671">
        <f>+ENERO!C71</f>
        <v>0</v>
      </c>
      <c r="D71" s="373">
        <f>FEBRERO!D71+MARZO!P71</f>
        <v>0</v>
      </c>
      <c r="E71" s="373">
        <f>FEBRERO!E71+MARZO!Q71</f>
        <v>421657583</v>
      </c>
      <c r="F71" s="373">
        <f>SUM(C71:E71)</f>
        <v>421657583</v>
      </c>
      <c r="G71" s="373">
        <f>FEBRERO!I71</f>
        <v>428077407</v>
      </c>
      <c r="H71" s="374">
        <v>657529160</v>
      </c>
      <c r="I71" s="373">
        <f>SUM(G71:H71)</f>
        <v>1085606567</v>
      </c>
      <c r="J71" s="373">
        <f>FEBRERO!L71</f>
        <v>428077407</v>
      </c>
      <c r="K71" s="374">
        <v>657529160</v>
      </c>
      <c r="L71" s="373">
        <f>SUM(J71:K71)</f>
        <v>1085606567</v>
      </c>
      <c r="M71" s="373">
        <f>F71-I71</f>
        <v>-663948984</v>
      </c>
      <c r="N71" s="143">
        <f>F71-L71</f>
        <v>-663948984</v>
      </c>
      <c r="O71" s="382"/>
      <c r="P71" s="372">
        <v>0</v>
      </c>
      <c r="Q71" s="375">
        <v>304401063</v>
      </c>
      <c r="R71" s="9"/>
      <c r="S71" s="706" t="str">
        <f>+IF(FEBRERO!S71=0,"",FEBRERO!S71)</f>
        <v>1020104-2</v>
      </c>
      <c r="T71" s="724" t="str">
        <f>+IF(FEBRERO!T71=0,"",FEBRERO!T71)</f>
        <v>Prima Vida Cara</v>
      </c>
      <c r="U71" s="29">
        <f>+ENERO!U71</f>
        <v>65329386</v>
      </c>
      <c r="V71" s="15">
        <f>FEBRERO!V71+MARZO!AL71</f>
        <v>0</v>
      </c>
      <c r="W71" s="15">
        <f>FEBRERO!W71+MARZO!AM71</f>
        <v>0</v>
      </c>
      <c r="X71" s="18">
        <f t="shared" si="75"/>
        <v>65329386</v>
      </c>
      <c r="Y71" s="19">
        <f>FEBRERO!AA71</f>
        <v>32455774</v>
      </c>
      <c r="Z71" s="374">
        <v>0</v>
      </c>
      <c r="AA71" s="16">
        <f t="shared" si="76"/>
        <v>32455774</v>
      </c>
      <c r="AB71" s="19">
        <f>FEBRERO!AD71</f>
        <v>32455774</v>
      </c>
      <c r="AC71" s="374">
        <v>0</v>
      </c>
      <c r="AD71" s="16">
        <f t="shared" si="77"/>
        <v>32455774</v>
      </c>
      <c r="AE71" s="19">
        <f>FEBRERO!AG71</f>
        <v>32455774</v>
      </c>
      <c r="AF71" s="374">
        <v>0</v>
      </c>
      <c r="AG71" s="16">
        <f t="shared" si="78"/>
        <v>32455774</v>
      </c>
      <c r="AH71" s="19">
        <f t="shared" si="79"/>
        <v>32873612</v>
      </c>
      <c r="AI71" s="15">
        <f t="shared" si="80"/>
        <v>32873612</v>
      </c>
      <c r="AJ71" s="16">
        <f t="shared" si="81"/>
        <v>32873612</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3">
        <f>+IF(FEBRERO!A72=0,"",FEBRERO!A72)</f>
        <v>1130116</v>
      </c>
      <c r="B72" s="645" t="str">
        <f>+IF(FEBRERO!B72=0,"",FEBRERO!B72)</f>
        <v>ADMINISTRADORAS DE RIESGOS PROFESIONALES</v>
      </c>
      <c r="C72" s="43">
        <f t="shared" ref="C72:N72" si="82">SUM(C73:C74)</f>
        <v>474083630</v>
      </c>
      <c r="D72" s="44">
        <f t="shared" si="82"/>
        <v>0</v>
      </c>
      <c r="E72" s="44">
        <f t="shared" si="82"/>
        <v>48848304</v>
      </c>
      <c r="F72" s="44">
        <f t="shared" si="82"/>
        <v>522931934</v>
      </c>
      <c r="G72" s="44">
        <f t="shared" si="82"/>
        <v>78884852</v>
      </c>
      <c r="H72" s="44">
        <f t="shared" si="82"/>
        <v>56384789</v>
      </c>
      <c r="I72" s="44">
        <f t="shared" si="82"/>
        <v>135269641</v>
      </c>
      <c r="J72" s="44">
        <f t="shared" si="82"/>
        <v>57172790</v>
      </c>
      <c r="K72" s="44">
        <f t="shared" si="82"/>
        <v>21019462</v>
      </c>
      <c r="L72" s="44">
        <f t="shared" si="82"/>
        <v>78192252</v>
      </c>
      <c r="M72" s="44">
        <f t="shared" si="82"/>
        <v>387662293</v>
      </c>
      <c r="N72" s="45">
        <f t="shared" si="82"/>
        <v>444739682</v>
      </c>
      <c r="P72" s="43">
        <f>SUM(P73:P74)</f>
        <v>0</v>
      </c>
      <c r="Q72" s="45">
        <f>SUM(Q73:Q74)</f>
        <v>46421385</v>
      </c>
      <c r="R72" s="9"/>
      <c r="S72" s="706" t="str">
        <f>+IF(FEBRERO!S72=0,"",FEBRERO!S72)</f>
        <v>1020104-3</v>
      </c>
      <c r="T72" s="724" t="str">
        <f>+IF(FEBRERO!T72=0,"",FEBRERO!T72)</f>
        <v>Prima de Vacaciones</v>
      </c>
      <c r="U72" s="29">
        <f>+ENERO!U72</f>
        <v>34829886</v>
      </c>
      <c r="V72" s="15">
        <f>FEBRERO!V72+MARZO!AL72</f>
        <v>0</v>
      </c>
      <c r="W72" s="15">
        <f>FEBRERO!W72+MARZO!AM72</f>
        <v>0</v>
      </c>
      <c r="X72" s="18">
        <f t="shared" si="75"/>
        <v>34829886</v>
      </c>
      <c r="Y72" s="19">
        <f>FEBRERO!AA72</f>
        <v>5079957</v>
      </c>
      <c r="Z72" s="374">
        <v>0</v>
      </c>
      <c r="AA72" s="16">
        <f t="shared" si="76"/>
        <v>5079957</v>
      </c>
      <c r="AB72" s="19">
        <f>FEBRERO!AD72</f>
        <v>5079957</v>
      </c>
      <c r="AC72" s="374">
        <v>0</v>
      </c>
      <c r="AD72" s="16">
        <f t="shared" si="77"/>
        <v>5079957</v>
      </c>
      <c r="AE72" s="19">
        <f>FEBRERO!AG72</f>
        <v>5079957</v>
      </c>
      <c r="AF72" s="374">
        <v>0</v>
      </c>
      <c r="AG72" s="16">
        <f t="shared" si="78"/>
        <v>5079957</v>
      </c>
      <c r="AH72" s="19">
        <f t="shared" si="79"/>
        <v>29749929</v>
      </c>
      <c r="AI72" s="15">
        <f t="shared" si="80"/>
        <v>29749929</v>
      </c>
      <c r="AJ72" s="16">
        <f t="shared" si="81"/>
        <v>29749929</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+IF(FEBRERO!A73=0,"",FEBRERO!A73)</f>
        <v>1130116-1</v>
      </c>
      <c r="B73" s="646" t="str">
        <f>+CONCATENATE("Vigencia ",INSTRUCCIONES!$F$3)</f>
        <v>Vigencia 2017</v>
      </c>
      <c r="C73" s="671">
        <f>+ENERO!C73</f>
        <v>474083630</v>
      </c>
      <c r="D73" s="373">
        <f>FEBRERO!D73+MARZO!P73</f>
        <v>0</v>
      </c>
      <c r="E73" s="373">
        <f>FEBRERO!E73+MARZO!Q73</f>
        <v>0</v>
      </c>
      <c r="F73" s="373">
        <f>SUM(C73:E73)</f>
        <v>474083630</v>
      </c>
      <c r="G73" s="373">
        <f>FEBRERO!I73</f>
        <v>21712062</v>
      </c>
      <c r="H73" s="374">
        <v>35365327</v>
      </c>
      <c r="I73" s="373">
        <f>SUM(G73:H73)</f>
        <v>57077389</v>
      </c>
      <c r="J73" s="373">
        <f>FEBRERO!L73</f>
        <v>0</v>
      </c>
      <c r="K73" s="374">
        <v>0</v>
      </c>
      <c r="L73" s="373">
        <f>SUM(J73:K73)</f>
        <v>0</v>
      </c>
      <c r="M73" s="373">
        <f>F73-I73</f>
        <v>417006241</v>
      </c>
      <c r="N73" s="143">
        <f>F73-L73</f>
        <v>474083630</v>
      </c>
      <c r="O73" s="382"/>
      <c r="P73" s="372">
        <v>0</v>
      </c>
      <c r="Q73" s="375">
        <v>0</v>
      </c>
      <c r="R73" s="9"/>
      <c r="S73" s="706" t="str">
        <f>+IF(FEBRERO!S73=0,"",FEBRERO!S73)</f>
        <v>1020104-4</v>
      </c>
      <c r="T73" s="724" t="str">
        <f>+IF(FEBRERO!T73=0,"",FEBRERO!T73)</f>
        <v>Prima Clima</v>
      </c>
      <c r="U73" s="29">
        <f>+ENERO!U73</f>
        <v>0</v>
      </c>
      <c r="V73" s="15">
        <f>FEBRERO!V73+MARZO!AL73</f>
        <v>0</v>
      </c>
      <c r="W73" s="15">
        <f>FEBRERO!W73+MARZO!AM73</f>
        <v>0</v>
      </c>
      <c r="X73" s="18">
        <f t="shared" si="75"/>
        <v>0</v>
      </c>
      <c r="Y73" s="19">
        <f>FEBRERO!AA73</f>
        <v>0</v>
      </c>
      <c r="Z73" s="374">
        <v>0</v>
      </c>
      <c r="AA73" s="16">
        <f t="shared" si="76"/>
        <v>0</v>
      </c>
      <c r="AB73" s="19">
        <f>FEBRERO!AD73</f>
        <v>0</v>
      </c>
      <c r="AC73" s="374">
        <v>0</v>
      </c>
      <c r="AD73" s="16">
        <f t="shared" si="77"/>
        <v>0</v>
      </c>
      <c r="AE73" s="19">
        <f>FEBRERO!AG73</f>
        <v>0</v>
      </c>
      <c r="AF73" s="374">
        <v>0</v>
      </c>
      <c r="AG73" s="16">
        <f t="shared" si="78"/>
        <v>0</v>
      </c>
      <c r="AH73" s="19">
        <f t="shared" si="79"/>
        <v>0</v>
      </c>
      <c r="AI73" s="15">
        <f t="shared" si="80"/>
        <v>0</v>
      </c>
      <c r="AJ73" s="16">
        <f t="shared" si="81"/>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+IF(FEBRERO!A74=0,"",FEBRERO!A74)</f>
        <v>1130116-2</v>
      </c>
      <c r="B74" s="646" t="str">
        <f>+IF(FEBRERO!B74=0,"",FEBRERO!B74)</f>
        <v>Vigencia Anterior</v>
      </c>
      <c r="C74" s="671">
        <f>+ENERO!C74</f>
        <v>0</v>
      </c>
      <c r="D74" s="373">
        <f>FEBRERO!D74+MARZO!P74</f>
        <v>0</v>
      </c>
      <c r="E74" s="373">
        <f>FEBRERO!E74+MARZO!Q74</f>
        <v>48848304</v>
      </c>
      <c r="F74" s="373">
        <f>SUM(C74:E74)</f>
        <v>48848304</v>
      </c>
      <c r="G74" s="373">
        <f>FEBRERO!I74</f>
        <v>57172790</v>
      </c>
      <c r="H74" s="374">
        <v>21019462</v>
      </c>
      <c r="I74" s="373">
        <f>SUM(G74:H74)</f>
        <v>78192252</v>
      </c>
      <c r="J74" s="373">
        <f>FEBRERO!L74</f>
        <v>57172790</v>
      </c>
      <c r="K74" s="374">
        <v>21019462</v>
      </c>
      <c r="L74" s="373">
        <f>SUM(J74:K74)</f>
        <v>78192252</v>
      </c>
      <c r="M74" s="373">
        <f>F74-I74</f>
        <v>-29343948</v>
      </c>
      <c r="N74" s="143">
        <f>F74-L74</f>
        <v>-29343948</v>
      </c>
      <c r="O74" s="382"/>
      <c r="P74" s="372">
        <v>0</v>
      </c>
      <c r="Q74" s="375">
        <v>46421385</v>
      </c>
      <c r="R74" s="9"/>
      <c r="S74" s="706" t="str">
        <f>+IF(FEBRERO!S74=0,"",FEBRERO!S74)</f>
        <v>1020104-5</v>
      </c>
      <c r="T74" s="724" t="str">
        <f>+IF(FEBRERO!T74=0,"",FEBRERO!T74)</f>
        <v>Prima de Servicios</v>
      </c>
      <c r="U74" s="29">
        <f>+ENERO!U74</f>
        <v>36082760</v>
      </c>
      <c r="V74" s="15">
        <f>FEBRERO!V74+MARZO!AL74</f>
        <v>0</v>
      </c>
      <c r="W74" s="15">
        <f>FEBRERO!W74+MARZO!AM74</f>
        <v>0</v>
      </c>
      <c r="X74" s="18">
        <f t="shared" si="75"/>
        <v>36082760</v>
      </c>
      <c r="Y74" s="19">
        <f>FEBRERO!AA74</f>
        <v>0</v>
      </c>
      <c r="Z74" s="374">
        <v>0</v>
      </c>
      <c r="AA74" s="16">
        <f t="shared" si="76"/>
        <v>0</v>
      </c>
      <c r="AB74" s="19">
        <f>FEBRERO!AD74</f>
        <v>0</v>
      </c>
      <c r="AC74" s="374">
        <v>0</v>
      </c>
      <c r="AD74" s="16">
        <f t="shared" si="77"/>
        <v>0</v>
      </c>
      <c r="AE74" s="19">
        <f>FEBRERO!AG74</f>
        <v>0</v>
      </c>
      <c r="AF74" s="374">
        <v>0</v>
      </c>
      <c r="AG74" s="16">
        <f t="shared" si="78"/>
        <v>0</v>
      </c>
      <c r="AH74" s="19">
        <f t="shared" si="79"/>
        <v>36082760</v>
      </c>
      <c r="AI74" s="15">
        <f t="shared" si="80"/>
        <v>36082760</v>
      </c>
      <c r="AJ74" s="16">
        <f t="shared" si="81"/>
        <v>36082760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3">
        <f>+IF(FEBRERO!A75=0,"",FEBRERO!A75)</f>
        <v>1130117</v>
      </c>
      <c r="B75" s="645" t="str">
        <f>+IF(FEBRERO!B75=0,"",FEBRERO!B75)</f>
        <v>CUOTAS DE RECUPERACION</v>
      </c>
      <c r="C75" s="43">
        <f t="shared" ref="C75:N75" si="83">SUM(C76:C77)</f>
        <v>52000000</v>
      </c>
      <c r="D75" s="44">
        <f t="shared" si="83"/>
        <v>0</v>
      </c>
      <c r="E75" s="44">
        <f t="shared" si="83"/>
        <v>0</v>
      </c>
      <c r="F75" s="44">
        <f t="shared" si="83"/>
        <v>52000000</v>
      </c>
      <c r="G75" s="44">
        <f t="shared" si="83"/>
        <v>3082186</v>
      </c>
      <c r="H75" s="44">
        <f t="shared" si="83"/>
        <v>28096077</v>
      </c>
      <c r="I75" s="44">
        <f t="shared" si="83"/>
        <v>31178263</v>
      </c>
      <c r="J75" s="44">
        <f t="shared" si="83"/>
        <v>1309149</v>
      </c>
      <c r="K75" s="44">
        <f t="shared" si="83"/>
        <v>10900</v>
      </c>
      <c r="L75" s="44">
        <f t="shared" si="83"/>
        <v>1320049</v>
      </c>
      <c r="M75" s="44">
        <f t="shared" si="83"/>
        <v>20821737</v>
      </c>
      <c r="N75" s="45">
        <f t="shared" si="83"/>
        <v>50679951</v>
      </c>
      <c r="P75" s="43">
        <f>SUM(P76:P77)</f>
        <v>0</v>
      </c>
      <c r="Q75" s="45">
        <f>SUM(Q76:Q77)</f>
        <v>0</v>
      </c>
      <c r="R75" s="9"/>
      <c r="S75" s="706" t="str">
        <f>+IF(FEBRERO!S75=0,"",FEBRERO!S75)</f>
        <v>1020104-8</v>
      </c>
      <c r="T75" s="724" t="str">
        <f>+IF(FEBRERO!T75=0,"",FEBRERO!T75)</f>
        <v>Bonific. por Servicios Prestados</v>
      </c>
      <c r="U75" s="29">
        <f>+ENERO!U75</f>
        <v>17770724</v>
      </c>
      <c r="V75" s="15">
        <f>FEBRERO!V75+MARZO!AL75</f>
        <v>0</v>
      </c>
      <c r="W75" s="15">
        <f>FEBRERO!W75+MARZO!AM75</f>
        <v>0</v>
      </c>
      <c r="X75" s="18">
        <f t="shared" si="75"/>
        <v>17770724</v>
      </c>
      <c r="Y75" s="19">
        <f>FEBRERO!AA75</f>
        <v>1158866</v>
      </c>
      <c r="Z75" s="374">
        <v>1354325</v>
      </c>
      <c r="AA75" s="16">
        <f t="shared" si="76"/>
        <v>2513191</v>
      </c>
      <c r="AB75" s="19">
        <f>FEBRERO!AD75</f>
        <v>1158866</v>
      </c>
      <c r="AC75" s="374">
        <v>1354325</v>
      </c>
      <c r="AD75" s="16">
        <f t="shared" si="77"/>
        <v>2513191</v>
      </c>
      <c r="AE75" s="19">
        <f>FEBRERO!AG75</f>
        <v>1158866</v>
      </c>
      <c r="AF75" s="374">
        <v>1354325</v>
      </c>
      <c r="AG75" s="16">
        <f t="shared" si="78"/>
        <v>2513191</v>
      </c>
      <c r="AH75" s="19">
        <f t="shared" si="79"/>
        <v>15257533</v>
      </c>
      <c r="AI75" s="15">
        <f t="shared" si="80"/>
        <v>15257533</v>
      </c>
      <c r="AJ75" s="16">
        <f t="shared" si="81"/>
        <v>15257533</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+IF(FEBRERO!A76=0,"",FEBRERO!A76)</f>
        <v>1130117-1</v>
      </c>
      <c r="B76" s="646" t="str">
        <f>+CONCATENATE("Vigencia ",INSTRUCCIONES!$F$3)</f>
        <v>Vigencia 2017</v>
      </c>
      <c r="C76" s="671">
        <f>+ENERO!C76</f>
        <v>52000000</v>
      </c>
      <c r="D76" s="373">
        <f>FEBRERO!D76+MARZO!P76</f>
        <v>0</v>
      </c>
      <c r="E76" s="373">
        <f>FEBRERO!E76+MARZO!Q76</f>
        <v>0</v>
      </c>
      <c r="F76" s="373">
        <f t="shared" ref="F76:F83" si="84">SUM(C76:E76)</f>
        <v>52000000</v>
      </c>
      <c r="G76" s="373">
        <f>FEBRERO!I76</f>
        <v>2479437</v>
      </c>
      <c r="H76" s="374">
        <f>10900+28085177</f>
        <v>28096077</v>
      </c>
      <c r="I76" s="373">
        <f t="shared" ref="I76:I83" si="85">SUM(G76:H76)</f>
        <v>30575514</v>
      </c>
      <c r="J76" s="373">
        <f>FEBRERO!L76</f>
        <v>706400</v>
      </c>
      <c r="K76" s="374">
        <v>10900</v>
      </c>
      <c r="L76" s="373">
        <f t="shared" ref="L76:L83" si="86">SUM(J76:K76)</f>
        <v>717300</v>
      </c>
      <c r="M76" s="373">
        <f t="shared" ref="M76:M83" si="87">F76-I76</f>
        <v>21424486</v>
      </c>
      <c r="N76" s="143">
        <f t="shared" ref="N76:N83" si="88">F76-L76</f>
        <v>51282700</v>
      </c>
      <c r="O76" s="382"/>
      <c r="P76" s="372">
        <v>0</v>
      </c>
      <c r="Q76" s="375">
        <v>0</v>
      </c>
      <c r="R76" s="9"/>
      <c r="S76" s="706" t="str">
        <f>+IF(FEBRERO!S76=0,"",FEBRERO!S76)</f>
        <v>1020104-9</v>
      </c>
      <c r="T76" s="724" t="str">
        <f>+IF(FEBRERO!T76=0,"",FEBRERO!T76)</f>
        <v>Auxilio de Transporte</v>
      </c>
      <c r="U76" s="29">
        <f>+ENERO!U76</f>
        <v>1703268</v>
      </c>
      <c r="V76" s="15">
        <f>FEBRERO!V76+MARZO!AL76</f>
        <v>0</v>
      </c>
      <c r="W76" s="15">
        <f>FEBRERO!W76+MARZO!AM76</f>
        <v>0</v>
      </c>
      <c r="X76" s="18">
        <f t="shared" si="75"/>
        <v>1703268</v>
      </c>
      <c r="Y76" s="19">
        <f>FEBRERO!AA76</f>
        <v>349158</v>
      </c>
      <c r="Z76" s="374">
        <v>166280</v>
      </c>
      <c r="AA76" s="16">
        <f t="shared" si="76"/>
        <v>515438</v>
      </c>
      <c r="AB76" s="19">
        <f>FEBRERO!AD76</f>
        <v>349158</v>
      </c>
      <c r="AC76" s="374">
        <v>166280</v>
      </c>
      <c r="AD76" s="16">
        <f t="shared" si="77"/>
        <v>515438</v>
      </c>
      <c r="AE76" s="19">
        <f>FEBRERO!AG76</f>
        <v>349158</v>
      </c>
      <c r="AF76" s="374">
        <v>166280</v>
      </c>
      <c r="AG76" s="16">
        <f t="shared" si="78"/>
        <v>515438</v>
      </c>
      <c r="AH76" s="19">
        <f t="shared" si="79"/>
        <v>1187830</v>
      </c>
      <c r="AI76" s="15">
        <f t="shared" si="80"/>
        <v>1187830</v>
      </c>
      <c r="AJ76" s="16">
        <f t="shared" si="81"/>
        <v>1187830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+IF(FEBRERO!A77=0,"",FEBRERO!A77)</f>
        <v>1130117-2</v>
      </c>
      <c r="B77" s="646" t="str">
        <f>+IF(FEBRERO!B77=0,"",FEBRERO!B77)</f>
        <v>Vigencia Anterior</v>
      </c>
      <c r="C77" s="671">
        <f>+ENERO!C77</f>
        <v>0</v>
      </c>
      <c r="D77" s="373">
        <f>FEBRERO!D77+MARZO!P77</f>
        <v>0</v>
      </c>
      <c r="E77" s="373">
        <f>FEBRERO!E77+MARZO!Q77</f>
        <v>0</v>
      </c>
      <c r="F77" s="373">
        <f t="shared" si="84"/>
        <v>0</v>
      </c>
      <c r="G77" s="373">
        <f>FEBRERO!I77</f>
        <v>602749</v>
      </c>
      <c r="H77" s="374">
        <v>0</v>
      </c>
      <c r="I77" s="373">
        <f t="shared" si="85"/>
        <v>602749</v>
      </c>
      <c r="J77" s="373">
        <f>FEBRERO!L77</f>
        <v>602749</v>
      </c>
      <c r="K77" s="374">
        <v>0</v>
      </c>
      <c r="L77" s="373">
        <f t="shared" si="86"/>
        <v>602749</v>
      </c>
      <c r="M77" s="373">
        <f t="shared" si="87"/>
        <v>-602749</v>
      </c>
      <c r="N77" s="143">
        <f t="shared" si="88"/>
        <v>-602749</v>
      </c>
      <c r="O77" s="382"/>
      <c r="P77" s="372">
        <v>0</v>
      </c>
      <c r="Q77" s="375">
        <v>0</v>
      </c>
      <c r="R77" s="9"/>
      <c r="S77" s="706" t="str">
        <f>+IF(FEBRERO!S77=0,"",FEBRERO!S77)</f>
        <v>1020104-10</v>
      </c>
      <c r="T77" s="724" t="str">
        <f>+IF(FEBRERO!T77=0,"",FEBRERO!T77)</f>
        <v>Subsidio de Alimentación</v>
      </c>
      <c r="U77" s="29">
        <f>+ENERO!U77</f>
        <v>1200000</v>
      </c>
      <c r="V77" s="15">
        <f>FEBRERO!V77+MARZO!AL77</f>
        <v>0</v>
      </c>
      <c r="W77" s="15">
        <f>FEBRERO!W77+MARZO!AM77</f>
        <v>0</v>
      </c>
      <c r="X77" s="18">
        <f t="shared" si="75"/>
        <v>1200000</v>
      </c>
      <c r="Y77" s="19">
        <f>FEBRERO!AA77</f>
        <v>198446</v>
      </c>
      <c r="Z77" s="374">
        <v>107273</v>
      </c>
      <c r="AA77" s="16">
        <f t="shared" si="76"/>
        <v>305719</v>
      </c>
      <c r="AB77" s="19">
        <f>FEBRERO!AD77</f>
        <v>198446</v>
      </c>
      <c r="AC77" s="374">
        <v>107273</v>
      </c>
      <c r="AD77" s="16">
        <f t="shared" si="77"/>
        <v>305719</v>
      </c>
      <c r="AE77" s="19">
        <f>FEBRERO!AG77</f>
        <v>198446</v>
      </c>
      <c r="AF77" s="374">
        <v>107273</v>
      </c>
      <c r="AG77" s="16">
        <f t="shared" si="78"/>
        <v>305719</v>
      </c>
      <c r="AH77" s="19">
        <f t="shared" si="79"/>
        <v>894281</v>
      </c>
      <c r="AI77" s="15">
        <f t="shared" si="80"/>
        <v>894281</v>
      </c>
      <c r="AJ77" s="16">
        <f t="shared" si="81"/>
        <v>894281</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3">
        <f>+IF(FEBRERO!A78=0,"",FEBRERO!A78)</f>
        <v>1130118</v>
      </c>
      <c r="B78" s="645" t="str">
        <f>+IF(FEBRERO!B78=0,"",FEBRERO!B78)</f>
        <v>PARTICULARES   (Venta de Contado)</v>
      </c>
      <c r="C78" s="43">
        <f>SUM(C79:C80)</f>
        <v>435000000</v>
      </c>
      <c r="D78" s="44">
        <f>SUM(D79:D80)</f>
        <v>0</v>
      </c>
      <c r="E78" s="44">
        <f>SUM(E79:E80)</f>
        <v>936000</v>
      </c>
      <c r="F78" s="44">
        <f t="shared" si="84"/>
        <v>435936000</v>
      </c>
      <c r="G78" s="44">
        <f>SUM(G79:G80)</f>
        <v>123710915</v>
      </c>
      <c r="H78" s="44">
        <f>SUM(H79:H80)</f>
        <v>75440287</v>
      </c>
      <c r="I78" s="44">
        <f t="shared" si="85"/>
        <v>199151202</v>
      </c>
      <c r="J78" s="44">
        <f>SUM(J79:J80)</f>
        <v>123710915</v>
      </c>
      <c r="K78" s="44">
        <f>SUM(K79:K80)</f>
        <v>75440287</v>
      </c>
      <c r="L78" s="44">
        <f t="shared" si="86"/>
        <v>199151202</v>
      </c>
      <c r="M78" s="44">
        <f t="shared" si="87"/>
        <v>236784798</v>
      </c>
      <c r="N78" s="45">
        <f t="shared" si="88"/>
        <v>236784798</v>
      </c>
      <c r="O78" s="382"/>
      <c r="P78" s="43">
        <f>SUM(P79:P80)</f>
        <v>0</v>
      </c>
      <c r="Q78" s="45">
        <f>SUM(Q79:Q80)</f>
        <v>689500</v>
      </c>
      <c r="R78" s="9"/>
      <c r="S78" s="706" t="str">
        <f>+IF(FEBRERO!S78=0,"",FEBRERO!S78)</f>
        <v>1020104-12</v>
      </c>
      <c r="T78" s="724" t="str">
        <f>+IF(FEBRERO!T78=0,"",FEBRERO!T78)</f>
        <v>Indemnizaciones por Vacaciones o Supresión de Cargos por Reestructuración</v>
      </c>
      <c r="U78" s="29">
        <f>+ENERO!U78</f>
        <v>0</v>
      </c>
      <c r="V78" s="15">
        <f>FEBRERO!V78+MARZO!AL78</f>
        <v>0</v>
      </c>
      <c r="W78" s="15">
        <f>FEBRERO!W78+MARZO!AM78</f>
        <v>0</v>
      </c>
      <c r="X78" s="18">
        <f t="shared" si="75"/>
        <v>0</v>
      </c>
      <c r="Y78" s="19">
        <f>FEBRERO!AA78</f>
        <v>0</v>
      </c>
      <c r="Z78" s="374">
        <v>0</v>
      </c>
      <c r="AA78" s="16">
        <f t="shared" si="76"/>
        <v>0</v>
      </c>
      <c r="AB78" s="19">
        <f>FEBRERO!AD78</f>
        <v>0</v>
      </c>
      <c r="AC78" s="374">
        <v>0</v>
      </c>
      <c r="AD78" s="16">
        <f t="shared" si="77"/>
        <v>0</v>
      </c>
      <c r="AE78" s="19">
        <f>FEBRERO!AG78</f>
        <v>0</v>
      </c>
      <c r="AF78" s="374">
        <v>0</v>
      </c>
      <c r="AG78" s="16">
        <f t="shared" si="78"/>
        <v>0</v>
      </c>
      <c r="AH78" s="19">
        <f t="shared" si="79"/>
        <v>0</v>
      </c>
      <c r="AI78" s="15">
        <f t="shared" si="80"/>
        <v>0</v>
      </c>
      <c r="AJ78" s="16">
        <f t="shared" si="81"/>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+IF(FEBRERO!A79=0,"",FEBRERO!A79)</f>
        <v>1130118-1</v>
      </c>
      <c r="B79" s="646" t="str">
        <f>+CONCATENATE("Vigencia ",INSTRUCCIONES!$F$3)</f>
        <v>Vigencia 2017</v>
      </c>
      <c r="C79" s="671">
        <f>+ENERO!C79</f>
        <v>435000000</v>
      </c>
      <c r="D79" s="373">
        <f>FEBRERO!D79+MARZO!P79</f>
        <v>0</v>
      </c>
      <c r="E79" s="373">
        <f>FEBRERO!E79+MARZO!Q79</f>
        <v>0</v>
      </c>
      <c r="F79" s="373">
        <f t="shared" si="84"/>
        <v>435000000</v>
      </c>
      <c r="G79" s="373">
        <f>FEBRERO!I79</f>
        <v>121994315</v>
      </c>
      <c r="H79" s="374">
        <v>75397987</v>
      </c>
      <c r="I79" s="373">
        <f t="shared" si="85"/>
        <v>197392302</v>
      </c>
      <c r="J79" s="373">
        <f>FEBRERO!L79</f>
        <v>121994315</v>
      </c>
      <c r="K79" s="374">
        <v>75397987</v>
      </c>
      <c r="L79" s="373">
        <f t="shared" si="86"/>
        <v>197392302</v>
      </c>
      <c r="M79" s="373">
        <f t="shared" si="87"/>
        <v>237607698</v>
      </c>
      <c r="N79" s="143">
        <f t="shared" si="88"/>
        <v>237607698</v>
      </c>
      <c r="P79" s="372">
        <v>0</v>
      </c>
      <c r="Q79" s="375">
        <v>0</v>
      </c>
      <c r="R79" s="9"/>
      <c r="S79" s="706" t="str">
        <f>+IF(FEBRERO!S79=0,"",FEBRERO!S79)</f>
        <v>1020104-13</v>
      </c>
      <c r="T79" s="724" t="str">
        <f>+IF(FEBRERO!T79=0,"",FEBRERO!T79)</f>
        <v>Bonificación Especial por Recreación</v>
      </c>
      <c r="U79" s="29">
        <f>+ENERO!U79</f>
        <v>2582164</v>
      </c>
      <c r="V79" s="15">
        <f>FEBRERO!V79+MARZO!AL79</f>
        <v>0</v>
      </c>
      <c r="W79" s="15">
        <f>FEBRERO!W79+MARZO!AM79</f>
        <v>0</v>
      </c>
      <c r="X79" s="18">
        <f t="shared" si="75"/>
        <v>2582164</v>
      </c>
      <c r="Y79" s="19">
        <f>FEBRERO!AA79</f>
        <v>674108</v>
      </c>
      <c r="Z79" s="374">
        <v>0</v>
      </c>
      <c r="AA79" s="16">
        <f t="shared" si="76"/>
        <v>674108</v>
      </c>
      <c r="AB79" s="19">
        <f>FEBRERO!AD79</f>
        <v>674108</v>
      </c>
      <c r="AC79" s="374">
        <v>0</v>
      </c>
      <c r="AD79" s="16">
        <f t="shared" si="77"/>
        <v>674108</v>
      </c>
      <c r="AE79" s="19">
        <f>FEBRERO!AG79</f>
        <v>674108</v>
      </c>
      <c r="AF79" s="374">
        <v>0</v>
      </c>
      <c r="AG79" s="16">
        <f t="shared" si="78"/>
        <v>674108</v>
      </c>
      <c r="AH79" s="19">
        <f t="shared" si="79"/>
        <v>1908056</v>
      </c>
      <c r="AI79" s="15">
        <f t="shared" si="80"/>
        <v>1908056</v>
      </c>
      <c r="AJ79" s="16">
        <f t="shared" si="81"/>
        <v>1908056</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+IF(FEBRERO!A80=0,"",FEBRERO!A80)</f>
        <v>1130118-2</v>
      </c>
      <c r="B80" s="646" t="str">
        <f>+IF(FEBRERO!B80=0,"",FEBRERO!B80)</f>
        <v>Vigencia Anterior</v>
      </c>
      <c r="C80" s="671">
        <f>+ENERO!C80</f>
        <v>0</v>
      </c>
      <c r="D80" s="373">
        <f>FEBRERO!D80+MARZO!P80</f>
        <v>0</v>
      </c>
      <c r="E80" s="373">
        <f>FEBRERO!E80+MARZO!Q80</f>
        <v>936000</v>
      </c>
      <c r="F80" s="373">
        <f t="shared" si="84"/>
        <v>936000</v>
      </c>
      <c r="G80" s="373">
        <f>FEBRERO!I80</f>
        <v>1716600</v>
      </c>
      <c r="H80" s="374">
        <v>42300</v>
      </c>
      <c r="I80" s="373">
        <f t="shared" si="85"/>
        <v>1758900</v>
      </c>
      <c r="J80" s="373">
        <f>FEBRERO!L80</f>
        <v>1716600</v>
      </c>
      <c r="K80" s="374">
        <v>42300</v>
      </c>
      <c r="L80" s="373">
        <f t="shared" si="86"/>
        <v>1758900</v>
      </c>
      <c r="M80" s="373">
        <f t="shared" si="87"/>
        <v>-822900</v>
      </c>
      <c r="N80" s="143">
        <f t="shared" si="88"/>
        <v>-822900</v>
      </c>
      <c r="O80" s="382"/>
      <c r="P80" s="372">
        <v>0</v>
      </c>
      <c r="Q80" s="375">
        <v>689500</v>
      </c>
      <c r="S80" s="706" t="str">
        <f>+IF(FEBRERO!S80=0,"",FEBRERO!S80)</f>
        <v>1020104-14</v>
      </c>
      <c r="T80" s="724" t="str">
        <f>+IF(FEBRERO!T80=0,"",FEBRERO!T80)</f>
        <v/>
      </c>
      <c r="U80" s="29">
        <f>+ENERO!U80</f>
        <v>48881820</v>
      </c>
      <c r="V80" s="15">
        <f>FEBRERO!V80+MARZO!AL80</f>
        <v>0</v>
      </c>
      <c r="W80" s="15">
        <f>FEBRERO!W80+MARZO!AM80</f>
        <v>0</v>
      </c>
      <c r="X80" s="18">
        <f t="shared" si="75"/>
        <v>48881820</v>
      </c>
      <c r="Y80" s="19">
        <f>FEBRERO!AA80</f>
        <v>12971998</v>
      </c>
      <c r="Z80" s="374">
        <v>7229016</v>
      </c>
      <c r="AA80" s="16">
        <f t="shared" si="76"/>
        <v>20201014</v>
      </c>
      <c r="AB80" s="19">
        <f>FEBRERO!AD80</f>
        <v>12971998</v>
      </c>
      <c r="AC80" s="374">
        <v>7229016</v>
      </c>
      <c r="AD80" s="16">
        <f t="shared" si="77"/>
        <v>20201014</v>
      </c>
      <c r="AE80" s="19">
        <f>FEBRERO!AG80</f>
        <v>12971998</v>
      </c>
      <c r="AF80" s="374">
        <v>7229016</v>
      </c>
      <c r="AG80" s="16">
        <f t="shared" si="78"/>
        <v>20201014</v>
      </c>
      <c r="AH80" s="19">
        <f t="shared" si="79"/>
        <v>28680806</v>
      </c>
      <c r="AI80" s="15">
        <f t="shared" si="80"/>
        <v>28680806</v>
      </c>
      <c r="AJ80" s="16">
        <f t="shared" si="81"/>
        <v>28680806</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3">
        <f>+IF(FEBRERO!A81=0,"",FEBRERO!A81)</f>
        <v>1130119</v>
      </c>
      <c r="B81" s="649"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705">
        <f>+IF(FEBRERO!S81=0,"",FEBRERO!S81)</f>
        <v>1020199</v>
      </c>
      <c r="T81" s="723" t="str">
        <f>+IF(FEBRERO!T81=0,"",FEBRERO!T81)</f>
        <v>Vigencias Anteriores</v>
      </c>
      <c r="U81" s="29">
        <f>+ENERO!U81</f>
        <v>0</v>
      </c>
      <c r="V81" s="15">
        <f>FEBRERO!V81+MARZO!AL81</f>
        <v>0</v>
      </c>
      <c r="W81" s="15">
        <f>FEBRERO!W81+MARZO!AM81</f>
        <v>0</v>
      </c>
      <c r="X81" s="18">
        <f t="shared" si="75"/>
        <v>0</v>
      </c>
      <c r="Y81" s="19">
        <f>FEBRERO!AA81</f>
        <v>0</v>
      </c>
      <c r="Z81" s="374">
        <v>0</v>
      </c>
      <c r="AA81" s="16">
        <f t="shared" si="76"/>
        <v>0</v>
      </c>
      <c r="AB81" s="19">
        <f>FEBRERO!AD81</f>
        <v>0</v>
      </c>
      <c r="AC81" s="374">
        <v>0</v>
      </c>
      <c r="AD81" s="16">
        <f t="shared" si="77"/>
        <v>0</v>
      </c>
      <c r="AE81" s="19">
        <f>FEBRERO!AG81</f>
        <v>0</v>
      </c>
      <c r="AF81" s="374">
        <v>0</v>
      </c>
      <c r="AG81" s="16">
        <f t="shared" si="78"/>
        <v>0</v>
      </c>
      <c r="AH81" s="19">
        <f t="shared" si="79"/>
        <v>0</v>
      </c>
      <c r="AI81" s="15">
        <f t="shared" si="80"/>
        <v>0</v>
      </c>
      <c r="AJ81" s="16">
        <f t="shared" si="81"/>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+IF(FEBRERO!A82=0,"",FEBRERO!A82)</f>
        <v>1130119-1</v>
      </c>
      <c r="B82" s="646" t="str">
        <f>+CONCATENATE("Vigencia ",INSTRUCCIONES!$F$3)</f>
        <v>Vigencia 2017</v>
      </c>
      <c r="C82" s="671">
        <f>+ENERO!C82</f>
        <v>0</v>
      </c>
      <c r="D82" s="373">
        <f>FEBRERO!D82+MARZO!P82</f>
        <v>0</v>
      </c>
      <c r="E82" s="373">
        <f>FEBRERO!E82+MARZO!Q82</f>
        <v>0</v>
      </c>
      <c r="F82" s="373">
        <f t="shared" si="84"/>
        <v>0</v>
      </c>
      <c r="G82" s="373">
        <f>FEBRERO!I82</f>
        <v>0</v>
      </c>
      <c r="H82" s="374">
        <v>0</v>
      </c>
      <c r="I82" s="373">
        <f t="shared" si="85"/>
        <v>0</v>
      </c>
      <c r="J82" s="373">
        <f>FEBRERO!L82</f>
        <v>0</v>
      </c>
      <c r="K82" s="374">
        <v>0</v>
      </c>
      <c r="L82" s="373">
        <f t="shared" si="86"/>
        <v>0</v>
      </c>
      <c r="M82" s="373">
        <f t="shared" si="87"/>
        <v>0</v>
      </c>
      <c r="N82" s="143">
        <f t="shared" si="88"/>
        <v>0</v>
      </c>
      <c r="P82" s="372">
        <v>0</v>
      </c>
      <c r="Q82" s="375">
        <v>0</v>
      </c>
      <c r="R82" s="9"/>
      <c r="S82" s="366" t="str">
        <f>+IF(FEBRERO!S82=0,"",FEBRERO!S82)</f>
        <v/>
      </c>
      <c r="T82" s="695" t="str">
        <f>+IF(FEBRERO!T82=0,"",FEBRERO!T82)</f>
        <v/>
      </c>
      <c r="U82" s="367"/>
      <c r="V82" s="161"/>
      <c r="W82" s="161"/>
      <c r="X82" s="161"/>
      <c r="Y82" s="367"/>
      <c r="Z82" s="161"/>
      <c r="AA82" s="166"/>
      <c r="AB82" s="367"/>
      <c r="AC82" s="161"/>
      <c r="AD82" s="166"/>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+IF(FEBRERO!A83=0,"",FEBRERO!A83)</f>
        <v>1130119-2</v>
      </c>
      <c r="B83" s="650" t="str">
        <f>+IF(FEBRERO!B83=0,"",FEBRERO!B83)</f>
        <v>Vigencia Anterior</v>
      </c>
      <c r="C83" s="769">
        <f>+ENERO!C83</f>
        <v>0</v>
      </c>
      <c r="D83" s="385">
        <f>FEBRERO!D83+MARZO!P83</f>
        <v>0</v>
      </c>
      <c r="E83" s="385">
        <f>FEBRERO!E83+MARZO!Q83</f>
        <v>0</v>
      </c>
      <c r="F83" s="385">
        <f t="shared" si="84"/>
        <v>0</v>
      </c>
      <c r="G83" s="385">
        <f>FEBRERO!I83</f>
        <v>0</v>
      </c>
      <c r="H83" s="388">
        <v>0</v>
      </c>
      <c r="I83" s="385">
        <f t="shared" si="85"/>
        <v>0</v>
      </c>
      <c r="J83" s="385">
        <f>FEBRERO!L83</f>
        <v>0</v>
      </c>
      <c r="K83" s="388">
        <v>0</v>
      </c>
      <c r="L83" s="385">
        <f t="shared" si="86"/>
        <v>0</v>
      </c>
      <c r="M83" s="385">
        <f t="shared" si="87"/>
        <v>0</v>
      </c>
      <c r="N83" s="386">
        <f t="shared" si="88"/>
        <v>0</v>
      </c>
      <c r="P83" s="372">
        <v>0</v>
      </c>
      <c r="Q83" s="375">
        <v>0</v>
      </c>
      <c r="R83" s="9"/>
      <c r="S83" s="704">
        <f>+IF(FEBRERO!S83=0,"",FEBRERO!S83)</f>
        <v>1020200</v>
      </c>
      <c r="T83" s="722" t="str">
        <f>+IF(FEBRERO!T83=0,"",FEBRERO!T83)</f>
        <v>Servicios Personales Indirectos</v>
      </c>
      <c r="U83" s="128">
        <f t="shared" ref="U83:AJ83" si="90">SUM(U84:U88)</f>
        <v>22232471701</v>
      </c>
      <c r="V83" s="122">
        <f t="shared" si="90"/>
        <v>-970572051</v>
      </c>
      <c r="W83" s="122">
        <f t="shared" si="90"/>
        <v>1000000000</v>
      </c>
      <c r="X83" s="129">
        <f t="shared" si="90"/>
        <v>22261899650</v>
      </c>
      <c r="Y83" s="128">
        <f t="shared" si="90"/>
        <v>12459584460</v>
      </c>
      <c r="Z83" s="122">
        <f t="shared" si="90"/>
        <v>2847166235</v>
      </c>
      <c r="AA83" s="130">
        <f t="shared" si="90"/>
        <v>15306750695</v>
      </c>
      <c r="AB83" s="128">
        <f t="shared" si="90"/>
        <v>5500343117</v>
      </c>
      <c r="AC83" s="122">
        <f t="shared" si="90"/>
        <v>3156601158</v>
      </c>
      <c r="AD83" s="130">
        <f t="shared" si="90"/>
        <v>8656944275</v>
      </c>
      <c r="AE83" s="128">
        <f t="shared" si="90"/>
        <v>2771266551</v>
      </c>
      <c r="AF83" s="122">
        <f t="shared" si="90"/>
        <v>1389684197</v>
      </c>
      <c r="AG83" s="130">
        <f t="shared" si="90"/>
        <v>4160950748</v>
      </c>
      <c r="AH83" s="128">
        <f t="shared" si="90"/>
        <v>6955148955</v>
      </c>
      <c r="AI83" s="122">
        <f t="shared" si="90"/>
        <v>13604955375</v>
      </c>
      <c r="AJ83" s="130">
        <f t="shared" si="90"/>
        <v>18100948902</v>
      </c>
      <c r="AK83" s="9"/>
      <c r="AL83" s="128">
        <f>SUM(AL84:AL88)</f>
        <v>445643507</v>
      </c>
      <c r="AM83" s="130">
        <f>SUM(AM84:AM88)</f>
        <v>1000000000</v>
      </c>
      <c r="AN83" s="9"/>
      <c r="AO83" s="294"/>
      <c r="AP83" s="294"/>
      <c r="AQ83" s="294"/>
      <c r="AR83" s="294"/>
      <c r="AS83" s="294"/>
      <c r="AT83" s="294"/>
      <c r="AU83" s="294"/>
      <c r="AV83" s="294"/>
      <c r="AW83" s="294"/>
      <c r="AX83" s="294"/>
      <c r="AY83" s="294"/>
      <c r="AZ83" s="294"/>
      <c r="BM83" s="9"/>
    </row>
    <row r="84" spans="1:70" s="382" customFormat="1" ht="24.95" customHeight="1" thickBot="1">
      <c r="A84" s="736" t="str">
        <f>+IF(FEBRERO!A84=0,"",FEBRERO!A84)</f>
        <v/>
      </c>
      <c r="B84" s="651" t="str">
        <f>+IF(FEBRERO!B84=0,"",FEBRERO!B84)</f>
        <v/>
      </c>
      <c r="C84" s="294"/>
      <c r="D84" s="294"/>
      <c r="E84" s="294"/>
      <c r="F84" s="294"/>
      <c r="G84" s="294"/>
      <c r="H84" s="294"/>
      <c r="I84" s="294"/>
      <c r="J84" s="294"/>
      <c r="K84" s="294"/>
      <c r="L84" s="294"/>
      <c r="M84" s="294"/>
      <c r="N84" s="463"/>
      <c r="O84" s="461"/>
      <c r="P84" s="467"/>
      <c r="Q84" s="391"/>
      <c r="R84" s="9"/>
      <c r="S84" s="705" t="str">
        <f>+IF(FEBRERO!S84=0,"",FEBRERO!S84)</f>
        <v>1020200-1</v>
      </c>
      <c r="T84" s="723" t="str">
        <f>+IF(FEBRERO!T84=0,"",FEBRERO!T84)</f>
        <v>Remuneración y Honorarios por Servicios Técnicos y Profesionales</v>
      </c>
      <c r="U84" s="29">
        <f>+ENERO!U84</f>
        <v>1000000000</v>
      </c>
      <c r="V84" s="15">
        <f>FEBRERO!V84+MARZO!AL84</f>
        <v>441000000</v>
      </c>
      <c r="W84" s="15">
        <f>FEBRERO!W84+MARZO!AM84</f>
        <v>0</v>
      </c>
      <c r="X84" s="18">
        <f>SUM(U84:W84)</f>
        <v>1441000000</v>
      </c>
      <c r="Y84" s="19">
        <f>FEBRERO!AA84</f>
        <v>1381557800</v>
      </c>
      <c r="Z84" s="374">
        <v>-25676000</v>
      </c>
      <c r="AA84" s="16">
        <f>SUM(Y84:Z84)</f>
        <v>1355881800</v>
      </c>
      <c r="AB84" s="19">
        <f>FEBRERO!AD84</f>
        <v>548580000</v>
      </c>
      <c r="AC84" s="374">
        <v>237532038</v>
      </c>
      <c r="AD84" s="16">
        <f>SUM(AB84:AC84)</f>
        <v>786112038</v>
      </c>
      <c r="AE84" s="19">
        <f>FEBRERO!AG84</f>
        <v>239643128</v>
      </c>
      <c r="AF84" s="374">
        <v>190224000</v>
      </c>
      <c r="AG84" s="16">
        <f>SUM(AE84:AF84)</f>
        <v>429867128</v>
      </c>
      <c r="AH84" s="19">
        <f>X84-AA84</f>
        <v>85118200</v>
      </c>
      <c r="AI84" s="15">
        <f>X84-AD84</f>
        <v>654887962</v>
      </c>
      <c r="AJ84" s="16">
        <f>X84-AG84</f>
        <v>1011132872</v>
      </c>
      <c r="AK84" s="9"/>
      <c r="AL84" s="372">
        <f>38371713-9000000</f>
        <v>29371713</v>
      </c>
      <c r="AM84" s="375">
        <v>0</v>
      </c>
      <c r="AN84" s="9"/>
      <c r="AO84" s="294"/>
      <c r="AP84" s="294"/>
      <c r="AQ84" s="294"/>
      <c r="AR84" s="294"/>
      <c r="AS84" s="294"/>
      <c r="AT84" s="294"/>
      <c r="AU84" s="294"/>
      <c r="AV84" s="294"/>
      <c r="AW84" s="294"/>
      <c r="AX84" s="294"/>
      <c r="AY84" s="294"/>
      <c r="AZ84" s="294"/>
    </row>
    <row r="85" spans="1:70" s="382" customFormat="1" ht="24.95" customHeight="1">
      <c r="A85" s="737">
        <f>+IF(FEBRERO!A85=0,"",FEBRERO!A85)</f>
        <v>11302</v>
      </c>
      <c r="B85" s="652" t="str">
        <f>+IF(FEBRERO!B85=0,"",FEBRERO!B85)</f>
        <v>Otras Ventas de Servicios de Salud</v>
      </c>
      <c r="C85" s="617">
        <f t="shared" ref="C85:N85" si="91">SUM(C86:C92)</f>
        <v>0</v>
      </c>
      <c r="D85" s="615">
        <f t="shared" si="91"/>
        <v>0</v>
      </c>
      <c r="E85" s="615">
        <f t="shared" si="91"/>
        <v>0</v>
      </c>
      <c r="F85" s="615">
        <f t="shared" si="91"/>
        <v>0</v>
      </c>
      <c r="G85" s="615">
        <f t="shared" si="91"/>
        <v>0</v>
      </c>
      <c r="H85" s="615">
        <f t="shared" si="91"/>
        <v>0</v>
      </c>
      <c r="I85" s="615">
        <f t="shared" si="91"/>
        <v>0</v>
      </c>
      <c r="J85" s="615">
        <f t="shared" si="91"/>
        <v>0</v>
      </c>
      <c r="K85" s="615">
        <f t="shared" si="91"/>
        <v>0</v>
      </c>
      <c r="L85" s="615">
        <f t="shared" si="91"/>
        <v>0</v>
      </c>
      <c r="M85" s="615">
        <f t="shared" si="91"/>
        <v>0</v>
      </c>
      <c r="N85" s="616">
        <f t="shared" si="91"/>
        <v>0</v>
      </c>
      <c r="P85" s="43">
        <f>SUM(P86:P92)</f>
        <v>0</v>
      </c>
      <c r="Q85" s="45">
        <f>SUM(Q86:Q92)</f>
        <v>0</v>
      </c>
      <c r="R85" s="9"/>
      <c r="S85" s="705" t="str">
        <f>+IF(FEBRERO!S85=0,"",FEBRERO!S85)</f>
        <v>1020200-2</v>
      </c>
      <c r="T85" s="723" t="str">
        <f>+IF(FEBRERO!T85=0,"",FEBRERO!T85)</f>
        <v>Personal Supernumerario</v>
      </c>
      <c r="U85" s="29">
        <f>+ENERO!U85</f>
        <v>0</v>
      </c>
      <c r="V85" s="15">
        <f>FEBRERO!V85+MARZO!AL85</f>
        <v>0</v>
      </c>
      <c r="W85" s="15">
        <f>FEBRERO!W85+MARZO!AM85</f>
        <v>0</v>
      </c>
      <c r="X85" s="18">
        <f>SUM(U85:W85)</f>
        <v>0</v>
      </c>
      <c r="Y85" s="19">
        <f>FEBRERO!AA85</f>
        <v>0</v>
      </c>
      <c r="Z85" s="374">
        <v>0</v>
      </c>
      <c r="AA85" s="16">
        <f>SUM(Y85:Z85)</f>
        <v>0</v>
      </c>
      <c r="AB85" s="19">
        <f>FEBRERO!AD85</f>
        <v>0</v>
      </c>
      <c r="AC85" s="374">
        <v>0</v>
      </c>
      <c r="AD85" s="16">
        <f>SUM(AB85:AC85)</f>
        <v>0</v>
      </c>
      <c r="AE85" s="19">
        <f>FEBRERO!AG85</f>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8">
        <f>+IF(FEBRERO!A86=0,"",FEBRERO!A86)</f>
        <v>1130201</v>
      </c>
      <c r="B86" s="626" t="str">
        <f>+IF(FEBRERO!B86=0,"",FEBRERO!B86)</f>
        <v/>
      </c>
      <c r="C86" s="669">
        <f>+ENERO!C86</f>
        <v>0</v>
      </c>
      <c r="D86" s="373">
        <f>FEBRERO!D86+MARZO!P86</f>
        <v>0</v>
      </c>
      <c r="E86" s="373">
        <f>FEBRERO!E86+MARZO!Q86</f>
        <v>0</v>
      </c>
      <c r="F86" s="373">
        <f t="shared" ref="F86:F92" si="92">SUM(C86:E86)</f>
        <v>0</v>
      </c>
      <c r="G86" s="373">
        <f>FEBRERO!I86</f>
        <v>0</v>
      </c>
      <c r="H86" s="374">
        <v>0</v>
      </c>
      <c r="I86" s="373">
        <f t="shared" ref="I86:I92" si="93">SUM(G86:H86)</f>
        <v>0</v>
      </c>
      <c r="J86" s="373">
        <f>FEBRERO!L86</f>
        <v>0</v>
      </c>
      <c r="K86" s="374">
        <v>0</v>
      </c>
      <c r="L86" s="373">
        <f t="shared" ref="L86:L92" si="94">SUM(J86:K86)</f>
        <v>0</v>
      </c>
      <c r="M86" s="373">
        <f t="shared" ref="M86:M92" si="95">F86-I86</f>
        <v>0</v>
      </c>
      <c r="N86" s="143">
        <f t="shared" ref="N86:N92" si="96">F86-L86</f>
        <v>0</v>
      </c>
      <c r="O86" s="382"/>
      <c r="P86" s="372">
        <v>0</v>
      </c>
      <c r="Q86" s="375">
        <v>0</v>
      </c>
      <c r="S86" s="705" t="str">
        <f>+IF(FEBRERO!S86=0,"",FEBRERO!S86)</f>
        <v>1020200-4</v>
      </c>
      <c r="T86" s="723" t="str">
        <f>+IF(FEBRERO!T86=0,"",FEBRERO!T86)</f>
        <v>Otros Honorarios</v>
      </c>
      <c r="U86" s="29">
        <f>+ENERO!U86</f>
        <v>19000000000</v>
      </c>
      <c r="V86" s="15">
        <f>FEBRERO!V86+MARZO!AL86</f>
        <v>-1638159976</v>
      </c>
      <c r="W86" s="15">
        <f>FEBRERO!W86+MARZO!AM86</f>
        <v>0</v>
      </c>
      <c r="X86" s="18">
        <f>SUM(U86:W86)</f>
        <v>17361840024</v>
      </c>
      <c r="Y86" s="19">
        <f>FEBRERO!AA86</f>
        <v>8605730146</v>
      </c>
      <c r="Z86" s="374">
        <v>1886080000</v>
      </c>
      <c r="AA86" s="16">
        <f>SUM(Y86:Z86)</f>
        <v>10491810146</v>
      </c>
      <c r="AB86" s="19">
        <f>FEBRERO!AD86</f>
        <v>2479466603</v>
      </c>
      <c r="AC86" s="374">
        <v>1932306885</v>
      </c>
      <c r="AD86" s="16">
        <f>SUM(AB86:AC86)</f>
        <v>4411773488</v>
      </c>
      <c r="AE86" s="19">
        <f>FEBRERO!AG86</f>
        <v>59326909</v>
      </c>
      <c r="AF86" s="374">
        <v>212697962</v>
      </c>
      <c r="AG86" s="16">
        <f>SUM(AE86:AF86)</f>
        <v>272024871</v>
      </c>
      <c r="AH86" s="19">
        <f>X86-AA86</f>
        <v>6870029878</v>
      </c>
      <c r="AI86" s="15">
        <f>X86-AD86</f>
        <v>12950066536</v>
      </c>
      <c r="AJ86" s="16">
        <f>X86-AG86</f>
        <v>17089815153</v>
      </c>
      <c r="AL86" s="372">
        <f>528000000-8342493-41000000</f>
        <v>478657507</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38">
        <f>+IF(FEBRERO!A87=0,"",FEBRERO!A87)</f>
        <v>1130202</v>
      </c>
      <c r="B87" s="626" t="str">
        <f>+IF(FEBRERO!B87=0,"",FEBRERO!B87)</f>
        <v/>
      </c>
      <c r="C87" s="669">
        <f>+ENERO!C87</f>
        <v>0</v>
      </c>
      <c r="D87" s="373">
        <f>FEBRERO!D87+MARZO!P87</f>
        <v>0</v>
      </c>
      <c r="E87" s="373">
        <f>FEBRERO!E87+MARZO!Q87</f>
        <v>0</v>
      </c>
      <c r="F87" s="373">
        <f t="shared" si="92"/>
        <v>0</v>
      </c>
      <c r="G87" s="373">
        <f>FEBRERO!I87</f>
        <v>0</v>
      </c>
      <c r="H87" s="374">
        <v>0</v>
      </c>
      <c r="I87" s="373">
        <f t="shared" si="93"/>
        <v>0</v>
      </c>
      <c r="J87" s="373">
        <f>FEBRERO!L87</f>
        <v>0</v>
      </c>
      <c r="K87" s="374">
        <v>0</v>
      </c>
      <c r="L87" s="373">
        <f t="shared" si="94"/>
        <v>0</v>
      </c>
      <c r="M87" s="373">
        <f t="shared" si="95"/>
        <v>0</v>
      </c>
      <c r="N87" s="143">
        <f t="shared" si="96"/>
        <v>0</v>
      </c>
      <c r="P87" s="372">
        <v>0</v>
      </c>
      <c r="Q87" s="375">
        <v>0</v>
      </c>
      <c r="R87" s="9"/>
      <c r="S87" s="705" t="str">
        <f>+IF(FEBRERO!S87=0,"",FEBRERO!S87)</f>
        <v/>
      </c>
      <c r="T87" s="723" t="str">
        <f>+IF(FEBRERO!T87=0,"",FEBRERO!T87)</f>
        <v/>
      </c>
      <c r="U87" s="29">
        <f>+ENERO!U87</f>
        <v>0</v>
      </c>
      <c r="V87" s="15">
        <f>FEBRERO!V87+MARZO!AL87</f>
        <v>0</v>
      </c>
      <c r="W87" s="15">
        <f>FEBRERO!W87+MARZO!AM87</f>
        <v>0</v>
      </c>
      <c r="X87" s="18">
        <f>SUM(U87:W87)</f>
        <v>0</v>
      </c>
      <c r="Y87" s="19">
        <f>FEBRERO!AA87</f>
        <v>0</v>
      </c>
      <c r="Z87" s="374">
        <v>0</v>
      </c>
      <c r="AA87" s="16">
        <f>SUM(Y87:Z87)</f>
        <v>0</v>
      </c>
      <c r="AB87" s="19">
        <f>FEBRERO!AD87</f>
        <v>0</v>
      </c>
      <c r="AC87" s="374">
        <v>0</v>
      </c>
      <c r="AD87" s="16">
        <f>SUM(AB87:AC87)</f>
        <v>0</v>
      </c>
      <c r="AE87" s="19">
        <f>FEBRERO!AG87</f>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8">
        <f>+IF(FEBRERO!A88=0,"",FEBRERO!A88)</f>
        <v>1130203</v>
      </c>
      <c r="B88" s="627" t="str">
        <f>+IF(FEBRERO!B88=0,"",FEBRERO!B88)</f>
        <v>CONVENIOS CON LA NACION LIGADOS A LA VENTA DE SERVICIOS</v>
      </c>
      <c r="C88" s="669">
        <f>+ENERO!C88</f>
        <v>0</v>
      </c>
      <c r="D88" s="373">
        <f>FEBRERO!D88+MARZO!P88</f>
        <v>0</v>
      </c>
      <c r="E88" s="373">
        <f>FEBRERO!E88+MARZO!Q88</f>
        <v>0</v>
      </c>
      <c r="F88" s="373">
        <f t="shared" si="92"/>
        <v>0</v>
      </c>
      <c r="G88" s="373">
        <f>FEBRERO!I88</f>
        <v>0</v>
      </c>
      <c r="H88" s="374">
        <v>0</v>
      </c>
      <c r="I88" s="373">
        <f t="shared" si="93"/>
        <v>0</v>
      </c>
      <c r="J88" s="373">
        <f>FEBRERO!L88</f>
        <v>0</v>
      </c>
      <c r="K88" s="374">
        <v>0</v>
      </c>
      <c r="L88" s="373">
        <f t="shared" si="94"/>
        <v>0</v>
      </c>
      <c r="M88" s="373">
        <f t="shared" si="95"/>
        <v>0</v>
      </c>
      <c r="N88" s="143">
        <f t="shared" si="96"/>
        <v>0</v>
      </c>
      <c r="P88" s="372">
        <v>0</v>
      </c>
      <c r="Q88" s="375">
        <v>0</v>
      </c>
      <c r="R88" s="9"/>
      <c r="S88" s="705">
        <f>+IF(FEBRERO!S88=0,"",FEBRERO!S88)</f>
        <v>1020299</v>
      </c>
      <c r="T88" s="723" t="str">
        <f>+IF(FEBRERO!T88=0,"",FEBRERO!T88)</f>
        <v>Vigencias Anteriores</v>
      </c>
      <c r="U88" s="29">
        <f>+ENERO!U88</f>
        <v>2232471701</v>
      </c>
      <c r="V88" s="15">
        <f>FEBRERO!V88+MARZO!AL88</f>
        <v>226587925</v>
      </c>
      <c r="W88" s="15">
        <f>FEBRERO!W88+MARZO!AM88</f>
        <v>1000000000</v>
      </c>
      <c r="X88" s="18">
        <f>SUM(U88:W88)</f>
        <v>3459059626</v>
      </c>
      <c r="Y88" s="19">
        <f>FEBRERO!AA88</f>
        <v>2472296514</v>
      </c>
      <c r="Z88" s="374">
        <v>986762235</v>
      </c>
      <c r="AA88" s="16">
        <f>SUM(Y88:Z88)</f>
        <v>3459058749</v>
      </c>
      <c r="AB88" s="19">
        <f>FEBRERO!AD88</f>
        <v>2472296514</v>
      </c>
      <c r="AC88" s="374">
        <v>986762235</v>
      </c>
      <c r="AD88" s="16">
        <f>SUM(AB88:AC88)</f>
        <v>3459058749</v>
      </c>
      <c r="AE88" s="19">
        <f>FEBRERO!AG88</f>
        <v>2472296514</v>
      </c>
      <c r="AF88" s="374">
        <v>986762235</v>
      </c>
      <c r="AG88" s="814">
        <f>SUM(AE88:AF88)</f>
        <v>3459058749</v>
      </c>
      <c r="AH88" s="19">
        <f>X88-AA88</f>
        <v>877</v>
      </c>
      <c r="AI88" s="15">
        <f>X88-AD88</f>
        <v>877</v>
      </c>
      <c r="AJ88" s="16">
        <f>X88-AG88</f>
        <v>877</v>
      </c>
      <c r="AK88" s="9"/>
      <c r="AL88" s="372">
        <f>-566371713+7000000+295700000+2400000+198886000</f>
        <v>-62385713</v>
      </c>
      <c r="AM88" s="375">
        <v>1000000000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8">
        <f>+IF(FEBRERO!A89=0,"",FEBRERO!A89)</f>
        <v>1130204</v>
      </c>
      <c r="B89" s="627" t="str">
        <f>+IF(FEBRERO!B89=0,"",FEBRERO!B89)</f>
        <v>CONVENIOS CON EL DEPARTAMENTO LIGADOS A LA VENTA SERVICIOS</v>
      </c>
      <c r="C89" s="669">
        <f>+ENERO!C89</f>
        <v>0</v>
      </c>
      <c r="D89" s="373">
        <f>FEBRERO!D89+MARZO!P89</f>
        <v>0</v>
      </c>
      <c r="E89" s="373">
        <f>FEBRERO!E89+MARZO!Q89</f>
        <v>0</v>
      </c>
      <c r="F89" s="373">
        <f t="shared" si="92"/>
        <v>0</v>
      </c>
      <c r="G89" s="373">
        <f>FEBRERO!I89</f>
        <v>0</v>
      </c>
      <c r="H89" s="374">
        <v>0</v>
      </c>
      <c r="I89" s="373">
        <f t="shared" si="93"/>
        <v>0</v>
      </c>
      <c r="J89" s="373">
        <f>FEBRERO!L89</f>
        <v>0</v>
      </c>
      <c r="K89" s="374">
        <v>0</v>
      </c>
      <c r="L89" s="373">
        <f t="shared" si="94"/>
        <v>0</v>
      </c>
      <c r="M89" s="373">
        <f t="shared" si="95"/>
        <v>0</v>
      </c>
      <c r="N89" s="143">
        <f t="shared" si="96"/>
        <v>0</v>
      </c>
      <c r="P89" s="372">
        <v>0</v>
      </c>
      <c r="Q89" s="375">
        <v>0</v>
      </c>
      <c r="R89" s="9"/>
      <c r="S89" s="366" t="str">
        <f>+IF(FEBRERO!S89=0,"",FEBRERO!S89)</f>
        <v/>
      </c>
      <c r="T89" s="695" t="str">
        <f>+IF(FEBRERO!T89=0,"",FEBRERO!T89)</f>
        <v/>
      </c>
      <c r="U89" s="367"/>
      <c r="V89" s="161"/>
      <c r="W89" s="161"/>
      <c r="X89" s="161"/>
      <c r="Y89" s="367"/>
      <c r="Z89" s="161"/>
      <c r="AA89" s="166"/>
      <c r="AB89" s="367"/>
      <c r="AC89" s="161"/>
      <c r="AD89" s="166"/>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8">
        <f>+IF(FEBRERO!A90=0,"",FEBRERO!A90)</f>
        <v>1130205</v>
      </c>
      <c r="B90" s="627" t="str">
        <f>+IF(FEBRERO!B90=0,"",FEBRERO!B90)</f>
        <v>CONVENIOS CON EL MUNICIPIO LIGADOS A LA VENTA DE SERVICIOS</v>
      </c>
      <c r="C90" s="669">
        <f>+ENERO!C90</f>
        <v>0</v>
      </c>
      <c r="D90" s="373">
        <f>FEBRERO!D90+MARZO!P90</f>
        <v>0</v>
      </c>
      <c r="E90" s="373">
        <f>FEBRERO!E90+MARZO!Q90</f>
        <v>0</v>
      </c>
      <c r="F90" s="373">
        <f t="shared" si="92"/>
        <v>0</v>
      </c>
      <c r="G90" s="373">
        <f>FEBRERO!I90</f>
        <v>0</v>
      </c>
      <c r="H90" s="374">
        <v>0</v>
      </c>
      <c r="I90" s="373">
        <f t="shared" si="93"/>
        <v>0</v>
      </c>
      <c r="J90" s="373">
        <f>FEBRERO!L90</f>
        <v>0</v>
      </c>
      <c r="K90" s="374">
        <v>0</v>
      </c>
      <c r="L90" s="373">
        <f t="shared" si="94"/>
        <v>0</v>
      </c>
      <c r="M90" s="373">
        <f t="shared" si="95"/>
        <v>0</v>
      </c>
      <c r="N90" s="143">
        <f t="shared" si="96"/>
        <v>0</v>
      </c>
      <c r="O90" s="382"/>
      <c r="P90" s="372">
        <v>0</v>
      </c>
      <c r="Q90" s="375">
        <v>0</v>
      </c>
      <c r="R90" s="30"/>
      <c r="S90" s="704">
        <f>+IF(FEBRERO!S90=0,"",FEBRERO!S90)</f>
        <v>1020300</v>
      </c>
      <c r="T90" s="722" t="str">
        <f>+IF(FEBRERO!T90=0,"",FEBRERO!T90)</f>
        <v>Contribuciones Inherentes nómina al Sector Privado</v>
      </c>
      <c r="U90" s="128">
        <f t="shared" ref="U90:AJ90" si="97">U91+U96+U102</f>
        <v>259627762</v>
      </c>
      <c r="V90" s="122">
        <f t="shared" si="97"/>
        <v>-78539920</v>
      </c>
      <c r="W90" s="122">
        <f t="shared" si="97"/>
        <v>78539920</v>
      </c>
      <c r="X90" s="129">
        <f t="shared" si="97"/>
        <v>259627762</v>
      </c>
      <c r="Y90" s="128">
        <f t="shared" si="97"/>
        <v>38215234</v>
      </c>
      <c r="Z90" s="122">
        <f t="shared" si="97"/>
        <v>19409809</v>
      </c>
      <c r="AA90" s="130">
        <f t="shared" si="97"/>
        <v>57625043</v>
      </c>
      <c r="AB90" s="128">
        <f t="shared" si="97"/>
        <v>38215234</v>
      </c>
      <c r="AC90" s="122">
        <f t="shared" si="97"/>
        <v>19409809</v>
      </c>
      <c r="AD90" s="130">
        <f t="shared" si="97"/>
        <v>57625043</v>
      </c>
      <c r="AE90" s="128">
        <f t="shared" si="97"/>
        <v>38215234</v>
      </c>
      <c r="AF90" s="122">
        <f t="shared" si="97"/>
        <v>19409809</v>
      </c>
      <c r="AG90" s="130">
        <f t="shared" si="97"/>
        <v>57625043</v>
      </c>
      <c r="AH90" s="128">
        <f t="shared" si="97"/>
        <v>202002719</v>
      </c>
      <c r="AI90" s="122">
        <f t="shared" si="97"/>
        <v>202002719</v>
      </c>
      <c r="AJ90" s="130">
        <f t="shared" si="97"/>
        <v>202002719</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8">
        <f>+IF(FEBRERO!A91=0,"",FEBRERO!A91)</f>
        <v>1130206</v>
      </c>
      <c r="B91" s="627" t="str">
        <f>+IF(FEBRERO!B91=0,"",FEBRERO!B91)</f>
        <v>OTROS CONVENIOS LIGADOS A LA VENTA DE SERVICIOS</v>
      </c>
      <c r="C91" s="669">
        <f>+ENERO!C91</f>
        <v>0</v>
      </c>
      <c r="D91" s="373">
        <f>FEBRERO!D91+MARZO!P91</f>
        <v>0</v>
      </c>
      <c r="E91" s="373">
        <f>FEBRERO!E91+MARZO!Q91</f>
        <v>0</v>
      </c>
      <c r="F91" s="373">
        <f t="shared" si="92"/>
        <v>0</v>
      </c>
      <c r="G91" s="373">
        <f>FEBRERO!I91</f>
        <v>0</v>
      </c>
      <c r="H91" s="374">
        <v>0</v>
      </c>
      <c r="I91" s="373">
        <f t="shared" si="93"/>
        <v>0</v>
      </c>
      <c r="J91" s="373">
        <f>FEBRERO!L91</f>
        <v>0</v>
      </c>
      <c r="K91" s="374">
        <v>0</v>
      </c>
      <c r="L91" s="373">
        <f t="shared" si="94"/>
        <v>0</v>
      </c>
      <c r="M91" s="373">
        <f t="shared" si="95"/>
        <v>0</v>
      </c>
      <c r="N91" s="143">
        <f t="shared" si="96"/>
        <v>0</v>
      </c>
      <c r="O91" s="382"/>
      <c r="P91" s="372">
        <v>0</v>
      </c>
      <c r="Q91" s="375">
        <v>0</v>
      </c>
      <c r="R91" s="30"/>
      <c r="S91" s="705">
        <f>+IF(FEBRERO!S91=0,"",FEBRERO!S91)</f>
        <v>1020301</v>
      </c>
      <c r="T91" s="723" t="str">
        <f>+IF(FEBRERO!T91=0,"",FEBRERO!T91)</f>
        <v>Contribuciones - SGP - Aportes Patronales - Cuentas Maestras</v>
      </c>
      <c r="U91" s="29">
        <f t="shared" ref="U91:AJ91" si="98">SUM(U92:U95)</f>
        <v>0</v>
      </c>
      <c r="V91" s="15">
        <f t="shared" si="98"/>
        <v>0</v>
      </c>
      <c r="W91" s="15">
        <f t="shared" si="98"/>
        <v>0</v>
      </c>
      <c r="X91" s="18">
        <f t="shared" si="98"/>
        <v>0</v>
      </c>
      <c r="Y91" s="19">
        <f t="shared" si="98"/>
        <v>0</v>
      </c>
      <c r="Z91" s="142">
        <f t="shared" si="98"/>
        <v>0</v>
      </c>
      <c r="AA91" s="16">
        <f t="shared" si="98"/>
        <v>0</v>
      </c>
      <c r="AB91" s="19">
        <f t="shared" si="98"/>
        <v>0</v>
      </c>
      <c r="AC91" s="142">
        <f t="shared" si="98"/>
        <v>0</v>
      </c>
      <c r="AD91" s="16">
        <f t="shared" si="98"/>
        <v>0</v>
      </c>
      <c r="AE91" s="19">
        <f t="shared" si="98"/>
        <v>0</v>
      </c>
      <c r="AF91" s="142">
        <f t="shared" si="98"/>
        <v>0</v>
      </c>
      <c r="AG91" s="16">
        <f t="shared" si="98"/>
        <v>0</v>
      </c>
      <c r="AH91" s="19">
        <f t="shared" si="98"/>
        <v>0</v>
      </c>
      <c r="AI91" s="15">
        <f t="shared" si="98"/>
        <v>0</v>
      </c>
      <c r="AJ91" s="16">
        <f t="shared" si="98"/>
        <v>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8">
        <f>+IF(FEBRERO!A92=0,"",FEBRERO!A92)</f>
        <v>1130207</v>
      </c>
      <c r="B92" s="628" t="str">
        <f>+IF(FEBRERO!B92=0,"",FEBRERO!B92)</f>
        <v>Vigencia Anterior</v>
      </c>
      <c r="C92" s="770">
        <f>+ENERO!C92</f>
        <v>0</v>
      </c>
      <c r="D92" s="385">
        <f>FEBRERO!D92+MARZO!P92</f>
        <v>0</v>
      </c>
      <c r="E92" s="385">
        <f>FEBRERO!E92+MARZO!Q92</f>
        <v>0</v>
      </c>
      <c r="F92" s="385">
        <f t="shared" si="92"/>
        <v>0</v>
      </c>
      <c r="G92" s="385">
        <f>FEBRERO!I92</f>
        <v>0</v>
      </c>
      <c r="H92" s="388">
        <v>0</v>
      </c>
      <c r="I92" s="385">
        <f t="shared" si="93"/>
        <v>0</v>
      </c>
      <c r="J92" s="385">
        <f>FEBRERO!L92</f>
        <v>0</v>
      </c>
      <c r="K92" s="388">
        <v>0</v>
      </c>
      <c r="L92" s="385">
        <f t="shared" si="94"/>
        <v>0</v>
      </c>
      <c r="M92" s="385">
        <f t="shared" si="95"/>
        <v>0</v>
      </c>
      <c r="N92" s="386">
        <f t="shared" si="96"/>
        <v>0</v>
      </c>
      <c r="O92" s="382"/>
      <c r="P92" s="372">
        <v>0</v>
      </c>
      <c r="Q92" s="375">
        <v>0</v>
      </c>
      <c r="R92" s="30"/>
      <c r="S92" s="706" t="str">
        <f>+IF(FEBRERO!S92=0,"",FEBRERO!S92)</f>
        <v>1020301-1</v>
      </c>
      <c r="T92" s="724" t="str">
        <f>+IF(FEBRERO!T92=0,"",FEBRERO!T92)</f>
        <v>E.P.S. - Aportes cuentas maestras</v>
      </c>
      <c r="U92" s="29">
        <f>+ENERO!U92</f>
        <v>0</v>
      </c>
      <c r="V92" s="15">
        <f>FEBRERO!V92+MARZO!AL92</f>
        <v>0</v>
      </c>
      <c r="W92" s="15">
        <f>FEBRERO!W92+MARZO!AM92</f>
        <v>0</v>
      </c>
      <c r="X92" s="18">
        <f>SUM(U92:W92)</f>
        <v>0</v>
      </c>
      <c r="Y92" s="19">
        <f>FEBRERO!AA92</f>
        <v>0</v>
      </c>
      <c r="Z92" s="374">
        <v>0</v>
      </c>
      <c r="AA92" s="16">
        <f>SUM(Y92:Z92)</f>
        <v>0</v>
      </c>
      <c r="AB92" s="19">
        <f>FEBRERO!AD92</f>
        <v>0</v>
      </c>
      <c r="AC92" s="374">
        <v>0</v>
      </c>
      <c r="AD92" s="16">
        <f>SUM(AB92:AC92)</f>
        <v>0</v>
      </c>
      <c r="AE92" s="19">
        <f>FEBRERO!AG92</f>
        <v>0</v>
      </c>
      <c r="AF92" s="374">
        <v>0</v>
      </c>
      <c r="AG92" s="16">
        <f>SUM(AE92:AF92)</f>
        <v>0</v>
      </c>
      <c r="AH92" s="19">
        <f>X92-AA92</f>
        <v>0</v>
      </c>
      <c r="AI92" s="15">
        <f>X92-AD92</f>
        <v>0</v>
      </c>
      <c r="AJ92" s="16">
        <f>X92-AG92</f>
        <v>0</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6" t="str">
        <f>+IF(FEBRERO!A93=0,"",FEBRERO!A93)</f>
        <v/>
      </c>
      <c r="B93" s="651" t="str">
        <f>+IF(FEBRERO!B93=0,"",FEBRERO!B93)</f>
        <v/>
      </c>
      <c r="C93" s="294"/>
      <c r="D93" s="294"/>
      <c r="E93" s="294"/>
      <c r="F93" s="294"/>
      <c r="G93" s="294"/>
      <c r="H93" s="294"/>
      <c r="I93" s="294"/>
      <c r="J93" s="294"/>
      <c r="K93" s="294"/>
      <c r="L93" s="294"/>
      <c r="M93" s="294"/>
      <c r="N93" s="463"/>
      <c r="P93" s="467"/>
      <c r="Q93" s="391"/>
      <c r="R93" s="30"/>
      <c r="S93" s="706" t="str">
        <f>+IF(FEBRERO!S93=0,"",FEBRERO!S93)</f>
        <v>1020301-2</v>
      </c>
      <c r="T93" s="724" t="str">
        <f>+IF(FEBRERO!T93=0,"",FEBRERO!T93)</f>
        <v>Fondos pensionales - Aportes cuentas maestras</v>
      </c>
      <c r="U93" s="29">
        <f>+ENERO!U93</f>
        <v>0</v>
      </c>
      <c r="V93" s="15">
        <f>FEBRERO!V93+MARZO!AL93</f>
        <v>0</v>
      </c>
      <c r="W93" s="15">
        <f>FEBRERO!W93+MARZO!AM93</f>
        <v>0</v>
      </c>
      <c r="X93" s="18">
        <f>SUM(U93:W93)</f>
        <v>0</v>
      </c>
      <c r="Y93" s="19">
        <f>FEBRERO!AA93</f>
        <v>0</v>
      </c>
      <c r="Z93" s="374">
        <v>0</v>
      </c>
      <c r="AA93" s="16">
        <f>SUM(Y93:Z93)</f>
        <v>0</v>
      </c>
      <c r="AB93" s="19">
        <f>FEBRERO!AD93</f>
        <v>0</v>
      </c>
      <c r="AC93" s="374">
        <v>0</v>
      </c>
      <c r="AD93" s="16">
        <f>SUM(AB93:AC93)</f>
        <v>0</v>
      </c>
      <c r="AE93" s="19">
        <f>FEBRERO!AG93</f>
        <v>0</v>
      </c>
      <c r="AF93" s="374">
        <v>0</v>
      </c>
      <c r="AG93" s="16">
        <f>SUM(AE93:AF93)</f>
        <v>0</v>
      </c>
      <c r="AH93" s="19">
        <f>X93-AA93</f>
        <v>0</v>
      </c>
      <c r="AI93" s="15">
        <f>X93-AD93</f>
        <v>0</v>
      </c>
      <c r="AJ93" s="16">
        <f>X93-AG93</f>
        <v>0</v>
      </c>
      <c r="AK93" s="9"/>
      <c r="AL93" s="372">
        <v>0</v>
      </c>
      <c r="AM93" s="375">
        <v>0</v>
      </c>
      <c r="AN93" s="30"/>
      <c r="AO93" s="460"/>
      <c r="AP93" s="460"/>
      <c r="AQ93" s="460"/>
      <c r="AR93" s="460"/>
      <c r="AS93" s="460"/>
      <c r="AT93" s="460"/>
      <c r="AU93" s="460"/>
      <c r="AV93" s="460"/>
      <c r="AW93" s="460"/>
      <c r="AX93" s="460"/>
      <c r="AY93" s="460"/>
      <c r="AZ93" s="460"/>
      <c r="BL93" s="30"/>
    </row>
    <row r="94" spans="1:70" s="461" customFormat="1" ht="37.5" customHeight="1">
      <c r="A94" s="739">
        <f>+IF(FEBRERO!A94=0,"",FEBRERO!A94)</f>
        <v>11303</v>
      </c>
      <c r="B94" s="618" t="str">
        <f>+IF(FEBRERO!B94=0,"",FEBRERO!B94)</f>
        <v>Aportes (No ligados a la venta de servicios de salud)</v>
      </c>
      <c r="C94" s="617">
        <f>SUM(C95:C102)</f>
        <v>0</v>
      </c>
      <c r="D94" s="615">
        <f t="shared" ref="D94:N94" si="99">SUM(D95:D102)</f>
        <v>0</v>
      </c>
      <c r="E94" s="615">
        <f t="shared" si="99"/>
        <v>0</v>
      </c>
      <c r="F94" s="615">
        <f t="shared" si="99"/>
        <v>0</v>
      </c>
      <c r="G94" s="615">
        <f t="shared" si="99"/>
        <v>0</v>
      </c>
      <c r="H94" s="615">
        <f t="shared" si="99"/>
        <v>51666127</v>
      </c>
      <c r="I94" s="615">
        <f t="shared" si="99"/>
        <v>51666127</v>
      </c>
      <c r="J94" s="615">
        <f t="shared" si="99"/>
        <v>0</v>
      </c>
      <c r="K94" s="615">
        <f t="shared" si="99"/>
        <v>51666127</v>
      </c>
      <c r="L94" s="615">
        <f t="shared" si="99"/>
        <v>51666127</v>
      </c>
      <c r="M94" s="615">
        <f t="shared" si="99"/>
        <v>-51666127</v>
      </c>
      <c r="N94" s="616">
        <f t="shared" si="99"/>
        <v>-51666127</v>
      </c>
      <c r="O94" s="382"/>
      <c r="P94" s="43">
        <f>SUM(P95:P102)</f>
        <v>0</v>
      </c>
      <c r="Q94" s="45">
        <f>SUM(Q95:Q102)</f>
        <v>0</v>
      </c>
      <c r="R94" s="30"/>
      <c r="S94" s="706" t="str">
        <f>+IF(FEBRERO!S94=0,"",FEBRERO!S94)</f>
        <v>1020301-3</v>
      </c>
      <c r="T94" s="724" t="str">
        <f>+IF(FEBRERO!T94=0,"",FEBRERO!T94)</f>
        <v>Fondos de cesantías - Aportes cuentas maestras</v>
      </c>
      <c r="U94" s="29">
        <f>+ENERO!U94</f>
        <v>0</v>
      </c>
      <c r="V94" s="15">
        <f>FEBRERO!V94+MARZO!AL94</f>
        <v>0</v>
      </c>
      <c r="W94" s="15">
        <f>FEBRERO!W94+MARZO!AM94</f>
        <v>0</v>
      </c>
      <c r="X94" s="18">
        <f>SUM(U94:W94)</f>
        <v>0</v>
      </c>
      <c r="Y94" s="19">
        <f>FEBRERO!AA94</f>
        <v>0</v>
      </c>
      <c r="Z94" s="374">
        <v>0</v>
      </c>
      <c r="AA94" s="16">
        <f>SUM(Y94:Z94)</f>
        <v>0</v>
      </c>
      <c r="AB94" s="19">
        <f>FEBRERO!AD94</f>
        <v>0</v>
      </c>
      <c r="AC94" s="374">
        <v>0</v>
      </c>
      <c r="AD94" s="16">
        <f>SUM(AB94:AC94)</f>
        <v>0</v>
      </c>
      <c r="AE94" s="19">
        <f>FEBRERO!AG94</f>
        <v>0</v>
      </c>
      <c r="AF94" s="374">
        <v>0</v>
      </c>
      <c r="AG94" s="16">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0" t="str">
        <f>+IF(FEBRERO!A95=0,"",FEBRERO!A95)</f>
        <v>11303-1</v>
      </c>
      <c r="B95" s="619" t="str">
        <f>+IF(FEBRERO!B95=0,"",FEBRERO!B95)</f>
        <v>CONVENIOS CON LA NACION NO LIGADOS A LA VENTA DE SERVICIOS</v>
      </c>
      <c r="C95" s="669">
        <f>+ENERO!C95</f>
        <v>0</v>
      </c>
      <c r="D95" s="373">
        <f>FEBRERO!D95+MARZO!P95</f>
        <v>0</v>
      </c>
      <c r="E95" s="373">
        <f>FEBRERO!E95+MARZO!Q95</f>
        <v>0</v>
      </c>
      <c r="F95" s="373">
        <f t="shared" ref="F95:F102" si="100">SUM(C95:E95)</f>
        <v>0</v>
      </c>
      <c r="G95" s="373">
        <f>FEBRERO!I95</f>
        <v>0</v>
      </c>
      <c r="H95" s="374">
        <v>0</v>
      </c>
      <c r="I95" s="373">
        <f t="shared" ref="I95:I102" si="101">SUM(G95:H95)</f>
        <v>0</v>
      </c>
      <c r="J95" s="373">
        <f>FEBRERO!L95</f>
        <v>0</v>
      </c>
      <c r="K95" s="374">
        <v>0</v>
      </c>
      <c r="L95" s="373">
        <f t="shared" ref="L95:L102" si="102">SUM(J95:K95)</f>
        <v>0</v>
      </c>
      <c r="M95" s="373">
        <f t="shared" ref="M95:M102" si="103">F95-I95</f>
        <v>0</v>
      </c>
      <c r="N95" s="143">
        <f t="shared" ref="N95:N102" si="104">F95-L95</f>
        <v>0</v>
      </c>
      <c r="O95" s="382"/>
      <c r="P95" s="372">
        <v>0</v>
      </c>
      <c r="Q95" s="375">
        <v>0</v>
      </c>
      <c r="R95" s="30"/>
      <c r="S95" s="706" t="str">
        <f>+IF(FEBRERO!S95=0,"",FEBRERO!S95)</f>
        <v>1020301-4</v>
      </c>
      <c r="T95" s="724" t="str">
        <f>+IF(FEBRERO!T95=0,"",FEBRERO!T95)</f>
        <v>Riesgos laborales - Aportes cuentas maestras</v>
      </c>
      <c r="U95" s="29">
        <f>+ENERO!U95</f>
        <v>0</v>
      </c>
      <c r="V95" s="15">
        <f>FEBRERO!V95+MARZO!AL95</f>
        <v>0</v>
      </c>
      <c r="W95" s="15">
        <f>FEBRERO!W95+MARZO!AM95</f>
        <v>0</v>
      </c>
      <c r="X95" s="18">
        <f>SUM(U95:W95)</f>
        <v>0</v>
      </c>
      <c r="Y95" s="19">
        <f>FEBRERO!AA95</f>
        <v>0</v>
      </c>
      <c r="Z95" s="374">
        <v>0</v>
      </c>
      <c r="AA95" s="16">
        <f>SUM(Y95:Z95)</f>
        <v>0</v>
      </c>
      <c r="AB95" s="19">
        <f>FEBRERO!AD95</f>
        <v>0</v>
      </c>
      <c r="AC95" s="374">
        <v>0</v>
      </c>
      <c r="AD95" s="16">
        <f>SUM(AB95:AC95)</f>
        <v>0</v>
      </c>
      <c r="AE95" s="19">
        <f>FEBRERO!AG95</f>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0" t="str">
        <f>+IF(FEBRERO!A96=0,"",FEBRERO!A96)</f>
        <v>11303-2</v>
      </c>
      <c r="B96" s="619" t="str">
        <f>+IF(FEBRERO!B96=0,"",FEBRERO!B96)</f>
        <v>CONVENIOS CON EL DEPARTAMENTO NO LIGADOS A LA VENTA SERVICIOS</v>
      </c>
      <c r="C96" s="669">
        <f>+ENERO!C96</f>
        <v>0</v>
      </c>
      <c r="D96" s="373">
        <f>FEBRERO!D96+MARZO!P96</f>
        <v>0</v>
      </c>
      <c r="E96" s="373">
        <f>FEBRERO!E96+MARZO!Q96</f>
        <v>0</v>
      </c>
      <c r="F96" s="373">
        <f t="shared" si="100"/>
        <v>0</v>
      </c>
      <c r="G96" s="373">
        <f>FEBRERO!I96</f>
        <v>0</v>
      </c>
      <c r="H96" s="374">
        <v>0</v>
      </c>
      <c r="I96" s="373">
        <f t="shared" si="101"/>
        <v>0</v>
      </c>
      <c r="J96" s="373">
        <f>FEBRERO!L96</f>
        <v>0</v>
      </c>
      <c r="K96" s="374">
        <v>0</v>
      </c>
      <c r="L96" s="373">
        <f t="shared" si="102"/>
        <v>0</v>
      </c>
      <c r="M96" s="373">
        <f t="shared" si="103"/>
        <v>0</v>
      </c>
      <c r="N96" s="143">
        <f t="shared" si="104"/>
        <v>0</v>
      </c>
      <c r="O96" s="382"/>
      <c r="P96" s="372">
        <v>0</v>
      </c>
      <c r="Q96" s="375">
        <v>0</v>
      </c>
      <c r="S96" s="705">
        <f>+IF(FEBRERO!S96=0,"",FEBRERO!S96)</f>
        <v>1020302</v>
      </c>
      <c r="T96" s="723" t="str">
        <f>+IF(FEBRERO!T96=0,"",FEBRERO!T96)</f>
        <v>Contribuciones - Otros</v>
      </c>
      <c r="U96" s="29">
        <f t="shared" ref="U96:AJ96" si="105">SUM(U97:U101)</f>
        <v>259627762</v>
      </c>
      <c r="V96" s="15">
        <f t="shared" si="105"/>
        <v>0</v>
      </c>
      <c r="W96" s="15">
        <f t="shared" si="105"/>
        <v>0</v>
      </c>
      <c r="X96" s="18">
        <f t="shared" si="105"/>
        <v>259627762</v>
      </c>
      <c r="Y96" s="19">
        <f t="shared" si="105"/>
        <v>38215234</v>
      </c>
      <c r="Z96" s="142">
        <f t="shared" si="105"/>
        <v>19409809</v>
      </c>
      <c r="AA96" s="16">
        <f t="shared" si="105"/>
        <v>57625043</v>
      </c>
      <c r="AB96" s="19">
        <f t="shared" si="105"/>
        <v>38215234</v>
      </c>
      <c r="AC96" s="142">
        <f t="shared" si="105"/>
        <v>19409809</v>
      </c>
      <c r="AD96" s="16">
        <f t="shared" si="105"/>
        <v>57625043</v>
      </c>
      <c r="AE96" s="19">
        <f t="shared" si="105"/>
        <v>38215234</v>
      </c>
      <c r="AF96" s="142">
        <f t="shared" si="105"/>
        <v>19409809</v>
      </c>
      <c r="AG96" s="16">
        <f t="shared" si="105"/>
        <v>57625043</v>
      </c>
      <c r="AH96" s="19">
        <f t="shared" si="105"/>
        <v>202002719</v>
      </c>
      <c r="AI96" s="15">
        <f t="shared" si="105"/>
        <v>202002719</v>
      </c>
      <c r="AJ96" s="16">
        <f t="shared" si="105"/>
        <v>202002719</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0" t="str">
        <f>+IF(FEBRERO!A97=0,"",FEBRERO!A97)</f>
        <v>11303-3</v>
      </c>
      <c r="B97" s="619" t="str">
        <f>+IF(FEBRERO!B97=0,"",FEBRERO!B97)</f>
        <v>CONVENIOS CON EL MUNICIPIO NO LIGADOS A LA VENTA DE SERVICIOS</v>
      </c>
      <c r="C97" s="669">
        <f>+ENERO!C97</f>
        <v>0</v>
      </c>
      <c r="D97" s="373">
        <f>FEBRERO!D97+MARZO!P97</f>
        <v>0</v>
      </c>
      <c r="E97" s="373">
        <f>FEBRERO!E97+MARZO!Q97</f>
        <v>0</v>
      </c>
      <c r="F97" s="373">
        <f t="shared" si="100"/>
        <v>0</v>
      </c>
      <c r="G97" s="373">
        <f>FEBRERO!I97</f>
        <v>0</v>
      </c>
      <c r="H97" s="374">
        <v>0</v>
      </c>
      <c r="I97" s="373">
        <f t="shared" si="101"/>
        <v>0</v>
      </c>
      <c r="J97" s="373">
        <f>FEBRERO!L97</f>
        <v>0</v>
      </c>
      <c r="K97" s="374">
        <v>0</v>
      </c>
      <c r="L97" s="373">
        <f t="shared" si="102"/>
        <v>0</v>
      </c>
      <c r="M97" s="373">
        <f t="shared" si="103"/>
        <v>0</v>
      </c>
      <c r="N97" s="143">
        <f t="shared" si="104"/>
        <v>0</v>
      </c>
      <c r="O97" s="382"/>
      <c r="P97" s="372">
        <v>0</v>
      </c>
      <c r="Q97" s="375">
        <v>0</v>
      </c>
      <c r="R97" s="30"/>
      <c r="S97" s="706" t="str">
        <f>+IF(FEBRERO!S97=0,"",FEBRERO!S97)</f>
        <v>1020302-1</v>
      </c>
      <c r="T97" s="724" t="str">
        <f>+IF(FEBRERO!T97=0,"",FEBRERO!T97)</f>
        <v>Aportes a E.P.S.- Con sit. Fondos</v>
      </c>
      <c r="U97" s="29">
        <f>+ENERO!U97</f>
        <v>52772649</v>
      </c>
      <c r="V97" s="15">
        <f>FEBRERO!V97+MARZO!AL97</f>
        <v>0</v>
      </c>
      <c r="W97" s="15">
        <f>FEBRERO!W97+MARZO!AM97</f>
        <v>0</v>
      </c>
      <c r="X97" s="18">
        <f t="shared" ref="X97:X102" si="106">SUM(U97:W97)</f>
        <v>52772649</v>
      </c>
      <c r="Y97" s="19">
        <f>FEBRERO!AA97</f>
        <v>12241781</v>
      </c>
      <c r="Z97" s="374">
        <v>6343396</v>
      </c>
      <c r="AA97" s="16">
        <f t="shared" ref="AA97:AA102" si="107">SUM(Y97:Z97)</f>
        <v>18585177</v>
      </c>
      <c r="AB97" s="19">
        <f>FEBRERO!AD97</f>
        <v>12241781</v>
      </c>
      <c r="AC97" s="374">
        <v>6343396</v>
      </c>
      <c r="AD97" s="16">
        <f t="shared" ref="AD97:AD102" si="108">SUM(AB97:AC97)</f>
        <v>18585177</v>
      </c>
      <c r="AE97" s="19">
        <f>FEBRERO!AG97</f>
        <v>12241781</v>
      </c>
      <c r="AF97" s="374">
        <v>6343396</v>
      </c>
      <c r="AG97" s="16">
        <f t="shared" ref="AG97:AG102" si="109">SUM(AE97:AF97)</f>
        <v>18585177</v>
      </c>
      <c r="AH97" s="19">
        <f t="shared" ref="AH97:AH102" si="110">X97-AA97</f>
        <v>34187472</v>
      </c>
      <c r="AI97" s="15">
        <f t="shared" ref="AI97:AI102" si="111">X97-AD97</f>
        <v>34187472</v>
      </c>
      <c r="AJ97" s="16">
        <f t="shared" ref="AJ97:AJ102" si="112">X97-AG97</f>
        <v>34187472</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0" t="str">
        <f>+IF(FEBRERO!A98=0,"",FEBRERO!A98)</f>
        <v>11303-4</v>
      </c>
      <c r="B98" s="619" t="str">
        <f>+IF(FEBRERO!B98=0,"",FEBRERO!B98)</f>
        <v>OTROS CONVENIOS NO LIGADOS A LA VENTA DE SERVICIOS</v>
      </c>
      <c r="C98" s="669">
        <f>+ENERO!C98</f>
        <v>0</v>
      </c>
      <c r="D98" s="373">
        <f>FEBRERO!D98+MARZO!P98</f>
        <v>0</v>
      </c>
      <c r="E98" s="373">
        <f>FEBRERO!E98+MARZO!Q98</f>
        <v>0</v>
      </c>
      <c r="F98" s="373">
        <f t="shared" si="100"/>
        <v>0</v>
      </c>
      <c r="G98" s="373">
        <f>FEBRERO!I98</f>
        <v>0</v>
      </c>
      <c r="H98" s="374">
        <v>0</v>
      </c>
      <c r="I98" s="373">
        <f t="shared" si="101"/>
        <v>0</v>
      </c>
      <c r="J98" s="373">
        <f>FEBRERO!L98</f>
        <v>0</v>
      </c>
      <c r="K98" s="374">
        <v>0</v>
      </c>
      <c r="L98" s="373">
        <f t="shared" si="102"/>
        <v>0</v>
      </c>
      <c r="M98" s="373">
        <f t="shared" si="103"/>
        <v>0</v>
      </c>
      <c r="N98" s="143">
        <f t="shared" si="104"/>
        <v>0</v>
      </c>
      <c r="O98" s="382"/>
      <c r="P98" s="372">
        <v>0</v>
      </c>
      <c r="Q98" s="375">
        <v>0</v>
      </c>
      <c r="R98" s="30"/>
      <c r="S98" s="706" t="str">
        <f>+IF(FEBRERO!S98=0,"",FEBRERO!S98)</f>
        <v>1020302-2</v>
      </c>
      <c r="T98" s="724" t="str">
        <f>+IF(FEBRERO!T98=0,"",FEBRERO!T98)</f>
        <v>Aportes Fondos Pensionales - Con Sit. Fondos</v>
      </c>
      <c r="U98" s="29">
        <f>+ENERO!U98</f>
        <v>103712246</v>
      </c>
      <c r="V98" s="15">
        <f>FEBRERO!V98+MARZO!AL98</f>
        <v>0</v>
      </c>
      <c r="W98" s="15">
        <f>FEBRERO!W98+MARZO!AM98</f>
        <v>0</v>
      </c>
      <c r="X98" s="18">
        <f t="shared" si="106"/>
        <v>103712246</v>
      </c>
      <c r="Y98" s="19">
        <f>FEBRERO!AA98</f>
        <v>17282681</v>
      </c>
      <c r="Z98" s="374">
        <v>8384772</v>
      </c>
      <c r="AA98" s="16">
        <f t="shared" si="107"/>
        <v>25667453</v>
      </c>
      <c r="AB98" s="19">
        <f>FEBRERO!AD98</f>
        <v>17282681</v>
      </c>
      <c r="AC98" s="374">
        <v>8384772</v>
      </c>
      <c r="AD98" s="16">
        <f t="shared" si="108"/>
        <v>25667453</v>
      </c>
      <c r="AE98" s="19">
        <f>FEBRERO!AG98</f>
        <v>17282681</v>
      </c>
      <c r="AF98" s="374">
        <v>8384772</v>
      </c>
      <c r="AG98" s="16">
        <f t="shared" si="109"/>
        <v>25667453</v>
      </c>
      <c r="AH98" s="19">
        <f t="shared" si="110"/>
        <v>78044793</v>
      </c>
      <c r="AI98" s="15">
        <f t="shared" si="111"/>
        <v>78044793</v>
      </c>
      <c r="AJ98" s="16">
        <f t="shared" si="112"/>
        <v>78044793</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0" t="str">
        <f>+IF(FEBRERO!A99=0,"",FEBRERO!A99)</f>
        <v>11303-5</v>
      </c>
      <c r="B99" s="619" t="str">
        <f>+IF(FEBRERO!B99=0,"",FEBRERO!B99)</f>
        <v>APORTES PATRONALES - MUNICIPIO / DEPARTAMENTO</v>
      </c>
      <c r="C99" s="669">
        <f>+ENERO!C99</f>
        <v>0</v>
      </c>
      <c r="D99" s="373">
        <f>FEBRERO!D99+MARZO!P99</f>
        <v>0</v>
      </c>
      <c r="E99" s="373">
        <f>FEBRERO!E99+MARZO!Q99</f>
        <v>0</v>
      </c>
      <c r="F99" s="373">
        <f t="shared" si="100"/>
        <v>0</v>
      </c>
      <c r="G99" s="373">
        <f>FEBRERO!I99</f>
        <v>0</v>
      </c>
      <c r="H99" s="670">
        <v>0</v>
      </c>
      <c r="I99" s="373">
        <f t="shared" si="101"/>
        <v>0</v>
      </c>
      <c r="J99" s="373">
        <f>FEBRERO!L99</f>
        <v>0</v>
      </c>
      <c r="K99" s="670">
        <v>0</v>
      </c>
      <c r="L99" s="373">
        <f t="shared" si="102"/>
        <v>0</v>
      </c>
      <c r="M99" s="373">
        <f t="shared" si="103"/>
        <v>0</v>
      </c>
      <c r="N99" s="143">
        <f t="shared" si="104"/>
        <v>0</v>
      </c>
      <c r="O99" s="382"/>
      <c r="P99" s="671">
        <v>0</v>
      </c>
      <c r="Q99" s="672">
        <v>0</v>
      </c>
      <c r="R99" s="30"/>
      <c r="S99" s="706" t="str">
        <f>+IF(FEBRERO!S99=0,"",FEBRERO!S99)</f>
        <v>1020302-3</v>
      </c>
      <c r="T99" s="724" t="str">
        <f>+IF(FEBRERO!T99=0,"",FEBRERO!T99)</f>
        <v xml:space="preserve">Aportes a Fondos de Cesantia - Con Sit. de Fondos </v>
      </c>
      <c r="U99" s="29">
        <f>+ENERO!U99</f>
        <v>72193404</v>
      </c>
      <c r="V99" s="15">
        <f>FEBRERO!V99+MARZO!AL99</f>
        <v>0</v>
      </c>
      <c r="W99" s="15">
        <f>FEBRERO!W99+MARZO!AM99</f>
        <v>0</v>
      </c>
      <c r="X99" s="18">
        <f t="shared" si="106"/>
        <v>72193404</v>
      </c>
      <c r="Y99" s="19">
        <f>FEBRERO!AA99</f>
        <v>0</v>
      </c>
      <c r="Z99" s="374">
        <v>0</v>
      </c>
      <c r="AA99" s="16">
        <f t="shared" si="107"/>
        <v>0</v>
      </c>
      <c r="AB99" s="19">
        <f>FEBRERO!AD99</f>
        <v>0</v>
      </c>
      <c r="AC99" s="374">
        <v>0</v>
      </c>
      <c r="AD99" s="16">
        <f t="shared" si="108"/>
        <v>0</v>
      </c>
      <c r="AE99" s="19">
        <f>FEBRERO!AG99</f>
        <v>0</v>
      </c>
      <c r="AF99" s="374">
        <v>0</v>
      </c>
      <c r="AG99" s="16">
        <f t="shared" si="109"/>
        <v>0</v>
      </c>
      <c r="AH99" s="19">
        <f t="shared" si="110"/>
        <v>72193404</v>
      </c>
      <c r="AI99" s="15">
        <f t="shared" si="111"/>
        <v>72193404</v>
      </c>
      <c r="AJ99" s="16">
        <f t="shared" si="112"/>
        <v>72193404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0" t="str">
        <f>+IF(FEBRERO!A100=0,"",FEBRERO!A100)</f>
        <v>11303-6</v>
      </c>
      <c r="B100" s="619" t="str">
        <f>+IF(FEBRERO!B100=0,"",FEBRERO!B100)</f>
        <v>RECURSOS PARA PROGRAMA DE SANEAMIENTO FINANCIERO</v>
      </c>
      <c r="C100" s="669">
        <f>+ENERO!C100</f>
        <v>0</v>
      </c>
      <c r="D100" s="373">
        <f>FEBRERO!D100+MARZO!P100</f>
        <v>0</v>
      </c>
      <c r="E100" s="373">
        <f>FEBRERO!E100+MARZO!Q100</f>
        <v>0</v>
      </c>
      <c r="F100" s="373">
        <f t="shared" si="100"/>
        <v>0</v>
      </c>
      <c r="G100" s="373">
        <f>FEBRERO!I100</f>
        <v>0</v>
      </c>
      <c r="H100" s="374">
        <v>0</v>
      </c>
      <c r="I100" s="373">
        <f t="shared" si="101"/>
        <v>0</v>
      </c>
      <c r="J100" s="373">
        <f>FEBRERO!L100</f>
        <v>0</v>
      </c>
      <c r="K100" s="374">
        <v>0</v>
      </c>
      <c r="L100" s="373">
        <f t="shared" si="102"/>
        <v>0</v>
      </c>
      <c r="M100" s="373">
        <f t="shared" si="103"/>
        <v>0</v>
      </c>
      <c r="N100" s="143">
        <f t="shared" si="104"/>
        <v>0</v>
      </c>
      <c r="P100" s="372">
        <v>0</v>
      </c>
      <c r="Q100" s="375">
        <v>0</v>
      </c>
      <c r="R100" s="9"/>
      <c r="S100" s="706" t="str">
        <f>+IF(FEBRERO!S100=0,"",FEBRERO!S100)</f>
        <v>1020302-4</v>
      </c>
      <c r="T100" s="724" t="str">
        <f>+IF(FEBRERO!T100=0,"",FEBRERO!T100)</f>
        <v>Aporte a ARL. - Con Sit. de Fondos</v>
      </c>
      <c r="U100" s="29">
        <f>+ENERO!U100</f>
        <v>20885552</v>
      </c>
      <c r="V100" s="15">
        <f>FEBRERO!V100+MARZO!AL100</f>
        <v>0</v>
      </c>
      <c r="W100" s="15">
        <f>FEBRERO!W100+MARZO!AM100</f>
        <v>0</v>
      </c>
      <c r="X100" s="18">
        <f t="shared" si="106"/>
        <v>20885552</v>
      </c>
      <c r="Y100" s="19">
        <f>FEBRERO!AA100</f>
        <v>2930982</v>
      </c>
      <c r="Z100" s="374">
        <v>1772424</v>
      </c>
      <c r="AA100" s="16">
        <f t="shared" si="107"/>
        <v>4703406</v>
      </c>
      <c r="AB100" s="19">
        <f>FEBRERO!AD100</f>
        <v>2930982</v>
      </c>
      <c r="AC100" s="374">
        <v>1772424</v>
      </c>
      <c r="AD100" s="16">
        <f t="shared" si="108"/>
        <v>4703406</v>
      </c>
      <c r="AE100" s="19">
        <f>FEBRERO!AG100</f>
        <v>2930982</v>
      </c>
      <c r="AF100" s="374">
        <v>1772424</v>
      </c>
      <c r="AG100" s="16">
        <f t="shared" si="109"/>
        <v>4703406</v>
      </c>
      <c r="AH100" s="19">
        <f t="shared" si="110"/>
        <v>16182146</v>
      </c>
      <c r="AI100" s="15">
        <f t="shared" si="111"/>
        <v>16182146</v>
      </c>
      <c r="AJ100" s="16">
        <f t="shared" si="112"/>
        <v>16182146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0" t="str">
        <f>+IF(FEBRERO!A101=0,"",FEBRERO!A101)</f>
        <v>11303-7</v>
      </c>
      <c r="B101" s="619" t="str">
        <f>+IF(FEBRERO!B101=0,"",FEBRERO!B101)</f>
        <v/>
      </c>
      <c r="C101" s="669">
        <f>+ENERO!C101</f>
        <v>0</v>
      </c>
      <c r="D101" s="373">
        <f>FEBRERO!D101+MARZO!P101</f>
        <v>0</v>
      </c>
      <c r="E101" s="373">
        <f>FEBRERO!E101+MARZO!Q101</f>
        <v>0</v>
      </c>
      <c r="F101" s="373">
        <f t="shared" si="100"/>
        <v>0</v>
      </c>
      <c r="G101" s="373">
        <f>FEBRERO!I101</f>
        <v>0</v>
      </c>
      <c r="H101" s="374">
        <v>0</v>
      </c>
      <c r="I101" s="373">
        <f t="shared" si="101"/>
        <v>0</v>
      </c>
      <c r="J101" s="373">
        <f>FEBRERO!L101</f>
        <v>0</v>
      </c>
      <c r="K101" s="374">
        <v>0</v>
      </c>
      <c r="L101" s="373">
        <f t="shared" si="102"/>
        <v>0</v>
      </c>
      <c r="M101" s="373">
        <f t="shared" si="103"/>
        <v>0</v>
      </c>
      <c r="N101" s="143">
        <f t="shared" si="104"/>
        <v>0</v>
      </c>
      <c r="P101" s="372">
        <v>0</v>
      </c>
      <c r="Q101" s="375">
        <v>0</v>
      </c>
      <c r="R101" s="9"/>
      <c r="S101" s="706" t="str">
        <f>+IF(FEBRERO!S101=0,"",FEBRERO!S101)</f>
        <v>1020302-5</v>
      </c>
      <c r="T101" s="724" t="str">
        <f>+IF(FEBRERO!T101=0,"",FEBRERO!T101)</f>
        <v>Aporte a Caja Compensación Familiar</v>
      </c>
      <c r="U101" s="29">
        <f>+ENERO!U101</f>
        <v>10063911</v>
      </c>
      <c r="V101" s="15">
        <f>FEBRERO!V101+MARZO!AL101</f>
        <v>0</v>
      </c>
      <c r="W101" s="15">
        <f>FEBRERO!W101+MARZO!AM101</f>
        <v>0</v>
      </c>
      <c r="X101" s="18">
        <f t="shared" si="106"/>
        <v>10063911</v>
      </c>
      <c r="Y101" s="19">
        <f>FEBRERO!AA101</f>
        <v>5759790</v>
      </c>
      <c r="Z101" s="374">
        <v>2909217</v>
      </c>
      <c r="AA101" s="16">
        <f t="shared" si="107"/>
        <v>8669007</v>
      </c>
      <c r="AB101" s="19">
        <f>FEBRERO!AD101</f>
        <v>5759790</v>
      </c>
      <c r="AC101" s="374">
        <v>2909217</v>
      </c>
      <c r="AD101" s="16">
        <f t="shared" si="108"/>
        <v>8669007</v>
      </c>
      <c r="AE101" s="19">
        <f>FEBRERO!AG101</f>
        <v>5759790</v>
      </c>
      <c r="AF101" s="374">
        <v>2909217</v>
      </c>
      <c r="AG101" s="16">
        <f t="shared" si="109"/>
        <v>8669007</v>
      </c>
      <c r="AH101" s="19">
        <f t="shared" si="110"/>
        <v>1394904</v>
      </c>
      <c r="AI101" s="15">
        <f t="shared" si="111"/>
        <v>1394904</v>
      </c>
      <c r="AJ101" s="16">
        <f t="shared" si="112"/>
        <v>1394904</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tr">
        <f>+IF(FEBRERO!A102=0,"",FEBRERO!A102)</f>
        <v>11303-8</v>
      </c>
      <c r="B102" s="628" t="str">
        <f>+IF(FEBRERO!B102=0,"",FEBRERO!B102)</f>
        <v>Vigencia Anterior</v>
      </c>
      <c r="C102" s="770">
        <f>+ENERO!C102</f>
        <v>0</v>
      </c>
      <c r="D102" s="385">
        <f>FEBRERO!D102+MARZO!P102</f>
        <v>0</v>
      </c>
      <c r="E102" s="385">
        <f>FEBRERO!E102+MARZO!Q102</f>
        <v>0</v>
      </c>
      <c r="F102" s="385">
        <f t="shared" si="100"/>
        <v>0</v>
      </c>
      <c r="G102" s="385">
        <f>FEBRERO!I102</f>
        <v>0</v>
      </c>
      <c r="H102" s="374">
        <v>51666127</v>
      </c>
      <c r="I102" s="385">
        <f t="shared" si="101"/>
        <v>51666127</v>
      </c>
      <c r="J102" s="385">
        <f>FEBRERO!L102</f>
        <v>0</v>
      </c>
      <c r="K102" s="388">
        <v>51666127</v>
      </c>
      <c r="L102" s="385">
        <f t="shared" si="102"/>
        <v>51666127</v>
      </c>
      <c r="M102" s="385">
        <f t="shared" si="103"/>
        <v>-51666127</v>
      </c>
      <c r="N102" s="386">
        <f t="shared" si="104"/>
        <v>-51666127</v>
      </c>
      <c r="P102" s="372">
        <v>0</v>
      </c>
      <c r="Q102" s="375">
        <v>0</v>
      </c>
      <c r="R102" s="9"/>
      <c r="S102" s="705">
        <f>+IF(FEBRERO!S102=0,"",FEBRERO!S102)</f>
        <v>1020399</v>
      </c>
      <c r="T102" s="723" t="str">
        <f>+IF(FEBRERO!T102=0,"",FEBRERO!T102)</f>
        <v>Vigencias Anteriores</v>
      </c>
      <c r="U102" s="29">
        <f>+ENERO!U102</f>
        <v>0</v>
      </c>
      <c r="V102" s="15">
        <f>FEBRERO!V102+MARZO!AL102</f>
        <v>-78539920</v>
      </c>
      <c r="W102" s="15">
        <f>FEBRERO!W102+MARZO!AM102</f>
        <v>78539920</v>
      </c>
      <c r="X102" s="18">
        <f t="shared" si="106"/>
        <v>0</v>
      </c>
      <c r="Y102" s="19">
        <f>FEBRERO!AA102</f>
        <v>0</v>
      </c>
      <c r="Z102" s="374">
        <v>0</v>
      </c>
      <c r="AA102" s="16">
        <f t="shared" si="107"/>
        <v>0</v>
      </c>
      <c r="AB102" s="19">
        <f>FEBRERO!AD102</f>
        <v>0</v>
      </c>
      <c r="AC102" s="374">
        <v>0</v>
      </c>
      <c r="AD102" s="16">
        <f t="shared" si="108"/>
        <v>0</v>
      </c>
      <c r="AE102" s="19">
        <f>FEBRERO!AG102</f>
        <v>0</v>
      </c>
      <c r="AF102" s="374">
        <v>0</v>
      </c>
      <c r="AG102" s="16">
        <f t="shared" si="109"/>
        <v>0</v>
      </c>
      <c r="AH102" s="19">
        <f t="shared" si="110"/>
        <v>0</v>
      </c>
      <c r="AI102" s="15">
        <f t="shared" si="111"/>
        <v>0</v>
      </c>
      <c r="AJ102" s="16">
        <f t="shared" si="112"/>
        <v>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1" t="str">
        <f>+IF(FEBRERO!A103=0,"",FEBRERO!A103)</f>
        <v/>
      </c>
      <c r="B103" s="653" t="str">
        <f>+IF(FEBRERO!B103=0,"",FEBRERO!B103)</f>
        <v/>
      </c>
      <c r="C103" s="480"/>
      <c r="D103" s="480"/>
      <c r="E103" s="480"/>
      <c r="F103" s="480"/>
      <c r="G103" s="480"/>
      <c r="H103" s="480"/>
      <c r="I103" s="480"/>
      <c r="J103" s="480"/>
      <c r="K103" s="480"/>
      <c r="L103" s="480"/>
      <c r="M103" s="480"/>
      <c r="N103" s="481"/>
      <c r="P103" s="482"/>
      <c r="Q103" s="481"/>
      <c r="R103" s="9"/>
      <c r="S103" s="366" t="str">
        <f>+IF(FEBRERO!S103=0,"",FEBRERO!S103)</f>
        <v/>
      </c>
      <c r="T103" s="695" t="str">
        <f>+IF(FEBRERO!T103=0,"",FEBRERO!T103)</f>
        <v/>
      </c>
      <c r="U103" s="367"/>
      <c r="V103" s="161"/>
      <c r="W103" s="161"/>
      <c r="X103" s="161"/>
      <c r="Y103" s="367"/>
      <c r="Z103" s="161"/>
      <c r="AA103" s="166"/>
      <c r="AB103" s="367"/>
      <c r="AC103" s="161"/>
      <c r="AD103" s="166"/>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39">
        <f>+IF(FEBRERO!A104=0,"",FEBRERO!A104)</f>
        <v>11304</v>
      </c>
      <c r="B104" s="618" t="str">
        <f>+IF(FEBRERO!B104=0,"",FEBRERO!B104)</f>
        <v>Otros ingresos corrientes</v>
      </c>
      <c r="C104" s="617">
        <f>SUM(C105:C111)</f>
        <v>667440000</v>
      </c>
      <c r="D104" s="615">
        <f t="shared" ref="D104:N104" si="113">SUM(D105:D111)</f>
        <v>0</v>
      </c>
      <c r="E104" s="615">
        <f t="shared" si="113"/>
        <v>0</v>
      </c>
      <c r="F104" s="615">
        <f t="shared" si="113"/>
        <v>667440000</v>
      </c>
      <c r="G104" s="615">
        <f t="shared" si="113"/>
        <v>161027877</v>
      </c>
      <c r="H104" s="615">
        <f t="shared" si="113"/>
        <v>627264471</v>
      </c>
      <c r="I104" s="615">
        <f t="shared" si="113"/>
        <v>788292348</v>
      </c>
      <c r="J104" s="615">
        <f t="shared" si="113"/>
        <v>98880135</v>
      </c>
      <c r="K104" s="615">
        <f t="shared" si="113"/>
        <v>9677292</v>
      </c>
      <c r="L104" s="615">
        <f t="shared" si="113"/>
        <v>108557427</v>
      </c>
      <c r="M104" s="615">
        <f t="shared" si="113"/>
        <v>-120852348</v>
      </c>
      <c r="N104" s="616">
        <f t="shared" si="113"/>
        <v>558882573</v>
      </c>
      <c r="P104" s="43">
        <f>SUM(P105:P111)</f>
        <v>0</v>
      </c>
      <c r="Q104" s="45">
        <f>SUM(Q105:Q111)</f>
        <v>0</v>
      </c>
      <c r="R104" s="9"/>
      <c r="S104" s="704">
        <f>+IF(FEBRERO!S104=0,"",FEBRERO!S104)</f>
        <v>1020400</v>
      </c>
      <c r="T104" s="722" t="str">
        <f>+IF(FEBRERO!T104=0,"",FEBRERO!T104)</f>
        <v>Contribuciones Inherentes nómina del Sector Publico</v>
      </c>
      <c r="U104" s="128">
        <f t="shared" ref="U104:AJ104" si="114">U105+U108</f>
        <v>43075476</v>
      </c>
      <c r="V104" s="122">
        <f t="shared" si="114"/>
        <v>0</v>
      </c>
      <c r="W104" s="122">
        <f t="shared" si="114"/>
        <v>0</v>
      </c>
      <c r="X104" s="129">
        <f t="shared" si="114"/>
        <v>43075476</v>
      </c>
      <c r="Y104" s="128">
        <f t="shared" si="114"/>
        <v>7201022</v>
      </c>
      <c r="Z104" s="122">
        <f t="shared" si="114"/>
        <v>3638247</v>
      </c>
      <c r="AA104" s="130">
        <f t="shared" si="114"/>
        <v>10839269</v>
      </c>
      <c r="AB104" s="128">
        <f t="shared" si="114"/>
        <v>7201022</v>
      </c>
      <c r="AC104" s="122">
        <f t="shared" si="114"/>
        <v>3638247</v>
      </c>
      <c r="AD104" s="130">
        <f t="shared" si="114"/>
        <v>10839269</v>
      </c>
      <c r="AE104" s="128">
        <f t="shared" si="114"/>
        <v>7201022</v>
      </c>
      <c r="AF104" s="122">
        <f t="shared" si="114"/>
        <v>3638247</v>
      </c>
      <c r="AG104" s="130">
        <f t="shared" si="114"/>
        <v>10839269</v>
      </c>
      <c r="AH104" s="128">
        <f t="shared" si="114"/>
        <v>32236207</v>
      </c>
      <c r="AI104" s="122">
        <f t="shared" si="114"/>
        <v>32236207</v>
      </c>
      <c r="AJ104" s="130">
        <f t="shared" si="114"/>
        <v>32236207</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0" t="str">
        <f>+IF(FEBRERO!A105=0,"",FEBRERO!A105)</f>
        <v>11304-1</v>
      </c>
      <c r="B105" s="619" t="str">
        <f>+IF(FEBRERO!B105=0,"",FEBRERO!B105)</f>
        <v>ARRENDAMIENTO Y ALQUILER DE BIENES MUEBLES E INMUEBLES</v>
      </c>
      <c r="C105" s="669">
        <f>+ENERO!C105</f>
        <v>667440000</v>
      </c>
      <c r="D105" s="373">
        <f>FEBRERO!D105+MARZO!P105</f>
        <v>0</v>
      </c>
      <c r="E105" s="373">
        <f>FEBRERO!E105+MARZO!Q105</f>
        <v>0</v>
      </c>
      <c r="F105" s="373">
        <f t="shared" ref="F105:F111" si="115">SUM(C105:E105)</f>
        <v>667440000</v>
      </c>
      <c r="G105" s="373">
        <f>FEBRERO!I105</f>
        <v>150824645</v>
      </c>
      <c r="H105" s="374">
        <v>617587179</v>
      </c>
      <c r="I105" s="373">
        <f t="shared" ref="I105:I111" si="116">SUM(G105:H105)</f>
        <v>768411824</v>
      </c>
      <c r="J105" s="373">
        <f>FEBRERO!L105</f>
        <v>88676903</v>
      </c>
      <c r="K105" s="374">
        <v>0</v>
      </c>
      <c r="L105" s="373">
        <f t="shared" ref="L105:L111" si="117">SUM(J105:K105)</f>
        <v>88676903</v>
      </c>
      <c r="M105" s="373">
        <f t="shared" ref="M105:M111" si="118">F105-I105</f>
        <v>-100971824</v>
      </c>
      <c r="N105" s="143">
        <f t="shared" ref="N105:N111" si="119">F105-L105</f>
        <v>578763097</v>
      </c>
      <c r="P105" s="372">
        <v>0</v>
      </c>
      <c r="Q105" s="375">
        <v>0</v>
      </c>
      <c r="R105" s="9"/>
      <c r="S105" s="705">
        <f>+IF(FEBRERO!S105=0,"",FEBRERO!S105)</f>
        <v>1020402</v>
      </c>
      <c r="T105" s="723" t="str">
        <f>+IF(FEBRERO!T105=0,"",FEBRERO!T105)</f>
        <v>Contribuciones - Otros</v>
      </c>
      <c r="U105" s="29">
        <f t="shared" ref="U105:AJ105" si="120">SUM(U106:U107)</f>
        <v>43075476</v>
      </c>
      <c r="V105" s="15">
        <f t="shared" si="120"/>
        <v>0</v>
      </c>
      <c r="W105" s="15">
        <f t="shared" si="120"/>
        <v>0</v>
      </c>
      <c r="X105" s="18">
        <f t="shared" si="120"/>
        <v>43075476</v>
      </c>
      <c r="Y105" s="19">
        <f t="shared" si="120"/>
        <v>7201022</v>
      </c>
      <c r="Z105" s="142">
        <f t="shared" si="120"/>
        <v>3638247</v>
      </c>
      <c r="AA105" s="16">
        <f t="shared" si="120"/>
        <v>10839269</v>
      </c>
      <c r="AB105" s="19">
        <f t="shared" si="120"/>
        <v>7201022</v>
      </c>
      <c r="AC105" s="142">
        <f t="shared" si="120"/>
        <v>3638247</v>
      </c>
      <c r="AD105" s="16">
        <f t="shared" si="120"/>
        <v>10839269</v>
      </c>
      <c r="AE105" s="19">
        <f t="shared" si="120"/>
        <v>7201022</v>
      </c>
      <c r="AF105" s="142">
        <f t="shared" si="120"/>
        <v>3638247</v>
      </c>
      <c r="AG105" s="16">
        <f t="shared" si="120"/>
        <v>10839269</v>
      </c>
      <c r="AH105" s="19">
        <f t="shared" si="120"/>
        <v>32236207</v>
      </c>
      <c r="AI105" s="15">
        <f t="shared" si="120"/>
        <v>32236207</v>
      </c>
      <c r="AJ105" s="16">
        <f t="shared" si="120"/>
        <v>32236207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0" t="str">
        <f>+IF(FEBRERO!A106=0,"",FEBRERO!A106)</f>
        <v>11304-2</v>
      </c>
      <c r="B106" s="620" t="str">
        <f>+IF(FEBRERO!B106=0,"",FEBRERO!B106)</f>
        <v>COMERCIALIZACIÓN DE MERCANCÍAS</v>
      </c>
      <c r="C106" s="669">
        <f>+ENERO!C106</f>
        <v>0</v>
      </c>
      <c r="D106" s="373">
        <f>FEBRERO!D106+MARZO!P106</f>
        <v>0</v>
      </c>
      <c r="E106" s="373">
        <f>FEBRERO!E106+MARZO!Q106</f>
        <v>0</v>
      </c>
      <c r="F106" s="373">
        <f t="shared" si="115"/>
        <v>0</v>
      </c>
      <c r="G106" s="373">
        <f>FEBRERO!I106</f>
        <v>0</v>
      </c>
      <c r="H106" s="374">
        <v>0</v>
      </c>
      <c r="I106" s="373">
        <f t="shared" si="116"/>
        <v>0</v>
      </c>
      <c r="J106" s="373">
        <f>FEBRERO!L106</f>
        <v>0</v>
      </c>
      <c r="K106" s="374">
        <v>0</v>
      </c>
      <c r="L106" s="373">
        <f t="shared" si="117"/>
        <v>0</v>
      </c>
      <c r="M106" s="373">
        <f t="shared" si="118"/>
        <v>0</v>
      </c>
      <c r="N106" s="143">
        <f t="shared" si="119"/>
        <v>0</v>
      </c>
      <c r="P106" s="372">
        <v>0</v>
      </c>
      <c r="Q106" s="375">
        <v>0</v>
      </c>
      <c r="R106" s="9"/>
      <c r="S106" s="706" t="str">
        <f>+IF(FEBRERO!S106=0,"",FEBRERO!S106)</f>
        <v>1020402-1</v>
      </c>
      <c r="T106" s="723" t="str">
        <f>+IF(FEBRERO!T106=0,"",FEBRERO!T106)</f>
        <v>S.E.N.A.</v>
      </c>
      <c r="U106" s="29">
        <f>+ENERO!U106</f>
        <v>25928061</v>
      </c>
      <c r="V106" s="15">
        <f>FEBRERO!V106+MARZO!AL106</f>
        <v>0</v>
      </c>
      <c r="W106" s="15">
        <f>FEBRERO!W106+MARZO!AM106</f>
        <v>0</v>
      </c>
      <c r="X106" s="18">
        <f>SUM(U106:W106)</f>
        <v>25928061</v>
      </c>
      <c r="Y106" s="19">
        <f>FEBRERO!AA106</f>
        <v>2880440</v>
      </c>
      <c r="Z106" s="374">
        <v>1455559</v>
      </c>
      <c r="AA106" s="16">
        <f>SUM(Y106:Z106)</f>
        <v>4335999</v>
      </c>
      <c r="AB106" s="19">
        <f>FEBRERO!AD106</f>
        <v>2880440</v>
      </c>
      <c r="AC106" s="374">
        <v>1455559</v>
      </c>
      <c r="AD106" s="16">
        <f>SUM(AB106:AC106)</f>
        <v>4335999</v>
      </c>
      <c r="AE106" s="19">
        <f>FEBRERO!AG106</f>
        <v>2880440</v>
      </c>
      <c r="AF106" s="374">
        <v>1455559</v>
      </c>
      <c r="AG106" s="16">
        <f>SUM(AE106:AF106)</f>
        <v>4335999</v>
      </c>
      <c r="AH106" s="19">
        <f>X106-AA106</f>
        <v>21592062</v>
      </c>
      <c r="AI106" s="15">
        <f>X106-AD106</f>
        <v>21592062</v>
      </c>
      <c r="AJ106" s="16">
        <f>X106-AG106</f>
        <v>21592062</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0" t="str">
        <f>+IF(FEBRERO!A107=0,"",FEBRERO!A107)</f>
        <v>11304-3</v>
      </c>
      <c r="B107" s="619" t="str">
        <f>+IF(FEBRERO!B107=0,"",FEBRERO!B107)</f>
        <v>Bienestar Social</v>
      </c>
      <c r="C107" s="669">
        <f>+ENERO!C107</f>
        <v>0</v>
      </c>
      <c r="D107" s="373">
        <f>FEBRERO!D107+MARZO!P107</f>
        <v>0</v>
      </c>
      <c r="E107" s="373">
        <f>FEBRERO!E107+MARZO!Q107</f>
        <v>0</v>
      </c>
      <c r="F107" s="373">
        <f t="shared" si="115"/>
        <v>0</v>
      </c>
      <c r="G107" s="373">
        <f>FEBRERO!I107</f>
        <v>445983</v>
      </c>
      <c r="H107" s="374">
        <v>0</v>
      </c>
      <c r="I107" s="373">
        <f t="shared" si="116"/>
        <v>445983</v>
      </c>
      <c r="J107" s="373">
        <f>FEBRERO!L107</f>
        <v>445983</v>
      </c>
      <c r="K107" s="374">
        <v>0</v>
      </c>
      <c r="L107" s="373">
        <f t="shared" si="117"/>
        <v>445983</v>
      </c>
      <c r="M107" s="373">
        <f t="shared" si="118"/>
        <v>-445983</v>
      </c>
      <c r="N107" s="143">
        <f t="shared" si="119"/>
        <v>-445983</v>
      </c>
      <c r="P107" s="372">
        <v>0</v>
      </c>
      <c r="Q107" s="375">
        <v>0</v>
      </c>
      <c r="R107" s="9"/>
      <c r="S107" s="706" t="str">
        <f>+IF(FEBRERO!S107=0,"",FEBRERO!S107)</f>
        <v>1020402-2</v>
      </c>
      <c r="T107" s="723" t="str">
        <f>+IF(FEBRERO!T107=0,"",FEBRERO!T107)</f>
        <v>I.C.B.F.</v>
      </c>
      <c r="U107" s="29">
        <f>+ENERO!U107</f>
        <v>17147415</v>
      </c>
      <c r="V107" s="15">
        <f>FEBRERO!V107+MARZO!AL107</f>
        <v>0</v>
      </c>
      <c r="W107" s="15">
        <f>FEBRERO!W107+MARZO!AM107</f>
        <v>0</v>
      </c>
      <c r="X107" s="18">
        <f>SUM(U107:W107)</f>
        <v>17147415</v>
      </c>
      <c r="Y107" s="19">
        <f>FEBRERO!AA107</f>
        <v>4320582</v>
      </c>
      <c r="Z107" s="374">
        <v>2182688</v>
      </c>
      <c r="AA107" s="16">
        <f>SUM(Y107:Z107)</f>
        <v>6503270</v>
      </c>
      <c r="AB107" s="19">
        <f>FEBRERO!AD107</f>
        <v>4320582</v>
      </c>
      <c r="AC107" s="374">
        <v>2182688</v>
      </c>
      <c r="AD107" s="16">
        <f>SUM(AB107:AC107)</f>
        <v>6503270</v>
      </c>
      <c r="AE107" s="19">
        <f>FEBRERO!AG107</f>
        <v>4320582</v>
      </c>
      <c r="AF107" s="374">
        <v>2182688</v>
      </c>
      <c r="AG107" s="16">
        <f>SUM(AE107:AF107)</f>
        <v>6503270</v>
      </c>
      <c r="AH107" s="19">
        <f>X107-AA107</f>
        <v>10644145</v>
      </c>
      <c r="AI107" s="15">
        <f>X107-AD107</f>
        <v>10644145</v>
      </c>
      <c r="AJ107" s="16">
        <f>X107-AG107</f>
        <v>10644145</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0" t="str">
        <f>+IF(FEBRERO!A108=0,"",FEBRERO!A108)</f>
        <v>11304-4</v>
      </c>
      <c r="B108" s="619" t="str">
        <f>+IF(FEBRERO!B108=0,"",FEBRERO!B108)</f>
        <v>Fondo de la Vivienda</v>
      </c>
      <c r="C108" s="669">
        <f>+ENERO!C108</f>
        <v>0</v>
      </c>
      <c r="D108" s="373">
        <f>FEBRERO!D108+MARZO!P108</f>
        <v>0</v>
      </c>
      <c r="E108" s="373">
        <f>FEBRERO!E108+MARZO!Q108</f>
        <v>0</v>
      </c>
      <c r="F108" s="373">
        <f t="shared" si="115"/>
        <v>0</v>
      </c>
      <c r="G108" s="373">
        <f>FEBRERO!I108</f>
        <v>6209057</v>
      </c>
      <c r="H108" s="374">
        <v>1891880</v>
      </c>
      <c r="I108" s="373">
        <f t="shared" si="116"/>
        <v>8100937</v>
      </c>
      <c r="J108" s="373">
        <f>FEBRERO!L108</f>
        <v>6209057</v>
      </c>
      <c r="K108" s="374">
        <v>1891880</v>
      </c>
      <c r="L108" s="373">
        <f t="shared" si="117"/>
        <v>8100937</v>
      </c>
      <c r="M108" s="373">
        <f t="shared" si="118"/>
        <v>-8100937</v>
      </c>
      <c r="N108" s="143">
        <f t="shared" si="119"/>
        <v>-8100937</v>
      </c>
      <c r="P108" s="372">
        <v>0</v>
      </c>
      <c r="Q108" s="375">
        <v>0</v>
      </c>
      <c r="R108" s="9"/>
      <c r="S108" s="705">
        <f>+IF(FEBRERO!S108=0,"",FEBRERO!S108)</f>
        <v>1020499</v>
      </c>
      <c r="T108" s="723" t="str">
        <f>+IF(FEBRERO!T108=0,"",FEBRERO!T108)</f>
        <v>Vigencias Anteriores</v>
      </c>
      <c r="U108" s="29">
        <f>+ENERO!U108</f>
        <v>0</v>
      </c>
      <c r="V108" s="15">
        <f>FEBRERO!V108+MARZO!AL108</f>
        <v>0</v>
      </c>
      <c r="W108" s="15">
        <f>FEBRERO!W108+MARZO!AM108</f>
        <v>0</v>
      </c>
      <c r="X108" s="18">
        <f>SUM(U108:W108)</f>
        <v>0</v>
      </c>
      <c r="Y108" s="19">
        <f>FEBRERO!AA108</f>
        <v>0</v>
      </c>
      <c r="Z108" s="374">
        <v>0</v>
      </c>
      <c r="AA108" s="16">
        <f>SUM(Y108:Z108)</f>
        <v>0</v>
      </c>
      <c r="AB108" s="19">
        <f>FEBRERO!AD108</f>
        <v>0</v>
      </c>
      <c r="AC108" s="374">
        <v>0</v>
      </c>
      <c r="AD108" s="16">
        <f>SUM(AB108:AC108)</f>
        <v>0</v>
      </c>
      <c r="AE108" s="19">
        <f>FEBRERO!AG108</f>
        <v>0</v>
      </c>
      <c r="AF108" s="374">
        <v>0</v>
      </c>
      <c r="AG108" s="16">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0" t="str">
        <f>+IF(FEBRERO!A109=0,"",FEBRERO!A109)</f>
        <v>11304-5</v>
      </c>
      <c r="B109" s="619" t="str">
        <f>+IF(FEBRERO!B109=0,"",FEBRERO!B109)</f>
        <v xml:space="preserve">Aprovechamientos </v>
      </c>
      <c r="C109" s="669">
        <f>+ENERO!C109</f>
        <v>0</v>
      </c>
      <c r="D109" s="373">
        <f>FEBRERO!D109+MARZO!P109</f>
        <v>0</v>
      </c>
      <c r="E109" s="373">
        <f>FEBRERO!E109+MARZO!Q109</f>
        <v>0</v>
      </c>
      <c r="F109" s="373">
        <f t="shared" si="115"/>
        <v>0</v>
      </c>
      <c r="G109" s="373">
        <f>FEBRERO!I109</f>
        <v>0</v>
      </c>
      <c r="H109" s="374">
        <v>0</v>
      </c>
      <c r="I109" s="373">
        <f t="shared" si="116"/>
        <v>0</v>
      </c>
      <c r="J109" s="373">
        <f>FEBRERO!L109</f>
        <v>0</v>
      </c>
      <c r="K109" s="374">
        <v>0</v>
      </c>
      <c r="L109" s="373">
        <f t="shared" si="117"/>
        <v>0</v>
      </c>
      <c r="M109" s="373">
        <f t="shared" si="118"/>
        <v>0</v>
      </c>
      <c r="N109" s="143">
        <f t="shared" si="119"/>
        <v>0</v>
      </c>
      <c r="P109" s="372">
        <v>0</v>
      </c>
      <c r="Q109" s="375">
        <v>0</v>
      </c>
      <c r="R109" s="9"/>
      <c r="S109" s="366" t="str">
        <f>+IF(FEBRERO!S109=0,"",FEBRERO!S109)</f>
        <v/>
      </c>
      <c r="T109" s="695" t="str">
        <f>+IF(FEBRERO!T109=0,"",FEBRERO!T109)</f>
        <v/>
      </c>
      <c r="U109" s="367"/>
      <c r="V109" s="161"/>
      <c r="W109" s="161"/>
      <c r="X109" s="161"/>
      <c r="Y109" s="367"/>
      <c r="Z109" s="161"/>
      <c r="AA109" s="166"/>
      <c r="AB109" s="367"/>
      <c r="AC109" s="161"/>
      <c r="AD109" s="166"/>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0" t="str">
        <f>+IF(FEBRERO!A110=0,"",FEBRERO!A110)</f>
        <v>11304-6</v>
      </c>
      <c r="B110" s="619" t="str">
        <f>+IF(FEBRERO!B110=0,"",FEBRERO!B110)</f>
        <v>Otros</v>
      </c>
      <c r="C110" s="669">
        <f>+ENERO!C110</f>
        <v>0</v>
      </c>
      <c r="D110" s="373">
        <f>FEBRERO!D110+MARZO!P110</f>
        <v>0</v>
      </c>
      <c r="E110" s="373">
        <f>FEBRERO!E110+MARZO!Q110</f>
        <v>0</v>
      </c>
      <c r="F110" s="373">
        <f t="shared" si="115"/>
        <v>0</v>
      </c>
      <c r="G110" s="373">
        <f>FEBRERO!I110</f>
        <v>3548192</v>
      </c>
      <c r="H110" s="374">
        <v>7785412</v>
      </c>
      <c r="I110" s="373">
        <f t="shared" si="116"/>
        <v>11333604</v>
      </c>
      <c r="J110" s="373">
        <f>FEBRERO!L110</f>
        <v>3548192</v>
      </c>
      <c r="K110" s="374">
        <v>7785412</v>
      </c>
      <c r="L110" s="373">
        <f t="shared" si="117"/>
        <v>11333604</v>
      </c>
      <c r="M110" s="373">
        <f t="shared" si="118"/>
        <v>-11333604</v>
      </c>
      <c r="N110" s="143">
        <f t="shared" si="119"/>
        <v>-11333604</v>
      </c>
      <c r="P110" s="372">
        <v>0</v>
      </c>
      <c r="Q110" s="375">
        <v>0</v>
      </c>
      <c r="R110" s="9"/>
      <c r="S110" s="703">
        <f>+IF(FEBRERO!S110=0,"",FEBRERO!S110)</f>
        <v>2000000</v>
      </c>
      <c r="T110" s="725" t="str">
        <f>+IF(FEBRERO!T110=0,"",FEBRERO!T110)</f>
        <v>GASTOS GENERALES</v>
      </c>
      <c r="U110" s="379">
        <f t="shared" ref="U110:AJ110" si="121">U112+U145</f>
        <v>7574161274</v>
      </c>
      <c r="V110" s="471">
        <f t="shared" si="121"/>
        <v>489780328</v>
      </c>
      <c r="W110" s="471">
        <f t="shared" si="121"/>
        <v>986156707</v>
      </c>
      <c r="X110" s="472">
        <f t="shared" si="121"/>
        <v>9050098309</v>
      </c>
      <c r="Y110" s="379">
        <f t="shared" si="121"/>
        <v>4530806672</v>
      </c>
      <c r="Z110" s="471">
        <f t="shared" si="121"/>
        <v>1686431124</v>
      </c>
      <c r="AA110" s="380">
        <f t="shared" si="121"/>
        <v>6217237796</v>
      </c>
      <c r="AB110" s="379">
        <f t="shared" si="121"/>
        <v>1731117541</v>
      </c>
      <c r="AC110" s="471">
        <f t="shared" si="121"/>
        <v>924751850</v>
      </c>
      <c r="AD110" s="380">
        <f t="shared" si="121"/>
        <v>2655869391</v>
      </c>
      <c r="AE110" s="379">
        <f t="shared" si="121"/>
        <v>1051344488</v>
      </c>
      <c r="AF110" s="471">
        <f t="shared" si="121"/>
        <v>495090355</v>
      </c>
      <c r="AG110" s="380">
        <f t="shared" si="121"/>
        <v>1546434843</v>
      </c>
      <c r="AH110" s="379">
        <f t="shared" si="121"/>
        <v>2832860513</v>
      </c>
      <c r="AI110" s="471">
        <f t="shared" si="121"/>
        <v>6394228918</v>
      </c>
      <c r="AJ110" s="380">
        <f t="shared" si="121"/>
        <v>7503663466</v>
      </c>
      <c r="AK110" s="10"/>
      <c r="AL110" s="128">
        <f>AL112+AL145</f>
        <v>-306007493</v>
      </c>
      <c r="AM110" s="130">
        <f>AM112+AM145</f>
        <v>590000000</v>
      </c>
      <c r="AN110" s="9"/>
      <c r="AO110" s="294"/>
      <c r="AP110" s="294"/>
      <c r="AQ110" s="294"/>
      <c r="AR110" s="294"/>
      <c r="AS110" s="294"/>
      <c r="AT110" s="294"/>
      <c r="AU110" s="294"/>
      <c r="AV110" s="294"/>
      <c r="AW110" s="294"/>
      <c r="AX110" s="294"/>
      <c r="AY110" s="294"/>
      <c r="AZ110" s="294"/>
    </row>
    <row r="111" spans="1:70" s="382" customFormat="1" ht="24.95" customHeight="1" thickBot="1">
      <c r="A111" s="740" t="str">
        <f>+IF(FEBRERO!A111=0,"",FEBRERO!A111)</f>
        <v>11304-7</v>
      </c>
      <c r="B111" s="654" t="str">
        <f>+IF(FEBRERO!B111=0,"",FEBRERO!B111)</f>
        <v>Vigencia Anterior</v>
      </c>
      <c r="C111" s="770">
        <f>+ENERO!C111</f>
        <v>0</v>
      </c>
      <c r="D111" s="385">
        <f>FEBRERO!D111+MARZO!P111</f>
        <v>0</v>
      </c>
      <c r="E111" s="385">
        <f>FEBRERO!E111+MARZO!Q111</f>
        <v>0</v>
      </c>
      <c r="F111" s="385">
        <f t="shared" si="115"/>
        <v>0</v>
      </c>
      <c r="G111" s="385">
        <f>FEBRERO!I111</f>
        <v>0</v>
      </c>
      <c r="H111" s="388">
        <v>0</v>
      </c>
      <c r="I111" s="385">
        <f t="shared" si="116"/>
        <v>0</v>
      </c>
      <c r="J111" s="385">
        <f>FEBRERO!L111</f>
        <v>0</v>
      </c>
      <c r="K111" s="388">
        <v>0</v>
      </c>
      <c r="L111" s="385">
        <f t="shared" si="117"/>
        <v>0</v>
      </c>
      <c r="M111" s="385">
        <f t="shared" si="118"/>
        <v>0</v>
      </c>
      <c r="N111" s="386">
        <f t="shared" si="119"/>
        <v>0</v>
      </c>
      <c r="P111" s="372">
        <v>0</v>
      </c>
      <c r="Q111" s="375">
        <v>0</v>
      </c>
      <c r="R111" s="9"/>
      <c r="S111" s="366" t="str">
        <f>+IF(FEBRERO!S111=0,"",FEBRERO!S111)</f>
        <v/>
      </c>
      <c r="T111" s="695" t="str">
        <f>+IF(FEBRERO!T111=0,"",FEBRERO!T111)</f>
        <v/>
      </c>
      <c r="U111" s="367"/>
      <c r="V111" s="161"/>
      <c r="W111" s="161"/>
      <c r="X111" s="161"/>
      <c r="Y111" s="367"/>
      <c r="Z111" s="161"/>
      <c r="AA111" s="166"/>
      <c r="AB111" s="367"/>
      <c r="AC111" s="161"/>
      <c r="AD111" s="166"/>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1" t="str">
        <f>+IF(FEBRERO!A112=0,"",FEBRERO!A112)</f>
        <v/>
      </c>
      <c r="B112" s="653" t="str">
        <f>+IF(FEBRERO!B112=0,"",FEBRERO!B112)</f>
        <v/>
      </c>
      <c r="C112" s="480"/>
      <c r="D112" s="480"/>
      <c r="E112" s="480"/>
      <c r="F112" s="480"/>
      <c r="G112" s="480"/>
      <c r="H112" s="480"/>
      <c r="I112" s="480"/>
      <c r="J112" s="480"/>
      <c r="K112" s="480"/>
      <c r="L112" s="480"/>
      <c r="M112" s="480"/>
      <c r="N112" s="481"/>
      <c r="P112" s="482"/>
      <c r="Q112" s="481"/>
      <c r="R112" s="9"/>
      <c r="S112" s="703">
        <f>+IF(FEBRERO!S112=0,"",FEBRERO!S112)</f>
        <v>2010000</v>
      </c>
      <c r="T112" s="721" t="str">
        <f>+IF(FEBRERO!T112=0,"",FEBRERO!T112)</f>
        <v>Gastos de Administración</v>
      </c>
      <c r="U112" s="128">
        <f t="shared" ref="U112:AJ112" si="122">U114+U123+U141</f>
        <v>4915028612</v>
      </c>
      <c r="V112" s="122">
        <f t="shared" si="122"/>
        <v>705727907</v>
      </c>
      <c r="W112" s="122">
        <f t="shared" si="122"/>
        <v>836156707</v>
      </c>
      <c r="X112" s="129">
        <f t="shared" si="122"/>
        <v>6456913226</v>
      </c>
      <c r="Y112" s="128">
        <f t="shared" si="122"/>
        <v>3699719312</v>
      </c>
      <c r="Z112" s="122">
        <f t="shared" si="122"/>
        <v>1368738731</v>
      </c>
      <c r="AA112" s="130">
        <f t="shared" si="122"/>
        <v>5068458043</v>
      </c>
      <c r="AB112" s="128">
        <f t="shared" si="122"/>
        <v>1453951343</v>
      </c>
      <c r="AC112" s="122">
        <f t="shared" si="122"/>
        <v>634676162</v>
      </c>
      <c r="AD112" s="130">
        <f t="shared" si="122"/>
        <v>2088627505</v>
      </c>
      <c r="AE112" s="128">
        <f t="shared" si="122"/>
        <v>875898183</v>
      </c>
      <c r="AF112" s="122">
        <f t="shared" si="122"/>
        <v>303785364</v>
      </c>
      <c r="AG112" s="130">
        <f t="shared" si="122"/>
        <v>1179683547</v>
      </c>
      <c r="AH112" s="128">
        <f t="shared" si="122"/>
        <v>1388455183</v>
      </c>
      <c r="AI112" s="122">
        <f t="shared" si="122"/>
        <v>4368285721</v>
      </c>
      <c r="AJ112" s="130">
        <f t="shared" si="122"/>
        <v>5277229679</v>
      </c>
      <c r="AK112" s="9"/>
      <c r="AL112" s="128">
        <f>AL114+AL123+AL141</f>
        <v>-351457264</v>
      </c>
      <c r="AM112" s="130">
        <f>AM114+AM123+AM141</f>
        <v>490000000</v>
      </c>
      <c r="AN112" s="9"/>
      <c r="AO112" s="294"/>
      <c r="AP112" s="294"/>
      <c r="AQ112" s="294"/>
      <c r="AR112" s="294"/>
      <c r="AS112" s="294"/>
      <c r="AT112" s="294"/>
      <c r="AU112" s="294"/>
      <c r="AV112" s="294"/>
      <c r="AW112" s="294"/>
      <c r="AX112" s="294"/>
      <c r="AY112" s="294"/>
      <c r="AZ112" s="294"/>
    </row>
    <row r="113" spans="1:52" s="382" customFormat="1" ht="24.95" customHeight="1" thickBot="1">
      <c r="A113" s="730">
        <f>+IF(FEBRERO!A113=0,"",FEBRERO!A113)</f>
        <v>2000</v>
      </c>
      <c r="B113" s="640" t="str">
        <f>+IF(FEBRERO!B113=0,"",FEBRERO!B113)</f>
        <v>INGRESOS DE CAPITAL</v>
      </c>
      <c r="C113" s="623">
        <f>SUM(C115:C124)</f>
        <v>9052927194</v>
      </c>
      <c r="D113" s="624">
        <f>SUM(D115:D124)</f>
        <v>0</v>
      </c>
      <c r="E113" s="624">
        <f t="shared" ref="E113:N113" si="123">SUM(E115:E124)</f>
        <v>1411839</v>
      </c>
      <c r="F113" s="624">
        <f t="shared" si="123"/>
        <v>9054339033</v>
      </c>
      <c r="G113" s="624">
        <f t="shared" si="123"/>
        <v>1411839</v>
      </c>
      <c r="H113" s="624">
        <f t="shared" si="123"/>
        <v>129489</v>
      </c>
      <c r="I113" s="624">
        <f t="shared" si="123"/>
        <v>1541328</v>
      </c>
      <c r="J113" s="624">
        <f t="shared" si="123"/>
        <v>1411839</v>
      </c>
      <c r="K113" s="624">
        <f t="shared" si="123"/>
        <v>129489</v>
      </c>
      <c r="L113" s="624">
        <f t="shared" si="123"/>
        <v>1541328</v>
      </c>
      <c r="M113" s="624">
        <f t="shared" si="123"/>
        <v>9052797705</v>
      </c>
      <c r="N113" s="625">
        <f t="shared" si="123"/>
        <v>9052797705</v>
      </c>
      <c r="O113" s="461"/>
      <c r="P113" s="174">
        <f>SUM(P115:P124)</f>
        <v>0</v>
      </c>
      <c r="Q113" s="175">
        <f>SUM(Q115:Q124)</f>
        <v>1411839</v>
      </c>
      <c r="R113" s="9"/>
      <c r="S113" s="366" t="str">
        <f>+IF(FEBRERO!S113=0,"",FEBRERO!S113)</f>
        <v/>
      </c>
      <c r="T113" s="695" t="str">
        <f>+IF(FEBRERO!T113=0,"",FEBRERO!T113)</f>
        <v/>
      </c>
      <c r="U113" s="367"/>
      <c r="V113" s="161"/>
      <c r="W113" s="161"/>
      <c r="X113" s="161"/>
      <c r="Y113" s="367"/>
      <c r="Z113" s="161"/>
      <c r="AA113" s="166"/>
      <c r="AB113" s="367"/>
      <c r="AC113" s="161"/>
      <c r="AD113" s="166"/>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1" t="str">
        <f>+IF(FEBRERO!A114=0,"",FEBRERO!A114)</f>
        <v/>
      </c>
      <c r="B114" s="653" t="str">
        <f>+IF(FEBRERO!B114=0,"",FEBRERO!B114)</f>
        <v/>
      </c>
      <c r="C114" s="480"/>
      <c r="D114" s="480"/>
      <c r="E114" s="480"/>
      <c r="F114" s="480"/>
      <c r="G114" s="480"/>
      <c r="H114" s="480"/>
      <c r="I114" s="480"/>
      <c r="J114" s="480"/>
      <c r="K114" s="480"/>
      <c r="L114" s="480"/>
      <c r="M114" s="480"/>
      <c r="N114" s="481"/>
      <c r="P114" s="482"/>
      <c r="Q114" s="481"/>
      <c r="R114" s="9"/>
      <c r="S114" s="704">
        <f>+IF(FEBRERO!S114=0,"",FEBRERO!S114)</f>
        <v>2010100</v>
      </c>
      <c r="T114" s="722" t="str">
        <f>+IF(FEBRERO!T114=0,"",FEBRERO!T114)</f>
        <v>Adquisición de bienes</v>
      </c>
      <c r="U114" s="128">
        <f t="shared" ref="U114:AJ114" si="124">SUM(U115:U121)</f>
        <v>256200000</v>
      </c>
      <c r="V114" s="122">
        <f t="shared" si="124"/>
        <v>-7200430</v>
      </c>
      <c r="W114" s="122">
        <f t="shared" si="124"/>
        <v>180000000</v>
      </c>
      <c r="X114" s="129">
        <f t="shared" si="124"/>
        <v>428999570</v>
      </c>
      <c r="Y114" s="128">
        <f t="shared" si="124"/>
        <v>200231004</v>
      </c>
      <c r="Z114" s="122">
        <f t="shared" si="124"/>
        <v>58936821</v>
      </c>
      <c r="AA114" s="130">
        <f t="shared" si="124"/>
        <v>259167825</v>
      </c>
      <c r="AB114" s="128">
        <f t="shared" si="124"/>
        <v>182552928</v>
      </c>
      <c r="AC114" s="122">
        <f t="shared" si="124"/>
        <v>6186030</v>
      </c>
      <c r="AD114" s="130">
        <f t="shared" si="124"/>
        <v>188738958</v>
      </c>
      <c r="AE114" s="128">
        <f t="shared" si="124"/>
        <v>104216173</v>
      </c>
      <c r="AF114" s="122">
        <f t="shared" si="124"/>
        <v>2195532</v>
      </c>
      <c r="AG114" s="130">
        <f t="shared" si="124"/>
        <v>106411705</v>
      </c>
      <c r="AH114" s="128">
        <f t="shared" si="124"/>
        <v>169831745</v>
      </c>
      <c r="AI114" s="122">
        <f t="shared" si="124"/>
        <v>240260612</v>
      </c>
      <c r="AJ114" s="130">
        <f t="shared" si="124"/>
        <v>322587865</v>
      </c>
      <c r="AK114" s="9"/>
      <c r="AL114" s="128">
        <f>SUM(AL115:AL121)</f>
        <v>0</v>
      </c>
      <c r="AM114" s="130">
        <f>SUM(AM115:AM121)</f>
        <v>80000000</v>
      </c>
      <c r="AN114" s="9"/>
      <c r="AO114" s="294"/>
      <c r="AP114" s="294"/>
      <c r="AQ114" s="294"/>
      <c r="AR114" s="294"/>
      <c r="AS114" s="294"/>
      <c r="AT114" s="294"/>
      <c r="AU114" s="294"/>
      <c r="AV114" s="294"/>
      <c r="AW114" s="294"/>
      <c r="AX114" s="294"/>
      <c r="AY114" s="294"/>
      <c r="AZ114" s="294"/>
    </row>
    <row r="115" spans="1:52" s="382" customFormat="1" ht="24.95" customHeight="1">
      <c r="A115" s="742">
        <f>+IF(FEBRERO!A115=0,"",FEBRERO!A115)</f>
        <v>2100</v>
      </c>
      <c r="B115" s="626" t="str">
        <f>+IF(FEBRERO!B115=0,"",FEBRERO!B115)</f>
        <v>CREDITO INTERNO</v>
      </c>
      <c r="C115" s="671">
        <f>+ENERO!C115</f>
        <v>0</v>
      </c>
      <c r="D115" s="464">
        <f>FEBRERO!D115+MARZO!P115</f>
        <v>0</v>
      </c>
      <c r="E115" s="464">
        <f>FEBRERO!E115+MARZO!Q115</f>
        <v>0</v>
      </c>
      <c r="F115" s="468">
        <f t="shared" ref="F115:F124" si="125">SUM(C115:E115)</f>
        <v>0</v>
      </c>
      <c r="G115" s="466">
        <f>FEBRERO!I115</f>
        <v>0</v>
      </c>
      <c r="H115" s="374">
        <v>0</v>
      </c>
      <c r="I115" s="468">
        <f t="shared" ref="I115:I124" si="126">SUM(G115:H115)</f>
        <v>0</v>
      </c>
      <c r="J115" s="466">
        <f>FEBRERO!L115</f>
        <v>0</v>
      </c>
      <c r="K115" s="374">
        <v>0</v>
      </c>
      <c r="L115" s="465">
        <f t="shared" ref="L115:L124" si="127">SUM(J115:K115)</f>
        <v>0</v>
      </c>
      <c r="M115" s="469">
        <f t="shared" ref="M115:M124" si="128">F115-I115</f>
        <v>0</v>
      </c>
      <c r="N115" s="465">
        <f t="shared" ref="N115:N124" si="129">F115-L115</f>
        <v>0</v>
      </c>
      <c r="O115" s="461"/>
      <c r="P115" s="372">
        <v>0</v>
      </c>
      <c r="Q115" s="375">
        <v>0</v>
      </c>
      <c r="R115" s="9"/>
      <c r="S115" s="705" t="str">
        <f>+IF(FEBRERO!S115=0,"",FEBRERO!S115)</f>
        <v>2010100-1</v>
      </c>
      <c r="T115" s="723" t="str">
        <f>+IF(FEBRERO!T115=0,"",FEBRERO!T115)</f>
        <v>Compra de Equipos</v>
      </c>
      <c r="U115" s="29">
        <f>+ENERO!U115</f>
        <v>175000000</v>
      </c>
      <c r="V115" s="15">
        <f>FEBRERO!V115+MARZO!AL115</f>
        <v>0</v>
      </c>
      <c r="W115" s="15">
        <f>FEBRERO!W115+MARZO!AM115</f>
        <v>0</v>
      </c>
      <c r="X115" s="18">
        <f t="shared" ref="X115:X121" si="130">SUM(U115:W115)</f>
        <v>175000000</v>
      </c>
      <c r="Y115" s="19">
        <f>FEBRERO!AA115</f>
        <v>44766975</v>
      </c>
      <c r="Z115" s="374">
        <v>2749495</v>
      </c>
      <c r="AA115" s="16">
        <f t="shared" ref="AA115:AA121" si="131">SUM(Y115:Z115)</f>
        <v>47516470</v>
      </c>
      <c r="AB115" s="19">
        <f>FEBRERO!AD115</f>
        <v>42482770</v>
      </c>
      <c r="AC115" s="374">
        <v>0</v>
      </c>
      <c r="AD115" s="16">
        <f t="shared" ref="AD115:AD121" si="132">SUM(AB115:AC115)</f>
        <v>42482770</v>
      </c>
      <c r="AE115" s="19">
        <f>FEBRERO!AG115</f>
        <v>2937815</v>
      </c>
      <c r="AF115" s="374">
        <v>178502</v>
      </c>
      <c r="AG115" s="16">
        <f t="shared" ref="AG115:AG121" si="133">SUM(AE115:AF115)</f>
        <v>3116317</v>
      </c>
      <c r="AH115" s="19">
        <f t="shared" ref="AH115:AH121" si="134">X115-AA115</f>
        <v>127483530</v>
      </c>
      <c r="AI115" s="15">
        <f t="shared" ref="AI115:AI121" si="135">X115-AD115</f>
        <v>132517230</v>
      </c>
      <c r="AJ115" s="16">
        <f t="shared" ref="AJ115:AJ121" si="136">X115-AG115</f>
        <v>171883683</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2" t="str">
        <f>+IF(FEBRERO!A116=0,"",FEBRERO!A116)</f>
        <v>2100-1</v>
      </c>
      <c r="B116" s="627" t="str">
        <f>+IF(FEBRERO!B116=0,"",FEBRERO!B116)</f>
        <v>Vigencia Anterior</v>
      </c>
      <c r="C116" s="671">
        <f>+ENERO!C116</f>
        <v>0</v>
      </c>
      <c r="D116" s="464">
        <f>FEBRERO!D116+MARZO!P116</f>
        <v>0</v>
      </c>
      <c r="E116" s="464">
        <f>FEBRERO!E116+MARZO!Q116</f>
        <v>0</v>
      </c>
      <c r="F116" s="468">
        <f t="shared" si="125"/>
        <v>0</v>
      </c>
      <c r="G116" s="466">
        <f>FEBRERO!I116</f>
        <v>0</v>
      </c>
      <c r="H116" s="374">
        <v>0</v>
      </c>
      <c r="I116" s="468">
        <f t="shared" si="126"/>
        <v>0</v>
      </c>
      <c r="J116" s="466">
        <f>FEBRERO!L116</f>
        <v>0</v>
      </c>
      <c r="K116" s="374">
        <v>0</v>
      </c>
      <c r="L116" s="465">
        <f t="shared" si="127"/>
        <v>0</v>
      </c>
      <c r="M116" s="469">
        <f t="shared" si="128"/>
        <v>0</v>
      </c>
      <c r="N116" s="465">
        <f t="shared" si="129"/>
        <v>0</v>
      </c>
      <c r="O116" s="461"/>
      <c r="P116" s="372">
        <v>0</v>
      </c>
      <c r="Q116" s="375">
        <v>0</v>
      </c>
      <c r="R116" s="9"/>
      <c r="S116" s="705" t="str">
        <f>+IF(FEBRERO!S116=0,"",FEBRERO!S116)</f>
        <v>2010100-2</v>
      </c>
      <c r="T116" s="723" t="str">
        <f>+IF(FEBRERO!T116=0,"",FEBRERO!T116)</f>
        <v>Materiales</v>
      </c>
      <c r="U116" s="29">
        <f>+ENERO!U116</f>
        <v>76200000</v>
      </c>
      <c r="V116" s="15">
        <f>FEBRERO!V116+MARZO!AL116</f>
        <v>0</v>
      </c>
      <c r="W116" s="15">
        <f>FEBRERO!W116+MARZO!AM116</f>
        <v>80000000</v>
      </c>
      <c r="X116" s="18">
        <f t="shared" si="130"/>
        <v>156200000</v>
      </c>
      <c r="Y116" s="19">
        <f>FEBRERO!AA116</f>
        <v>62589314</v>
      </c>
      <c r="Z116" s="374">
        <v>56187326</v>
      </c>
      <c r="AA116" s="16">
        <f t="shared" si="131"/>
        <v>118776640</v>
      </c>
      <c r="AB116" s="19">
        <f>FEBRERO!AD116</f>
        <v>47195443</v>
      </c>
      <c r="AC116" s="374">
        <v>6186030</v>
      </c>
      <c r="AD116" s="16">
        <f t="shared" si="132"/>
        <v>53381473</v>
      </c>
      <c r="AE116" s="19">
        <f>FEBRERO!AG116</f>
        <v>8403643</v>
      </c>
      <c r="AF116" s="374">
        <v>2017030</v>
      </c>
      <c r="AG116" s="16">
        <f t="shared" si="133"/>
        <v>10420673</v>
      </c>
      <c r="AH116" s="19">
        <f t="shared" si="134"/>
        <v>37423360</v>
      </c>
      <c r="AI116" s="15">
        <f t="shared" si="135"/>
        <v>102818527</v>
      </c>
      <c r="AJ116" s="16">
        <f t="shared" si="136"/>
        <v>145779327</v>
      </c>
      <c r="AK116" s="9"/>
      <c r="AL116" s="372">
        <v>0</v>
      </c>
      <c r="AM116" s="375">
        <v>80000000</v>
      </c>
      <c r="AN116" s="9"/>
      <c r="AO116" s="294"/>
      <c r="AP116" s="294"/>
      <c r="AQ116" s="294"/>
      <c r="AR116" s="294"/>
      <c r="AS116" s="294"/>
      <c r="AT116" s="294"/>
      <c r="AU116" s="294"/>
      <c r="AV116" s="294"/>
      <c r="AW116" s="294"/>
      <c r="AX116" s="294"/>
      <c r="AY116" s="294"/>
      <c r="AZ116" s="294"/>
    </row>
    <row r="117" spans="1:52" s="382" customFormat="1" ht="24.95" customHeight="1">
      <c r="A117" s="742">
        <f>+IF(FEBRERO!A117=0,"",FEBRERO!A117)</f>
        <v>2200</v>
      </c>
      <c r="B117" s="626" t="str">
        <f>+IF(FEBRERO!B117=0,"",FEBRERO!B117)</f>
        <v>CREDITO EXTERNO</v>
      </c>
      <c r="C117" s="671">
        <f>+ENERO!C117</f>
        <v>0</v>
      </c>
      <c r="D117" s="464">
        <f>FEBRERO!D117+MARZO!P117</f>
        <v>0</v>
      </c>
      <c r="E117" s="464">
        <f>FEBRERO!E117+MARZO!Q117</f>
        <v>0</v>
      </c>
      <c r="F117" s="468">
        <f t="shared" si="125"/>
        <v>0</v>
      </c>
      <c r="G117" s="466">
        <f>FEBRERO!I117</f>
        <v>0</v>
      </c>
      <c r="H117" s="374">
        <v>0</v>
      </c>
      <c r="I117" s="468">
        <f t="shared" si="126"/>
        <v>0</v>
      </c>
      <c r="J117" s="466">
        <f>FEBRERO!L117</f>
        <v>0</v>
      </c>
      <c r="K117" s="374">
        <v>0</v>
      </c>
      <c r="L117" s="465">
        <f t="shared" si="127"/>
        <v>0</v>
      </c>
      <c r="M117" s="469">
        <f t="shared" si="128"/>
        <v>0</v>
      </c>
      <c r="N117" s="465">
        <f t="shared" si="129"/>
        <v>0</v>
      </c>
      <c r="O117" s="461"/>
      <c r="P117" s="372">
        <v>0</v>
      </c>
      <c r="Q117" s="375">
        <v>0</v>
      </c>
      <c r="R117" s="9"/>
      <c r="S117" s="705" t="str">
        <f>+IF(FEBRERO!S117=0,"",FEBRERO!S117)</f>
        <v>2010100-3</v>
      </c>
      <c r="T117" s="723" t="str">
        <f>+IF(FEBRERO!T117=0,"",FEBRERO!T117)</f>
        <v>Salud Ocupacional</v>
      </c>
      <c r="U117" s="29">
        <f>+ENERO!U117</f>
        <v>5000000</v>
      </c>
      <c r="V117" s="15">
        <f>FEBRERO!V117+MARZO!AL117</f>
        <v>0</v>
      </c>
      <c r="W117" s="15">
        <f>FEBRERO!W117+MARZO!AM117</f>
        <v>0</v>
      </c>
      <c r="X117" s="18">
        <f t="shared" si="130"/>
        <v>5000000</v>
      </c>
      <c r="Y117" s="19">
        <f>FEBRERO!AA117</f>
        <v>75145</v>
      </c>
      <c r="Z117" s="374">
        <v>0</v>
      </c>
      <c r="AA117" s="16">
        <f t="shared" si="131"/>
        <v>75145</v>
      </c>
      <c r="AB117" s="19">
        <f>FEBRERO!AD117</f>
        <v>75145</v>
      </c>
      <c r="AC117" s="374">
        <v>0</v>
      </c>
      <c r="AD117" s="16">
        <f t="shared" si="132"/>
        <v>75145</v>
      </c>
      <c r="AE117" s="19">
        <f>FEBRERO!AG117</f>
        <v>75145</v>
      </c>
      <c r="AF117" s="374">
        <v>0</v>
      </c>
      <c r="AG117" s="16">
        <f t="shared" si="133"/>
        <v>75145</v>
      </c>
      <c r="AH117" s="19">
        <f t="shared" si="134"/>
        <v>4924855</v>
      </c>
      <c r="AI117" s="15">
        <f t="shared" si="135"/>
        <v>4924855</v>
      </c>
      <c r="AJ117" s="16">
        <f t="shared" si="136"/>
        <v>4924855</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3" t="str">
        <f>+IF(FEBRERO!A118=0,"",FEBRERO!A118)</f>
        <v>2200-1</v>
      </c>
      <c r="B118" s="627" t="str">
        <f>+IF(FEBRERO!B118=0,"",FEBRERO!B118)</f>
        <v>Vigencia Anterior</v>
      </c>
      <c r="C118" s="671">
        <f>+ENERO!C118</f>
        <v>0</v>
      </c>
      <c r="D118" s="464">
        <f>FEBRERO!D118+MARZO!P118</f>
        <v>0</v>
      </c>
      <c r="E118" s="464">
        <f>FEBRERO!E118+MARZO!Q118</f>
        <v>0</v>
      </c>
      <c r="F118" s="468">
        <f t="shared" si="125"/>
        <v>0</v>
      </c>
      <c r="G118" s="466">
        <f>FEBRERO!I118</f>
        <v>0</v>
      </c>
      <c r="H118" s="374">
        <v>0</v>
      </c>
      <c r="I118" s="468">
        <f t="shared" si="126"/>
        <v>0</v>
      </c>
      <c r="J118" s="466">
        <f>FEBRERO!L118</f>
        <v>0</v>
      </c>
      <c r="K118" s="374">
        <v>0</v>
      </c>
      <c r="L118" s="465">
        <f t="shared" si="127"/>
        <v>0</v>
      </c>
      <c r="M118" s="469">
        <f t="shared" si="128"/>
        <v>0</v>
      </c>
      <c r="N118" s="465">
        <f t="shared" si="129"/>
        <v>0</v>
      </c>
      <c r="O118" s="461"/>
      <c r="P118" s="372">
        <v>0</v>
      </c>
      <c r="Q118" s="375">
        <v>0</v>
      </c>
      <c r="R118" s="9"/>
      <c r="S118" s="705" t="str">
        <f>+IF(FEBRERO!S118=0,"",FEBRERO!S118)</f>
        <v>2010100-4</v>
      </c>
      <c r="T118" s="723" t="str">
        <f>+IF(FEBRERO!T118=0,"",FEBRERO!T118)</f>
        <v/>
      </c>
      <c r="U118" s="29">
        <f>+ENERO!U118</f>
        <v>0</v>
      </c>
      <c r="V118" s="15">
        <f>FEBRERO!V118+MARZO!AL118</f>
        <v>0</v>
      </c>
      <c r="W118" s="15">
        <f>FEBRERO!W118+MARZO!AM118</f>
        <v>0</v>
      </c>
      <c r="X118" s="18">
        <f t="shared" si="130"/>
        <v>0</v>
      </c>
      <c r="Y118" s="19">
        <f>FEBRERO!AA118</f>
        <v>0</v>
      </c>
      <c r="Z118" s="374">
        <v>0</v>
      </c>
      <c r="AA118" s="16">
        <f t="shared" si="131"/>
        <v>0</v>
      </c>
      <c r="AB118" s="19">
        <f>FEBRERO!AD118</f>
        <v>0</v>
      </c>
      <c r="AC118" s="374">
        <v>0</v>
      </c>
      <c r="AD118" s="16">
        <f t="shared" si="132"/>
        <v>0</v>
      </c>
      <c r="AE118" s="19">
        <f>FEBRERO!AG118</f>
        <v>0</v>
      </c>
      <c r="AF118" s="374">
        <v>0</v>
      </c>
      <c r="AG118" s="16">
        <f t="shared" si="133"/>
        <v>0</v>
      </c>
      <c r="AH118" s="19">
        <f t="shared" si="134"/>
        <v>0</v>
      </c>
      <c r="AI118" s="15">
        <f t="shared" si="135"/>
        <v>0</v>
      </c>
      <c r="AJ118" s="16">
        <f t="shared" si="136"/>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2">
        <f>+IF(FEBRERO!A119=0,"",FEBRERO!A119)</f>
        <v>2300</v>
      </c>
      <c r="B119" s="626" t="str">
        <f>+IF(FEBRERO!B119=0,"",FEBRERO!B119)</f>
        <v>RENDIMIENTOS FINANCIEROS</v>
      </c>
      <c r="C119" s="671">
        <f>+ENERO!C119</f>
        <v>0</v>
      </c>
      <c r="D119" s="464">
        <f>FEBRERO!D119+MARZO!P119</f>
        <v>0</v>
      </c>
      <c r="E119" s="464">
        <f>FEBRERO!E119+MARZO!Q119</f>
        <v>1411839</v>
      </c>
      <c r="F119" s="468">
        <f t="shared" si="125"/>
        <v>1411839</v>
      </c>
      <c r="G119" s="219">
        <f>FEBRERO!I119</f>
        <v>1411839</v>
      </c>
      <c r="H119" s="374">
        <v>129489</v>
      </c>
      <c r="I119" s="473">
        <f t="shared" si="126"/>
        <v>1541328</v>
      </c>
      <c r="J119" s="219">
        <f>FEBRERO!L119</f>
        <v>1411839</v>
      </c>
      <c r="K119" s="374">
        <v>129489</v>
      </c>
      <c r="L119" s="143">
        <f t="shared" si="127"/>
        <v>1541328</v>
      </c>
      <c r="M119" s="438">
        <f t="shared" si="128"/>
        <v>-129489</v>
      </c>
      <c r="N119" s="143">
        <f t="shared" si="129"/>
        <v>-129489</v>
      </c>
      <c r="O119" s="461"/>
      <c r="P119" s="372">
        <v>0</v>
      </c>
      <c r="Q119" s="375">
        <v>1411839</v>
      </c>
      <c r="R119" s="9"/>
      <c r="S119" s="705" t="str">
        <f>+IF(FEBRERO!S119=0,"",FEBRERO!S119)</f>
        <v>2010100-5</v>
      </c>
      <c r="T119" s="723" t="str">
        <f>+IF(FEBRERO!T119=0,"",FEBRERO!T119)</f>
        <v/>
      </c>
      <c r="U119" s="29">
        <f>+ENERO!U119</f>
        <v>0</v>
      </c>
      <c r="V119" s="15">
        <f>FEBRERO!V119+MARZO!AL119</f>
        <v>0</v>
      </c>
      <c r="W119" s="15">
        <f>FEBRERO!W119+MARZO!AM119</f>
        <v>0</v>
      </c>
      <c r="X119" s="18">
        <f t="shared" si="130"/>
        <v>0</v>
      </c>
      <c r="Y119" s="19">
        <f>FEBRERO!AA119</f>
        <v>0</v>
      </c>
      <c r="Z119" s="374">
        <v>0</v>
      </c>
      <c r="AA119" s="16">
        <f t="shared" si="131"/>
        <v>0</v>
      </c>
      <c r="AB119" s="19">
        <f>FEBRERO!AD119</f>
        <v>0</v>
      </c>
      <c r="AC119" s="374">
        <v>0</v>
      </c>
      <c r="AD119" s="16">
        <f t="shared" si="132"/>
        <v>0</v>
      </c>
      <c r="AE119" s="19">
        <f>FEBRERO!AG119</f>
        <v>0</v>
      </c>
      <c r="AF119" s="374">
        <v>0</v>
      </c>
      <c r="AG119" s="16">
        <f t="shared" si="133"/>
        <v>0</v>
      </c>
      <c r="AH119" s="19">
        <f t="shared" si="134"/>
        <v>0</v>
      </c>
      <c r="AI119" s="15">
        <f t="shared" si="135"/>
        <v>0</v>
      </c>
      <c r="AJ119" s="16">
        <f t="shared" si="136"/>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4">
        <f>+IF(FEBRERO!A120=0,"",FEBRERO!A120)</f>
        <v>2400</v>
      </c>
      <c r="B120" s="627" t="str">
        <f>+IF(FEBRERO!B120=0,"",FEBRERO!B120)</f>
        <v>VENTA DE ACTIVOS</v>
      </c>
      <c r="C120" s="671">
        <f>+ENERO!C120</f>
        <v>0</v>
      </c>
      <c r="D120" s="464">
        <f>FEBRERO!D120+MARZO!P120</f>
        <v>0</v>
      </c>
      <c r="E120" s="464">
        <f>FEBRERO!E120+MARZO!Q120</f>
        <v>0</v>
      </c>
      <c r="F120" s="468">
        <f t="shared" si="125"/>
        <v>0</v>
      </c>
      <c r="G120" s="219">
        <f>FEBRERO!I120</f>
        <v>0</v>
      </c>
      <c r="H120" s="374">
        <v>0</v>
      </c>
      <c r="I120" s="473">
        <f t="shared" si="126"/>
        <v>0</v>
      </c>
      <c r="J120" s="219">
        <f>FEBRERO!L120</f>
        <v>0</v>
      </c>
      <c r="K120" s="374">
        <v>0</v>
      </c>
      <c r="L120" s="143">
        <f t="shared" si="127"/>
        <v>0</v>
      </c>
      <c r="M120" s="438">
        <f t="shared" si="128"/>
        <v>0</v>
      </c>
      <c r="N120" s="143">
        <f t="shared" si="129"/>
        <v>0</v>
      </c>
      <c r="P120" s="372">
        <v>0</v>
      </c>
      <c r="Q120" s="375">
        <v>0</v>
      </c>
      <c r="R120" s="9"/>
      <c r="S120" s="705" t="str">
        <f>+IF(FEBRERO!S120=0,"",FEBRERO!S120)</f>
        <v>2010100-6</v>
      </c>
      <c r="T120" s="723" t="str">
        <f>+IF(FEBRERO!T120=0,"",FEBRERO!T120)</f>
        <v/>
      </c>
      <c r="U120" s="29">
        <f>+ENERO!U120</f>
        <v>0</v>
      </c>
      <c r="V120" s="15">
        <f>FEBRERO!V120+MARZO!AL120</f>
        <v>0</v>
      </c>
      <c r="W120" s="15">
        <f>FEBRERO!W120+MARZO!AM120</f>
        <v>0</v>
      </c>
      <c r="X120" s="18">
        <f t="shared" si="130"/>
        <v>0</v>
      </c>
      <c r="Y120" s="19">
        <f>FEBRERO!AA120</f>
        <v>0</v>
      </c>
      <c r="Z120" s="374">
        <v>0</v>
      </c>
      <c r="AA120" s="16">
        <f t="shared" si="131"/>
        <v>0</v>
      </c>
      <c r="AB120" s="19">
        <f>FEBRERO!AD120</f>
        <v>0</v>
      </c>
      <c r="AC120" s="374">
        <v>0</v>
      </c>
      <c r="AD120" s="16">
        <f t="shared" si="132"/>
        <v>0</v>
      </c>
      <c r="AE120" s="19">
        <f>FEBRERO!AG120</f>
        <v>0</v>
      </c>
      <c r="AF120" s="374">
        <v>0</v>
      </c>
      <c r="AG120" s="16">
        <f t="shared" si="133"/>
        <v>0</v>
      </c>
      <c r="AH120" s="19">
        <f t="shared" si="134"/>
        <v>0</v>
      </c>
      <c r="AI120" s="15">
        <f t="shared" si="135"/>
        <v>0</v>
      </c>
      <c r="AJ120" s="16">
        <f t="shared" si="136"/>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4">
        <f>+IF(FEBRERO!A121=0,"",FEBRERO!A121)</f>
        <v>2500</v>
      </c>
      <c r="B121" s="627" t="str">
        <f>+IF(FEBRERO!B121=0,"",FEBRERO!B121)</f>
        <v>DONACIONES</v>
      </c>
      <c r="C121" s="671">
        <f>+ENERO!C121</f>
        <v>0</v>
      </c>
      <c r="D121" s="464">
        <f>FEBRERO!D121+MARZO!P121</f>
        <v>0</v>
      </c>
      <c r="E121" s="464">
        <f>FEBRERO!E121+MARZO!Q121</f>
        <v>0</v>
      </c>
      <c r="F121" s="468">
        <f t="shared" si="125"/>
        <v>0</v>
      </c>
      <c r="G121" s="219">
        <f>FEBRERO!I121</f>
        <v>0</v>
      </c>
      <c r="H121" s="374">
        <v>0</v>
      </c>
      <c r="I121" s="473">
        <f t="shared" si="126"/>
        <v>0</v>
      </c>
      <c r="J121" s="219">
        <f>FEBRERO!L121</f>
        <v>0</v>
      </c>
      <c r="K121" s="374">
        <v>0</v>
      </c>
      <c r="L121" s="143">
        <f t="shared" si="127"/>
        <v>0</v>
      </c>
      <c r="M121" s="438">
        <f t="shared" si="128"/>
        <v>0</v>
      </c>
      <c r="N121" s="143">
        <f t="shared" si="129"/>
        <v>0</v>
      </c>
      <c r="P121" s="372">
        <v>0</v>
      </c>
      <c r="Q121" s="375">
        <v>0</v>
      </c>
      <c r="R121" s="9"/>
      <c r="S121" s="705">
        <f>+IF(FEBRERO!S121=0,"",FEBRERO!S121)</f>
        <v>2010199</v>
      </c>
      <c r="T121" s="723" t="str">
        <f>+IF(FEBRERO!T121=0,"",FEBRERO!T121)</f>
        <v>Vigencias Anteriores</v>
      </c>
      <c r="U121" s="29">
        <f>+ENERO!U121</f>
        <v>0</v>
      </c>
      <c r="V121" s="15">
        <f>FEBRERO!V121+MARZO!AL121</f>
        <v>-7200430</v>
      </c>
      <c r="W121" s="15">
        <f>FEBRERO!W121+MARZO!AM121</f>
        <v>100000000</v>
      </c>
      <c r="X121" s="18">
        <f t="shared" si="130"/>
        <v>92799570</v>
      </c>
      <c r="Y121" s="19">
        <f>FEBRERO!AA121</f>
        <v>92799570</v>
      </c>
      <c r="Z121" s="374">
        <v>0</v>
      </c>
      <c r="AA121" s="16">
        <f t="shared" si="131"/>
        <v>92799570</v>
      </c>
      <c r="AB121" s="19">
        <f>FEBRERO!AD121</f>
        <v>92799570</v>
      </c>
      <c r="AC121" s="374">
        <v>0</v>
      </c>
      <c r="AD121" s="16">
        <f t="shared" si="132"/>
        <v>92799570</v>
      </c>
      <c r="AE121" s="19">
        <f>FEBRERO!AG121</f>
        <v>92799570</v>
      </c>
      <c r="AF121" s="374">
        <v>0</v>
      </c>
      <c r="AG121" s="815">
        <f t="shared" si="133"/>
        <v>92799570</v>
      </c>
      <c r="AH121" s="19">
        <f t="shared" si="134"/>
        <v>0</v>
      </c>
      <c r="AI121" s="15">
        <f t="shared" si="135"/>
        <v>0</v>
      </c>
      <c r="AJ121" s="16">
        <f t="shared" si="136"/>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4">
        <f>+IF(FEBRERO!A122=0,"",FEBRERO!A122)</f>
        <v>2600</v>
      </c>
      <c r="B122" s="627" t="str">
        <f>+IF(FEBRERO!B122=0,"",FEBRERO!B122)</f>
        <v>RECUPERACIÓN DE CARTERA (AÑO 2015 Y ANTERIORES)</v>
      </c>
      <c r="C122" s="671">
        <f>+ENERO!C122</f>
        <v>9052927194</v>
      </c>
      <c r="D122" s="464">
        <f>FEBRERO!D122+MARZO!P122</f>
        <v>0</v>
      </c>
      <c r="E122" s="464">
        <f>FEBRERO!E122+MARZO!Q122</f>
        <v>0</v>
      </c>
      <c r="F122" s="468">
        <f t="shared" si="125"/>
        <v>9052927194</v>
      </c>
      <c r="G122" s="219">
        <f>FEBRERO!I122</f>
        <v>0</v>
      </c>
      <c r="H122" s="374">
        <v>0</v>
      </c>
      <c r="I122" s="473">
        <f t="shared" si="126"/>
        <v>0</v>
      </c>
      <c r="J122" s="219">
        <f>FEBRERO!L122</f>
        <v>0</v>
      </c>
      <c r="K122" s="374">
        <v>0</v>
      </c>
      <c r="L122" s="143">
        <f t="shared" si="127"/>
        <v>0</v>
      </c>
      <c r="M122" s="438">
        <f t="shared" si="128"/>
        <v>9052927194</v>
      </c>
      <c r="N122" s="143">
        <f t="shared" si="129"/>
        <v>9052927194</v>
      </c>
      <c r="P122" s="372">
        <v>0</v>
      </c>
      <c r="Q122" s="375">
        <v>0</v>
      </c>
      <c r="R122" s="9"/>
      <c r="S122" s="366" t="str">
        <f>+IF(FEBRERO!S122=0,"",FEBRERO!S122)</f>
        <v/>
      </c>
      <c r="T122" s="695" t="str">
        <f>+IF(FEBRERO!T122=0,"",FEBRERO!T122)</f>
        <v/>
      </c>
      <c r="U122" s="367"/>
      <c r="V122" s="161"/>
      <c r="W122" s="161"/>
      <c r="X122" s="161"/>
      <c r="Y122" s="367"/>
      <c r="Z122" s="161"/>
      <c r="AA122" s="166"/>
      <c r="AB122" s="367"/>
      <c r="AC122" s="161"/>
      <c r="AD122" s="166"/>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5">
        <f>+IF(FEBRERO!A123=0,"",FEBRERO!A123)</f>
        <v>2700</v>
      </c>
      <c r="B123" s="627" t="str">
        <f>+IF(FEBRERO!B123=0,"",FEBRERO!B123)</f>
        <v>OTROS INGRESOS DE CAPITAL</v>
      </c>
      <c r="C123" s="671">
        <f>+ENERO!C123</f>
        <v>0</v>
      </c>
      <c r="D123" s="464">
        <f>FEBRERO!D123+MARZO!P123</f>
        <v>0</v>
      </c>
      <c r="E123" s="464">
        <f>FEBRERO!E123+MARZO!Q123</f>
        <v>0</v>
      </c>
      <c r="F123" s="468">
        <f t="shared" si="125"/>
        <v>0</v>
      </c>
      <c r="G123" s="219">
        <f>FEBRERO!I123</f>
        <v>0</v>
      </c>
      <c r="H123" s="374">
        <v>0</v>
      </c>
      <c r="I123" s="473">
        <f t="shared" si="126"/>
        <v>0</v>
      </c>
      <c r="J123" s="219">
        <f>FEBRERO!L123</f>
        <v>0</v>
      </c>
      <c r="K123" s="374">
        <v>0</v>
      </c>
      <c r="L123" s="143">
        <f t="shared" si="127"/>
        <v>0</v>
      </c>
      <c r="M123" s="438">
        <f t="shared" si="128"/>
        <v>0</v>
      </c>
      <c r="N123" s="143">
        <f t="shared" si="129"/>
        <v>0</v>
      </c>
      <c r="P123" s="372">
        <v>0</v>
      </c>
      <c r="Q123" s="375">
        <v>0</v>
      </c>
      <c r="R123" s="9"/>
      <c r="S123" s="704">
        <f>+IF(FEBRERO!S123=0,"",FEBRERO!S123)</f>
        <v>2010200</v>
      </c>
      <c r="T123" s="722" t="str">
        <f>+IF(FEBRERO!T123=0,"",FEBRERO!T123)</f>
        <v>Adquisición de Servicios</v>
      </c>
      <c r="U123" s="128">
        <f t="shared" ref="U123:AJ123" si="137">SUM(U124:U139)</f>
        <v>4658828612</v>
      </c>
      <c r="V123" s="122">
        <f t="shared" si="137"/>
        <v>712928337</v>
      </c>
      <c r="W123" s="122">
        <f t="shared" si="137"/>
        <v>656156707</v>
      </c>
      <c r="X123" s="129">
        <f t="shared" si="137"/>
        <v>6027913656</v>
      </c>
      <c r="Y123" s="128">
        <f t="shared" si="137"/>
        <v>3499488308</v>
      </c>
      <c r="Z123" s="122">
        <f t="shared" si="137"/>
        <v>1309801910</v>
      </c>
      <c r="AA123" s="130">
        <f t="shared" si="137"/>
        <v>4809290218</v>
      </c>
      <c r="AB123" s="128">
        <f t="shared" si="137"/>
        <v>1271398415</v>
      </c>
      <c r="AC123" s="122">
        <f t="shared" si="137"/>
        <v>628490132</v>
      </c>
      <c r="AD123" s="130">
        <f t="shared" si="137"/>
        <v>1899888547</v>
      </c>
      <c r="AE123" s="128">
        <f t="shared" si="137"/>
        <v>771682010</v>
      </c>
      <c r="AF123" s="122">
        <f t="shared" si="137"/>
        <v>301589832</v>
      </c>
      <c r="AG123" s="130">
        <f t="shared" si="137"/>
        <v>1073271842</v>
      </c>
      <c r="AH123" s="128">
        <f t="shared" si="137"/>
        <v>1218623438</v>
      </c>
      <c r="AI123" s="122">
        <f t="shared" si="137"/>
        <v>4128025109</v>
      </c>
      <c r="AJ123" s="130">
        <f t="shared" si="137"/>
        <v>4954641814</v>
      </c>
      <c r="AK123" s="9"/>
      <c r="AL123" s="128">
        <f>SUM(AL124:AL139)</f>
        <v>-351457264</v>
      </c>
      <c r="AM123" s="130">
        <f>SUM(AM124:AM139)</f>
        <v>410000000</v>
      </c>
      <c r="AN123" s="9"/>
      <c r="AO123" s="294"/>
      <c r="AP123" s="294"/>
      <c r="AQ123" s="294"/>
      <c r="AR123" s="294"/>
      <c r="AS123" s="294"/>
      <c r="AT123" s="294"/>
      <c r="AU123" s="294"/>
      <c r="AV123" s="294"/>
      <c r="AW123" s="294"/>
      <c r="AX123" s="294"/>
      <c r="AY123" s="294"/>
      <c r="AZ123" s="294"/>
    </row>
    <row r="124" spans="1:52" s="382" customFormat="1" ht="24.95" customHeight="1" thickBot="1">
      <c r="A124" s="746">
        <f>+IF(FEBRERO!A124=0,"",FEBRERO!A124)</f>
        <v>2800</v>
      </c>
      <c r="B124" s="655" t="str">
        <f>+IF(FEBRERO!B124=0,"",FEBRERO!B124)</f>
        <v/>
      </c>
      <c r="C124" s="769">
        <f>+ENERO!C124</f>
        <v>0</v>
      </c>
      <c r="D124" s="462">
        <f>FEBRERO!D124+MARZO!P124</f>
        <v>0</v>
      </c>
      <c r="E124" s="462">
        <f>FEBRERO!E124+MARZO!Q124</f>
        <v>0</v>
      </c>
      <c r="F124" s="474">
        <f t="shared" si="125"/>
        <v>0</v>
      </c>
      <c r="G124" s="387">
        <f>FEBRERO!I124</f>
        <v>0</v>
      </c>
      <c r="H124" s="388">
        <v>0</v>
      </c>
      <c r="I124" s="475">
        <f t="shared" si="126"/>
        <v>0</v>
      </c>
      <c r="J124" s="387">
        <f>FEBRERO!L124</f>
        <v>0</v>
      </c>
      <c r="K124" s="388">
        <v>0</v>
      </c>
      <c r="L124" s="386">
        <f t="shared" si="127"/>
        <v>0</v>
      </c>
      <c r="M124" s="476">
        <f t="shared" si="128"/>
        <v>0</v>
      </c>
      <c r="N124" s="386">
        <f t="shared" si="129"/>
        <v>0</v>
      </c>
      <c r="P124" s="384">
        <v>0</v>
      </c>
      <c r="Q124" s="389">
        <v>0</v>
      </c>
      <c r="R124" s="9"/>
      <c r="S124" s="705" t="str">
        <f>+IF(FEBRERO!S124=0,"",FEBRERO!S124)</f>
        <v>2010200-1</v>
      </c>
      <c r="T124" s="723" t="str">
        <f>+IF(FEBRERO!T124=0,"",FEBRERO!T124)</f>
        <v>Seguros</v>
      </c>
      <c r="U124" s="29">
        <f>+ENERO!U124</f>
        <v>350000000</v>
      </c>
      <c r="V124" s="15">
        <f>FEBRERO!V124+MARZO!AL124</f>
        <v>21162371</v>
      </c>
      <c r="W124" s="15">
        <f>FEBRERO!W124+MARZO!AM124</f>
        <v>0</v>
      </c>
      <c r="X124" s="18">
        <f t="shared" ref="X124:X139" si="138">SUM(U124:W124)</f>
        <v>371162371</v>
      </c>
      <c r="Y124" s="19">
        <f>FEBRERO!AA124</f>
        <v>350000000</v>
      </c>
      <c r="Z124" s="374">
        <v>21162371</v>
      </c>
      <c r="AA124" s="16">
        <f t="shared" ref="AA124:AA139" si="139">SUM(Y124:Z124)</f>
        <v>371162371</v>
      </c>
      <c r="AB124" s="19">
        <f>FEBRERO!AD124</f>
        <v>349965143</v>
      </c>
      <c r="AC124" s="374">
        <v>21162371</v>
      </c>
      <c r="AD124" s="16">
        <f t="shared" ref="AD124:AD139" si="140">SUM(AB124:AC124)</f>
        <v>371127514</v>
      </c>
      <c r="AE124" s="19">
        <f>FEBRERO!AG124</f>
        <v>303525978</v>
      </c>
      <c r="AF124" s="374">
        <v>-50830644</v>
      </c>
      <c r="AG124" s="16">
        <f t="shared" ref="AG124:AG139" si="141">SUM(AE124:AF124)</f>
        <v>252695334</v>
      </c>
      <c r="AH124" s="19">
        <f t="shared" ref="AH124:AH139" si="142">X124-AA124</f>
        <v>0</v>
      </c>
      <c r="AI124" s="15">
        <f t="shared" ref="AI124:AI139" si="143">X124-AD124</f>
        <v>34857</v>
      </c>
      <c r="AJ124" s="16">
        <f t="shared" ref="AJ124:AJ139" si="144">X124-AG124</f>
        <v>118467037</v>
      </c>
      <c r="AK124" s="9"/>
      <c r="AL124" s="372">
        <f>17136854+4025517</f>
        <v>21162371</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tr">
        <f>+IF(FEBRERO!S125=0,"",FEBRERO!S125)</f>
        <v>2010200-2</v>
      </c>
      <c r="T125" s="723" t="str">
        <f>+IF(FEBRERO!T125=0,"",FEBRERO!T125)</f>
        <v>Impresos y Publicaciones</v>
      </c>
      <c r="U125" s="29">
        <f>+ENERO!U125</f>
        <v>60000000</v>
      </c>
      <c r="V125" s="15">
        <f>FEBRERO!V125+MARZO!AL125</f>
        <v>0</v>
      </c>
      <c r="W125" s="15">
        <f>FEBRERO!W125+MARZO!AM125</f>
        <v>0</v>
      </c>
      <c r="X125" s="18">
        <f t="shared" si="138"/>
        <v>60000000</v>
      </c>
      <c r="Y125" s="19">
        <f>FEBRERO!AA125</f>
        <v>35375000</v>
      </c>
      <c r="Z125" s="374">
        <v>9520000</v>
      </c>
      <c r="AA125" s="16">
        <f t="shared" si="139"/>
        <v>44895000</v>
      </c>
      <c r="AB125" s="19">
        <f>FEBRERO!AD125</f>
        <v>2450000</v>
      </c>
      <c r="AC125" s="374">
        <v>11305000</v>
      </c>
      <c r="AD125" s="16">
        <f t="shared" si="140"/>
        <v>13755000</v>
      </c>
      <c r="AE125" s="19">
        <f>FEBRERO!AG125</f>
        <v>0</v>
      </c>
      <c r="AF125" s="374">
        <v>0</v>
      </c>
      <c r="AG125" s="16">
        <f t="shared" si="141"/>
        <v>0</v>
      </c>
      <c r="AH125" s="19">
        <f t="shared" si="142"/>
        <v>15105000</v>
      </c>
      <c r="AI125" s="15">
        <f t="shared" si="143"/>
        <v>46245000</v>
      </c>
      <c r="AJ125" s="16">
        <f t="shared" si="144"/>
        <v>60000000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5" t="s">
        <v>246</v>
      </c>
      <c r="B126" s="656"/>
      <c r="C126" s="477">
        <f t="shared" ref="C126:N126" si="145">C8-C128</f>
        <v>41169250887</v>
      </c>
      <c r="D126" s="477">
        <f t="shared" si="145"/>
        <v>0</v>
      </c>
      <c r="E126" s="477">
        <f t="shared" si="145"/>
        <v>618741761</v>
      </c>
      <c r="F126" s="477">
        <f t="shared" si="145"/>
        <v>41787992648</v>
      </c>
      <c r="G126" s="477">
        <f t="shared" si="145"/>
        <v>7474086736</v>
      </c>
      <c r="H126" s="477">
        <f t="shared" si="145"/>
        <v>3986995275</v>
      </c>
      <c r="I126" s="477">
        <f t="shared" si="145"/>
        <v>11461082011</v>
      </c>
      <c r="J126" s="477">
        <f t="shared" si="145"/>
        <v>841173382</v>
      </c>
      <c r="K126" s="477">
        <f t="shared" si="145"/>
        <v>88308697</v>
      </c>
      <c r="L126" s="477">
        <f t="shared" si="145"/>
        <v>929482079</v>
      </c>
      <c r="M126" s="477">
        <f t="shared" si="145"/>
        <v>39379837831</v>
      </c>
      <c r="N126" s="613">
        <f t="shared" si="145"/>
        <v>40858510569</v>
      </c>
      <c r="P126" s="478">
        <f>P8-P128</f>
        <v>0</v>
      </c>
      <c r="Q126" s="479">
        <f>Q8-Q128</f>
        <v>1411839</v>
      </c>
      <c r="R126" s="9"/>
      <c r="S126" s="705" t="str">
        <f>+IF(FEBRERO!S126=0,"",FEBRERO!S126)</f>
        <v>2010200-3</v>
      </c>
      <c r="T126" s="723" t="str">
        <f>+IF(FEBRERO!T126=0,"",FEBRERO!T126)</f>
        <v xml:space="preserve">Servicios Públicos </v>
      </c>
      <c r="U126" s="29">
        <f>+ENERO!U126</f>
        <v>904500000</v>
      </c>
      <c r="V126" s="15">
        <f>FEBRERO!V126+MARZO!AL126</f>
        <v>0</v>
      </c>
      <c r="W126" s="15">
        <f>FEBRERO!W126+MARZO!AM126</f>
        <v>0</v>
      </c>
      <c r="X126" s="18">
        <f t="shared" si="138"/>
        <v>904500000</v>
      </c>
      <c r="Y126" s="19">
        <f>FEBRERO!AA126</f>
        <v>209185058</v>
      </c>
      <c r="Z126" s="374">
        <v>88024703</v>
      </c>
      <c r="AA126" s="16">
        <f t="shared" si="139"/>
        <v>297209761</v>
      </c>
      <c r="AB126" s="19">
        <f>FEBRERO!AD126</f>
        <v>209185058</v>
      </c>
      <c r="AC126" s="374">
        <v>87981756</v>
      </c>
      <c r="AD126" s="16">
        <f t="shared" si="140"/>
        <v>297166814</v>
      </c>
      <c r="AE126" s="19">
        <f>FEBRERO!AG126</f>
        <v>172732796</v>
      </c>
      <c r="AF126" s="374">
        <v>85105346</v>
      </c>
      <c r="AG126" s="16">
        <f t="shared" si="141"/>
        <v>257838142</v>
      </c>
      <c r="AH126" s="19">
        <f t="shared" si="142"/>
        <v>607290239</v>
      </c>
      <c r="AI126" s="15">
        <f t="shared" si="143"/>
        <v>607333186</v>
      </c>
      <c r="AJ126" s="16">
        <f t="shared" si="144"/>
        <v>646661858</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68"/>
      <c r="B127" s="653"/>
      <c r="C127" s="480"/>
      <c r="D127" s="480"/>
      <c r="E127" s="480"/>
      <c r="F127" s="480"/>
      <c r="G127" s="480"/>
      <c r="H127" s="480"/>
      <c r="I127" s="480"/>
      <c r="J127" s="480"/>
      <c r="K127" s="480"/>
      <c r="L127" s="480"/>
      <c r="M127" s="480"/>
      <c r="N127" s="481"/>
      <c r="P127" s="482"/>
      <c r="Q127" s="481"/>
      <c r="R127" s="9"/>
      <c r="S127" s="705" t="str">
        <f>+IF(FEBRERO!S127=0,"",FEBRERO!S127)</f>
        <v>2010200-4</v>
      </c>
      <c r="T127" s="723" t="str">
        <f>+IF(FEBRERO!T127=0,"",FEBRERO!T127)</f>
        <v>Comunicaciones y Transportes</v>
      </c>
      <c r="U127" s="29">
        <f>+ENERO!U127</f>
        <v>35257108</v>
      </c>
      <c r="V127" s="15">
        <f>FEBRERO!V127+MARZO!AL127</f>
        <v>0</v>
      </c>
      <c r="W127" s="15">
        <f>FEBRERO!W127+MARZO!AM127</f>
        <v>0</v>
      </c>
      <c r="X127" s="18">
        <f t="shared" si="138"/>
        <v>35257108</v>
      </c>
      <c r="Y127" s="19">
        <f>FEBRERO!AA127</f>
        <v>22211972</v>
      </c>
      <c r="Z127" s="374">
        <v>1023900</v>
      </c>
      <c r="AA127" s="16">
        <f t="shared" si="139"/>
        <v>23235872</v>
      </c>
      <c r="AB127" s="19">
        <f>FEBRERO!AD127</f>
        <v>3030154</v>
      </c>
      <c r="AC127" s="374">
        <v>1023900</v>
      </c>
      <c r="AD127" s="16">
        <f t="shared" si="140"/>
        <v>4054054</v>
      </c>
      <c r="AE127" s="19">
        <f>FEBRERO!AG127</f>
        <v>2505515</v>
      </c>
      <c r="AF127" s="374">
        <v>1548539</v>
      </c>
      <c r="AG127" s="16">
        <f t="shared" si="141"/>
        <v>4054054</v>
      </c>
      <c r="AH127" s="19">
        <f t="shared" si="142"/>
        <v>12021236</v>
      </c>
      <c r="AI127" s="15">
        <f t="shared" si="143"/>
        <v>31203054</v>
      </c>
      <c r="AJ127" s="16">
        <f t="shared" si="144"/>
        <v>31203054</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6" t="s">
        <v>249</v>
      </c>
      <c r="B128" s="657"/>
      <c r="C128" s="483">
        <f>SUMIF($B8:$B$122,$B$24,C8:C122)+C122</f>
        <v>9052927194</v>
      </c>
      <c r="D128" s="483">
        <f>SUMIF($B8:$B$122,$B$24,D8:D122)+D122</f>
        <v>0</v>
      </c>
      <c r="E128" s="483">
        <f>SUMIF($B8:$B$122,$B$24,E8:E122)+E122</f>
        <v>3612613679</v>
      </c>
      <c r="F128" s="483">
        <f>SUMIF($B8:$B$122,$B$24,F8:F122)+F122</f>
        <v>12665540873</v>
      </c>
      <c r="G128" s="483">
        <f>SUMIF($B8:$B$122,$B$24,G8:G122)+G122</f>
        <v>5370727450</v>
      </c>
      <c r="H128" s="483">
        <f>SUMIF($B8:$B$122,$B$24,H8:H122)+H122</f>
        <v>4178495286</v>
      </c>
      <c r="I128" s="483">
        <f>SUMIF($B8:$B$122,$B$24,I8:I122)+I122</f>
        <v>9549222736</v>
      </c>
      <c r="J128" s="483">
        <f>SUMIF($B8:$B$122,$B$24,J8:J122)+J1212</f>
        <v>5370727450</v>
      </c>
      <c r="K128" s="483">
        <f>SUMIF($B8:$B$122,$B$24,K8:K122)+K122</f>
        <v>4178495286</v>
      </c>
      <c r="L128" s="483">
        <f>SUMIF($B8:$B$122,$B$24,L8:L122)+L122</f>
        <v>9549222736</v>
      </c>
      <c r="M128" s="483">
        <f>SUMIF($B8:$B$122,$B$24,M8:M122)+M12</f>
        <v>-5936609057</v>
      </c>
      <c r="N128" s="614">
        <f>SUMIF($B8:$B$122,$B$24,N8:N122)+N122</f>
        <v>3116318137</v>
      </c>
      <c r="O128" s="461"/>
      <c r="P128" s="483">
        <f>SUMIF($B8:$B$122,$B$24,P8:P122)+P122</f>
        <v>0</v>
      </c>
      <c r="Q128" s="484">
        <f>SUMIF($B8:$B$122,$B$24,Q8:Q122)+Q122</f>
        <v>2775776714</v>
      </c>
      <c r="R128" s="9"/>
      <c r="S128" s="705" t="str">
        <f>+IF(FEBRERO!S128=0,"",FEBRERO!S128)</f>
        <v>2010200-5</v>
      </c>
      <c r="T128" s="723" t="str">
        <f>+IF(FEBRERO!T128=0,"",FEBRERO!T128)</f>
        <v>Viáticos y Gastos de Viaje</v>
      </c>
      <c r="U128" s="29">
        <f>+ENERO!U128</f>
        <v>12609000</v>
      </c>
      <c r="V128" s="15">
        <f>FEBRERO!V128+MARZO!AL128</f>
        <v>0</v>
      </c>
      <c r="W128" s="15">
        <f>FEBRERO!W128+MARZO!AM128</f>
        <v>0</v>
      </c>
      <c r="X128" s="18">
        <f t="shared" si="138"/>
        <v>12609000</v>
      </c>
      <c r="Y128" s="19">
        <f>FEBRERO!AA128</f>
        <v>1403874</v>
      </c>
      <c r="Z128" s="374">
        <v>0</v>
      </c>
      <c r="AA128" s="16">
        <f t="shared" si="139"/>
        <v>1403874</v>
      </c>
      <c r="AB128" s="19">
        <f>FEBRERO!AD128</f>
        <v>1403874</v>
      </c>
      <c r="AC128" s="374">
        <v>0</v>
      </c>
      <c r="AD128" s="16">
        <f t="shared" si="140"/>
        <v>1403874</v>
      </c>
      <c r="AE128" s="19">
        <f>FEBRERO!AG128</f>
        <v>1403874</v>
      </c>
      <c r="AF128" s="374">
        <v>0</v>
      </c>
      <c r="AG128" s="16">
        <f t="shared" si="141"/>
        <v>1403874</v>
      </c>
      <c r="AH128" s="19">
        <f t="shared" si="142"/>
        <v>11205126</v>
      </c>
      <c r="AI128" s="15">
        <f t="shared" si="143"/>
        <v>11205126</v>
      </c>
      <c r="AJ128" s="16">
        <f t="shared" si="144"/>
        <v>11205126</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68"/>
      <c r="B129" s="653"/>
      <c r="C129" s="480"/>
      <c r="D129" s="480"/>
      <c r="E129" s="480"/>
      <c r="F129" s="480"/>
      <c r="G129" s="480"/>
      <c r="H129" s="480"/>
      <c r="I129" s="480"/>
      <c r="J129" s="480"/>
      <c r="K129" s="480"/>
      <c r="L129" s="480"/>
      <c r="M129" s="480"/>
      <c r="N129" s="481"/>
      <c r="P129" s="482"/>
      <c r="Q129" s="481"/>
      <c r="R129" s="9"/>
      <c r="S129" s="705" t="str">
        <f>+IF(FEBRERO!S129=0,"",FEBRERO!S129)</f>
        <v>2010200-6</v>
      </c>
      <c r="T129" s="723" t="str">
        <f>+IF(FEBRERO!T129=0,"",FEBRERO!T129)</f>
        <v>Arrendamientos</v>
      </c>
      <c r="U129" s="29">
        <f>+ENERO!U129</f>
        <v>1100000000</v>
      </c>
      <c r="V129" s="15">
        <f>FEBRERO!V129+MARZO!AL129</f>
        <v>1164817483</v>
      </c>
      <c r="W129" s="15">
        <f>FEBRERO!W129+MARZO!AM129</f>
        <v>10000000</v>
      </c>
      <c r="X129" s="18">
        <f t="shared" si="138"/>
        <v>2274817483</v>
      </c>
      <c r="Y129" s="19">
        <f>FEBRERO!AA129</f>
        <v>2264817483</v>
      </c>
      <c r="Z129" s="374">
        <v>2824621</v>
      </c>
      <c r="AA129" s="16">
        <f t="shared" si="139"/>
        <v>2267642104</v>
      </c>
      <c r="AB129" s="19">
        <f>FEBRERO!AD129</f>
        <v>408771625</v>
      </c>
      <c r="AC129" s="374">
        <v>204533402</v>
      </c>
      <c r="AD129" s="16">
        <f t="shared" si="140"/>
        <v>613305027</v>
      </c>
      <c r="AE129" s="19">
        <f>FEBRERO!AG129</f>
        <v>74927079</v>
      </c>
      <c r="AF129" s="374">
        <v>235836876</v>
      </c>
      <c r="AG129" s="16">
        <f t="shared" si="141"/>
        <v>310763955</v>
      </c>
      <c r="AH129" s="19">
        <f t="shared" si="142"/>
        <v>7175379</v>
      </c>
      <c r="AI129" s="15">
        <f t="shared" si="143"/>
        <v>1661512456</v>
      </c>
      <c r="AJ129" s="16">
        <f t="shared" si="144"/>
        <v>1964053528</v>
      </c>
      <c r="AK129" s="9"/>
      <c r="AL129" s="372">
        <v>0</v>
      </c>
      <c r="AM129" s="375">
        <v>10000000</v>
      </c>
      <c r="AN129" s="9"/>
      <c r="AO129" s="294"/>
      <c r="AP129" s="294"/>
      <c r="AQ129" s="294"/>
      <c r="AR129" s="294"/>
      <c r="AS129" s="294"/>
      <c r="AT129" s="294"/>
      <c r="AU129" s="294"/>
      <c r="AV129" s="294"/>
      <c r="AW129" s="294"/>
      <c r="AX129" s="294"/>
      <c r="AY129" s="294"/>
      <c r="AZ129" s="294"/>
    </row>
    <row r="130" spans="1:52" s="382" customFormat="1" ht="24.95" customHeight="1" thickBot="1">
      <c r="A130" s="767" t="s">
        <v>252</v>
      </c>
      <c r="B130" s="658"/>
      <c r="C130" s="485">
        <f t="shared" ref="C130:N130" si="146">C128+C126</f>
        <v>50222178081</v>
      </c>
      <c r="D130" s="486">
        <f t="shared" si="146"/>
        <v>0</v>
      </c>
      <c r="E130" s="486">
        <f t="shared" si="146"/>
        <v>4231355440</v>
      </c>
      <c r="F130" s="487">
        <f t="shared" si="146"/>
        <v>54453533521</v>
      </c>
      <c r="G130" s="485">
        <f t="shared" si="146"/>
        <v>12844814186</v>
      </c>
      <c r="H130" s="486">
        <f t="shared" si="146"/>
        <v>8165490561</v>
      </c>
      <c r="I130" s="487">
        <f t="shared" si="146"/>
        <v>21010304747</v>
      </c>
      <c r="J130" s="485">
        <f t="shared" si="146"/>
        <v>6211900832</v>
      </c>
      <c r="K130" s="486">
        <f t="shared" si="146"/>
        <v>4266803983</v>
      </c>
      <c r="L130" s="487">
        <f t="shared" si="146"/>
        <v>10478704815</v>
      </c>
      <c r="M130" s="485">
        <f t="shared" si="146"/>
        <v>33443228774</v>
      </c>
      <c r="N130" s="487">
        <f t="shared" si="146"/>
        <v>43974828706</v>
      </c>
      <c r="P130" s="478">
        <f>P128+P126</f>
        <v>0</v>
      </c>
      <c r="Q130" s="479">
        <f>Q128+Q126</f>
        <v>2777188553</v>
      </c>
      <c r="R130" s="9"/>
      <c r="S130" s="705" t="str">
        <f>+IF(FEBRERO!S130=0,"",FEBRERO!S130)</f>
        <v>2010200-7</v>
      </c>
      <c r="T130" s="723" t="str">
        <f>+IF(FEBRERO!T130=0,"",FEBRERO!T130)</f>
        <v>Vigilancia y Aseo</v>
      </c>
      <c r="U130" s="29">
        <f>+ENERO!U130</f>
        <v>2121073970</v>
      </c>
      <c r="V130" s="15">
        <f>FEBRERO!V130+MARZO!AL130</f>
        <v>-4025517</v>
      </c>
      <c r="W130" s="15">
        <f>FEBRERO!W130+MARZO!AM130</f>
        <v>0</v>
      </c>
      <c r="X130" s="18">
        <f t="shared" si="138"/>
        <v>2117048453</v>
      </c>
      <c r="Y130" s="19">
        <f>FEBRERO!AA130</f>
        <v>486191384</v>
      </c>
      <c r="Z130" s="374">
        <v>1157467478</v>
      </c>
      <c r="AA130" s="16">
        <f t="shared" si="139"/>
        <v>1643658862</v>
      </c>
      <c r="AB130" s="19">
        <f>FEBRERO!AD130</f>
        <v>166289024</v>
      </c>
      <c r="AC130" s="374">
        <v>272704866</v>
      </c>
      <c r="AD130" s="16">
        <f t="shared" si="140"/>
        <v>438993890</v>
      </c>
      <c r="AE130" s="19">
        <f>FEBRERO!AG130</f>
        <v>87797045</v>
      </c>
      <c r="AF130" s="374">
        <v>0</v>
      </c>
      <c r="AG130" s="16">
        <f t="shared" si="141"/>
        <v>87797045</v>
      </c>
      <c r="AH130" s="19">
        <f t="shared" si="142"/>
        <v>473389591</v>
      </c>
      <c r="AI130" s="15">
        <f t="shared" si="143"/>
        <v>1678054563</v>
      </c>
      <c r="AJ130" s="16">
        <f t="shared" si="144"/>
        <v>2029251408</v>
      </c>
      <c r="AK130" s="9"/>
      <c r="AL130" s="372">
        <f>86000000-4025517</f>
        <v>81974483</v>
      </c>
      <c r="AM130" s="375">
        <v>0</v>
      </c>
      <c r="AN130" s="9"/>
      <c r="AO130" s="294"/>
      <c r="AP130" s="294"/>
      <c r="AQ130" s="294"/>
      <c r="AR130" s="294"/>
      <c r="AS130" s="294"/>
      <c r="AT130" s="294"/>
      <c r="AU130" s="294"/>
      <c r="AV130" s="294"/>
      <c r="AW130" s="294"/>
      <c r="AX130" s="294"/>
      <c r="AY130" s="294"/>
      <c r="AZ130" s="294"/>
    </row>
    <row r="131" spans="1:52" s="382" customFormat="1" ht="24.95" customHeight="1">
      <c r="A131" s="752"/>
      <c r="B131" s="660"/>
      <c r="N131" s="9"/>
      <c r="R131" s="9"/>
      <c r="S131" s="705" t="str">
        <f>+IF(FEBRERO!S131=0,"",FEBRERO!S131)</f>
        <v>2010200-8</v>
      </c>
      <c r="T131" s="723" t="str">
        <f>+IF(FEBRERO!T131=0,"",FEBRERO!T131)</f>
        <v>Bienestar Social</v>
      </c>
      <c r="U131" s="29">
        <f>+ENERO!U131</f>
        <v>45388534</v>
      </c>
      <c r="V131" s="15">
        <f>FEBRERO!V131+MARZO!AL131</f>
        <v>0</v>
      </c>
      <c r="W131" s="15">
        <f>FEBRERO!W131+MARZO!AM131</f>
        <v>26156707</v>
      </c>
      <c r="X131" s="18">
        <f t="shared" si="138"/>
        <v>71545241</v>
      </c>
      <c r="Y131" s="19">
        <f>FEBRERO!AA131</f>
        <v>1228400</v>
      </c>
      <c r="Z131" s="374">
        <v>6178400</v>
      </c>
      <c r="AA131" s="16">
        <f t="shared" si="139"/>
        <v>7406800</v>
      </c>
      <c r="AB131" s="19">
        <f>FEBRERO!AD131</f>
        <v>1228400</v>
      </c>
      <c r="AC131" s="374">
        <v>6178400</v>
      </c>
      <c r="AD131" s="16">
        <f t="shared" si="140"/>
        <v>7406800</v>
      </c>
      <c r="AE131" s="19">
        <f>FEBRERO!AG131</f>
        <v>0</v>
      </c>
      <c r="AF131" s="374">
        <v>6178400</v>
      </c>
      <c r="AG131" s="16">
        <f t="shared" si="141"/>
        <v>6178400</v>
      </c>
      <c r="AH131" s="19">
        <f t="shared" si="142"/>
        <v>64138441</v>
      </c>
      <c r="AI131" s="15">
        <f t="shared" si="143"/>
        <v>64138441</v>
      </c>
      <c r="AJ131" s="16">
        <f t="shared" si="144"/>
        <v>65366841</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2"/>
      <c r="B132" s="660"/>
      <c r="N132" s="9"/>
      <c r="R132" s="9"/>
      <c r="S132" s="705" t="str">
        <f>+IF(FEBRERO!S132=0,"",FEBRERO!S132)</f>
        <v>2010200-9</v>
      </c>
      <c r="T132" s="723" t="str">
        <f>+IF(FEBRERO!T132=0,"",FEBRERO!T132)</f>
        <v>Capacitación, estimulos, incentivos, programa de calidad</v>
      </c>
      <c r="U132" s="29">
        <f>+ENERO!U132</f>
        <v>15000000</v>
      </c>
      <c r="V132" s="15">
        <f>FEBRERO!V132+MARZO!AL132</f>
        <v>0</v>
      </c>
      <c r="W132" s="15">
        <f>FEBRERO!W132+MARZO!AM132</f>
        <v>0</v>
      </c>
      <c r="X132" s="18">
        <f t="shared" si="138"/>
        <v>15000000</v>
      </c>
      <c r="Y132" s="19">
        <f>FEBRERO!AA132</f>
        <v>0</v>
      </c>
      <c r="Z132" s="374">
        <v>0</v>
      </c>
      <c r="AA132" s="16">
        <f t="shared" si="139"/>
        <v>0</v>
      </c>
      <c r="AB132" s="19">
        <f>FEBRERO!AD132</f>
        <v>0</v>
      </c>
      <c r="AC132" s="374">
        <v>0</v>
      </c>
      <c r="AD132" s="16">
        <f t="shared" si="140"/>
        <v>0</v>
      </c>
      <c r="AE132" s="19">
        <f>FEBRERO!AG132</f>
        <v>0</v>
      </c>
      <c r="AF132" s="374">
        <v>0</v>
      </c>
      <c r="AG132" s="16">
        <f t="shared" si="141"/>
        <v>0</v>
      </c>
      <c r="AH132" s="19">
        <f t="shared" si="142"/>
        <v>15000000</v>
      </c>
      <c r="AI132" s="15">
        <f t="shared" si="143"/>
        <v>15000000</v>
      </c>
      <c r="AJ132" s="16">
        <f t="shared" si="144"/>
        <v>15000000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2"/>
      <c r="B133" s="660"/>
      <c r="N133" s="9"/>
      <c r="R133" s="9"/>
      <c r="S133" s="705" t="str">
        <f>+IF(FEBRERO!S133=0,"",FEBRERO!S133)</f>
        <v>2010200-10</v>
      </c>
      <c r="T133" s="723" t="str">
        <f>+IF(FEBRERO!T133=0,"",FEBRERO!T133)</f>
        <v>Pagos otras IPS</v>
      </c>
      <c r="U133" s="29">
        <f>+ENERO!U133</f>
        <v>5000000</v>
      </c>
      <c r="V133" s="15">
        <f>FEBRERO!V133+MARZO!AL133</f>
        <v>0</v>
      </c>
      <c r="W133" s="15">
        <f>FEBRERO!W133+MARZO!AM133</f>
        <v>0</v>
      </c>
      <c r="X133" s="18">
        <f t="shared" si="138"/>
        <v>5000000</v>
      </c>
      <c r="Y133" s="19">
        <f>FEBRERO!AA133</f>
        <v>0</v>
      </c>
      <c r="Z133" s="374">
        <v>0</v>
      </c>
      <c r="AA133" s="16">
        <f t="shared" si="139"/>
        <v>0</v>
      </c>
      <c r="AB133" s="19">
        <f>FEBRERO!AD133</f>
        <v>0</v>
      </c>
      <c r="AC133" s="374">
        <v>0</v>
      </c>
      <c r="AD133" s="16">
        <f t="shared" si="140"/>
        <v>0</v>
      </c>
      <c r="AE133" s="19">
        <f>FEBRERO!AG133</f>
        <v>0</v>
      </c>
      <c r="AF133" s="374">
        <v>0</v>
      </c>
      <c r="AG133" s="16">
        <f t="shared" si="141"/>
        <v>0</v>
      </c>
      <c r="AH133" s="19">
        <f t="shared" si="142"/>
        <v>5000000</v>
      </c>
      <c r="AI133" s="15">
        <f t="shared" si="143"/>
        <v>5000000</v>
      </c>
      <c r="AJ133" s="16">
        <f t="shared" si="144"/>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2"/>
      <c r="B134" s="660"/>
      <c r="N134" s="9"/>
      <c r="R134" s="9"/>
      <c r="S134" s="705" t="str">
        <f>+IF(FEBRERO!S134=0,"",FEBRERO!S134)</f>
        <v>2010200-11</v>
      </c>
      <c r="T134" s="723" t="str">
        <f>+IF(FEBRERO!T134=0,"",FEBRERO!T134)</f>
        <v>Gastos financieros</v>
      </c>
      <c r="U134" s="29">
        <f>+ENERO!U134</f>
        <v>10000000</v>
      </c>
      <c r="V134" s="15">
        <f>FEBRERO!V134+MARZO!AL134</f>
        <v>0</v>
      </c>
      <c r="W134" s="15">
        <f>FEBRERO!W134+MARZO!AM134</f>
        <v>0</v>
      </c>
      <c r="X134" s="18">
        <f t="shared" si="138"/>
        <v>10000000</v>
      </c>
      <c r="Y134" s="19">
        <f>FEBRERO!AA134</f>
        <v>1555019</v>
      </c>
      <c r="Z134" s="374">
        <v>146555</v>
      </c>
      <c r="AA134" s="16">
        <f t="shared" si="139"/>
        <v>1701574</v>
      </c>
      <c r="AB134" s="19">
        <f>FEBRERO!AD134</f>
        <v>1555019</v>
      </c>
      <c r="AC134" s="374">
        <v>146555</v>
      </c>
      <c r="AD134" s="16">
        <f t="shared" si="140"/>
        <v>1701574</v>
      </c>
      <c r="AE134" s="19">
        <f>FEBRERO!AG134</f>
        <v>1269605</v>
      </c>
      <c r="AF134" s="374">
        <v>297433</v>
      </c>
      <c r="AG134" s="16">
        <f t="shared" si="141"/>
        <v>1567038</v>
      </c>
      <c r="AH134" s="19">
        <f t="shared" si="142"/>
        <v>8298426</v>
      </c>
      <c r="AI134" s="15">
        <f t="shared" si="143"/>
        <v>8298426</v>
      </c>
      <c r="AJ134" s="16">
        <f t="shared" si="144"/>
        <v>8432962</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2"/>
      <c r="B135" s="660"/>
      <c r="N135" s="9"/>
      <c r="R135" s="9"/>
      <c r="S135" s="705" t="str">
        <f>+IF(FEBRERO!S135=0,"",FEBRERO!S135)</f>
        <v>2010200-12</v>
      </c>
      <c r="T135" s="723" t="str">
        <f>+IF(FEBRERO!T135=0,"",FEBRERO!T135)</f>
        <v/>
      </c>
      <c r="U135" s="29">
        <f>+ENERO!U135</f>
        <v>0</v>
      </c>
      <c r="V135" s="15">
        <f>FEBRERO!V135+MARZO!AL135</f>
        <v>0</v>
      </c>
      <c r="W135" s="15">
        <f>FEBRERO!W135+MARZO!AM135</f>
        <v>0</v>
      </c>
      <c r="X135" s="18">
        <f t="shared" si="138"/>
        <v>0</v>
      </c>
      <c r="Y135" s="19">
        <f>FEBRERO!AA135</f>
        <v>0</v>
      </c>
      <c r="Z135" s="374">
        <v>0</v>
      </c>
      <c r="AA135" s="16">
        <f t="shared" si="139"/>
        <v>0</v>
      </c>
      <c r="AB135" s="19">
        <f>FEBRERO!AD135</f>
        <v>0</v>
      </c>
      <c r="AC135" s="374">
        <v>0</v>
      </c>
      <c r="AD135" s="16">
        <f t="shared" si="140"/>
        <v>0</v>
      </c>
      <c r="AE135" s="19">
        <f>FEBRERO!AG135</f>
        <v>0</v>
      </c>
      <c r="AF135" s="374">
        <v>0</v>
      </c>
      <c r="AG135" s="16">
        <f t="shared" si="141"/>
        <v>0</v>
      </c>
      <c r="AH135" s="19">
        <f t="shared" si="142"/>
        <v>0</v>
      </c>
      <c r="AI135" s="15">
        <f t="shared" si="143"/>
        <v>0</v>
      </c>
      <c r="AJ135" s="16">
        <f t="shared" si="144"/>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2"/>
      <c r="B136" s="660"/>
      <c r="N136" s="9"/>
      <c r="R136" s="9"/>
      <c r="S136" s="705" t="str">
        <f>+IF(FEBRERO!S136=0,"",FEBRERO!S136)</f>
        <v>2010200-13</v>
      </c>
      <c r="T136" s="723" t="str">
        <f>+IF(FEBRERO!T136=0,"",FEBRERO!T136)</f>
        <v/>
      </c>
      <c r="U136" s="29">
        <f>+ENERO!U136</f>
        <v>0</v>
      </c>
      <c r="V136" s="15">
        <f>FEBRERO!V136+MARZO!AL136</f>
        <v>0</v>
      </c>
      <c r="W136" s="15">
        <f>FEBRERO!W136+MARZO!AM136</f>
        <v>0</v>
      </c>
      <c r="X136" s="18">
        <f t="shared" si="138"/>
        <v>0</v>
      </c>
      <c r="Y136" s="19">
        <f>FEBRERO!AA136</f>
        <v>0</v>
      </c>
      <c r="Z136" s="374">
        <v>0</v>
      </c>
      <c r="AA136" s="16">
        <f t="shared" si="139"/>
        <v>0</v>
      </c>
      <c r="AB136" s="19">
        <f>FEBRERO!AD136</f>
        <v>0</v>
      </c>
      <c r="AC136" s="374">
        <v>0</v>
      </c>
      <c r="AD136" s="16">
        <f t="shared" si="140"/>
        <v>0</v>
      </c>
      <c r="AE136" s="19">
        <f>FEBRERO!AG136</f>
        <v>0</v>
      </c>
      <c r="AF136" s="374">
        <v>0</v>
      </c>
      <c r="AG136" s="16">
        <f t="shared" si="141"/>
        <v>0</v>
      </c>
      <c r="AH136" s="19">
        <f t="shared" si="142"/>
        <v>0</v>
      </c>
      <c r="AI136" s="15">
        <f t="shared" si="143"/>
        <v>0</v>
      </c>
      <c r="AJ136" s="16">
        <f t="shared" si="144"/>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2"/>
      <c r="B137" s="660"/>
      <c r="N137" s="9"/>
      <c r="R137" s="9"/>
      <c r="S137" s="705" t="str">
        <f>+IF(FEBRERO!S137=0,"",FEBRERO!S137)</f>
        <v>2010020-14</v>
      </c>
      <c r="T137" s="723" t="str">
        <f>+IF(FEBRERO!T137=0,"",FEBRERO!T137)</f>
        <v/>
      </c>
      <c r="U137" s="29">
        <f>+ENERO!U137</f>
        <v>0</v>
      </c>
      <c r="V137" s="15">
        <f>FEBRERO!V137+MARZO!AL137</f>
        <v>0</v>
      </c>
      <c r="W137" s="15">
        <f>FEBRERO!W137+MARZO!AM137</f>
        <v>0</v>
      </c>
      <c r="X137" s="18">
        <f t="shared" si="138"/>
        <v>0</v>
      </c>
      <c r="Y137" s="19">
        <f>FEBRERO!AA137</f>
        <v>0</v>
      </c>
      <c r="Z137" s="374">
        <v>0</v>
      </c>
      <c r="AA137" s="16">
        <f t="shared" si="139"/>
        <v>0</v>
      </c>
      <c r="AB137" s="19">
        <f>FEBRERO!AD137</f>
        <v>0</v>
      </c>
      <c r="AC137" s="374">
        <v>0</v>
      </c>
      <c r="AD137" s="16">
        <f t="shared" si="140"/>
        <v>0</v>
      </c>
      <c r="AE137" s="19">
        <f>FEBRERO!AG137</f>
        <v>0</v>
      </c>
      <c r="AF137" s="374">
        <v>0</v>
      </c>
      <c r="AG137" s="16">
        <f t="shared" si="141"/>
        <v>0</v>
      </c>
      <c r="AH137" s="19">
        <f t="shared" si="142"/>
        <v>0</v>
      </c>
      <c r="AI137" s="15">
        <f t="shared" si="143"/>
        <v>0</v>
      </c>
      <c r="AJ137" s="16">
        <f t="shared" si="144"/>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2"/>
      <c r="B138" s="660"/>
      <c r="N138" s="9"/>
      <c r="R138" s="9"/>
      <c r="S138" s="705" t="str">
        <f>+IF(FEBRERO!S138=0,"",FEBRERO!S138)</f>
        <v>2010200-15</v>
      </c>
      <c r="T138" s="723" t="str">
        <f>+IF(FEBRERO!T138=0,"",FEBRERO!T138)</f>
        <v/>
      </c>
      <c r="U138" s="29">
        <f>+ENERO!U138</f>
        <v>0</v>
      </c>
      <c r="V138" s="15">
        <f>FEBRERO!V138+MARZO!AL138</f>
        <v>0</v>
      </c>
      <c r="W138" s="15">
        <f>FEBRERO!W138+MARZO!AM138</f>
        <v>0</v>
      </c>
      <c r="X138" s="18">
        <f t="shared" si="138"/>
        <v>0</v>
      </c>
      <c r="Y138" s="19">
        <f>FEBRERO!AA138</f>
        <v>0</v>
      </c>
      <c r="Z138" s="374">
        <v>0</v>
      </c>
      <c r="AA138" s="16">
        <f t="shared" si="139"/>
        <v>0</v>
      </c>
      <c r="AB138" s="19">
        <f>FEBRERO!AD138</f>
        <v>0</v>
      </c>
      <c r="AC138" s="374">
        <v>0</v>
      </c>
      <c r="AD138" s="16">
        <f t="shared" si="140"/>
        <v>0</v>
      </c>
      <c r="AE138" s="19">
        <f>FEBRERO!AG138</f>
        <v>0</v>
      </c>
      <c r="AF138" s="374">
        <v>0</v>
      </c>
      <c r="AG138" s="16">
        <f t="shared" si="141"/>
        <v>0</v>
      </c>
      <c r="AH138" s="19">
        <f t="shared" si="142"/>
        <v>0</v>
      </c>
      <c r="AI138" s="15">
        <f t="shared" si="143"/>
        <v>0</v>
      </c>
      <c r="AJ138" s="16">
        <f t="shared" si="144"/>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2"/>
      <c r="B139" s="660"/>
      <c r="N139" s="9"/>
      <c r="R139" s="9"/>
      <c r="S139" s="705">
        <f>+IF(FEBRERO!S139=0,"",FEBRERO!S139)</f>
        <v>2010299</v>
      </c>
      <c r="T139" s="723" t="str">
        <f>+IF(FEBRERO!T139=0,"",FEBRERO!T139)</f>
        <v>Vigencias Anteriores</v>
      </c>
      <c r="U139" s="29">
        <f>+ENERO!U139</f>
        <v>0</v>
      </c>
      <c r="V139" s="15">
        <f>FEBRERO!V139+MARZO!AL139</f>
        <v>-469026000</v>
      </c>
      <c r="W139" s="15">
        <f>FEBRERO!W139+MARZO!AM139</f>
        <v>620000000</v>
      </c>
      <c r="X139" s="18">
        <f t="shared" si="138"/>
        <v>150974000</v>
      </c>
      <c r="Y139" s="19">
        <f>FEBRERO!AA139</f>
        <v>127520118</v>
      </c>
      <c r="Z139" s="374">
        <v>23453882</v>
      </c>
      <c r="AA139" s="16">
        <f t="shared" si="139"/>
        <v>150974000</v>
      </c>
      <c r="AB139" s="19">
        <f>FEBRERO!AD139</f>
        <v>127520118</v>
      </c>
      <c r="AC139" s="374">
        <v>23453882</v>
      </c>
      <c r="AD139" s="16">
        <f t="shared" si="140"/>
        <v>150974000</v>
      </c>
      <c r="AE139" s="19">
        <f>FEBRERO!AG139</f>
        <v>127520118</v>
      </c>
      <c r="AF139" s="374">
        <v>23453882</v>
      </c>
      <c r="AG139" s="815">
        <f t="shared" si="141"/>
        <v>150974000</v>
      </c>
      <c r="AH139" s="19">
        <f t="shared" si="142"/>
        <v>0</v>
      </c>
      <c r="AI139" s="15">
        <f t="shared" si="143"/>
        <v>0</v>
      </c>
      <c r="AJ139" s="16">
        <f t="shared" si="144"/>
        <v>0</v>
      </c>
      <c r="AK139" s="9"/>
      <c r="AL139" s="372">
        <f>-86000000-50000000-300700000-17894118</f>
        <v>-454594118</v>
      </c>
      <c r="AM139" s="375">
        <v>400000000</v>
      </c>
      <c r="AN139" s="9"/>
      <c r="AO139" s="294"/>
      <c r="AP139" s="294"/>
      <c r="AQ139" s="294"/>
    </row>
    <row r="140" spans="1:52" s="382" customFormat="1" ht="24.95" customHeight="1">
      <c r="A140" s="752"/>
      <c r="B140" s="660"/>
      <c r="N140" s="9"/>
      <c r="R140" s="9"/>
      <c r="S140" s="366" t="str">
        <f>+IF(FEBRERO!S140=0,"",FEBRERO!S140)</f>
        <v/>
      </c>
      <c r="T140" s="695" t="str">
        <f>+IF(FEBRERO!T140=0,"",FEBRERO!T140)</f>
        <v/>
      </c>
      <c r="U140" s="367"/>
      <c r="V140" s="161"/>
      <c r="W140" s="161"/>
      <c r="X140" s="161"/>
      <c r="Y140" s="367"/>
      <c r="Z140" s="161"/>
      <c r="AA140" s="166"/>
      <c r="AB140" s="367"/>
      <c r="AC140" s="161"/>
      <c r="AD140" s="166"/>
      <c r="AE140" s="367"/>
      <c r="AF140" s="161"/>
      <c r="AG140" s="166"/>
      <c r="AH140" s="367"/>
      <c r="AI140" s="161"/>
      <c r="AJ140" s="166"/>
      <c r="AK140" s="10"/>
      <c r="AL140" s="172"/>
      <c r="AM140" s="173"/>
      <c r="AN140" s="9"/>
    </row>
    <row r="141" spans="1:52" s="382" customFormat="1" ht="24.95" customHeight="1">
      <c r="A141" s="752"/>
      <c r="B141" s="660"/>
      <c r="N141" s="9"/>
      <c r="R141" s="9"/>
      <c r="S141" s="704">
        <f>+IF(FEBRERO!S141=0,"",FEBRERO!S141)</f>
        <v>2010300</v>
      </c>
      <c r="T141" s="722" t="str">
        <f>+IF(FEBRERO!T141=0,"",FEBRERO!T141)</f>
        <v>Impuestos y Multas</v>
      </c>
      <c r="U141" s="128">
        <f t="shared" ref="U141:AJ141" si="147">U142+U143</f>
        <v>0</v>
      </c>
      <c r="V141" s="122">
        <f t="shared" si="147"/>
        <v>0</v>
      </c>
      <c r="W141" s="122">
        <f t="shared" si="147"/>
        <v>0</v>
      </c>
      <c r="X141" s="129">
        <f t="shared" si="147"/>
        <v>0</v>
      </c>
      <c r="Y141" s="128">
        <f t="shared" si="147"/>
        <v>0</v>
      </c>
      <c r="Z141" s="122">
        <f t="shared" si="147"/>
        <v>0</v>
      </c>
      <c r="AA141" s="130">
        <f t="shared" si="147"/>
        <v>0</v>
      </c>
      <c r="AB141" s="128">
        <f t="shared" si="147"/>
        <v>0</v>
      </c>
      <c r="AC141" s="122">
        <f t="shared" si="147"/>
        <v>0</v>
      </c>
      <c r="AD141" s="130">
        <f t="shared" si="147"/>
        <v>0</v>
      </c>
      <c r="AE141" s="128">
        <f t="shared" si="147"/>
        <v>0</v>
      </c>
      <c r="AF141" s="122">
        <f t="shared" si="147"/>
        <v>0</v>
      </c>
      <c r="AG141" s="130">
        <f t="shared" si="147"/>
        <v>0</v>
      </c>
      <c r="AH141" s="128">
        <f t="shared" si="147"/>
        <v>0</v>
      </c>
      <c r="AI141" s="122">
        <f t="shared" si="147"/>
        <v>0</v>
      </c>
      <c r="AJ141" s="130">
        <f t="shared" si="147"/>
        <v>0</v>
      </c>
      <c r="AK141" s="10"/>
      <c r="AL141" s="128">
        <f>AL142+AL143</f>
        <v>0</v>
      </c>
      <c r="AM141" s="130">
        <f>AM142+AM143</f>
        <v>0</v>
      </c>
      <c r="AN141" s="9"/>
    </row>
    <row r="142" spans="1:52" s="382" customFormat="1" ht="24.95" customHeight="1">
      <c r="A142" s="752"/>
      <c r="B142" s="660"/>
      <c r="N142" s="9"/>
      <c r="R142" s="9"/>
      <c r="S142" s="705" t="str">
        <f>+IF(FEBRERO!S142=0,"",FEBRERO!S142)</f>
        <v>2010300-1</v>
      </c>
      <c r="T142" s="723" t="str">
        <f>+IF(FEBRERO!T142=0,"",FEBRERO!T142)</f>
        <v>Impuestos (Predial, Vehiculos, Otros)</v>
      </c>
      <c r="U142" s="29">
        <f>+ENERO!U142</f>
        <v>0</v>
      </c>
      <c r="V142" s="15">
        <f>FEBRERO!V142+MARZO!AL142</f>
        <v>0</v>
      </c>
      <c r="W142" s="15">
        <f>FEBRERO!W142+MARZO!AM142</f>
        <v>0</v>
      </c>
      <c r="X142" s="18">
        <f>SUM(U142:W142)</f>
        <v>0</v>
      </c>
      <c r="Y142" s="19">
        <f>FEBRERO!AA142</f>
        <v>0</v>
      </c>
      <c r="Z142" s="374">
        <v>0</v>
      </c>
      <c r="AA142" s="16">
        <f>SUM(Y142:Z142)</f>
        <v>0</v>
      </c>
      <c r="AB142" s="19">
        <f>FEBRERO!AD142</f>
        <v>0</v>
      </c>
      <c r="AC142" s="374">
        <v>0</v>
      </c>
      <c r="AD142" s="16">
        <f>SUM(AB142:AC142)</f>
        <v>0</v>
      </c>
      <c r="AE142" s="19">
        <f>FEBRERO!AG142</f>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52"/>
      <c r="B143" s="660"/>
      <c r="N143" s="9"/>
      <c r="R143" s="9"/>
      <c r="S143" s="705">
        <f>+IF(FEBRERO!S143=0,"",FEBRERO!S143)</f>
        <v>2010399</v>
      </c>
      <c r="T143" s="723" t="str">
        <f>+IF(FEBRERO!T143=0,"",FEBRERO!T143)</f>
        <v>Vigencias Anteriores</v>
      </c>
      <c r="U143" s="29">
        <f>+ENERO!U143</f>
        <v>0</v>
      </c>
      <c r="V143" s="15">
        <f>FEBRERO!V143+MARZO!AL143</f>
        <v>0</v>
      </c>
      <c r="W143" s="15">
        <f>FEBRERO!W143+MARZO!AM143</f>
        <v>0</v>
      </c>
      <c r="X143" s="18">
        <f>SUM(U143:W143)</f>
        <v>0</v>
      </c>
      <c r="Y143" s="19">
        <f>FEBRERO!AA143</f>
        <v>0</v>
      </c>
      <c r="Z143" s="374">
        <v>0</v>
      </c>
      <c r="AA143" s="16">
        <f>SUM(Y143:Z143)</f>
        <v>0</v>
      </c>
      <c r="AB143" s="19">
        <f>FEBRERO!AD143</f>
        <v>0</v>
      </c>
      <c r="AC143" s="374">
        <v>0</v>
      </c>
      <c r="AD143" s="16">
        <f>SUM(AB143:AC143)</f>
        <v>0</v>
      </c>
      <c r="AE143" s="19">
        <f>FEBRERO!AG143</f>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52"/>
      <c r="B144" s="660"/>
      <c r="N144" s="9"/>
      <c r="R144" s="9"/>
      <c r="S144" s="366" t="str">
        <f>+IF(FEBRERO!S144=0,"",FEBRERO!S144)</f>
        <v/>
      </c>
      <c r="T144" s="695" t="str">
        <f>+IF(FEBRERO!T144=0,"",FEBRERO!T144)</f>
        <v/>
      </c>
      <c r="U144" s="367"/>
      <c r="V144" s="161"/>
      <c r="W144" s="161"/>
      <c r="X144" s="161"/>
      <c r="Y144" s="367"/>
      <c r="Z144" s="161"/>
      <c r="AA144" s="166"/>
      <c r="AB144" s="367"/>
      <c r="AC144" s="161"/>
      <c r="AD144" s="166"/>
      <c r="AE144" s="367"/>
      <c r="AF144" s="161"/>
      <c r="AG144" s="166"/>
      <c r="AH144" s="367"/>
      <c r="AI144" s="161"/>
      <c r="AJ144" s="166"/>
      <c r="AK144" s="9"/>
      <c r="AL144" s="172"/>
      <c r="AM144" s="173"/>
      <c r="AN144" s="9"/>
    </row>
    <row r="145" spans="1:40" s="382" customFormat="1" ht="24.95" customHeight="1">
      <c r="A145" s="752"/>
      <c r="B145" s="660"/>
      <c r="N145" s="9"/>
      <c r="R145" s="9"/>
      <c r="S145" s="703">
        <f>+IF(FEBRERO!S145=0,"",FEBRERO!S145)</f>
        <v>2020010</v>
      </c>
      <c r="T145" s="721" t="str">
        <f>+IF(FEBRERO!T145=0,"",FEBRERO!T145)</f>
        <v>Gastos de Operación</v>
      </c>
      <c r="U145" s="128">
        <f t="shared" ref="U145:AJ145" si="148">U147+U155</f>
        <v>2659132662</v>
      </c>
      <c r="V145" s="122">
        <f t="shared" si="148"/>
        <v>-215947579</v>
      </c>
      <c r="W145" s="122">
        <f t="shared" si="148"/>
        <v>150000000</v>
      </c>
      <c r="X145" s="129">
        <f t="shared" si="148"/>
        <v>2593185083</v>
      </c>
      <c r="Y145" s="128">
        <f t="shared" si="148"/>
        <v>831087360</v>
      </c>
      <c r="Z145" s="122">
        <f t="shared" si="148"/>
        <v>317692393</v>
      </c>
      <c r="AA145" s="130">
        <f t="shared" si="148"/>
        <v>1148779753</v>
      </c>
      <c r="AB145" s="128">
        <f t="shared" si="148"/>
        <v>277166198</v>
      </c>
      <c r="AC145" s="122">
        <f t="shared" si="148"/>
        <v>290075688</v>
      </c>
      <c r="AD145" s="130">
        <f t="shared" si="148"/>
        <v>567241886</v>
      </c>
      <c r="AE145" s="128">
        <f t="shared" si="148"/>
        <v>175446305</v>
      </c>
      <c r="AF145" s="122">
        <f t="shared" si="148"/>
        <v>191304991</v>
      </c>
      <c r="AG145" s="130">
        <f t="shared" si="148"/>
        <v>366751296</v>
      </c>
      <c r="AH145" s="128">
        <f t="shared" si="148"/>
        <v>1444405330</v>
      </c>
      <c r="AI145" s="122">
        <f t="shared" si="148"/>
        <v>2025943197</v>
      </c>
      <c r="AJ145" s="130">
        <f t="shared" si="148"/>
        <v>2226433787</v>
      </c>
      <c r="AK145" s="10"/>
      <c r="AL145" s="128">
        <f>AL147+AL155</f>
        <v>45449771</v>
      </c>
      <c r="AM145" s="130">
        <f>AM147+AM155</f>
        <v>100000000</v>
      </c>
      <c r="AN145" s="9"/>
    </row>
    <row r="146" spans="1:40" s="382" customFormat="1" ht="24.95" customHeight="1">
      <c r="A146" s="752"/>
      <c r="B146" s="660"/>
      <c r="N146" s="9"/>
      <c r="R146" s="9"/>
      <c r="S146" s="706" t="str">
        <f>+IF(FEBRERO!S146=0,"",FEBRERO!S146)</f>
        <v/>
      </c>
      <c r="T146" s="724"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82" customFormat="1" ht="24.95" customHeight="1">
      <c r="A147" s="752"/>
      <c r="B147" s="660"/>
      <c r="N147" s="9"/>
      <c r="R147" s="9"/>
      <c r="S147" s="704">
        <f>+IF(FEBRERO!S147=0,"",FEBRERO!S147)</f>
        <v>2020100</v>
      </c>
      <c r="T147" s="722" t="str">
        <f>+IF(FEBRERO!T147=0,"",FEBRERO!T147)</f>
        <v>Adquisición de bienes</v>
      </c>
      <c r="U147" s="128">
        <f t="shared" ref="U147:AJ147" si="149">SUM(U148:U149)+U153</f>
        <v>1878602056</v>
      </c>
      <c r="V147" s="122">
        <f t="shared" si="149"/>
        <v>-196947579</v>
      </c>
      <c r="W147" s="122">
        <f t="shared" si="149"/>
        <v>50000000</v>
      </c>
      <c r="X147" s="129">
        <f t="shared" si="149"/>
        <v>1731654477</v>
      </c>
      <c r="Y147" s="128">
        <f t="shared" si="149"/>
        <v>182923744</v>
      </c>
      <c r="Z147" s="122">
        <f t="shared" si="149"/>
        <v>256121337</v>
      </c>
      <c r="AA147" s="130">
        <f t="shared" si="149"/>
        <v>439045081</v>
      </c>
      <c r="AB147" s="128">
        <f t="shared" si="149"/>
        <v>178086822</v>
      </c>
      <c r="AC147" s="122">
        <f t="shared" si="149"/>
        <v>200121884</v>
      </c>
      <c r="AD147" s="130">
        <f t="shared" si="149"/>
        <v>378208706</v>
      </c>
      <c r="AE147" s="128">
        <f t="shared" si="149"/>
        <v>134303331</v>
      </c>
      <c r="AF147" s="122">
        <f t="shared" si="149"/>
        <v>96708311</v>
      </c>
      <c r="AG147" s="130">
        <f t="shared" si="149"/>
        <v>231011642</v>
      </c>
      <c r="AH147" s="128">
        <f t="shared" si="149"/>
        <v>1292609396</v>
      </c>
      <c r="AI147" s="122">
        <f t="shared" si="149"/>
        <v>1353445771</v>
      </c>
      <c r="AJ147" s="130">
        <f t="shared" si="149"/>
        <v>1500642835</v>
      </c>
      <c r="AK147" s="9"/>
      <c r="AL147" s="128">
        <f>SUM(AL148:AL149)+AL153</f>
        <v>64449771</v>
      </c>
      <c r="AM147" s="130">
        <f>SUM(AM148:AM149)+AM153</f>
        <v>0</v>
      </c>
      <c r="AN147" s="9"/>
    </row>
    <row r="148" spans="1:40" s="382" customFormat="1" ht="24.95" customHeight="1">
      <c r="A148" s="752"/>
      <c r="B148" s="660"/>
      <c r="N148" s="9"/>
      <c r="R148" s="9"/>
      <c r="S148" s="705">
        <f>+IF(FEBRERO!S148=0,"",FEBRERO!S148)</f>
        <v>2020101</v>
      </c>
      <c r="T148" s="723" t="str">
        <f>+IF(FEBRERO!T148=0,"",FEBRERO!T148)</f>
        <v>Mantenimiento Hospitalario</v>
      </c>
      <c r="U148" s="29">
        <f>+ENERO!U148</f>
        <v>780530606</v>
      </c>
      <c r="V148" s="15">
        <f>FEBRERO!V148+MARZO!AL148</f>
        <v>0</v>
      </c>
      <c r="W148" s="15">
        <f>FEBRERO!W148+MARZO!AM148</f>
        <v>0</v>
      </c>
      <c r="X148" s="18">
        <f>SUM(U148:W148)</f>
        <v>780530606</v>
      </c>
      <c r="Y148" s="19">
        <f>FEBRERO!AA148</f>
        <v>3843746</v>
      </c>
      <c r="Z148" s="374">
        <v>36328081</v>
      </c>
      <c r="AA148" s="16">
        <f>SUM(Y148:Z148)</f>
        <v>40171827</v>
      </c>
      <c r="AB148" s="19">
        <f>FEBRERO!AD148</f>
        <v>2998446</v>
      </c>
      <c r="AC148" s="374">
        <v>23104477</v>
      </c>
      <c r="AD148" s="16">
        <f>SUM(AB148:AC148)</f>
        <v>26102923</v>
      </c>
      <c r="AE148" s="19">
        <f>FEBRERO!AG148</f>
        <v>1625546</v>
      </c>
      <c r="AF148" s="374">
        <v>3220184</v>
      </c>
      <c r="AG148" s="16">
        <f>SUM(AE148:AF148)</f>
        <v>4845730</v>
      </c>
      <c r="AH148" s="19">
        <f>X148-AA148</f>
        <v>740358779</v>
      </c>
      <c r="AI148" s="15">
        <f>X148-AD148</f>
        <v>754427683</v>
      </c>
      <c r="AJ148" s="16">
        <f>X148-AG148</f>
        <v>775684876</v>
      </c>
      <c r="AK148" s="9"/>
      <c r="AL148" s="372">
        <v>0</v>
      </c>
      <c r="AM148" s="375">
        <v>0</v>
      </c>
      <c r="AN148" s="9"/>
    </row>
    <row r="149" spans="1:40" s="382" customFormat="1" ht="24.95" customHeight="1">
      <c r="A149" s="752"/>
      <c r="B149" s="660"/>
      <c r="N149" s="9"/>
      <c r="R149" s="9"/>
      <c r="S149" s="705">
        <f>+IF(FEBRERO!S149=0,"",FEBRERO!S149)</f>
        <v>2020102</v>
      </c>
      <c r="T149" s="723" t="str">
        <f>+IF(FEBRERO!T149=0,"",FEBRERO!T149)</f>
        <v>Otros</v>
      </c>
      <c r="U149" s="29">
        <f t="shared" ref="U149:AJ149" si="150">SUM(U150:U152)</f>
        <v>1098071450</v>
      </c>
      <c r="V149" s="15">
        <f t="shared" si="150"/>
        <v>-364218476</v>
      </c>
      <c r="W149" s="15">
        <f t="shared" si="150"/>
        <v>0</v>
      </c>
      <c r="X149" s="18">
        <f t="shared" si="150"/>
        <v>733852974</v>
      </c>
      <c r="Y149" s="19">
        <f t="shared" si="150"/>
        <v>46728726</v>
      </c>
      <c r="Z149" s="142">
        <f t="shared" si="150"/>
        <v>147723068</v>
      </c>
      <c r="AA149" s="16">
        <f t="shared" si="150"/>
        <v>194451794</v>
      </c>
      <c r="AB149" s="19">
        <f t="shared" si="150"/>
        <v>42737104</v>
      </c>
      <c r="AC149" s="142">
        <f t="shared" si="150"/>
        <v>104947219</v>
      </c>
      <c r="AD149" s="16">
        <f t="shared" si="150"/>
        <v>147684323</v>
      </c>
      <c r="AE149" s="19">
        <f t="shared" si="150"/>
        <v>326513</v>
      </c>
      <c r="AF149" s="142">
        <f t="shared" si="150"/>
        <v>21417939</v>
      </c>
      <c r="AG149" s="16">
        <f t="shared" si="150"/>
        <v>21744452</v>
      </c>
      <c r="AH149" s="19">
        <f t="shared" si="150"/>
        <v>539401180</v>
      </c>
      <c r="AI149" s="15">
        <f t="shared" si="150"/>
        <v>586168651</v>
      </c>
      <c r="AJ149" s="16">
        <f t="shared" si="150"/>
        <v>712108522</v>
      </c>
      <c r="AK149" s="9"/>
      <c r="AL149" s="29">
        <f>SUM(AL150:AL152)</f>
        <v>-20469854</v>
      </c>
      <c r="AM149" s="26">
        <f>SUM(AM150:AM152)</f>
        <v>0</v>
      </c>
      <c r="AN149" s="9"/>
    </row>
    <row r="150" spans="1:40" s="382" customFormat="1" ht="24.95" customHeight="1">
      <c r="A150" s="752"/>
      <c r="B150" s="660"/>
      <c r="N150" s="9"/>
      <c r="R150" s="9"/>
      <c r="S150" s="706" t="str">
        <f>+IF(FEBRERO!S150=0,"",FEBRERO!S150)</f>
        <v>2020102-1</v>
      </c>
      <c r="T150" s="723" t="str">
        <f>+IF(FEBRERO!T150=0,"",FEBRERO!T150)</f>
        <v>Compra de Equipo e Instr. Mco. y Laborat.</v>
      </c>
      <c r="U150" s="29">
        <f>+ENERO!U150</f>
        <v>514625084</v>
      </c>
      <c r="V150" s="15">
        <f>FEBRERO!V150+MARZO!AL150</f>
        <v>-339050000</v>
      </c>
      <c r="W150" s="15">
        <f>FEBRERO!W150+MARZO!AM150</f>
        <v>0</v>
      </c>
      <c r="X150" s="18">
        <f>SUM(U150:W150)</f>
        <v>175575084</v>
      </c>
      <c r="Y150" s="19">
        <f>FEBRERO!AA150</f>
        <v>8705928</v>
      </c>
      <c r="Z150" s="374">
        <v>1417121</v>
      </c>
      <c r="AA150" s="16">
        <f>SUM(Y150:Z150)</f>
        <v>10123049</v>
      </c>
      <c r="AB150" s="19">
        <f>FEBRERO!AD150</f>
        <v>6011407</v>
      </c>
      <c r="AC150" s="374">
        <v>0</v>
      </c>
      <c r="AD150" s="16">
        <f>SUM(AB150:AC150)</f>
        <v>6011407</v>
      </c>
      <c r="AE150" s="19">
        <f>FEBRERO!AG150</f>
        <v>0</v>
      </c>
      <c r="AF150" s="374">
        <v>0</v>
      </c>
      <c r="AG150" s="16">
        <f>SUM(AE150:AF150)</f>
        <v>0</v>
      </c>
      <c r="AH150" s="19">
        <f>X150-AA150</f>
        <v>165452035</v>
      </c>
      <c r="AI150" s="15">
        <f>X150-AD150</f>
        <v>169563677</v>
      </c>
      <c r="AJ150" s="16">
        <f>X150-AG150</f>
        <v>175575084</v>
      </c>
      <c r="AK150" s="9"/>
      <c r="AL150" s="372">
        <v>0</v>
      </c>
      <c r="AM150" s="375">
        <v>0</v>
      </c>
      <c r="AN150" s="9"/>
    </row>
    <row r="151" spans="1:40" s="382" customFormat="1" ht="24.95" customHeight="1">
      <c r="A151" s="752"/>
      <c r="B151" s="660"/>
      <c r="N151" s="9"/>
      <c r="R151" s="9"/>
      <c r="S151" s="706" t="str">
        <f>+IF(FEBRERO!S151=0,"",FEBRERO!S151)</f>
        <v>2020102-2</v>
      </c>
      <c r="T151" s="723" t="str">
        <f>+IF(FEBRERO!T151=0,"",FEBRERO!T151)</f>
        <v>Materiales</v>
      </c>
      <c r="U151" s="29">
        <f>+ENERO!U151</f>
        <v>583446366</v>
      </c>
      <c r="V151" s="15">
        <f>FEBRERO!V151+MARZO!AL151</f>
        <v>-25168476</v>
      </c>
      <c r="W151" s="15">
        <f>FEBRERO!W151+MARZO!AM151</f>
        <v>0</v>
      </c>
      <c r="X151" s="18">
        <f>SUM(U151:W151)</f>
        <v>558277890</v>
      </c>
      <c r="Y151" s="19">
        <f>FEBRERO!AA151</f>
        <v>38022798</v>
      </c>
      <c r="Z151" s="374">
        <v>146305947</v>
      </c>
      <c r="AA151" s="16">
        <f>SUM(Y151:Z151)</f>
        <v>184328745</v>
      </c>
      <c r="AB151" s="19">
        <f>FEBRERO!AD151</f>
        <v>36725697</v>
      </c>
      <c r="AC151" s="374">
        <v>104947219</v>
      </c>
      <c r="AD151" s="16">
        <f>SUM(AB151:AC151)</f>
        <v>141672916</v>
      </c>
      <c r="AE151" s="19">
        <f>FEBRERO!AG151</f>
        <v>326513</v>
      </c>
      <c r="AF151" s="374">
        <v>21417939</v>
      </c>
      <c r="AG151" s="16">
        <f>SUM(AE151:AF151)</f>
        <v>21744452</v>
      </c>
      <c r="AH151" s="19">
        <f>X151-AA151</f>
        <v>373949145</v>
      </c>
      <c r="AI151" s="15">
        <f>X151-AD151</f>
        <v>416604974</v>
      </c>
      <c r="AJ151" s="16">
        <f>X151-AG151</f>
        <v>536533438</v>
      </c>
      <c r="AK151" s="9"/>
      <c r="AL151" s="372">
        <f>-17136854-3333000</f>
        <v>-20469854</v>
      </c>
      <c r="AM151" s="375">
        <v>0</v>
      </c>
      <c r="AN151" s="9"/>
    </row>
    <row r="152" spans="1:40" s="382" customFormat="1" ht="24.95" customHeight="1">
      <c r="A152" s="752"/>
      <c r="B152" s="660"/>
      <c r="N152" s="9"/>
      <c r="R152" s="9"/>
      <c r="S152" s="706" t="str">
        <f>+IF(FEBRERO!S152=0,"",FEBRERO!S152)</f>
        <v>2020102-3</v>
      </c>
      <c r="T152" s="723" t="str">
        <f>+IF(FEBRERO!T152=0,"",FEBRERO!T152)</f>
        <v/>
      </c>
      <c r="U152" s="29">
        <f>+ENERO!U152</f>
        <v>0</v>
      </c>
      <c r="V152" s="15">
        <f>FEBRERO!V152+MARZO!AL152</f>
        <v>0</v>
      </c>
      <c r="W152" s="15">
        <f>FEBRERO!W152+MARZO!AM152</f>
        <v>0</v>
      </c>
      <c r="X152" s="18">
        <f>SUM(U152:W152)</f>
        <v>0</v>
      </c>
      <c r="Y152" s="19">
        <f>FEBRERO!AA152</f>
        <v>0</v>
      </c>
      <c r="Z152" s="374">
        <v>0</v>
      </c>
      <c r="AA152" s="16">
        <f>SUM(Y152:Z152)</f>
        <v>0</v>
      </c>
      <c r="AB152" s="19">
        <f>FEBRERO!AD152</f>
        <v>0</v>
      </c>
      <c r="AC152" s="374">
        <v>0</v>
      </c>
      <c r="AD152" s="16">
        <f>SUM(AB152:AC152)</f>
        <v>0</v>
      </c>
      <c r="AE152" s="19">
        <f>FEBRERO!AG152</f>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c r="A153" s="752"/>
      <c r="B153" s="660"/>
      <c r="N153" s="9"/>
      <c r="R153" s="9"/>
      <c r="S153" s="705">
        <f>+IF(FEBRERO!S153=0,"",FEBRERO!S153)</f>
        <v>2020199</v>
      </c>
      <c r="T153" s="723" t="str">
        <f>+IF(FEBRERO!T153=0,"",FEBRERO!T153)</f>
        <v>Vigencias Anteriores</v>
      </c>
      <c r="U153" s="29">
        <f>+ENERO!U153</f>
        <v>0</v>
      </c>
      <c r="V153" s="15">
        <f>FEBRERO!V153+MARZO!AL153</f>
        <v>167270897</v>
      </c>
      <c r="W153" s="15">
        <f>FEBRERO!W153+MARZO!AM153</f>
        <v>50000000</v>
      </c>
      <c r="X153" s="18">
        <f>SUM(U153:W153)</f>
        <v>217270897</v>
      </c>
      <c r="Y153" s="19">
        <f>FEBRERO!AA153</f>
        <v>132351272</v>
      </c>
      <c r="Z153" s="374">
        <v>72070188</v>
      </c>
      <c r="AA153" s="16">
        <f>SUM(Y153:Z153)</f>
        <v>204421460</v>
      </c>
      <c r="AB153" s="19">
        <f>FEBRERO!AD153</f>
        <v>132351272</v>
      </c>
      <c r="AC153" s="374">
        <v>72070188</v>
      </c>
      <c r="AD153" s="16">
        <f>SUM(AB153:AC153)</f>
        <v>204421460</v>
      </c>
      <c r="AE153" s="19">
        <f>FEBRERO!AG153</f>
        <v>132351272</v>
      </c>
      <c r="AF153" s="374">
        <v>72070188</v>
      </c>
      <c r="AG153" s="815">
        <f>SUM(AE153:AF153)</f>
        <v>204421460</v>
      </c>
      <c r="AH153" s="19">
        <f>X153-AA153</f>
        <v>12849437</v>
      </c>
      <c r="AI153" s="15">
        <f>X153-AD153</f>
        <v>12849437</v>
      </c>
      <c r="AJ153" s="16">
        <f>X153-AG153</f>
        <v>12849437</v>
      </c>
      <c r="AK153" s="9"/>
      <c r="AL153" s="372">
        <f>50000000+16000000+9000000+7000000-413375+3333000</f>
        <v>84919625</v>
      </c>
      <c r="AM153" s="375">
        <v>0</v>
      </c>
      <c r="AN153" s="9"/>
    </row>
    <row r="154" spans="1:40" s="382" customFormat="1" ht="24.95" customHeight="1">
      <c r="A154" s="752"/>
      <c r="B154" s="660"/>
      <c r="N154" s="9"/>
      <c r="R154" s="9"/>
      <c r="S154" s="366" t="str">
        <f>+IF(FEBRERO!S154=0,"",FEBRERO!S154)</f>
        <v/>
      </c>
      <c r="T154" s="695" t="str">
        <f>+IF(FEBRERO!T154=0,"",FEBRERO!T154)</f>
        <v/>
      </c>
      <c r="U154" s="367"/>
      <c r="V154" s="161"/>
      <c r="W154" s="161"/>
      <c r="X154" s="161"/>
      <c r="Y154" s="367"/>
      <c r="Z154" s="161"/>
      <c r="AA154" s="166"/>
      <c r="AB154" s="367"/>
      <c r="AC154" s="161"/>
      <c r="AD154" s="166"/>
      <c r="AE154" s="367"/>
      <c r="AF154" s="161"/>
      <c r="AG154" s="166"/>
      <c r="AH154" s="367"/>
      <c r="AI154" s="161"/>
      <c r="AJ154" s="166"/>
      <c r="AK154" s="9"/>
      <c r="AL154" s="172"/>
      <c r="AM154" s="173"/>
      <c r="AN154" s="9"/>
    </row>
    <row r="155" spans="1:40" s="382" customFormat="1" ht="24.95" customHeight="1">
      <c r="A155" s="752"/>
      <c r="B155" s="660"/>
      <c r="N155" s="9"/>
      <c r="R155" s="9"/>
      <c r="S155" s="704">
        <f>+IF(FEBRERO!S155=0,"",FEBRERO!S155)</f>
        <v>2020200</v>
      </c>
      <c r="T155" s="722" t="str">
        <f>+IF(FEBRERO!T155=0,"",FEBRERO!T155)</f>
        <v>Adquisición de Servicios</v>
      </c>
      <c r="U155" s="128">
        <f t="shared" ref="U155:AJ155" si="151">SUM(U156:U157)+U168</f>
        <v>780530606</v>
      </c>
      <c r="V155" s="122">
        <f t="shared" si="151"/>
        <v>-19000000</v>
      </c>
      <c r="W155" s="122">
        <f t="shared" si="151"/>
        <v>100000000</v>
      </c>
      <c r="X155" s="129">
        <f t="shared" si="151"/>
        <v>861530606</v>
      </c>
      <c r="Y155" s="128">
        <f t="shared" si="151"/>
        <v>648163616</v>
      </c>
      <c r="Z155" s="122">
        <f t="shared" si="151"/>
        <v>61571056</v>
      </c>
      <c r="AA155" s="130">
        <f t="shared" si="151"/>
        <v>709734672</v>
      </c>
      <c r="AB155" s="128">
        <f t="shared" si="151"/>
        <v>99079376</v>
      </c>
      <c r="AC155" s="122">
        <f t="shared" si="151"/>
        <v>89953804</v>
      </c>
      <c r="AD155" s="130">
        <f t="shared" si="151"/>
        <v>189033180</v>
      </c>
      <c r="AE155" s="128">
        <f t="shared" si="151"/>
        <v>41142974</v>
      </c>
      <c r="AF155" s="122">
        <f t="shared" si="151"/>
        <v>94596680</v>
      </c>
      <c r="AG155" s="130">
        <f t="shared" si="151"/>
        <v>135739654</v>
      </c>
      <c r="AH155" s="128">
        <f t="shared" si="151"/>
        <v>151795934</v>
      </c>
      <c r="AI155" s="122">
        <f t="shared" si="151"/>
        <v>672497426</v>
      </c>
      <c r="AJ155" s="130">
        <f t="shared" si="151"/>
        <v>725790952</v>
      </c>
      <c r="AK155" s="9"/>
      <c r="AL155" s="128">
        <f>SUM(AL156:AL157)+AL168</f>
        <v>-19000000</v>
      </c>
      <c r="AM155" s="130">
        <f>SUM(AM156:AM157)+AM168</f>
        <v>100000000</v>
      </c>
      <c r="AN155" s="9"/>
    </row>
    <row r="156" spans="1:40" s="382" customFormat="1" ht="24.95" customHeight="1">
      <c r="A156" s="752"/>
      <c r="B156" s="660"/>
      <c r="N156" s="9"/>
      <c r="P156" s="9"/>
      <c r="Q156" s="9"/>
      <c r="R156" s="9"/>
      <c r="S156" s="705">
        <f>+IF(FEBRERO!S156=0,"",FEBRERO!S156)</f>
        <v>2020201</v>
      </c>
      <c r="T156" s="723" t="str">
        <f>+IF(FEBRERO!T156=0,"",FEBRERO!T156)</f>
        <v>Mantenimiento Hospitalario</v>
      </c>
      <c r="U156" s="29">
        <f>+ENERO!U156</f>
        <v>780530606</v>
      </c>
      <c r="V156" s="15">
        <f>FEBRERO!V156+MARZO!AL156</f>
        <v>0</v>
      </c>
      <c r="W156" s="15">
        <f>FEBRERO!W156+MARZO!AM156</f>
        <v>0</v>
      </c>
      <c r="X156" s="18">
        <f>SUM(U156:W156)</f>
        <v>780530606</v>
      </c>
      <c r="Y156" s="19">
        <f>FEBRERO!AA156</f>
        <v>624634606</v>
      </c>
      <c r="Z156" s="374">
        <v>4100066</v>
      </c>
      <c r="AA156" s="16">
        <f>SUM(Y156:Z156)</f>
        <v>628734672</v>
      </c>
      <c r="AB156" s="19">
        <f>FEBRERO!AD156</f>
        <v>75550366</v>
      </c>
      <c r="AC156" s="374">
        <v>32482814</v>
      </c>
      <c r="AD156" s="16">
        <f>SUM(AB156:AC156)</f>
        <v>108033180</v>
      </c>
      <c r="AE156" s="19">
        <f>FEBRERO!AG156</f>
        <v>17613964</v>
      </c>
      <c r="AF156" s="374">
        <v>37125690</v>
      </c>
      <c r="AG156" s="16">
        <f>SUM(AE156:AF156)</f>
        <v>54739654</v>
      </c>
      <c r="AH156" s="19">
        <f>X156-AA156</f>
        <v>151795934</v>
      </c>
      <c r="AI156" s="15">
        <f>X156-AD156</f>
        <v>672497426</v>
      </c>
      <c r="AJ156" s="16">
        <f>X156-AG156</f>
        <v>725790952</v>
      </c>
      <c r="AK156" s="9"/>
      <c r="AL156" s="372">
        <v>24000000</v>
      </c>
      <c r="AM156" s="375">
        <v>0</v>
      </c>
      <c r="AN156" s="9"/>
    </row>
    <row r="157" spans="1:40" s="382" customFormat="1" ht="24.95" customHeight="1">
      <c r="A157" s="752"/>
      <c r="B157" s="660"/>
      <c r="N157" s="9"/>
      <c r="P157" s="9"/>
      <c r="Q157" s="9"/>
      <c r="R157" s="9"/>
      <c r="S157" s="705">
        <f>+IF(FEBRERO!S157=0,"",FEBRERO!S157)</f>
        <v>2020202</v>
      </c>
      <c r="T157" s="723" t="str">
        <f>+IF(FEBRERO!T157=0,"",FEBRERO!T157)</f>
        <v>Otros</v>
      </c>
      <c r="U157" s="29">
        <f t="shared" ref="U157:AJ157" si="152">SUM(U158:U167)</f>
        <v>0</v>
      </c>
      <c r="V157" s="27">
        <f t="shared" si="152"/>
        <v>0</v>
      </c>
      <c r="W157" s="27">
        <f t="shared" si="152"/>
        <v>0</v>
      </c>
      <c r="X157" s="188">
        <f t="shared" si="152"/>
        <v>0</v>
      </c>
      <c r="Y157" s="29">
        <f t="shared" si="152"/>
        <v>0</v>
      </c>
      <c r="Z157" s="27">
        <f t="shared" si="152"/>
        <v>0</v>
      </c>
      <c r="AA157" s="171">
        <f t="shared" si="152"/>
        <v>0</v>
      </c>
      <c r="AB157" s="29">
        <f t="shared" si="152"/>
        <v>0</v>
      </c>
      <c r="AC157" s="27">
        <f t="shared" si="152"/>
        <v>0</v>
      </c>
      <c r="AD157" s="171">
        <f t="shared" si="152"/>
        <v>0</v>
      </c>
      <c r="AE157" s="29">
        <f t="shared" si="152"/>
        <v>0</v>
      </c>
      <c r="AF157" s="27">
        <f t="shared" si="152"/>
        <v>0</v>
      </c>
      <c r="AG157" s="171">
        <f t="shared" si="152"/>
        <v>0</v>
      </c>
      <c r="AH157" s="29">
        <f t="shared" si="152"/>
        <v>0</v>
      </c>
      <c r="AI157" s="27">
        <f t="shared" si="152"/>
        <v>0</v>
      </c>
      <c r="AJ157" s="171">
        <f t="shared" si="152"/>
        <v>0</v>
      </c>
      <c r="AK157" s="10"/>
      <c r="AL157" s="29">
        <f>SUM(AL158:AL167)</f>
        <v>0</v>
      </c>
      <c r="AM157" s="26">
        <f>SUM(AM158:AM167)</f>
        <v>0</v>
      </c>
      <c r="AN157" s="9"/>
    </row>
    <row r="158" spans="1:40" s="382" customFormat="1" ht="24.95" customHeight="1">
      <c r="A158" s="752"/>
      <c r="B158" s="660"/>
      <c r="N158" s="9"/>
      <c r="P158" s="9"/>
      <c r="Q158" s="9"/>
      <c r="R158" s="9"/>
      <c r="S158" s="706" t="str">
        <f>+IF(FEBRERO!S158=0,"",FEBRERO!S158)</f>
        <v>2020202-1</v>
      </c>
      <c r="T158" s="724" t="str">
        <f>+IF(FEBRERO!T158=0,"",FEBRERO!T158)</f>
        <v>Seguros</v>
      </c>
      <c r="U158" s="29">
        <f>+ENERO!U158</f>
        <v>0</v>
      </c>
      <c r="V158" s="15">
        <f>FEBRERO!V158+MARZO!AL158</f>
        <v>0</v>
      </c>
      <c r="W158" s="15">
        <f>FEBRERO!W158+MARZO!AM158</f>
        <v>0</v>
      </c>
      <c r="X158" s="18">
        <f t="shared" ref="X158:X168" si="153">SUM(U158:W158)</f>
        <v>0</v>
      </c>
      <c r="Y158" s="19">
        <f>FEBRERO!AA158</f>
        <v>0</v>
      </c>
      <c r="Z158" s="374">
        <v>0</v>
      </c>
      <c r="AA158" s="16">
        <f t="shared" ref="AA158:AA168" si="154">SUM(Y158:Z158)</f>
        <v>0</v>
      </c>
      <c r="AB158" s="19">
        <f>FEBRERO!AD158</f>
        <v>0</v>
      </c>
      <c r="AC158" s="374">
        <v>0</v>
      </c>
      <c r="AD158" s="16">
        <f t="shared" ref="AD158:AD168" si="155">SUM(AB158:AC158)</f>
        <v>0</v>
      </c>
      <c r="AE158" s="19">
        <f>FEBRERO!AG158</f>
        <v>0</v>
      </c>
      <c r="AF158" s="374">
        <v>0</v>
      </c>
      <c r="AG158" s="16">
        <f t="shared" ref="AG158:AG168" si="156">SUM(AE158:AF158)</f>
        <v>0</v>
      </c>
      <c r="AH158" s="19">
        <f t="shared" ref="AH158:AH168" si="157">X158-AA158</f>
        <v>0</v>
      </c>
      <c r="AI158" s="15">
        <f t="shared" ref="AI158:AI168" si="158">X158-AD158</f>
        <v>0</v>
      </c>
      <c r="AJ158" s="16">
        <f t="shared" ref="AJ158:AJ168" si="159">X158-AG158</f>
        <v>0</v>
      </c>
      <c r="AK158" s="9"/>
      <c r="AL158" s="372">
        <v>0</v>
      </c>
      <c r="AM158" s="375">
        <v>0</v>
      </c>
      <c r="AN158" s="9"/>
    </row>
    <row r="159" spans="1:40" s="382" customFormat="1" ht="24.95" customHeight="1">
      <c r="A159" s="752"/>
      <c r="B159" s="660"/>
      <c r="N159" s="9"/>
      <c r="P159" s="9"/>
      <c r="Q159" s="9"/>
      <c r="R159" s="9"/>
      <c r="S159" s="706" t="str">
        <f>+IF(FEBRERO!S159=0,"",FEBRERO!S159)</f>
        <v>2020202-2</v>
      </c>
      <c r="T159" s="724" t="str">
        <f>+IF(FEBRERO!T159=0,"",FEBRERO!T159)</f>
        <v>Impresos y Publicaciones</v>
      </c>
      <c r="U159" s="29">
        <f>+ENERO!U159</f>
        <v>0</v>
      </c>
      <c r="V159" s="15">
        <f>FEBRERO!V159+MARZO!AL159</f>
        <v>0</v>
      </c>
      <c r="W159" s="15">
        <f>FEBRERO!W159+MARZO!AM159</f>
        <v>0</v>
      </c>
      <c r="X159" s="18">
        <f t="shared" si="153"/>
        <v>0</v>
      </c>
      <c r="Y159" s="19">
        <f>FEBRERO!AA159</f>
        <v>0</v>
      </c>
      <c r="Z159" s="374">
        <v>0</v>
      </c>
      <c r="AA159" s="16">
        <f t="shared" si="154"/>
        <v>0</v>
      </c>
      <c r="AB159" s="19">
        <f>FEBRERO!AD159</f>
        <v>0</v>
      </c>
      <c r="AC159" s="374">
        <v>0</v>
      </c>
      <c r="AD159" s="16">
        <f t="shared" si="155"/>
        <v>0</v>
      </c>
      <c r="AE159" s="19">
        <f>FEBRERO!AG159</f>
        <v>0</v>
      </c>
      <c r="AF159" s="374">
        <v>0</v>
      </c>
      <c r="AG159" s="16">
        <f t="shared" si="156"/>
        <v>0</v>
      </c>
      <c r="AH159" s="19">
        <f t="shared" si="157"/>
        <v>0</v>
      </c>
      <c r="AI159" s="15">
        <f t="shared" si="158"/>
        <v>0</v>
      </c>
      <c r="AJ159" s="16">
        <f t="shared" si="159"/>
        <v>0</v>
      </c>
      <c r="AK159" s="9"/>
      <c r="AL159" s="372">
        <v>0</v>
      </c>
      <c r="AM159" s="375">
        <v>0</v>
      </c>
      <c r="AN159" s="9"/>
    </row>
    <row r="160" spans="1:40" s="382" customFormat="1" ht="24.95" customHeight="1">
      <c r="A160" s="752"/>
      <c r="B160" s="660"/>
      <c r="N160" s="9"/>
      <c r="P160" s="9"/>
      <c r="Q160" s="9"/>
      <c r="R160" s="9"/>
      <c r="S160" s="706" t="str">
        <f>+IF(FEBRERO!S160=0,"",FEBRERO!S160)</f>
        <v>2020202-3</v>
      </c>
      <c r="T160" s="724" t="str">
        <f>+IF(FEBRERO!T160=0,"",FEBRERO!T160)</f>
        <v>Pago a otras IPS</v>
      </c>
      <c r="U160" s="29">
        <f>+ENERO!U160</f>
        <v>0</v>
      </c>
      <c r="V160" s="15">
        <f>FEBRERO!V160+MARZO!AL160</f>
        <v>0</v>
      </c>
      <c r="W160" s="15">
        <f>FEBRERO!W160+MARZO!AM160</f>
        <v>0</v>
      </c>
      <c r="X160" s="18">
        <f t="shared" si="153"/>
        <v>0</v>
      </c>
      <c r="Y160" s="19">
        <f>FEBRERO!AA160</f>
        <v>0</v>
      </c>
      <c r="Z160" s="374">
        <v>0</v>
      </c>
      <c r="AA160" s="16">
        <f t="shared" si="154"/>
        <v>0</v>
      </c>
      <c r="AB160" s="19">
        <f>FEBRERO!AD160</f>
        <v>0</v>
      </c>
      <c r="AC160" s="374">
        <v>0</v>
      </c>
      <c r="AD160" s="16">
        <f t="shared" si="155"/>
        <v>0</v>
      </c>
      <c r="AE160" s="19">
        <f>FEBRERO!AG160</f>
        <v>0</v>
      </c>
      <c r="AF160" s="374">
        <v>0</v>
      </c>
      <c r="AG160" s="16">
        <f t="shared" si="156"/>
        <v>0</v>
      </c>
      <c r="AH160" s="19">
        <f t="shared" si="157"/>
        <v>0</v>
      </c>
      <c r="AI160" s="15">
        <f t="shared" si="158"/>
        <v>0</v>
      </c>
      <c r="AJ160" s="16">
        <f t="shared" si="159"/>
        <v>0</v>
      </c>
      <c r="AK160" s="9"/>
      <c r="AL160" s="372">
        <v>0</v>
      </c>
      <c r="AM160" s="375">
        <v>0</v>
      </c>
      <c r="AN160" s="9"/>
    </row>
    <row r="161" spans="1:40" s="382" customFormat="1" ht="24.95" customHeight="1">
      <c r="A161" s="752"/>
      <c r="B161" s="660"/>
      <c r="N161" s="9"/>
      <c r="P161" s="9"/>
      <c r="Q161" s="9"/>
      <c r="R161" s="9"/>
      <c r="S161" s="706" t="str">
        <f>+IF(FEBRERO!S161=0,"",FEBRERO!S161)</f>
        <v>2020202-4</v>
      </c>
      <c r="T161" s="724" t="str">
        <f>+IF(FEBRERO!T161=0,"",FEBRERO!T161)</f>
        <v>Comunicaciones y Transportes</v>
      </c>
      <c r="U161" s="29">
        <f>+ENERO!U161</f>
        <v>0</v>
      </c>
      <c r="V161" s="15">
        <f>FEBRERO!V161+MARZO!AL161</f>
        <v>0</v>
      </c>
      <c r="W161" s="15">
        <f>FEBRERO!W161+MARZO!AM161</f>
        <v>0</v>
      </c>
      <c r="X161" s="18">
        <f t="shared" si="153"/>
        <v>0</v>
      </c>
      <c r="Y161" s="19">
        <f>FEBRERO!AA161</f>
        <v>0</v>
      </c>
      <c r="Z161" s="374">
        <v>0</v>
      </c>
      <c r="AA161" s="16">
        <f t="shared" si="154"/>
        <v>0</v>
      </c>
      <c r="AB161" s="19">
        <f>FEBRERO!AD161</f>
        <v>0</v>
      </c>
      <c r="AC161" s="374">
        <v>0</v>
      </c>
      <c r="AD161" s="16">
        <f t="shared" si="155"/>
        <v>0</v>
      </c>
      <c r="AE161" s="19">
        <f>FEBRERO!AG161</f>
        <v>0</v>
      </c>
      <c r="AF161" s="374">
        <v>0</v>
      </c>
      <c r="AG161" s="16">
        <f t="shared" si="156"/>
        <v>0</v>
      </c>
      <c r="AH161" s="19">
        <f t="shared" si="157"/>
        <v>0</v>
      </c>
      <c r="AI161" s="15">
        <f t="shared" si="158"/>
        <v>0</v>
      </c>
      <c r="AJ161" s="16">
        <f t="shared" si="159"/>
        <v>0</v>
      </c>
      <c r="AK161" s="9"/>
      <c r="AL161" s="372">
        <v>0</v>
      </c>
      <c r="AM161" s="375">
        <v>0</v>
      </c>
      <c r="AN161" s="9"/>
    </row>
    <row r="162" spans="1:40" s="382" customFormat="1" ht="24.95" customHeight="1">
      <c r="A162" s="752"/>
      <c r="B162" s="660"/>
      <c r="N162" s="9"/>
      <c r="P162" s="9"/>
      <c r="Q162" s="9"/>
      <c r="R162" s="9"/>
      <c r="S162" s="706" t="str">
        <f>+IF(FEBRERO!S162=0,"",FEBRERO!S162)</f>
        <v>2020202-5</v>
      </c>
      <c r="T162" s="724" t="str">
        <f>+IF(FEBRERO!T162=0,"",FEBRERO!T162)</f>
        <v>Viáticos y Gastos de Viaje</v>
      </c>
      <c r="U162" s="29">
        <f>+ENERO!U162</f>
        <v>0</v>
      </c>
      <c r="V162" s="15">
        <f>FEBRERO!V162+MARZO!AL162</f>
        <v>0</v>
      </c>
      <c r="W162" s="15">
        <f>FEBRERO!W162+MARZO!AM162</f>
        <v>0</v>
      </c>
      <c r="X162" s="18">
        <f t="shared" si="153"/>
        <v>0</v>
      </c>
      <c r="Y162" s="19">
        <f>FEBRERO!AA162</f>
        <v>0</v>
      </c>
      <c r="Z162" s="374">
        <v>0</v>
      </c>
      <c r="AA162" s="16">
        <f t="shared" si="154"/>
        <v>0</v>
      </c>
      <c r="AB162" s="19">
        <f>FEBRERO!AD162</f>
        <v>0</v>
      </c>
      <c r="AC162" s="374">
        <v>0</v>
      </c>
      <c r="AD162" s="16">
        <f t="shared" si="155"/>
        <v>0</v>
      </c>
      <c r="AE162" s="19">
        <f>FEBRERO!AG162</f>
        <v>0</v>
      </c>
      <c r="AF162" s="374">
        <v>0</v>
      </c>
      <c r="AG162" s="16">
        <f t="shared" si="156"/>
        <v>0</v>
      </c>
      <c r="AH162" s="19">
        <f t="shared" si="157"/>
        <v>0</v>
      </c>
      <c r="AI162" s="15">
        <f t="shared" si="158"/>
        <v>0</v>
      </c>
      <c r="AJ162" s="16">
        <f t="shared" si="159"/>
        <v>0</v>
      </c>
      <c r="AK162" s="9"/>
      <c r="AL162" s="372">
        <v>0</v>
      </c>
      <c r="AM162" s="375">
        <v>0</v>
      </c>
      <c r="AN162" s="9"/>
    </row>
    <row r="163" spans="1:40" s="382" customFormat="1" ht="24.95" customHeight="1">
      <c r="A163" s="752"/>
      <c r="B163" s="660"/>
      <c r="N163" s="9"/>
      <c r="P163" s="9"/>
      <c r="Q163" s="9"/>
      <c r="R163" s="9"/>
      <c r="S163" s="706" t="str">
        <f>+IF(FEBRERO!S163=0,"",FEBRERO!S163)</f>
        <v>2020202-6</v>
      </c>
      <c r="T163" s="724" t="str">
        <f>+IF(FEBRERO!T163=0,"",FEBRERO!T163)</f>
        <v>Plan Integral de Manejo de Residuos Sólidos Hospitalarios</v>
      </c>
      <c r="U163" s="29">
        <f>+ENERO!U163</f>
        <v>0</v>
      </c>
      <c r="V163" s="15">
        <f>FEBRERO!V163+MARZO!AL163</f>
        <v>0</v>
      </c>
      <c r="W163" s="15">
        <f>FEBRERO!W163+MARZO!AM163</f>
        <v>0</v>
      </c>
      <c r="X163" s="18">
        <f t="shared" si="153"/>
        <v>0</v>
      </c>
      <c r="Y163" s="19">
        <f>FEBRERO!AA163</f>
        <v>0</v>
      </c>
      <c r="Z163" s="374">
        <v>0</v>
      </c>
      <c r="AA163" s="16">
        <f t="shared" si="154"/>
        <v>0</v>
      </c>
      <c r="AB163" s="19">
        <f>FEBRERO!AD163</f>
        <v>0</v>
      </c>
      <c r="AC163" s="374">
        <v>0</v>
      </c>
      <c r="AD163" s="16">
        <f t="shared" si="155"/>
        <v>0</v>
      </c>
      <c r="AE163" s="19">
        <f>FEBRERO!AG163</f>
        <v>0</v>
      </c>
      <c r="AF163" s="374">
        <v>0</v>
      </c>
      <c r="AG163" s="16">
        <f t="shared" si="156"/>
        <v>0</v>
      </c>
      <c r="AH163" s="19">
        <f t="shared" si="157"/>
        <v>0</v>
      </c>
      <c r="AI163" s="15">
        <f t="shared" si="158"/>
        <v>0</v>
      </c>
      <c r="AJ163" s="16">
        <f t="shared" si="159"/>
        <v>0</v>
      </c>
      <c r="AK163" s="9"/>
      <c r="AL163" s="372">
        <v>0</v>
      </c>
      <c r="AM163" s="375">
        <v>0</v>
      </c>
      <c r="AN163" s="9"/>
    </row>
    <row r="164" spans="1:40" s="382" customFormat="1" ht="24.95" customHeight="1">
      <c r="A164" s="752"/>
      <c r="B164" s="660"/>
      <c r="N164" s="9"/>
      <c r="P164" s="9"/>
      <c r="Q164" s="9"/>
      <c r="R164" s="9"/>
      <c r="S164" s="706" t="str">
        <f>+IF(FEBRERO!S164=0,"",FEBRERO!S164)</f>
        <v>2020202-7</v>
      </c>
      <c r="T164" s="724" t="str">
        <f>+IF(FEBRERO!T164=0,"",FEBRERO!T164)</f>
        <v>Servicios de Laboratorio contratados con terceros</v>
      </c>
      <c r="U164" s="29">
        <f>+ENERO!U164</f>
        <v>0</v>
      </c>
      <c r="V164" s="15">
        <f>FEBRERO!V164+MARZO!AL164</f>
        <v>0</v>
      </c>
      <c r="W164" s="15">
        <f>FEBRERO!W164+MARZO!AM164</f>
        <v>0</v>
      </c>
      <c r="X164" s="18">
        <f t="shared" si="153"/>
        <v>0</v>
      </c>
      <c r="Y164" s="19">
        <f>FEBRERO!AA164</f>
        <v>0</v>
      </c>
      <c r="Z164" s="374">
        <v>0</v>
      </c>
      <c r="AA164" s="16">
        <f t="shared" si="154"/>
        <v>0</v>
      </c>
      <c r="AB164" s="19">
        <f>FEBRERO!AD164</f>
        <v>0</v>
      </c>
      <c r="AC164" s="374">
        <v>0</v>
      </c>
      <c r="AD164" s="16">
        <f t="shared" si="155"/>
        <v>0</v>
      </c>
      <c r="AE164" s="19">
        <f>FEBRERO!AG164</f>
        <v>0</v>
      </c>
      <c r="AF164" s="374">
        <v>0</v>
      </c>
      <c r="AG164" s="16">
        <f t="shared" si="156"/>
        <v>0</v>
      </c>
      <c r="AH164" s="19">
        <f t="shared" si="157"/>
        <v>0</v>
      </c>
      <c r="AI164" s="15">
        <f t="shared" si="158"/>
        <v>0</v>
      </c>
      <c r="AJ164" s="16">
        <f t="shared" si="159"/>
        <v>0</v>
      </c>
      <c r="AK164" s="9"/>
      <c r="AL164" s="372">
        <v>0</v>
      </c>
      <c r="AM164" s="375">
        <v>0</v>
      </c>
      <c r="AN164" s="9"/>
    </row>
    <row r="165" spans="1:40" s="382" customFormat="1" ht="24.95" customHeight="1">
      <c r="A165" s="752"/>
      <c r="B165" s="660"/>
      <c r="N165" s="9"/>
      <c r="P165" s="9"/>
      <c r="Q165" s="9"/>
      <c r="R165" s="9"/>
      <c r="S165" s="706" t="str">
        <f>+IF(FEBRERO!S165=0,"",FEBRERO!S165)</f>
        <v>2020202-8</v>
      </c>
      <c r="T165" s="724" t="str">
        <f>+IF(FEBRERO!T165=0,"",FEBRERO!T165)</f>
        <v>Servicios de Rayos X e Imaginología contratado con terceros</v>
      </c>
      <c r="U165" s="29">
        <f>+ENERO!U165</f>
        <v>0</v>
      </c>
      <c r="V165" s="15">
        <f>FEBRERO!V165+MARZO!AL165</f>
        <v>0</v>
      </c>
      <c r="W165" s="15">
        <f>FEBRERO!W165+MARZO!AM165</f>
        <v>0</v>
      </c>
      <c r="X165" s="18">
        <f t="shared" si="153"/>
        <v>0</v>
      </c>
      <c r="Y165" s="19">
        <f>FEBRERO!AA165</f>
        <v>0</v>
      </c>
      <c r="Z165" s="374">
        <v>0</v>
      </c>
      <c r="AA165" s="16">
        <f t="shared" si="154"/>
        <v>0</v>
      </c>
      <c r="AB165" s="19">
        <f>FEBRERO!AD165</f>
        <v>0</v>
      </c>
      <c r="AC165" s="374">
        <v>0</v>
      </c>
      <c r="AD165" s="16">
        <f t="shared" si="155"/>
        <v>0</v>
      </c>
      <c r="AE165" s="19">
        <f>FEBRERO!AG165</f>
        <v>0</v>
      </c>
      <c r="AF165" s="374">
        <v>0</v>
      </c>
      <c r="AG165" s="16">
        <f t="shared" si="156"/>
        <v>0</v>
      </c>
      <c r="AH165" s="19">
        <f t="shared" si="157"/>
        <v>0</v>
      </c>
      <c r="AI165" s="15">
        <f t="shared" si="158"/>
        <v>0</v>
      </c>
      <c r="AJ165" s="16">
        <f t="shared" si="159"/>
        <v>0</v>
      </c>
      <c r="AK165" s="9"/>
      <c r="AL165" s="372">
        <v>0</v>
      </c>
      <c r="AM165" s="375">
        <v>0</v>
      </c>
      <c r="AN165" s="9"/>
    </row>
    <row r="166" spans="1:40" s="382" customFormat="1" ht="24.95" customHeight="1">
      <c r="A166" s="752"/>
      <c r="B166" s="660"/>
      <c r="N166" s="9"/>
      <c r="P166" s="9"/>
      <c r="Q166" s="9"/>
      <c r="R166" s="9"/>
      <c r="S166" s="706" t="str">
        <f>+IF(FEBRERO!S166=0,"",FEBRERO!S166)</f>
        <v>2020202-9</v>
      </c>
      <c r="T166" s="724" t="str">
        <f>+IF(FEBRERO!T166=0,"",FEBRERO!T166)</f>
        <v>Arrendamientos</v>
      </c>
      <c r="U166" s="29">
        <f>+ENERO!U166</f>
        <v>0</v>
      </c>
      <c r="V166" s="15">
        <f>FEBRERO!V166+MARZO!AL166</f>
        <v>0</v>
      </c>
      <c r="W166" s="15">
        <f>FEBRERO!W166+MARZO!AM166</f>
        <v>0</v>
      </c>
      <c r="X166" s="18">
        <f t="shared" si="153"/>
        <v>0</v>
      </c>
      <c r="Y166" s="19">
        <f>FEBRERO!AA166</f>
        <v>0</v>
      </c>
      <c r="Z166" s="374">
        <v>0</v>
      </c>
      <c r="AA166" s="16">
        <f t="shared" si="154"/>
        <v>0</v>
      </c>
      <c r="AB166" s="19">
        <f>FEBRERO!AD166</f>
        <v>0</v>
      </c>
      <c r="AC166" s="374">
        <v>0</v>
      </c>
      <c r="AD166" s="16">
        <f t="shared" si="155"/>
        <v>0</v>
      </c>
      <c r="AE166" s="19">
        <f>FEBRERO!AG166</f>
        <v>0</v>
      </c>
      <c r="AF166" s="374">
        <v>0</v>
      </c>
      <c r="AG166" s="16">
        <f t="shared" si="156"/>
        <v>0</v>
      </c>
      <c r="AH166" s="19">
        <f t="shared" si="157"/>
        <v>0</v>
      </c>
      <c r="AI166" s="15">
        <f t="shared" si="158"/>
        <v>0</v>
      </c>
      <c r="AJ166" s="16">
        <f t="shared" si="159"/>
        <v>0</v>
      </c>
      <c r="AK166" s="9"/>
      <c r="AL166" s="372">
        <v>0</v>
      </c>
      <c r="AM166" s="375">
        <v>0</v>
      </c>
      <c r="AN166" s="9"/>
    </row>
    <row r="167" spans="1:40" s="382" customFormat="1" ht="24.95" customHeight="1">
      <c r="A167" s="752"/>
      <c r="B167" s="660"/>
      <c r="N167" s="9"/>
      <c r="P167" s="9"/>
      <c r="Q167" s="9"/>
      <c r="R167" s="9"/>
      <c r="S167" s="706" t="str">
        <f>+IF(FEBRERO!S167=0,"",FEBRERO!S167)</f>
        <v>2020202-10</v>
      </c>
      <c r="T167" s="724" t="str">
        <f>+IF(FEBRERO!T167=0,"",FEBRERO!T167)</f>
        <v>Servicios Públicos</v>
      </c>
      <c r="U167" s="29">
        <f>+ENERO!U167</f>
        <v>0</v>
      </c>
      <c r="V167" s="15">
        <f>FEBRERO!V167+MARZO!AL167</f>
        <v>0</v>
      </c>
      <c r="W167" s="15">
        <f>FEBRERO!W167+MARZO!AM167</f>
        <v>0</v>
      </c>
      <c r="X167" s="18">
        <f>SUM(U167:W167)</f>
        <v>0</v>
      </c>
      <c r="Y167" s="19">
        <f>FEBRERO!AA167</f>
        <v>0</v>
      </c>
      <c r="Z167" s="374">
        <v>0</v>
      </c>
      <c r="AA167" s="16">
        <f t="shared" si="154"/>
        <v>0</v>
      </c>
      <c r="AB167" s="19">
        <f>FEBRERO!AD167</f>
        <v>0</v>
      </c>
      <c r="AC167" s="374">
        <v>0</v>
      </c>
      <c r="AD167" s="16">
        <f>SUM(AB167:AC167)</f>
        <v>0</v>
      </c>
      <c r="AE167" s="19">
        <f>FEBRERO!AG167</f>
        <v>0</v>
      </c>
      <c r="AF167" s="374">
        <v>0</v>
      </c>
      <c r="AG167" s="16">
        <f>SUM(AE167:AF167)</f>
        <v>0</v>
      </c>
      <c r="AH167" s="19">
        <f>X167-AA167</f>
        <v>0</v>
      </c>
      <c r="AI167" s="15">
        <f>X167-AD167</f>
        <v>0</v>
      </c>
      <c r="AJ167" s="16">
        <f>X167-AG167</f>
        <v>0</v>
      </c>
      <c r="AK167" s="9"/>
      <c r="AL167" s="372">
        <v>0</v>
      </c>
      <c r="AM167" s="375">
        <v>0</v>
      </c>
      <c r="AN167" s="9"/>
    </row>
    <row r="168" spans="1:40" s="382" customFormat="1" ht="24.95" customHeight="1">
      <c r="A168" s="752"/>
      <c r="B168" s="660"/>
      <c r="N168" s="9"/>
      <c r="P168" s="9"/>
      <c r="Q168" s="9"/>
      <c r="R168" s="9"/>
      <c r="S168" s="705">
        <f>+IF(FEBRERO!S168=0,"",FEBRERO!S168)</f>
        <v>2020299</v>
      </c>
      <c r="T168" s="723" t="str">
        <f>+IF(FEBRERO!T168=0,"",FEBRERO!T168)</f>
        <v>Vigencias Anteriores</v>
      </c>
      <c r="U168" s="29">
        <f>+ENERO!U168</f>
        <v>0</v>
      </c>
      <c r="V168" s="15">
        <f>FEBRERO!V168+MARZO!AL168</f>
        <v>-19000000</v>
      </c>
      <c r="W168" s="15">
        <f>FEBRERO!W168+MARZO!AM168</f>
        <v>100000000</v>
      </c>
      <c r="X168" s="18">
        <f t="shared" si="153"/>
        <v>81000000</v>
      </c>
      <c r="Y168" s="19">
        <f>FEBRERO!AA168</f>
        <v>23529010</v>
      </c>
      <c r="Z168" s="374">
        <v>57470990</v>
      </c>
      <c r="AA168" s="16">
        <f t="shared" si="154"/>
        <v>81000000</v>
      </c>
      <c r="AB168" s="19">
        <f>FEBRERO!AD168</f>
        <v>23529010</v>
      </c>
      <c r="AC168" s="374">
        <v>57470990</v>
      </c>
      <c r="AD168" s="16">
        <f t="shared" si="155"/>
        <v>81000000</v>
      </c>
      <c r="AE168" s="19">
        <f>FEBRERO!AG168</f>
        <v>23529010</v>
      </c>
      <c r="AF168" s="374">
        <v>57470990</v>
      </c>
      <c r="AG168" s="815">
        <f t="shared" si="156"/>
        <v>81000000</v>
      </c>
      <c r="AH168" s="19">
        <f t="shared" si="157"/>
        <v>0</v>
      </c>
      <c r="AI168" s="15">
        <f t="shared" si="158"/>
        <v>0</v>
      </c>
      <c r="AJ168" s="16">
        <f t="shared" si="159"/>
        <v>0</v>
      </c>
      <c r="AK168" s="9"/>
      <c r="AL168" s="372">
        <f>-24000000-19000000</f>
        <v>-43000000</v>
      </c>
      <c r="AM168" s="375">
        <v>100000000</v>
      </c>
      <c r="AN168" s="9"/>
    </row>
    <row r="169" spans="1:40" s="382" customFormat="1" ht="24.95" customHeight="1">
      <c r="A169" s="752"/>
      <c r="B169" s="660"/>
      <c r="N169" s="9"/>
      <c r="P169" s="9"/>
      <c r="Q169" s="9"/>
      <c r="R169" s="9"/>
      <c r="S169" s="366" t="str">
        <f>+IF(FEBRERO!S169=0,"",FEBRERO!S169)</f>
        <v/>
      </c>
      <c r="T169" s="695" t="str">
        <f>+IF(FEBRERO!T169=0,"",FEBRERO!T169)</f>
        <v/>
      </c>
      <c r="U169" s="367"/>
      <c r="V169" s="161"/>
      <c r="W169" s="161"/>
      <c r="X169" s="161"/>
      <c r="Y169" s="367"/>
      <c r="Z169" s="161"/>
      <c r="AA169" s="166"/>
      <c r="AB169" s="367"/>
      <c r="AC169" s="161"/>
      <c r="AD169" s="166"/>
      <c r="AE169" s="367"/>
      <c r="AF169" s="161">
        <v>0</v>
      </c>
      <c r="AG169" s="166"/>
      <c r="AH169" s="367"/>
      <c r="AI169" s="161"/>
      <c r="AJ169" s="166"/>
      <c r="AK169" s="9"/>
      <c r="AL169" s="172"/>
      <c r="AM169" s="173"/>
      <c r="AN169" s="9"/>
    </row>
    <row r="170" spans="1:40" s="382" customFormat="1" ht="24.95" customHeight="1">
      <c r="A170" s="752"/>
      <c r="B170" s="660"/>
      <c r="N170" s="9"/>
      <c r="P170" s="9"/>
      <c r="Q170" s="9"/>
      <c r="R170" s="9"/>
      <c r="S170" s="703">
        <f>+IF(FEBRERO!S170=0,"",FEBRERO!S170)</f>
        <v>3000000</v>
      </c>
      <c r="T170" s="725" t="str">
        <f>+IF(FEBRERO!T170=0,"",FEBRERO!T170)</f>
        <v>TRANSFERENCIAS CORRIENTES</v>
      </c>
      <c r="U170" s="379">
        <f t="shared" ref="U170:AJ170" si="160">U172+U176+U185</f>
        <v>139736565</v>
      </c>
      <c r="V170" s="471">
        <f t="shared" si="160"/>
        <v>0</v>
      </c>
      <c r="W170" s="471">
        <f t="shared" si="160"/>
        <v>22950868</v>
      </c>
      <c r="X170" s="472">
        <f t="shared" si="160"/>
        <v>162687433</v>
      </c>
      <c r="Y170" s="379">
        <f t="shared" si="160"/>
        <v>14889118</v>
      </c>
      <c r="Z170" s="471">
        <f t="shared" si="160"/>
        <v>72335380</v>
      </c>
      <c r="AA170" s="380">
        <f t="shared" si="160"/>
        <v>87224498</v>
      </c>
      <c r="AB170" s="379">
        <f t="shared" si="160"/>
        <v>14889118</v>
      </c>
      <c r="AC170" s="471">
        <f t="shared" si="160"/>
        <v>72040293</v>
      </c>
      <c r="AD170" s="380">
        <f t="shared" si="160"/>
        <v>86929411</v>
      </c>
      <c r="AE170" s="379">
        <f t="shared" si="160"/>
        <v>14521209</v>
      </c>
      <c r="AF170" s="471">
        <f t="shared" si="160"/>
        <v>18943218</v>
      </c>
      <c r="AG170" s="380">
        <f t="shared" si="160"/>
        <v>33464427</v>
      </c>
      <c r="AH170" s="379">
        <f t="shared" si="160"/>
        <v>75462935</v>
      </c>
      <c r="AI170" s="471">
        <f t="shared" si="160"/>
        <v>75758022</v>
      </c>
      <c r="AJ170" s="380">
        <f t="shared" si="160"/>
        <v>129223006</v>
      </c>
      <c r="AK170" s="9"/>
      <c r="AL170" s="128">
        <f>AL172+AL176+AL185</f>
        <v>0</v>
      </c>
      <c r="AM170" s="130">
        <f>AM172+AM176+AM185</f>
        <v>22950868</v>
      </c>
      <c r="AN170" s="9"/>
    </row>
    <row r="171" spans="1:40" s="382" customFormat="1" ht="24.95" customHeight="1">
      <c r="A171" s="752"/>
      <c r="B171" s="660"/>
      <c r="N171" s="9"/>
      <c r="P171" s="9"/>
      <c r="Q171" s="9"/>
      <c r="R171" s="9"/>
      <c r="S171" s="366" t="str">
        <f>+IF(FEBRERO!S171=0,"",FEBRERO!S171)</f>
        <v/>
      </c>
      <c r="T171" s="695" t="str">
        <f>+IF(FEBRERO!T171=0,"",FEBRERO!T171)</f>
        <v/>
      </c>
      <c r="U171" s="367"/>
      <c r="V171" s="161"/>
      <c r="W171" s="161"/>
      <c r="X171" s="161"/>
      <c r="Y171" s="367"/>
      <c r="Z171" s="161"/>
      <c r="AA171" s="166"/>
      <c r="AB171" s="367"/>
      <c r="AC171" s="161"/>
      <c r="AD171" s="166"/>
      <c r="AE171" s="367"/>
      <c r="AF171" s="161"/>
      <c r="AG171" s="166"/>
      <c r="AH171" s="367"/>
      <c r="AI171" s="161"/>
      <c r="AJ171" s="166"/>
      <c r="AK171" s="9"/>
      <c r="AL171" s="172"/>
      <c r="AM171" s="173"/>
      <c r="AN171" s="9"/>
    </row>
    <row r="172" spans="1:40" s="382" customFormat="1" ht="24.95" customHeight="1">
      <c r="A172" s="752"/>
      <c r="B172" s="660"/>
      <c r="N172" s="9"/>
      <c r="P172" s="9"/>
      <c r="Q172" s="9"/>
      <c r="R172" s="9"/>
      <c r="S172" s="704">
        <f>+IF(FEBRERO!S172=0,"",FEBRERO!S172)</f>
        <v>3100000</v>
      </c>
      <c r="T172" s="722" t="str">
        <f>+IF(FEBRERO!T172=0,"",FEBRERO!T172)</f>
        <v>Transferencias al Sector Público</v>
      </c>
      <c r="U172" s="128">
        <f t="shared" ref="U172:AJ172" si="161">SUM(U173:U174)</f>
        <v>39651901</v>
      </c>
      <c r="V172" s="122">
        <f t="shared" si="161"/>
        <v>0</v>
      </c>
      <c r="W172" s="122">
        <f t="shared" si="161"/>
        <v>20000000</v>
      </c>
      <c r="X172" s="129">
        <f t="shared" si="161"/>
        <v>59651901</v>
      </c>
      <c r="Y172" s="128">
        <f t="shared" si="161"/>
        <v>0</v>
      </c>
      <c r="Z172" s="122">
        <f t="shared" si="161"/>
        <v>58397761</v>
      </c>
      <c r="AA172" s="130">
        <f t="shared" si="161"/>
        <v>58397761</v>
      </c>
      <c r="AB172" s="128">
        <f t="shared" si="161"/>
        <v>0</v>
      </c>
      <c r="AC172" s="122">
        <f t="shared" si="161"/>
        <v>58397761</v>
      </c>
      <c r="AD172" s="130">
        <f t="shared" si="161"/>
        <v>58397761</v>
      </c>
      <c r="AE172" s="128">
        <f t="shared" si="161"/>
        <v>0</v>
      </c>
      <c r="AF172" s="122">
        <f t="shared" si="161"/>
        <v>14599440</v>
      </c>
      <c r="AG172" s="130">
        <f t="shared" si="161"/>
        <v>14599440</v>
      </c>
      <c r="AH172" s="128">
        <f t="shared" si="161"/>
        <v>1254140</v>
      </c>
      <c r="AI172" s="122">
        <f t="shared" si="161"/>
        <v>1254140</v>
      </c>
      <c r="AJ172" s="130">
        <f t="shared" si="161"/>
        <v>45052461</v>
      </c>
      <c r="AK172" s="9"/>
      <c r="AL172" s="128">
        <f>SUM(AL173:AL174)</f>
        <v>0</v>
      </c>
      <c r="AM172" s="130">
        <f>SUM(AM173:AM174)</f>
        <v>20000000</v>
      </c>
      <c r="AN172" s="9"/>
    </row>
    <row r="173" spans="1:40" s="382" customFormat="1" ht="24.95" customHeight="1">
      <c r="A173" s="752"/>
      <c r="B173" s="660"/>
      <c r="N173" s="9"/>
      <c r="P173" s="9"/>
      <c r="Q173" s="9"/>
      <c r="R173" s="9"/>
      <c r="S173" s="705">
        <f>+IF(FEBRERO!S173=0,"",FEBRERO!S173)</f>
        <v>3100003</v>
      </c>
      <c r="T173" s="723" t="str">
        <f>+IF(FEBRERO!T173=0,"",FEBRERO!T173)</f>
        <v>Entidades Públicas (Contraloria, Supersalud,…)</v>
      </c>
      <c r="U173" s="29">
        <f>+ENERO!U173</f>
        <v>39651901</v>
      </c>
      <c r="V173" s="15">
        <f>FEBRERO!V173+MARZO!AL173</f>
        <v>-657430</v>
      </c>
      <c r="W173" s="15">
        <f>FEBRERO!W173+MARZO!AM173</f>
        <v>20000000</v>
      </c>
      <c r="X173" s="18">
        <f>SUM(U173:W173)</f>
        <v>58994471</v>
      </c>
      <c r="Y173" s="19">
        <f>FEBRERO!AA173</f>
        <v>0</v>
      </c>
      <c r="Z173" s="374">
        <v>58397761</v>
      </c>
      <c r="AA173" s="16">
        <f>SUM(Y173:Z173)</f>
        <v>58397761</v>
      </c>
      <c r="AB173" s="19">
        <f>FEBRERO!AD173</f>
        <v>0</v>
      </c>
      <c r="AC173" s="374">
        <v>58397761</v>
      </c>
      <c r="AD173" s="16">
        <f>SUM(AB173:AC173)</f>
        <v>58397761</v>
      </c>
      <c r="AE173" s="19">
        <f>FEBRERO!AG173</f>
        <v>0</v>
      </c>
      <c r="AF173" s="374">
        <v>14599440</v>
      </c>
      <c r="AG173" s="16">
        <f>SUM(AE173:AF173)</f>
        <v>14599440</v>
      </c>
      <c r="AH173" s="19">
        <f>X173-AA173</f>
        <v>596710</v>
      </c>
      <c r="AI173" s="15">
        <f>X173-AD173</f>
        <v>596710</v>
      </c>
      <c r="AJ173" s="16">
        <f>X173-AG173</f>
        <v>44395031</v>
      </c>
      <c r="AK173" s="9"/>
      <c r="AL173" s="372">
        <v>-657430</v>
      </c>
      <c r="AM173" s="375">
        <v>20000000</v>
      </c>
      <c r="AN173" s="9"/>
    </row>
    <row r="174" spans="1:40" s="382" customFormat="1" ht="24.95" customHeight="1">
      <c r="A174" s="752"/>
      <c r="B174" s="660"/>
      <c r="N174" s="9"/>
      <c r="P174" s="9"/>
      <c r="Q174" s="9"/>
      <c r="R174" s="9"/>
      <c r="S174" s="705">
        <f>+IF(FEBRERO!S174=0,"",FEBRERO!S174)</f>
        <v>3199999</v>
      </c>
      <c r="T174" s="723" t="str">
        <f>+IF(FEBRERO!T174=0,"",FEBRERO!T174)</f>
        <v>Vigencias Anteriores</v>
      </c>
      <c r="U174" s="29">
        <f>+ENERO!U174</f>
        <v>0</v>
      </c>
      <c r="V174" s="15">
        <f>FEBRERO!V174+MARZO!AL174</f>
        <v>657430</v>
      </c>
      <c r="W174" s="15">
        <f>FEBRERO!W174+MARZO!AM174</f>
        <v>0</v>
      </c>
      <c r="X174" s="18">
        <f>SUM(U174:W174)</f>
        <v>657430</v>
      </c>
      <c r="Y174" s="19">
        <f>FEBRERO!AA174</f>
        <v>0</v>
      </c>
      <c r="Z174" s="374">
        <v>0</v>
      </c>
      <c r="AA174" s="16">
        <f>SUM(Y174:Z174)</f>
        <v>0</v>
      </c>
      <c r="AB174" s="19">
        <f>FEBRERO!AD174</f>
        <v>0</v>
      </c>
      <c r="AC174" s="374">
        <v>0</v>
      </c>
      <c r="AD174" s="16">
        <f>SUM(AB174:AC174)</f>
        <v>0</v>
      </c>
      <c r="AE174" s="19">
        <f>FEBRERO!AG174</f>
        <v>0</v>
      </c>
      <c r="AF174" s="374">
        <v>0</v>
      </c>
      <c r="AG174" s="16">
        <f>SUM(AE174:AF174)</f>
        <v>0</v>
      </c>
      <c r="AH174" s="19">
        <f>X174-AA174</f>
        <v>657430</v>
      </c>
      <c r="AI174" s="15">
        <f>X174-AD174</f>
        <v>657430</v>
      </c>
      <c r="AJ174" s="16">
        <f>X174-AG174</f>
        <v>657430</v>
      </c>
      <c r="AK174" s="9"/>
      <c r="AL174" s="372">
        <v>657430</v>
      </c>
      <c r="AM174" s="375">
        <v>0</v>
      </c>
      <c r="AN174" s="9"/>
    </row>
    <row r="175" spans="1:40" s="382" customFormat="1" ht="24.95" customHeight="1">
      <c r="A175" s="752"/>
      <c r="B175" s="660"/>
      <c r="N175" s="9"/>
      <c r="P175" s="9"/>
      <c r="Q175" s="9"/>
      <c r="R175" s="9"/>
      <c r="S175" s="366" t="str">
        <f>+IF(FEBRERO!S175=0,"",FEBRERO!S175)</f>
        <v/>
      </c>
      <c r="T175" s="695" t="str">
        <f>+IF(FEBRERO!T175=0,"",FEBRERO!T175)</f>
        <v/>
      </c>
      <c r="U175" s="367"/>
      <c r="V175" s="161"/>
      <c r="W175" s="161"/>
      <c r="X175" s="161"/>
      <c r="Y175" s="367"/>
      <c r="Z175" s="161"/>
      <c r="AA175" s="166"/>
      <c r="AB175" s="367"/>
      <c r="AC175" s="161"/>
      <c r="AD175" s="166"/>
      <c r="AE175" s="367"/>
      <c r="AF175" s="161"/>
      <c r="AG175" s="166"/>
      <c r="AH175" s="367"/>
      <c r="AI175" s="161"/>
      <c r="AJ175" s="166"/>
      <c r="AK175" s="10"/>
      <c r="AL175" s="172"/>
      <c r="AM175" s="173"/>
      <c r="AN175" s="9"/>
    </row>
    <row r="176" spans="1:40" s="382" customFormat="1" ht="24.95" customHeight="1">
      <c r="A176" s="752"/>
      <c r="B176" s="660"/>
      <c r="N176" s="9"/>
      <c r="P176" s="9"/>
      <c r="Q176" s="9"/>
      <c r="R176" s="9"/>
      <c r="S176" s="704">
        <f>+IF(FEBRERO!S176=0,"",FEBRERO!S176)</f>
        <v>320000</v>
      </c>
      <c r="T176" s="722" t="str">
        <f>+IF(FEBRERO!T176=0,"",FEBRERO!T176)</f>
        <v>Transf. Previsión y Seguridad Social</v>
      </c>
      <c r="U176" s="128">
        <f t="shared" ref="U176:AJ176" si="162">SUM(U177:U183)</f>
        <v>50084664</v>
      </c>
      <c r="V176" s="122">
        <f t="shared" si="162"/>
        <v>0</v>
      </c>
      <c r="W176" s="122">
        <f t="shared" si="162"/>
        <v>0</v>
      </c>
      <c r="X176" s="129">
        <f t="shared" si="162"/>
        <v>50084664</v>
      </c>
      <c r="Y176" s="128">
        <f t="shared" si="162"/>
        <v>14889118</v>
      </c>
      <c r="Z176" s="122">
        <f t="shared" si="162"/>
        <v>1687997</v>
      </c>
      <c r="AA176" s="130">
        <f t="shared" si="162"/>
        <v>16577115</v>
      </c>
      <c r="AB176" s="128">
        <f t="shared" si="162"/>
        <v>14889118</v>
      </c>
      <c r="AC176" s="122">
        <f t="shared" si="162"/>
        <v>1687997</v>
      </c>
      <c r="AD176" s="130">
        <f t="shared" si="162"/>
        <v>16577115</v>
      </c>
      <c r="AE176" s="128">
        <f t="shared" si="162"/>
        <v>14521209</v>
      </c>
      <c r="AF176" s="122">
        <f t="shared" si="162"/>
        <v>1687997</v>
      </c>
      <c r="AG176" s="130">
        <f t="shared" si="162"/>
        <v>16209206</v>
      </c>
      <c r="AH176" s="128">
        <f t="shared" si="162"/>
        <v>33507549</v>
      </c>
      <c r="AI176" s="122">
        <f t="shared" si="162"/>
        <v>33507549</v>
      </c>
      <c r="AJ176" s="130">
        <f t="shared" si="162"/>
        <v>33875458</v>
      </c>
      <c r="AK176" s="9"/>
      <c r="AL176" s="128">
        <f>SUM(AL177:AL183)</f>
        <v>0</v>
      </c>
      <c r="AM176" s="130">
        <f>SUM(AM177:AM183)</f>
        <v>0</v>
      </c>
      <c r="AN176" s="9"/>
    </row>
    <row r="177" spans="1:40" s="382" customFormat="1" ht="24.95" customHeight="1">
      <c r="A177" s="752"/>
      <c r="B177" s="660"/>
      <c r="N177" s="9"/>
      <c r="P177" s="9"/>
      <c r="Q177" s="9"/>
      <c r="R177" s="9"/>
      <c r="S177" s="705">
        <f>+IF(FEBRERO!S177=0,"",FEBRERO!S177)</f>
        <v>3200100</v>
      </c>
      <c r="T177" s="723" t="str">
        <f>+IF(FEBRERO!T177=0,"",FEBRERO!T177)</f>
        <v>Pensiones y Jubilaciones (Pago Directo)</v>
      </c>
      <c r="U177" s="29">
        <f>+ENERO!U177</f>
        <v>18619412</v>
      </c>
      <c r="V177" s="15">
        <f>FEBRERO!V177+MARZO!AL177</f>
        <v>0</v>
      </c>
      <c r="W177" s="15">
        <f>FEBRERO!W177+MARZO!AM177</f>
        <v>0</v>
      </c>
      <c r="X177" s="18">
        <f t="shared" ref="X177:X183" si="163">SUM(U177:W177)</f>
        <v>18619412</v>
      </c>
      <c r="Y177" s="19">
        <f>FEBRERO!AA177</f>
        <v>2653642</v>
      </c>
      <c r="Z177" s="374">
        <v>1326821</v>
      </c>
      <c r="AA177" s="16">
        <f t="shared" ref="AA177:AA183" si="164">SUM(Y177:Z177)</f>
        <v>3980463</v>
      </c>
      <c r="AB177" s="19">
        <f>FEBRERO!AD177</f>
        <v>2653642</v>
      </c>
      <c r="AC177" s="374">
        <v>1326821</v>
      </c>
      <c r="AD177" s="16">
        <f t="shared" ref="AD177:AD183" si="165">SUM(AB177:AC177)</f>
        <v>3980463</v>
      </c>
      <c r="AE177" s="19">
        <f>FEBRERO!AG177</f>
        <v>2653642</v>
      </c>
      <c r="AF177" s="374">
        <v>1326821</v>
      </c>
      <c r="AG177" s="16">
        <f t="shared" ref="AG177:AG183" si="166">SUM(AE177:AF177)</f>
        <v>3980463</v>
      </c>
      <c r="AH177" s="19">
        <f t="shared" ref="AH177:AH183" si="167">X177-AA177</f>
        <v>14638949</v>
      </c>
      <c r="AI177" s="15">
        <f t="shared" ref="AI177:AI183" si="168">X177-AD177</f>
        <v>14638949</v>
      </c>
      <c r="AJ177" s="16">
        <f t="shared" ref="AJ177:AJ183" si="169">X177-AG177</f>
        <v>14638949</v>
      </c>
      <c r="AK177" s="9"/>
      <c r="AL177" s="372">
        <v>0</v>
      </c>
      <c r="AM177" s="375">
        <v>0</v>
      </c>
      <c r="AN177" s="9"/>
    </row>
    <row r="178" spans="1:40" s="382" customFormat="1" ht="24.95" customHeight="1">
      <c r="A178" s="752"/>
      <c r="B178" s="660"/>
      <c r="N178" s="9"/>
      <c r="P178" s="9"/>
      <c r="Q178" s="9"/>
      <c r="R178" s="9"/>
      <c r="S178" s="705">
        <f>+IF(FEBRERO!S178=0,"",FEBRERO!S178)</f>
        <v>3200200</v>
      </c>
      <c r="T178" s="723" t="str">
        <f>+IF(FEBRERO!T178=0,"",FEBRERO!T178)</f>
        <v>Cesantías Pago Directo (Pago Directo)</v>
      </c>
      <c r="U178" s="29">
        <f>+ENERO!U178</f>
        <v>14936566</v>
      </c>
      <c r="V178" s="15">
        <f>FEBRERO!V178+MARZO!AL178</f>
        <v>0</v>
      </c>
      <c r="W178" s="15">
        <f>FEBRERO!W178+MARZO!AM178</f>
        <v>0</v>
      </c>
      <c r="X178" s="18">
        <f t="shared" si="163"/>
        <v>14936566</v>
      </c>
      <c r="Y178" s="19">
        <f>FEBRERO!AA178</f>
        <v>331170</v>
      </c>
      <c r="Z178" s="374">
        <v>0</v>
      </c>
      <c r="AA178" s="16">
        <f t="shared" si="164"/>
        <v>331170</v>
      </c>
      <c r="AB178" s="19">
        <f>FEBRERO!AD178</f>
        <v>331170</v>
      </c>
      <c r="AC178" s="374">
        <v>0</v>
      </c>
      <c r="AD178" s="16">
        <f t="shared" si="165"/>
        <v>331170</v>
      </c>
      <c r="AE178" s="19">
        <f>FEBRERO!AG178</f>
        <v>0</v>
      </c>
      <c r="AF178" s="374">
        <v>0</v>
      </c>
      <c r="AG178" s="16">
        <f t="shared" si="166"/>
        <v>0</v>
      </c>
      <c r="AH178" s="19">
        <f t="shared" si="167"/>
        <v>14605396</v>
      </c>
      <c r="AI178" s="15">
        <f t="shared" si="168"/>
        <v>14605396</v>
      </c>
      <c r="AJ178" s="16">
        <f t="shared" si="169"/>
        <v>14936566</v>
      </c>
      <c r="AK178" s="9"/>
      <c r="AL178" s="372">
        <v>0</v>
      </c>
      <c r="AM178" s="375">
        <v>0</v>
      </c>
      <c r="AN178" s="9"/>
    </row>
    <row r="179" spans="1:40" s="382" customFormat="1" ht="24.95" customHeight="1">
      <c r="A179" s="752"/>
      <c r="B179" s="660"/>
      <c r="N179" s="9"/>
      <c r="P179" s="9"/>
      <c r="Q179" s="9"/>
      <c r="R179" s="9"/>
      <c r="S179" s="705">
        <f>+IF(FEBRERO!S179=0,"",FEBRERO!S179)</f>
        <v>3200300</v>
      </c>
      <c r="T179" s="723" t="str">
        <f>+IF(FEBRERO!T179=0,"",FEBRERO!T179)</f>
        <v>Bonos, Cuotas de Bonos y cuotas partes jubilatorias</v>
      </c>
      <c r="U179" s="29">
        <f>+ENERO!U179</f>
        <v>0</v>
      </c>
      <c r="V179" s="15">
        <f>FEBRERO!V179+MARZO!AL179</f>
        <v>4000000</v>
      </c>
      <c r="W179" s="15">
        <f>FEBRERO!W179+MARZO!AM179</f>
        <v>0</v>
      </c>
      <c r="X179" s="18">
        <f t="shared" si="163"/>
        <v>4000000</v>
      </c>
      <c r="Y179" s="19">
        <f>FEBRERO!AA179</f>
        <v>338345</v>
      </c>
      <c r="Z179" s="374">
        <v>361176</v>
      </c>
      <c r="AA179" s="16">
        <f t="shared" si="164"/>
        <v>699521</v>
      </c>
      <c r="AB179" s="19">
        <f>FEBRERO!AD179</f>
        <v>338345</v>
      </c>
      <c r="AC179" s="374">
        <v>361176</v>
      </c>
      <c r="AD179" s="16">
        <f t="shared" si="165"/>
        <v>699521</v>
      </c>
      <c r="AE179" s="19">
        <f>FEBRERO!AG179</f>
        <v>338345</v>
      </c>
      <c r="AF179" s="374">
        <v>361176</v>
      </c>
      <c r="AG179" s="16">
        <f t="shared" si="166"/>
        <v>699521</v>
      </c>
      <c r="AH179" s="19">
        <f t="shared" si="167"/>
        <v>3300479</v>
      </c>
      <c r="AI179" s="15">
        <f t="shared" si="168"/>
        <v>3300479</v>
      </c>
      <c r="AJ179" s="16">
        <f t="shared" si="169"/>
        <v>3300479</v>
      </c>
      <c r="AK179" s="9"/>
      <c r="AL179" s="372">
        <v>0</v>
      </c>
      <c r="AM179" s="375">
        <v>0</v>
      </c>
      <c r="AN179" s="9"/>
    </row>
    <row r="180" spans="1:40" s="382" customFormat="1" ht="24.95" customHeight="1">
      <c r="A180" s="752"/>
      <c r="B180" s="660"/>
      <c r="N180" s="9"/>
      <c r="P180" s="9"/>
      <c r="Q180" s="9"/>
      <c r="R180" s="9"/>
      <c r="S180" s="705">
        <f>+IF(FEBRERO!S180=0,"",FEBRERO!S180)</f>
        <v>3200400</v>
      </c>
      <c r="T180" s="723" t="str">
        <f>+IF(FEBRERO!T180=0,"",FEBRERO!T180)</f>
        <v>Intereses a las cesantias</v>
      </c>
      <c r="U180" s="29">
        <f>+ENERO!U180</f>
        <v>16528686</v>
      </c>
      <c r="V180" s="15">
        <f>FEBRERO!V180+MARZO!AL180</f>
        <v>-4000000</v>
      </c>
      <c r="W180" s="15">
        <f>FEBRERO!W180+MARZO!AM180</f>
        <v>0</v>
      </c>
      <c r="X180" s="18">
        <f t="shared" si="163"/>
        <v>12528686</v>
      </c>
      <c r="Y180" s="19">
        <f>FEBRERO!AA180</f>
        <v>11565961</v>
      </c>
      <c r="Z180" s="374">
        <v>0</v>
      </c>
      <c r="AA180" s="16">
        <f t="shared" si="164"/>
        <v>11565961</v>
      </c>
      <c r="AB180" s="19">
        <f>FEBRERO!AD180</f>
        <v>11565961</v>
      </c>
      <c r="AC180" s="374">
        <v>0</v>
      </c>
      <c r="AD180" s="16">
        <f t="shared" si="165"/>
        <v>11565961</v>
      </c>
      <c r="AE180" s="19">
        <f>FEBRERO!AG180</f>
        <v>11529222</v>
      </c>
      <c r="AF180" s="374">
        <v>0</v>
      </c>
      <c r="AG180" s="16">
        <f t="shared" si="166"/>
        <v>11529222</v>
      </c>
      <c r="AH180" s="19">
        <f t="shared" si="167"/>
        <v>962725</v>
      </c>
      <c r="AI180" s="15">
        <f t="shared" si="168"/>
        <v>962725</v>
      </c>
      <c r="AJ180" s="16">
        <f t="shared" si="169"/>
        <v>999464</v>
      </c>
      <c r="AK180" s="9"/>
      <c r="AL180" s="372">
        <v>0</v>
      </c>
      <c r="AM180" s="375">
        <v>0</v>
      </c>
      <c r="AN180" s="9"/>
    </row>
    <row r="181" spans="1:40" s="382" customFormat="1" ht="24.95" customHeight="1">
      <c r="A181" s="752"/>
      <c r="B181" s="660"/>
      <c r="N181" s="9"/>
      <c r="P181" s="9"/>
      <c r="Q181" s="9"/>
      <c r="R181" s="9"/>
      <c r="S181" s="705" t="str">
        <f>+IF(FEBRERO!S181=0,"",FEBRERO!S181)</f>
        <v/>
      </c>
      <c r="T181" s="723" t="str">
        <f>+IF(FEBRERO!T181=0,"",FEBRERO!T181)</f>
        <v/>
      </c>
      <c r="U181" s="29">
        <f>+ENERO!U181</f>
        <v>0</v>
      </c>
      <c r="V181" s="15">
        <f>FEBRERO!V181+MARZO!AL181</f>
        <v>0</v>
      </c>
      <c r="W181" s="15">
        <f>FEBRERO!W181+MARZO!AM181</f>
        <v>0</v>
      </c>
      <c r="X181" s="18">
        <f t="shared" si="163"/>
        <v>0</v>
      </c>
      <c r="Y181" s="19">
        <f>FEBRERO!AA181</f>
        <v>0</v>
      </c>
      <c r="Z181" s="374">
        <v>0</v>
      </c>
      <c r="AA181" s="16">
        <f t="shared" si="164"/>
        <v>0</v>
      </c>
      <c r="AB181" s="19">
        <f>FEBRERO!AD181</f>
        <v>0</v>
      </c>
      <c r="AC181" s="374">
        <v>0</v>
      </c>
      <c r="AD181" s="16">
        <f t="shared" si="165"/>
        <v>0</v>
      </c>
      <c r="AE181" s="19">
        <f>FEBRERO!AG181</f>
        <v>0</v>
      </c>
      <c r="AF181" s="374">
        <v>0</v>
      </c>
      <c r="AG181" s="16">
        <f t="shared" si="166"/>
        <v>0</v>
      </c>
      <c r="AH181" s="19">
        <f t="shared" si="167"/>
        <v>0</v>
      </c>
      <c r="AI181" s="15">
        <f t="shared" si="168"/>
        <v>0</v>
      </c>
      <c r="AJ181" s="16">
        <f t="shared" si="169"/>
        <v>0</v>
      </c>
      <c r="AK181" s="9"/>
      <c r="AL181" s="372">
        <v>0</v>
      </c>
      <c r="AM181" s="375">
        <v>0</v>
      </c>
      <c r="AN181" s="9"/>
    </row>
    <row r="182" spans="1:40" s="382" customFormat="1" ht="24.95" customHeight="1">
      <c r="A182" s="752"/>
      <c r="B182" s="660"/>
      <c r="N182" s="9"/>
      <c r="P182" s="9"/>
      <c r="Q182" s="9"/>
      <c r="R182" s="9"/>
      <c r="S182" s="705" t="str">
        <f>+IF(FEBRERO!S182=0,"",FEBRERO!S182)</f>
        <v/>
      </c>
      <c r="T182" s="723" t="str">
        <f>+IF(FEBRERO!T182=0,"",FEBRERO!T182)</f>
        <v/>
      </c>
      <c r="U182" s="29">
        <f>+ENERO!U182</f>
        <v>0</v>
      </c>
      <c r="V182" s="15">
        <f>FEBRERO!V182+MARZO!AL182</f>
        <v>0</v>
      </c>
      <c r="W182" s="15">
        <f>FEBRERO!W182+MARZO!AM182</f>
        <v>0</v>
      </c>
      <c r="X182" s="18">
        <f t="shared" si="163"/>
        <v>0</v>
      </c>
      <c r="Y182" s="19">
        <f>FEBRERO!AA182</f>
        <v>0</v>
      </c>
      <c r="Z182" s="374">
        <v>0</v>
      </c>
      <c r="AA182" s="16">
        <f t="shared" si="164"/>
        <v>0</v>
      </c>
      <c r="AB182" s="19">
        <f>FEBRERO!AD182</f>
        <v>0</v>
      </c>
      <c r="AC182" s="374">
        <v>0</v>
      </c>
      <c r="AD182" s="16">
        <f t="shared" si="165"/>
        <v>0</v>
      </c>
      <c r="AE182" s="19">
        <f>FEBRERO!AG182</f>
        <v>0</v>
      </c>
      <c r="AF182" s="374">
        <v>0</v>
      </c>
      <c r="AG182" s="16">
        <f t="shared" si="166"/>
        <v>0</v>
      </c>
      <c r="AH182" s="19">
        <f t="shared" si="167"/>
        <v>0</v>
      </c>
      <c r="AI182" s="15">
        <f t="shared" si="168"/>
        <v>0</v>
      </c>
      <c r="AJ182" s="16">
        <f t="shared" si="169"/>
        <v>0</v>
      </c>
      <c r="AK182" s="9"/>
      <c r="AL182" s="372">
        <v>0</v>
      </c>
      <c r="AM182" s="375">
        <v>0</v>
      </c>
      <c r="AN182" s="9"/>
    </row>
    <row r="183" spans="1:40" s="382" customFormat="1" ht="24.95" customHeight="1">
      <c r="A183" s="752"/>
      <c r="B183" s="660"/>
      <c r="N183" s="9"/>
      <c r="P183" s="9"/>
      <c r="Q183" s="9"/>
      <c r="R183" s="9"/>
      <c r="S183" s="705">
        <f>+IF(FEBRERO!S183=0,"",FEBRERO!S183)</f>
        <v>3299999</v>
      </c>
      <c r="T183" s="723" t="str">
        <f>+IF(FEBRERO!T183=0,"",FEBRERO!T183)</f>
        <v>Vigencias Anteriores</v>
      </c>
      <c r="U183" s="29">
        <f>+ENERO!U183</f>
        <v>0</v>
      </c>
      <c r="V183" s="15">
        <f>FEBRERO!V183+MARZO!AL183</f>
        <v>0</v>
      </c>
      <c r="W183" s="15">
        <f>FEBRERO!W183+MARZO!AM183</f>
        <v>0</v>
      </c>
      <c r="X183" s="18">
        <f t="shared" si="163"/>
        <v>0</v>
      </c>
      <c r="Y183" s="19">
        <f>FEBRERO!AA183</f>
        <v>0</v>
      </c>
      <c r="Z183" s="374">
        <v>0</v>
      </c>
      <c r="AA183" s="16">
        <f t="shared" si="164"/>
        <v>0</v>
      </c>
      <c r="AB183" s="19">
        <f>FEBRERO!AD183</f>
        <v>0</v>
      </c>
      <c r="AC183" s="374">
        <v>0</v>
      </c>
      <c r="AD183" s="16">
        <f t="shared" si="165"/>
        <v>0</v>
      </c>
      <c r="AE183" s="19">
        <f>FEBRERO!AG183</f>
        <v>0</v>
      </c>
      <c r="AF183" s="374">
        <v>0</v>
      </c>
      <c r="AG183" s="16">
        <f t="shared" si="166"/>
        <v>0</v>
      </c>
      <c r="AH183" s="19">
        <f t="shared" si="167"/>
        <v>0</v>
      </c>
      <c r="AI183" s="15">
        <f t="shared" si="168"/>
        <v>0</v>
      </c>
      <c r="AJ183" s="16">
        <f t="shared" si="169"/>
        <v>0</v>
      </c>
      <c r="AK183" s="9"/>
      <c r="AL183" s="372">
        <v>0</v>
      </c>
      <c r="AM183" s="375">
        <v>0</v>
      </c>
      <c r="AN183" s="9"/>
    </row>
    <row r="184" spans="1:40" s="382" customFormat="1" ht="24.95" customHeight="1">
      <c r="A184" s="752"/>
      <c r="B184" s="660"/>
      <c r="N184" s="9"/>
      <c r="P184" s="9"/>
      <c r="Q184" s="9"/>
      <c r="R184" s="9"/>
      <c r="S184" s="366" t="str">
        <f>+IF(FEBRERO!S184=0,"",FEBRERO!S184)</f>
        <v/>
      </c>
      <c r="T184" s="695" t="str">
        <f>+IF(FEBRERO!T184=0,"",FEBRERO!T184)</f>
        <v/>
      </c>
      <c r="U184" s="367"/>
      <c r="V184" s="161"/>
      <c r="W184" s="161"/>
      <c r="X184" s="161"/>
      <c r="Y184" s="367"/>
      <c r="Z184" s="161"/>
      <c r="AA184" s="166"/>
      <c r="AB184" s="367"/>
      <c r="AC184" s="161"/>
      <c r="AD184" s="166"/>
      <c r="AE184" s="367"/>
      <c r="AF184" s="161"/>
      <c r="AG184" s="166"/>
      <c r="AH184" s="367"/>
      <c r="AI184" s="161"/>
      <c r="AJ184" s="166"/>
      <c r="AK184" s="9"/>
      <c r="AL184" s="172"/>
      <c r="AM184" s="173"/>
      <c r="AN184" s="9"/>
    </row>
    <row r="185" spans="1:40" s="382" customFormat="1" ht="24.95" customHeight="1">
      <c r="A185" s="752"/>
      <c r="B185" s="660"/>
      <c r="N185" s="9"/>
      <c r="P185" s="9"/>
      <c r="Q185" s="9"/>
      <c r="R185" s="9"/>
      <c r="S185" s="704">
        <f>+IF(FEBRERO!S185=0,"",FEBRERO!S185)</f>
        <v>3300000</v>
      </c>
      <c r="T185" s="722" t="str">
        <f>+IF(FEBRERO!T185=0,"",FEBRERO!T185)</f>
        <v>Otras Transferencias</v>
      </c>
      <c r="U185" s="128">
        <f t="shared" ref="U185:AJ185" si="170">U186+U187+U191</f>
        <v>50000000</v>
      </c>
      <c r="V185" s="122">
        <f t="shared" si="170"/>
        <v>0</v>
      </c>
      <c r="W185" s="122">
        <f t="shared" si="170"/>
        <v>2950868</v>
      </c>
      <c r="X185" s="129">
        <f t="shared" si="170"/>
        <v>52950868</v>
      </c>
      <c r="Y185" s="128">
        <f t="shared" si="170"/>
        <v>0</v>
      </c>
      <c r="Z185" s="122">
        <f t="shared" si="170"/>
        <v>12249622</v>
      </c>
      <c r="AA185" s="130">
        <f t="shared" si="170"/>
        <v>12249622</v>
      </c>
      <c r="AB185" s="128">
        <f t="shared" si="170"/>
        <v>0</v>
      </c>
      <c r="AC185" s="122">
        <f t="shared" si="170"/>
        <v>11954535</v>
      </c>
      <c r="AD185" s="130">
        <f t="shared" si="170"/>
        <v>11954535</v>
      </c>
      <c r="AE185" s="128">
        <f t="shared" si="170"/>
        <v>0</v>
      </c>
      <c r="AF185" s="122">
        <f t="shared" si="170"/>
        <v>2655781</v>
      </c>
      <c r="AG185" s="130">
        <f t="shared" si="170"/>
        <v>2655781</v>
      </c>
      <c r="AH185" s="128">
        <f t="shared" si="170"/>
        <v>40701246</v>
      </c>
      <c r="AI185" s="122">
        <f t="shared" si="170"/>
        <v>40996333</v>
      </c>
      <c r="AJ185" s="130">
        <f t="shared" si="170"/>
        <v>50295087</v>
      </c>
      <c r="AK185" s="9"/>
      <c r="AL185" s="128">
        <f>AL186+AL187+AL191</f>
        <v>0</v>
      </c>
      <c r="AM185" s="130">
        <f>AM186+AM187+AM191</f>
        <v>2950868</v>
      </c>
      <c r="AN185" s="9"/>
    </row>
    <row r="186" spans="1:40" s="382" customFormat="1" ht="24.95" customHeight="1">
      <c r="A186" s="752"/>
      <c r="B186" s="660"/>
      <c r="N186" s="9"/>
      <c r="P186" s="9"/>
      <c r="Q186" s="9"/>
      <c r="R186" s="9"/>
      <c r="S186" s="705">
        <f>+IF(FEBRERO!S186=0,"",FEBRERO!S186)</f>
        <v>3300100</v>
      </c>
      <c r="T186" s="723" t="str">
        <f>+IF(FEBRERO!T186=0,"",FEBRERO!T186)</f>
        <v>Sentencias y Conciliaciones</v>
      </c>
      <c r="U186" s="29">
        <f>+ENERO!U186</f>
        <v>50000000</v>
      </c>
      <c r="V186" s="15">
        <f>FEBRERO!V186+MARZO!AL186</f>
        <v>-3093668</v>
      </c>
      <c r="W186" s="15">
        <f>FEBRERO!W186+MARZO!AM186</f>
        <v>0</v>
      </c>
      <c r="X186" s="18">
        <f>SUM(U186:W186)</f>
        <v>46906332</v>
      </c>
      <c r="Y186" s="19">
        <f>FEBRERO!AA186</f>
        <v>0</v>
      </c>
      <c r="Z186" s="374">
        <v>6205086</v>
      </c>
      <c r="AA186" s="16">
        <f>SUM(Y186:Z186)</f>
        <v>6205086</v>
      </c>
      <c r="AB186" s="19">
        <f>FEBRERO!AD186</f>
        <v>0</v>
      </c>
      <c r="AC186" s="374">
        <v>6205086</v>
      </c>
      <c r="AD186" s="16">
        <f>SUM(AB186:AC186)</f>
        <v>6205086</v>
      </c>
      <c r="AE186" s="19">
        <f>FEBRERO!AG186</f>
        <v>0</v>
      </c>
      <c r="AF186" s="374">
        <v>0</v>
      </c>
      <c r="AG186" s="16">
        <f>SUM(AE186:AF186)</f>
        <v>0</v>
      </c>
      <c r="AH186" s="19">
        <f>X186-AA186</f>
        <v>40701246</v>
      </c>
      <c r="AI186" s="15">
        <f>X186-AD186</f>
        <v>40701246</v>
      </c>
      <c r="AJ186" s="16">
        <f>X186-AG186</f>
        <v>46906332</v>
      </c>
      <c r="AK186" s="9"/>
      <c r="AL186" s="372">
        <f>-142800-2950868</f>
        <v>-3093668</v>
      </c>
      <c r="AM186" s="375">
        <v>0</v>
      </c>
      <c r="AN186" s="9"/>
    </row>
    <row r="187" spans="1:40" s="382" customFormat="1" ht="24.95" customHeight="1">
      <c r="A187" s="752"/>
      <c r="B187" s="660"/>
      <c r="N187" s="9"/>
      <c r="P187" s="9"/>
      <c r="Q187" s="9"/>
      <c r="R187" s="9"/>
      <c r="S187" s="705">
        <f>+IF(FEBRERO!S187=0,"",FEBRERO!S187)</f>
        <v>3300200</v>
      </c>
      <c r="T187" s="723" t="str">
        <f>+IF(FEBRERO!T187=0,"",FEBRERO!T187)</f>
        <v>Destinatarios de otras transferencias</v>
      </c>
      <c r="U187" s="29">
        <f t="shared" ref="U187:AM187" si="171">SUM(U188:U190)</f>
        <v>0</v>
      </c>
      <c r="V187" s="15">
        <f t="shared" si="171"/>
        <v>3093668</v>
      </c>
      <c r="W187" s="15">
        <f t="shared" si="171"/>
        <v>2950868</v>
      </c>
      <c r="X187" s="18">
        <f t="shared" si="171"/>
        <v>6044536</v>
      </c>
      <c r="Y187" s="19">
        <f t="shared" si="171"/>
        <v>0</v>
      </c>
      <c r="Z187" s="142">
        <f t="shared" si="171"/>
        <v>6044536</v>
      </c>
      <c r="AA187" s="16">
        <f t="shared" si="171"/>
        <v>6044536</v>
      </c>
      <c r="AB187" s="19">
        <f t="shared" si="171"/>
        <v>0</v>
      </c>
      <c r="AC187" s="142">
        <f t="shared" si="171"/>
        <v>5749449</v>
      </c>
      <c r="AD187" s="16">
        <f t="shared" si="171"/>
        <v>5749449</v>
      </c>
      <c r="AE187" s="19">
        <f t="shared" si="171"/>
        <v>0</v>
      </c>
      <c r="AF187" s="142">
        <f t="shared" si="171"/>
        <v>2655781</v>
      </c>
      <c r="AG187" s="16">
        <f t="shared" si="171"/>
        <v>2655781</v>
      </c>
      <c r="AH187" s="19">
        <f t="shared" si="171"/>
        <v>0</v>
      </c>
      <c r="AI187" s="15">
        <f t="shared" si="171"/>
        <v>295087</v>
      </c>
      <c r="AJ187" s="16">
        <f t="shared" si="171"/>
        <v>3388755</v>
      </c>
      <c r="AK187" s="9"/>
      <c r="AL187" s="29">
        <f t="shared" si="171"/>
        <v>3093668</v>
      </c>
      <c r="AM187" s="26">
        <f t="shared" si="171"/>
        <v>2950868</v>
      </c>
      <c r="AN187" s="9"/>
    </row>
    <row r="188" spans="1:40" s="382" customFormat="1" ht="24.95" customHeight="1">
      <c r="A188" s="752"/>
      <c r="B188" s="661"/>
      <c r="N188" s="9"/>
      <c r="P188" s="9"/>
      <c r="Q188" s="9"/>
      <c r="R188" s="9"/>
      <c r="S188" s="706" t="str">
        <f>+IF(FEBRERO!S188=0,"",FEBRERO!S188)</f>
        <v>3300200-1</v>
      </c>
      <c r="T188" s="723" t="str">
        <f>+IF(FEBRERO!T188=0,"",FEBRERO!T188)</f>
        <v>COHAN</v>
      </c>
      <c r="U188" s="29">
        <f>+ENERO!U188</f>
        <v>0</v>
      </c>
      <c r="V188" s="15">
        <f>FEBRERO!V188+MARZO!AL188</f>
        <v>3093668</v>
      </c>
      <c r="W188" s="15">
        <f>FEBRERO!W188+MARZO!AM188</f>
        <v>0</v>
      </c>
      <c r="X188" s="18">
        <f>SUM(U188:W188)</f>
        <v>3093668</v>
      </c>
      <c r="Y188" s="19">
        <f>FEBRERO!AA188</f>
        <v>0</v>
      </c>
      <c r="Z188" s="374">
        <v>3093668</v>
      </c>
      <c r="AA188" s="16">
        <f>SUM(Y188:Z188)</f>
        <v>3093668</v>
      </c>
      <c r="AB188" s="19">
        <f>FEBRERO!AD188</f>
        <v>0</v>
      </c>
      <c r="AC188" s="374">
        <v>3093668</v>
      </c>
      <c r="AD188" s="16">
        <f>SUM(AB188:AC188)</f>
        <v>3093668</v>
      </c>
      <c r="AE188" s="19">
        <f>FEBRERO!AG188</f>
        <v>0</v>
      </c>
      <c r="AF188" s="374">
        <v>0</v>
      </c>
      <c r="AG188" s="16">
        <f>SUM(AE188:AF188)</f>
        <v>0</v>
      </c>
      <c r="AH188" s="19">
        <f>X188-AA188</f>
        <v>0</v>
      </c>
      <c r="AI188" s="15">
        <f>X188-AD188</f>
        <v>0</v>
      </c>
      <c r="AJ188" s="16">
        <f>X188-AG188</f>
        <v>3093668</v>
      </c>
      <c r="AK188" s="9"/>
      <c r="AL188" s="372">
        <f>142800+2950868</f>
        <v>3093668</v>
      </c>
      <c r="AM188" s="375">
        <v>0</v>
      </c>
      <c r="AN188" s="9"/>
    </row>
    <row r="189" spans="1:40" s="382" customFormat="1" ht="24.95" customHeight="1">
      <c r="A189" s="752"/>
      <c r="B189" s="661"/>
      <c r="N189" s="9"/>
      <c r="P189" s="9"/>
      <c r="Q189" s="9"/>
      <c r="R189" s="9"/>
      <c r="S189" s="706" t="str">
        <f>+IF(FEBRERO!S189=0,"",FEBRERO!S189)</f>
        <v>3300200-2</v>
      </c>
      <c r="T189" s="723" t="str">
        <f>+IF(FEBRERO!T189=0,"",FEBRERO!T189)</f>
        <v>AESA</v>
      </c>
      <c r="U189" s="29">
        <f>+ENERO!U189</f>
        <v>0</v>
      </c>
      <c r="V189" s="15">
        <f>FEBRERO!V189+MARZO!AL189</f>
        <v>0</v>
      </c>
      <c r="W189" s="15">
        <f>FEBRERO!W189+MARZO!AM189</f>
        <v>2950868</v>
      </c>
      <c r="X189" s="18">
        <f>SUM(U189:W189)</f>
        <v>2950868</v>
      </c>
      <c r="Y189" s="19">
        <f>FEBRERO!AA189</f>
        <v>0</v>
      </c>
      <c r="Z189" s="374">
        <v>2950868</v>
      </c>
      <c r="AA189" s="16">
        <f>SUM(Y189:Z189)</f>
        <v>2950868</v>
      </c>
      <c r="AB189" s="19">
        <f>FEBRERO!AD189</f>
        <v>0</v>
      </c>
      <c r="AC189" s="374">
        <v>2655781</v>
      </c>
      <c r="AD189" s="16">
        <f>SUM(AB189:AC189)</f>
        <v>2655781</v>
      </c>
      <c r="AE189" s="19">
        <f>FEBRERO!AG189</f>
        <v>0</v>
      </c>
      <c r="AF189" s="374">
        <v>2655781</v>
      </c>
      <c r="AG189" s="16">
        <f>SUM(AE189:AF189)</f>
        <v>2655781</v>
      </c>
      <c r="AH189" s="19">
        <f>X189-AA189</f>
        <v>0</v>
      </c>
      <c r="AI189" s="15">
        <f>X189-AD189</f>
        <v>295087</v>
      </c>
      <c r="AJ189" s="16">
        <f>X189-AG189</f>
        <v>295087</v>
      </c>
      <c r="AK189" s="9"/>
      <c r="AL189" s="372">
        <v>0</v>
      </c>
      <c r="AM189" s="375">
        <v>2950868</v>
      </c>
      <c r="AN189" s="9"/>
    </row>
    <row r="190" spans="1:40" s="382" customFormat="1" ht="24.95" customHeight="1">
      <c r="A190" s="752"/>
      <c r="B190" s="661"/>
      <c r="N190" s="9"/>
      <c r="P190" s="9"/>
      <c r="Q190" s="9"/>
      <c r="R190" s="9"/>
      <c r="S190" s="706" t="str">
        <f>+IF(FEBRERO!S190=0,"",FEBRERO!S190)</f>
        <v>3300200-3</v>
      </c>
      <c r="T190" s="723" t="str">
        <f>+IF(FEBRERO!T190=0,"",FEBRERO!T190)</f>
        <v xml:space="preserve">OTRAS </v>
      </c>
      <c r="U190" s="29">
        <f>+ENERO!U190</f>
        <v>0</v>
      </c>
      <c r="V190" s="15">
        <f>FEBRERO!V190+MARZO!AL190</f>
        <v>0</v>
      </c>
      <c r="W190" s="15">
        <f>FEBRERO!W190+MARZO!AM190</f>
        <v>0</v>
      </c>
      <c r="X190" s="18">
        <f>SUM(U190:W190)</f>
        <v>0</v>
      </c>
      <c r="Y190" s="19">
        <f>FEBRERO!AA190</f>
        <v>0</v>
      </c>
      <c r="Z190" s="374">
        <v>0</v>
      </c>
      <c r="AA190" s="16">
        <f>SUM(Y190:Z190)</f>
        <v>0</v>
      </c>
      <c r="AB190" s="19">
        <f>FEBRERO!AD190</f>
        <v>0</v>
      </c>
      <c r="AC190" s="374">
        <v>0</v>
      </c>
      <c r="AD190" s="16">
        <f>SUM(AB190:AC190)</f>
        <v>0</v>
      </c>
      <c r="AE190" s="19">
        <f>FEBRERO!AG190</f>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c r="A191" s="752"/>
      <c r="B191" s="661"/>
      <c r="N191" s="9"/>
      <c r="P191" s="9"/>
      <c r="Q191" s="9"/>
      <c r="R191" s="9"/>
      <c r="S191" s="705">
        <f>+IF(FEBRERO!S191=0,"",FEBRERO!S191)</f>
        <v>3399999</v>
      </c>
      <c r="T191" s="723" t="str">
        <f>+IF(FEBRERO!T191=0,"",FEBRERO!T191)</f>
        <v>Vigencias Anteriores</v>
      </c>
      <c r="U191" s="29">
        <f>+ENERO!U191</f>
        <v>0</v>
      </c>
      <c r="V191" s="15">
        <f>FEBRERO!V191+MARZO!AL191</f>
        <v>0</v>
      </c>
      <c r="W191" s="15">
        <f>FEBRERO!W191+MARZO!AM191</f>
        <v>0</v>
      </c>
      <c r="X191" s="18">
        <f>SUM(U191:W191)</f>
        <v>0</v>
      </c>
      <c r="Y191" s="19">
        <f>FEBRERO!AA191</f>
        <v>0</v>
      </c>
      <c r="Z191" s="374">
        <v>0</v>
      </c>
      <c r="AA191" s="16">
        <f>SUM(Y191:Z191)</f>
        <v>0</v>
      </c>
      <c r="AB191" s="19">
        <f>FEBRERO!AD191</f>
        <v>0</v>
      </c>
      <c r="AC191" s="374">
        <v>0</v>
      </c>
      <c r="AD191" s="16">
        <f>SUM(AB191:AC191)</f>
        <v>0</v>
      </c>
      <c r="AE191" s="19">
        <f>FEBRERO!AG191</f>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c r="A192" s="752"/>
      <c r="B192" s="661"/>
      <c r="N192" s="9"/>
      <c r="P192" s="9"/>
      <c r="Q192" s="9"/>
      <c r="R192" s="9"/>
      <c r="S192" s="366" t="str">
        <f>+IF(FEBRERO!S194=0,"",FEBRERO!S194)</f>
        <v/>
      </c>
      <c r="T192" s="695" t="str">
        <f>+IF(FEBRERO!T194=0,"",FEBRERO!T194)</f>
        <v/>
      </c>
      <c r="U192" s="367"/>
      <c r="V192" s="161"/>
      <c r="W192" s="161"/>
      <c r="X192" s="161"/>
      <c r="Y192" s="367"/>
      <c r="Z192" s="161"/>
      <c r="AA192" s="166"/>
      <c r="AB192" s="367"/>
      <c r="AC192" s="161"/>
      <c r="AD192" s="166"/>
      <c r="AE192" s="367"/>
      <c r="AF192" s="161"/>
      <c r="AG192" s="166"/>
      <c r="AH192" s="367"/>
      <c r="AI192" s="161"/>
      <c r="AJ192" s="166"/>
      <c r="AK192" s="9"/>
      <c r="AL192" s="172"/>
      <c r="AM192" s="173"/>
      <c r="AN192" s="9"/>
    </row>
    <row r="193" spans="1:40" s="382" customFormat="1" ht="31.5" customHeight="1">
      <c r="A193" s="752"/>
      <c r="B193" s="661"/>
      <c r="N193" s="9"/>
      <c r="P193" s="9"/>
      <c r="Q193" s="9"/>
      <c r="R193" s="9"/>
      <c r="S193" s="493" t="s">
        <v>325</v>
      </c>
      <c r="T193" s="689" t="s">
        <v>581</v>
      </c>
      <c r="U193" s="470">
        <f>U195+U209</f>
        <v>14750406346</v>
      </c>
      <c r="V193" s="471">
        <f t="shared" ref="V193:AJ193" si="172">V195+V209</f>
        <v>-511701</v>
      </c>
      <c r="W193" s="471">
        <f t="shared" si="172"/>
        <v>1485027773</v>
      </c>
      <c r="X193" s="380">
        <f t="shared" si="172"/>
        <v>16234922418</v>
      </c>
      <c r="Y193" s="379">
        <f t="shared" si="172"/>
        <v>4368246101</v>
      </c>
      <c r="Z193" s="494">
        <f t="shared" si="172"/>
        <v>2476346405</v>
      </c>
      <c r="AA193" s="380">
        <f t="shared" si="172"/>
        <v>6844592506</v>
      </c>
      <c r="AB193" s="470">
        <f t="shared" si="172"/>
        <v>3178973754</v>
      </c>
      <c r="AC193" s="494">
        <f t="shared" si="172"/>
        <v>1633507831</v>
      </c>
      <c r="AD193" s="472">
        <f t="shared" si="172"/>
        <v>4812481585</v>
      </c>
      <c r="AE193" s="379">
        <f t="shared" si="172"/>
        <v>1367478483</v>
      </c>
      <c r="AF193" s="494">
        <f t="shared" si="172"/>
        <v>874397217</v>
      </c>
      <c r="AG193" s="380">
        <f t="shared" si="172"/>
        <v>2241875700</v>
      </c>
      <c r="AH193" s="379">
        <f t="shared" si="172"/>
        <v>9390329912</v>
      </c>
      <c r="AI193" s="471">
        <f t="shared" si="172"/>
        <v>11422440833</v>
      </c>
      <c r="AJ193" s="380">
        <f t="shared" si="172"/>
        <v>13993046718</v>
      </c>
      <c r="AK193" s="9"/>
      <c r="AL193" s="379">
        <f t="shared" ref="AL193:AM193" si="173">AL195+AL209</f>
        <v>-255199945</v>
      </c>
      <c r="AM193" s="380">
        <f t="shared" si="173"/>
        <v>1064237685</v>
      </c>
      <c r="AN193" s="9"/>
    </row>
    <row r="194" spans="1:40" s="382" customFormat="1" ht="24.95" customHeight="1">
      <c r="A194" s="752"/>
      <c r="B194" s="661"/>
      <c r="N194" s="9"/>
      <c r="P194" s="9"/>
      <c r="Q194" s="9"/>
      <c r="R194" s="9"/>
      <c r="S194" s="366"/>
      <c r="T194" s="695"/>
      <c r="U194" s="367"/>
      <c r="V194" s="161"/>
      <c r="W194" s="161"/>
      <c r="X194" s="161"/>
      <c r="Y194" s="367"/>
      <c r="Z194" s="161"/>
      <c r="AA194" s="166"/>
      <c r="AB194" s="367"/>
      <c r="AC194" s="161"/>
      <c r="AD194" s="166"/>
      <c r="AE194" s="367"/>
      <c r="AF194" s="161"/>
      <c r="AG194" s="166"/>
      <c r="AH194" s="367"/>
      <c r="AI194" s="161"/>
      <c r="AJ194" s="166"/>
      <c r="AK194" s="9"/>
      <c r="AL194" s="172"/>
      <c r="AM194" s="173"/>
      <c r="AN194" s="9"/>
    </row>
    <row r="195" spans="1:40" s="382" customFormat="1" ht="24.95" customHeight="1">
      <c r="A195" s="752"/>
      <c r="B195" s="661"/>
      <c r="N195" s="9"/>
      <c r="P195" s="9"/>
      <c r="Q195" s="9"/>
      <c r="R195" s="9"/>
      <c r="S195" s="703">
        <f>+IF(FEBRERO!S195=0,"",FEBRERO!S195)</f>
        <v>4000000</v>
      </c>
      <c r="T195" s="725" t="str">
        <f>+IF(FEBRERO!T195=0,"",FEBRERO!T195)</f>
        <v>GASTOS  DE PRESTACION DE SERVICIOS</v>
      </c>
      <c r="U195" s="379">
        <f t="shared" ref="U195:AJ195" si="174">U196</f>
        <v>14750406346</v>
      </c>
      <c r="V195" s="471">
        <f t="shared" si="174"/>
        <v>-511701</v>
      </c>
      <c r="W195" s="471">
        <f t="shared" si="174"/>
        <v>1485027773</v>
      </c>
      <c r="X195" s="472">
        <f t="shared" si="174"/>
        <v>16234922418</v>
      </c>
      <c r="Y195" s="379">
        <f t="shared" si="174"/>
        <v>4368246101</v>
      </c>
      <c r="Z195" s="471">
        <f t="shared" si="174"/>
        <v>2476346405</v>
      </c>
      <c r="AA195" s="380">
        <f t="shared" si="174"/>
        <v>6844592506</v>
      </c>
      <c r="AB195" s="379">
        <f t="shared" si="174"/>
        <v>3178973754</v>
      </c>
      <c r="AC195" s="471">
        <f t="shared" si="174"/>
        <v>1633507831</v>
      </c>
      <c r="AD195" s="380">
        <f t="shared" si="174"/>
        <v>4812481585</v>
      </c>
      <c r="AE195" s="379">
        <f t="shared" si="174"/>
        <v>1367478483</v>
      </c>
      <c r="AF195" s="471">
        <f t="shared" si="174"/>
        <v>874397217</v>
      </c>
      <c r="AG195" s="380">
        <f t="shared" si="174"/>
        <v>2241875700</v>
      </c>
      <c r="AH195" s="379">
        <f t="shared" si="174"/>
        <v>9390329912</v>
      </c>
      <c r="AI195" s="471">
        <f t="shared" si="174"/>
        <v>11422440833</v>
      </c>
      <c r="AJ195" s="380">
        <f t="shared" si="174"/>
        <v>13993046718</v>
      </c>
      <c r="AK195" s="9"/>
      <c r="AL195" s="128">
        <f>AL196</f>
        <v>-255199945</v>
      </c>
      <c r="AM195" s="130">
        <f>AM196</f>
        <v>1064237685</v>
      </c>
      <c r="AN195" s="9"/>
    </row>
    <row r="196" spans="1:40" s="382" customFormat="1" ht="24.95" customHeight="1">
      <c r="A196" s="752"/>
      <c r="B196" s="661"/>
      <c r="N196" s="9"/>
      <c r="P196" s="9"/>
      <c r="Q196" s="9"/>
      <c r="R196" s="9"/>
      <c r="S196" s="704">
        <f>+IF(FEBRERO!S196=0,"",FEBRERO!S196)</f>
        <v>4100000</v>
      </c>
      <c r="T196" s="722" t="str">
        <f>+IF(FEBRERO!T196=0,"",FEBRERO!T196)</f>
        <v>Insumos y Suministros Hospitalarios</v>
      </c>
      <c r="U196" s="128">
        <f t="shared" ref="U196:AJ196" si="175">U197+U205+U207</f>
        <v>14750406346</v>
      </c>
      <c r="V196" s="122">
        <f t="shared" si="175"/>
        <v>-511701</v>
      </c>
      <c r="W196" s="122">
        <f t="shared" si="175"/>
        <v>1485027773</v>
      </c>
      <c r="X196" s="129">
        <f t="shared" si="175"/>
        <v>16234922418</v>
      </c>
      <c r="Y196" s="128">
        <f t="shared" si="175"/>
        <v>4368246101</v>
      </c>
      <c r="Z196" s="122">
        <f t="shared" si="175"/>
        <v>2476346405</v>
      </c>
      <c r="AA196" s="130">
        <f t="shared" si="175"/>
        <v>6844592506</v>
      </c>
      <c r="AB196" s="128">
        <f t="shared" si="175"/>
        <v>3178973754</v>
      </c>
      <c r="AC196" s="122">
        <f t="shared" si="175"/>
        <v>1633507831</v>
      </c>
      <c r="AD196" s="130">
        <f t="shared" si="175"/>
        <v>4812481585</v>
      </c>
      <c r="AE196" s="128">
        <f t="shared" si="175"/>
        <v>1367478483</v>
      </c>
      <c r="AF196" s="122">
        <f t="shared" si="175"/>
        <v>874397217</v>
      </c>
      <c r="AG196" s="130">
        <f t="shared" si="175"/>
        <v>2241875700</v>
      </c>
      <c r="AH196" s="128">
        <f t="shared" si="175"/>
        <v>9390329912</v>
      </c>
      <c r="AI196" s="122">
        <f t="shared" si="175"/>
        <v>11422440833</v>
      </c>
      <c r="AJ196" s="130">
        <f t="shared" si="175"/>
        <v>13993046718</v>
      </c>
      <c r="AK196" s="10"/>
      <c r="AL196" s="128">
        <f>AL197+AL205+AL207</f>
        <v>-255199945</v>
      </c>
      <c r="AM196" s="130">
        <f>AM197+AM205+AM207</f>
        <v>1064237685</v>
      </c>
      <c r="AN196" s="9"/>
    </row>
    <row r="197" spans="1:40" s="382" customFormat="1" ht="24.95" customHeight="1">
      <c r="A197" s="752"/>
      <c r="B197" s="661"/>
      <c r="N197" s="9"/>
      <c r="P197" s="9"/>
      <c r="Q197" s="9"/>
      <c r="R197" s="9"/>
      <c r="S197" s="705">
        <f>+IF(FEBRERO!S197=0,"",FEBRERO!S197)</f>
        <v>4100100</v>
      </c>
      <c r="T197" s="723" t="str">
        <f>+IF(FEBRERO!T197=0,"",FEBRERO!T197)</f>
        <v>Compra de Bienes para la Prestacion de servicios</v>
      </c>
      <c r="U197" s="29">
        <f t="shared" ref="U197:AJ197" si="176">SUM(U198:U204)</f>
        <v>13250406346</v>
      </c>
      <c r="V197" s="15">
        <f t="shared" si="176"/>
        <v>-27000000</v>
      </c>
      <c r="W197" s="15">
        <f t="shared" si="176"/>
        <v>0</v>
      </c>
      <c r="X197" s="18">
        <f t="shared" si="176"/>
        <v>13223406346</v>
      </c>
      <c r="Y197" s="19">
        <f t="shared" si="176"/>
        <v>3218766223</v>
      </c>
      <c r="Z197" s="142">
        <f t="shared" si="176"/>
        <v>904310211</v>
      </c>
      <c r="AA197" s="16">
        <f t="shared" si="176"/>
        <v>4123076434</v>
      </c>
      <c r="AB197" s="19">
        <f t="shared" si="176"/>
        <v>2034823894</v>
      </c>
      <c r="AC197" s="142">
        <f t="shared" si="176"/>
        <v>867475053</v>
      </c>
      <c r="AD197" s="16">
        <f t="shared" si="176"/>
        <v>2902298947</v>
      </c>
      <c r="AE197" s="19">
        <f t="shared" si="176"/>
        <v>467998605</v>
      </c>
      <c r="AF197" s="142">
        <f t="shared" si="176"/>
        <v>155605041</v>
      </c>
      <c r="AG197" s="16">
        <f t="shared" si="176"/>
        <v>623603646</v>
      </c>
      <c r="AH197" s="19">
        <f t="shared" si="176"/>
        <v>9100329912</v>
      </c>
      <c r="AI197" s="15">
        <f t="shared" si="176"/>
        <v>10321107399</v>
      </c>
      <c r="AJ197" s="16">
        <f t="shared" si="176"/>
        <v>12599802700</v>
      </c>
      <c r="AK197" s="9"/>
      <c r="AL197" s="29">
        <f>SUM(AL198:AL204)</f>
        <v>218000000</v>
      </c>
      <c r="AM197" s="26">
        <f>SUM(AM198:AM204)</f>
        <v>0</v>
      </c>
      <c r="AN197" s="9"/>
    </row>
    <row r="198" spans="1:40" s="382" customFormat="1" ht="24.95" customHeight="1">
      <c r="A198" s="752"/>
      <c r="B198" s="661"/>
      <c r="N198" s="9"/>
      <c r="P198" s="9"/>
      <c r="Q198" s="9"/>
      <c r="R198" s="9"/>
      <c r="S198" s="706" t="str">
        <f>+IF(FEBRERO!S198=0,"",FEBRERO!S198)</f>
        <v>4100100-1</v>
      </c>
      <c r="T198" s="724" t="str">
        <f>+IF(FEBRERO!T198=0,"",FEBRERO!T198)</f>
        <v>Productos Farmaceuticos</v>
      </c>
      <c r="U198" s="29">
        <f>+ENERO!U198</f>
        <v>6473158346</v>
      </c>
      <c r="V198" s="15">
        <f>FEBRERO!V198+MARZO!AL198</f>
        <v>-27000000</v>
      </c>
      <c r="W198" s="15">
        <f>FEBRERO!W198+MARZO!AM198</f>
        <v>0</v>
      </c>
      <c r="X198" s="18">
        <f t="shared" ref="X198:X204" si="177">SUM(U198:W198)</f>
        <v>6446158346</v>
      </c>
      <c r="Y198" s="19">
        <f>FEBRERO!AA198</f>
        <v>1284949419</v>
      </c>
      <c r="Z198" s="374">
        <v>230656420</v>
      </c>
      <c r="AA198" s="16">
        <f t="shared" ref="AA198:AA204" si="178">SUM(Y198:Z198)</f>
        <v>1515605839</v>
      </c>
      <c r="AB198" s="19">
        <f>FEBRERO!AD198</f>
        <v>734406315</v>
      </c>
      <c r="AC198" s="374">
        <v>294027474</v>
      </c>
      <c r="AD198" s="16">
        <f t="shared" ref="AD198:AD204" si="179">SUM(AB198:AC198)</f>
        <v>1028433789</v>
      </c>
      <c r="AE198" s="19">
        <f>FEBRERO!AG198</f>
        <v>166931463</v>
      </c>
      <c r="AF198" s="374">
        <v>9559283</v>
      </c>
      <c r="AG198" s="16">
        <f t="shared" ref="AG198:AG204" si="180">SUM(AE198:AF198)</f>
        <v>176490746</v>
      </c>
      <c r="AH198" s="19">
        <f t="shared" ref="AH198:AH204" si="181">X198-AA198</f>
        <v>4930552507</v>
      </c>
      <c r="AI198" s="15">
        <f t="shared" ref="AI198:AI204" si="182">X198-AD198</f>
        <v>5417724557</v>
      </c>
      <c r="AJ198" s="16">
        <f t="shared" ref="AJ198:AJ204" si="183">X198-AG198</f>
        <v>6269667600</v>
      </c>
      <c r="AK198" s="9"/>
      <c r="AL198" s="372">
        <v>218000000</v>
      </c>
      <c r="AM198" s="375">
        <v>0</v>
      </c>
      <c r="AN198" s="9"/>
    </row>
    <row r="199" spans="1:40" s="382" customFormat="1" ht="24.95" customHeight="1">
      <c r="A199" s="752"/>
      <c r="B199" s="661"/>
      <c r="N199" s="9"/>
      <c r="P199" s="9"/>
      <c r="Q199" s="9"/>
      <c r="R199" s="9"/>
      <c r="S199" s="706" t="str">
        <f>+IF(FEBRERO!S199=0,"",FEBRERO!S199)</f>
        <v>4100100-2</v>
      </c>
      <c r="T199" s="724" t="str">
        <f>+IF(FEBRERO!T199=0,"",FEBRERO!T199)</f>
        <v>Material Médico Quirúrgico</v>
      </c>
      <c r="U199" s="29">
        <f>+ENERO!U199</f>
        <v>4177248000</v>
      </c>
      <c r="V199" s="15">
        <f>FEBRERO!V199+MARZO!AL199</f>
        <v>0</v>
      </c>
      <c r="W199" s="15">
        <f>FEBRERO!W199+MARZO!AM199</f>
        <v>0</v>
      </c>
      <c r="X199" s="18">
        <f t="shared" si="177"/>
        <v>4177248000</v>
      </c>
      <c r="Y199" s="19">
        <f>FEBRERO!AA199</f>
        <v>1057244024</v>
      </c>
      <c r="Z199" s="374">
        <v>353737109</v>
      </c>
      <c r="AA199" s="16">
        <f t="shared" si="178"/>
        <v>1410981133</v>
      </c>
      <c r="AB199" s="19">
        <f>FEBRERO!AD199</f>
        <v>882060778</v>
      </c>
      <c r="AC199" s="374">
        <v>408500719</v>
      </c>
      <c r="AD199" s="16">
        <f t="shared" si="179"/>
        <v>1290561497</v>
      </c>
      <c r="AE199" s="19">
        <f>FEBRERO!AG199</f>
        <v>267742295</v>
      </c>
      <c r="AF199" s="374">
        <v>81795318</v>
      </c>
      <c r="AG199" s="16">
        <f t="shared" si="180"/>
        <v>349537613</v>
      </c>
      <c r="AH199" s="19">
        <f t="shared" si="181"/>
        <v>2766266867</v>
      </c>
      <c r="AI199" s="15">
        <f t="shared" si="182"/>
        <v>2886686503</v>
      </c>
      <c r="AJ199" s="16">
        <f t="shared" si="183"/>
        <v>3827710387</v>
      </c>
      <c r="AK199" s="9"/>
      <c r="AL199" s="372">
        <v>0</v>
      </c>
      <c r="AM199" s="375">
        <v>0</v>
      </c>
      <c r="AN199" s="9"/>
    </row>
    <row r="200" spans="1:40" s="382" customFormat="1" ht="24.95" customHeight="1">
      <c r="A200" s="752"/>
      <c r="B200" s="661"/>
      <c r="N200" s="9"/>
      <c r="P200" s="9"/>
      <c r="Q200" s="9"/>
      <c r="R200" s="9"/>
      <c r="S200" s="706" t="str">
        <f>+IF(FEBRERO!S200=0,"",FEBRERO!S200)</f>
        <v>4100100-3</v>
      </c>
      <c r="T200" s="724" t="str">
        <f>+IF(FEBRERO!T200=0,"",FEBRERO!T200)</f>
        <v>Material de Laboratorio</v>
      </c>
      <c r="U200" s="29">
        <f>+ENERO!U200</f>
        <v>1300000000</v>
      </c>
      <c r="V200" s="15">
        <f>FEBRERO!V200+MARZO!AL200</f>
        <v>0</v>
      </c>
      <c r="W200" s="15">
        <f>FEBRERO!W200+MARZO!AM200</f>
        <v>0</v>
      </c>
      <c r="X200" s="18">
        <f t="shared" si="177"/>
        <v>1300000000</v>
      </c>
      <c r="Y200" s="19">
        <f>FEBRERO!AA200</f>
        <v>636572780</v>
      </c>
      <c r="Z200" s="374">
        <v>319916682</v>
      </c>
      <c r="AA200" s="16">
        <f t="shared" si="178"/>
        <v>956489462</v>
      </c>
      <c r="AB200" s="19">
        <f>FEBRERO!AD200</f>
        <v>315170645</v>
      </c>
      <c r="AC200" s="374">
        <v>124339244</v>
      </c>
      <c r="AD200" s="16">
        <f t="shared" si="179"/>
        <v>439509889</v>
      </c>
      <c r="AE200" s="19">
        <f>FEBRERO!AG200</f>
        <v>33324847</v>
      </c>
      <c r="AF200" s="374">
        <v>64250440</v>
      </c>
      <c r="AG200" s="16">
        <f t="shared" si="180"/>
        <v>97575287</v>
      </c>
      <c r="AH200" s="19">
        <f t="shared" si="181"/>
        <v>343510538</v>
      </c>
      <c r="AI200" s="15">
        <f t="shared" si="182"/>
        <v>860490111</v>
      </c>
      <c r="AJ200" s="16">
        <f t="shared" si="183"/>
        <v>1202424713</v>
      </c>
      <c r="AK200" s="9"/>
      <c r="AL200" s="372">
        <v>0</v>
      </c>
      <c r="AM200" s="375">
        <v>0</v>
      </c>
      <c r="AN200" s="9"/>
    </row>
    <row r="201" spans="1:40" s="382" customFormat="1" ht="24.95" customHeight="1">
      <c r="A201" s="752"/>
      <c r="B201" s="661"/>
      <c r="N201" s="9"/>
      <c r="P201" s="9"/>
      <c r="Q201" s="9"/>
      <c r="R201" s="9"/>
      <c r="S201" s="706" t="str">
        <f>+IF(FEBRERO!S201=0,"",FEBRERO!S201)</f>
        <v>4100100-4</v>
      </c>
      <c r="T201" s="724" t="str">
        <f>+IF(FEBRERO!T201=0,"",FEBRERO!T201)</f>
        <v>Material para Odontologia</v>
      </c>
      <c r="U201" s="29">
        <f>+ENERO!U201</f>
        <v>0</v>
      </c>
      <c r="V201" s="15">
        <f>FEBRERO!V201+MARZO!AL201</f>
        <v>0</v>
      </c>
      <c r="W201" s="15">
        <f>FEBRERO!W201+MARZO!AM201</f>
        <v>0</v>
      </c>
      <c r="X201" s="18">
        <f t="shared" si="177"/>
        <v>0</v>
      </c>
      <c r="Y201" s="19">
        <f>FEBRERO!AA201</f>
        <v>0</v>
      </c>
      <c r="Z201" s="374">
        <v>0</v>
      </c>
      <c r="AA201" s="16">
        <f t="shared" si="178"/>
        <v>0</v>
      </c>
      <c r="AB201" s="19">
        <f>FEBRERO!AD201</f>
        <v>0</v>
      </c>
      <c r="AC201" s="374">
        <v>0</v>
      </c>
      <c r="AD201" s="16">
        <f t="shared" si="179"/>
        <v>0</v>
      </c>
      <c r="AE201" s="19">
        <f>FEBRERO!AG201</f>
        <v>0</v>
      </c>
      <c r="AF201" s="374">
        <v>0</v>
      </c>
      <c r="AG201" s="16">
        <f t="shared" si="180"/>
        <v>0</v>
      </c>
      <c r="AH201" s="19">
        <f t="shared" si="181"/>
        <v>0</v>
      </c>
      <c r="AI201" s="15">
        <f t="shared" si="182"/>
        <v>0</v>
      </c>
      <c r="AJ201" s="16">
        <f t="shared" si="183"/>
        <v>0</v>
      </c>
      <c r="AK201" s="9"/>
      <c r="AL201" s="372">
        <v>0</v>
      </c>
      <c r="AM201" s="375">
        <v>0</v>
      </c>
      <c r="AN201" s="9"/>
    </row>
    <row r="202" spans="1:40" s="382" customFormat="1" ht="24.95" customHeight="1">
      <c r="A202" s="752"/>
      <c r="B202" s="661"/>
      <c r="N202" s="9"/>
      <c r="P202" s="9"/>
      <c r="Q202" s="9"/>
      <c r="R202" s="9"/>
      <c r="S202" s="706" t="str">
        <f>+IF(FEBRERO!S202=0,"",FEBRERO!S202)</f>
        <v>4100100-5</v>
      </c>
      <c r="T202" s="724" t="str">
        <f>+IF(FEBRERO!T202=0,"",FEBRERO!T202)</f>
        <v>Material para Rayos X</v>
      </c>
      <c r="U202" s="29">
        <f>+ENERO!U202</f>
        <v>1300000000</v>
      </c>
      <c r="V202" s="15">
        <f>FEBRERO!V202+MARZO!AL202</f>
        <v>0</v>
      </c>
      <c r="W202" s="15">
        <f>FEBRERO!W202+MARZO!AM202</f>
        <v>0</v>
      </c>
      <c r="X202" s="18">
        <f t="shared" si="177"/>
        <v>1300000000</v>
      </c>
      <c r="Y202" s="19">
        <f>FEBRERO!AA202</f>
        <v>240000000</v>
      </c>
      <c r="Z202" s="374">
        <v>0</v>
      </c>
      <c r="AA202" s="16">
        <f t="shared" si="178"/>
        <v>240000000</v>
      </c>
      <c r="AB202" s="19">
        <f>FEBRERO!AD202</f>
        <v>103186156</v>
      </c>
      <c r="AC202" s="374">
        <v>40607616</v>
      </c>
      <c r="AD202" s="16">
        <f t="shared" si="179"/>
        <v>143793772</v>
      </c>
      <c r="AE202" s="19">
        <f>FEBRERO!AG202</f>
        <v>0</v>
      </c>
      <c r="AF202" s="374">
        <v>0</v>
      </c>
      <c r="AG202" s="16">
        <f t="shared" si="180"/>
        <v>0</v>
      </c>
      <c r="AH202" s="19">
        <f t="shared" si="181"/>
        <v>1060000000</v>
      </c>
      <c r="AI202" s="15">
        <f t="shared" si="182"/>
        <v>1156206228</v>
      </c>
      <c r="AJ202" s="16">
        <f t="shared" si="183"/>
        <v>1300000000</v>
      </c>
      <c r="AK202" s="9"/>
      <c r="AL202" s="372">
        <v>0</v>
      </c>
      <c r="AM202" s="375">
        <v>0</v>
      </c>
      <c r="AN202" s="9"/>
    </row>
    <row r="203" spans="1:40" s="382" customFormat="1" ht="24.95" customHeight="1">
      <c r="A203" s="752"/>
      <c r="B203" s="661"/>
      <c r="N203" s="9"/>
      <c r="P203" s="9"/>
      <c r="Q203" s="9"/>
      <c r="R203" s="9"/>
      <c r="S203" s="706" t="str">
        <f>+IF(FEBRERO!S203=0,"",FEBRERO!S203)</f>
        <v/>
      </c>
      <c r="T203" s="724" t="str">
        <f>+IF(FEBRERO!T203=0,"",FEBRERO!T203)</f>
        <v/>
      </c>
      <c r="U203" s="29">
        <f>+ENERO!U203</f>
        <v>0</v>
      </c>
      <c r="V203" s="15">
        <f>FEBRERO!V203+MARZO!AL203</f>
        <v>0</v>
      </c>
      <c r="W203" s="15">
        <f>FEBRERO!W203+MARZO!AM203</f>
        <v>0</v>
      </c>
      <c r="X203" s="18">
        <f t="shared" si="177"/>
        <v>0</v>
      </c>
      <c r="Y203" s="19">
        <f>FEBRERO!AA203</f>
        <v>0</v>
      </c>
      <c r="Z203" s="374">
        <v>0</v>
      </c>
      <c r="AA203" s="16">
        <f t="shared" si="178"/>
        <v>0</v>
      </c>
      <c r="AB203" s="19">
        <f>FEBRERO!AD203</f>
        <v>0</v>
      </c>
      <c r="AC203" s="374">
        <v>0</v>
      </c>
      <c r="AD203" s="16">
        <f t="shared" si="179"/>
        <v>0</v>
      </c>
      <c r="AE203" s="19">
        <f>FEBRERO!AG203</f>
        <v>0</v>
      </c>
      <c r="AF203" s="374">
        <v>0</v>
      </c>
      <c r="AG203" s="16">
        <f t="shared" si="180"/>
        <v>0</v>
      </c>
      <c r="AH203" s="19">
        <f t="shared" si="181"/>
        <v>0</v>
      </c>
      <c r="AI203" s="15">
        <f t="shared" si="182"/>
        <v>0</v>
      </c>
      <c r="AJ203" s="16">
        <f t="shared" si="183"/>
        <v>0</v>
      </c>
      <c r="AK203" s="9"/>
      <c r="AL203" s="372">
        <v>0</v>
      </c>
      <c r="AM203" s="375">
        <v>0</v>
      </c>
      <c r="AN203" s="9"/>
    </row>
    <row r="204" spans="1:40" s="382" customFormat="1" ht="24.95" customHeight="1">
      <c r="A204" s="752"/>
      <c r="B204" s="661"/>
      <c r="N204" s="9"/>
      <c r="P204" s="9"/>
      <c r="Q204" s="9"/>
      <c r="R204" s="9"/>
      <c r="S204" s="706" t="str">
        <f>+IF(FEBRERO!S204=0,"",FEBRERO!S204)</f>
        <v/>
      </c>
      <c r="T204" s="724" t="str">
        <f>+IF(FEBRERO!T204=0,"",FEBRERO!T204)</f>
        <v/>
      </c>
      <c r="U204" s="29">
        <f>+ENERO!U204</f>
        <v>0</v>
      </c>
      <c r="V204" s="15">
        <f>FEBRERO!V204+MARZO!AL204</f>
        <v>0</v>
      </c>
      <c r="W204" s="15">
        <f>FEBRERO!W204+MARZO!AM204</f>
        <v>0</v>
      </c>
      <c r="X204" s="18">
        <f t="shared" si="177"/>
        <v>0</v>
      </c>
      <c r="Y204" s="19">
        <f>FEBRERO!AA204</f>
        <v>0</v>
      </c>
      <c r="Z204" s="374">
        <v>0</v>
      </c>
      <c r="AA204" s="16">
        <f t="shared" si="178"/>
        <v>0</v>
      </c>
      <c r="AB204" s="19">
        <f>FEBRERO!AD204</f>
        <v>0</v>
      </c>
      <c r="AC204" s="374">
        <v>0</v>
      </c>
      <c r="AD204" s="16">
        <f t="shared" si="179"/>
        <v>0</v>
      </c>
      <c r="AE204" s="19">
        <f>FEBRERO!AG204</f>
        <v>0</v>
      </c>
      <c r="AF204" s="374">
        <v>0</v>
      </c>
      <c r="AG204" s="16">
        <f t="shared" si="180"/>
        <v>0</v>
      </c>
      <c r="AH204" s="19">
        <f t="shared" si="181"/>
        <v>0</v>
      </c>
      <c r="AI204" s="15">
        <f t="shared" si="182"/>
        <v>0</v>
      </c>
      <c r="AJ204" s="16">
        <f t="shared" si="183"/>
        <v>0</v>
      </c>
      <c r="AK204" s="9"/>
      <c r="AL204" s="372">
        <v>0</v>
      </c>
      <c r="AM204" s="375">
        <v>0</v>
      </c>
      <c r="AN204" s="9"/>
    </row>
    <row r="205" spans="1:40" s="382" customFormat="1" ht="24.95" customHeight="1">
      <c r="A205" s="752"/>
      <c r="B205" s="661"/>
      <c r="N205" s="9"/>
      <c r="P205" s="9"/>
      <c r="Q205" s="9"/>
      <c r="R205" s="9"/>
      <c r="S205" s="705">
        <f>+IF(FEBRERO!S205=0,"",FEBRERO!S205)</f>
        <v>4100200</v>
      </c>
      <c r="T205" s="723" t="str">
        <f>+IF(FEBRERO!T205=0,"",FEBRERO!T205)</f>
        <v>Gastos Complementarios e Intermedios</v>
      </c>
      <c r="U205" s="29">
        <f t="shared" ref="U205:AJ205" si="184">U206</f>
        <v>1500000000</v>
      </c>
      <c r="V205" s="15">
        <f t="shared" si="184"/>
        <v>0</v>
      </c>
      <c r="W205" s="15">
        <f t="shared" si="184"/>
        <v>0</v>
      </c>
      <c r="X205" s="18">
        <f t="shared" si="184"/>
        <v>1500000000</v>
      </c>
      <c r="Y205" s="19">
        <f t="shared" si="184"/>
        <v>250000000</v>
      </c>
      <c r="Z205" s="142">
        <f t="shared" si="184"/>
        <v>960000000</v>
      </c>
      <c r="AA205" s="16">
        <f t="shared" si="184"/>
        <v>1210000000</v>
      </c>
      <c r="AB205" s="19">
        <f t="shared" si="184"/>
        <v>244669982</v>
      </c>
      <c r="AC205" s="142">
        <f t="shared" si="184"/>
        <v>153996584</v>
      </c>
      <c r="AD205" s="16">
        <f t="shared" si="184"/>
        <v>398666566</v>
      </c>
      <c r="AE205" s="19">
        <f t="shared" si="184"/>
        <v>0</v>
      </c>
      <c r="AF205" s="142">
        <f t="shared" si="184"/>
        <v>124669982</v>
      </c>
      <c r="AG205" s="16">
        <f t="shared" si="184"/>
        <v>124669982</v>
      </c>
      <c r="AH205" s="19">
        <f t="shared" si="184"/>
        <v>290000000</v>
      </c>
      <c r="AI205" s="15">
        <f t="shared" si="184"/>
        <v>1101333434</v>
      </c>
      <c r="AJ205" s="16">
        <f t="shared" si="184"/>
        <v>1375330018</v>
      </c>
      <c r="AK205" s="9"/>
      <c r="AL205" s="29">
        <f>AL206</f>
        <v>0</v>
      </c>
      <c r="AM205" s="26">
        <f>AM206</f>
        <v>0</v>
      </c>
      <c r="AN205" s="9"/>
    </row>
    <row r="206" spans="1:40" s="382" customFormat="1" ht="24.95" customHeight="1">
      <c r="A206" s="752"/>
      <c r="B206" s="661"/>
      <c r="N206" s="9"/>
      <c r="P206" s="9"/>
      <c r="Q206" s="9"/>
      <c r="R206" s="9"/>
      <c r="S206" s="706" t="str">
        <f>+IF(FEBRERO!S206=0,"",FEBRERO!S206)</f>
        <v>4100200-1</v>
      </c>
      <c r="T206" s="724" t="str">
        <f>+IF(FEBRERO!T206=0,"",FEBRERO!T206)</f>
        <v>Alimentación</v>
      </c>
      <c r="U206" s="29">
        <f>+ENERO!U206</f>
        <v>1500000000</v>
      </c>
      <c r="V206" s="15">
        <f>FEBRERO!V206+MARZO!AL206</f>
        <v>0</v>
      </c>
      <c r="W206" s="15">
        <f>FEBRERO!W206+MARZO!AM206</f>
        <v>0</v>
      </c>
      <c r="X206" s="18">
        <f>SUM(U206:W206)</f>
        <v>1500000000</v>
      </c>
      <c r="Y206" s="19">
        <f>FEBRERO!AA206</f>
        <v>250000000</v>
      </c>
      <c r="Z206" s="374">
        <v>960000000</v>
      </c>
      <c r="AA206" s="16">
        <f>SUM(Y206:Z206)</f>
        <v>1210000000</v>
      </c>
      <c r="AB206" s="19">
        <f>FEBRERO!AD206</f>
        <v>244669982</v>
      </c>
      <c r="AC206" s="374">
        <v>153996584</v>
      </c>
      <c r="AD206" s="16">
        <f>SUM(AB206:AC206)</f>
        <v>398666566</v>
      </c>
      <c r="AE206" s="19">
        <f>FEBRERO!AG206</f>
        <v>0</v>
      </c>
      <c r="AF206" s="374">
        <v>124669982</v>
      </c>
      <c r="AG206" s="16">
        <f>SUM(AE206:AF206)</f>
        <v>124669982</v>
      </c>
      <c r="AH206" s="19">
        <f>X206-AA206</f>
        <v>290000000</v>
      </c>
      <c r="AI206" s="15">
        <f>X206-AD206</f>
        <v>1101333434</v>
      </c>
      <c r="AJ206" s="16">
        <f>X206-AG206</f>
        <v>1375330018</v>
      </c>
      <c r="AK206" s="9"/>
      <c r="AL206" s="372">
        <v>0</v>
      </c>
      <c r="AM206" s="375">
        <v>0</v>
      </c>
      <c r="AN206" s="9"/>
    </row>
    <row r="207" spans="1:40" s="382" customFormat="1" ht="24.95" customHeight="1" thickBot="1">
      <c r="A207" s="752"/>
      <c r="B207" s="661"/>
      <c r="N207" s="9"/>
      <c r="P207" s="9"/>
      <c r="Q207" s="9"/>
      <c r="R207" s="9"/>
      <c r="S207" s="710">
        <f>+IF(FEBRERO!S207=0,"",FEBRERO!S207)</f>
        <v>4199999</v>
      </c>
      <c r="T207" s="726" t="str">
        <f>+IF(FEBRERO!T207=0,"",FEBRERO!T207)</f>
        <v>Vigencias Anteriores</v>
      </c>
      <c r="U207" s="191">
        <f>+ENERO!U207</f>
        <v>0</v>
      </c>
      <c r="V207" s="121">
        <f>FEBRERO!V207+MARZO!AL207</f>
        <v>26488299</v>
      </c>
      <c r="W207" s="121">
        <f>FEBRERO!W207+MARZO!AM207</f>
        <v>1485027773</v>
      </c>
      <c r="X207" s="126">
        <f>SUM(U207:W207)</f>
        <v>1511516072</v>
      </c>
      <c r="Y207" s="124">
        <f>FEBRERO!AA207</f>
        <v>899479878</v>
      </c>
      <c r="Z207" s="388">
        <v>612036194</v>
      </c>
      <c r="AA207" s="125">
        <f>SUM(Y207:Z207)</f>
        <v>1511516072</v>
      </c>
      <c r="AB207" s="124">
        <f>FEBRERO!AD207</f>
        <v>899479878</v>
      </c>
      <c r="AC207" s="388">
        <v>612036194</v>
      </c>
      <c r="AD207" s="125">
        <f>SUM(AB207:AC207)</f>
        <v>1511516072</v>
      </c>
      <c r="AE207" s="124">
        <f>FEBRERO!AG207</f>
        <v>899479878</v>
      </c>
      <c r="AF207" s="388">
        <v>594122194</v>
      </c>
      <c r="AG207" s="125">
        <f>SUM(AE207:AF207)</f>
        <v>1493602072</v>
      </c>
      <c r="AH207" s="124">
        <f>X207-AA207</f>
        <v>0</v>
      </c>
      <c r="AI207" s="121">
        <f>X207-AD207</f>
        <v>0</v>
      </c>
      <c r="AJ207" s="125">
        <f>X207-AG207</f>
        <v>17914000</v>
      </c>
      <c r="AK207" s="9"/>
      <c r="AL207" s="384">
        <f>-218000000-16000000-9000000-58400000-171799945</f>
        <v>-473199945</v>
      </c>
      <c r="AM207" s="389">
        <v>1064237685</v>
      </c>
      <c r="AN207" s="9"/>
    </row>
    <row r="208" spans="1:40" s="382" customFormat="1" ht="24.95" customHeight="1">
      <c r="A208" s="752"/>
      <c r="B208" s="661"/>
      <c r="N208" s="9"/>
      <c r="P208" s="9"/>
      <c r="Q208" s="9"/>
      <c r="R208" s="9"/>
      <c r="S208" s="489" t="str">
        <f>+IF(FEBRERO!S208=0,"",FEBRERO!S208)</f>
        <v/>
      </c>
      <c r="T208" s="688" t="str">
        <f>+IF(FEBRERO!T208=0,"",FEBRERO!T208)</f>
        <v/>
      </c>
      <c r="U208" s="167"/>
      <c r="V208" s="167"/>
      <c r="W208" s="167"/>
      <c r="X208" s="167"/>
      <c r="Y208" s="490"/>
      <c r="Z208" s="167"/>
      <c r="AA208" s="168"/>
      <c r="AB208" s="490"/>
      <c r="AC208" s="167"/>
      <c r="AD208" s="168"/>
      <c r="AE208" s="490"/>
      <c r="AF208" s="167"/>
      <c r="AG208" s="168"/>
      <c r="AH208" s="490"/>
      <c r="AI208" s="167"/>
      <c r="AJ208" s="168"/>
      <c r="AK208" s="9"/>
      <c r="AL208" s="491"/>
      <c r="AM208" s="492"/>
      <c r="AN208" s="9"/>
    </row>
    <row r="209" spans="1:40" s="382" customFormat="1" ht="24.95" customHeight="1">
      <c r="A209" s="752"/>
      <c r="B209" s="661"/>
      <c r="N209" s="9"/>
      <c r="P209" s="9"/>
      <c r="Q209" s="9"/>
      <c r="R209" s="9"/>
      <c r="S209" s="703">
        <f>+IF(FEBRERO!S209=0,"",FEBRERO!S209)</f>
        <v>5000000</v>
      </c>
      <c r="T209" s="727" t="str">
        <f>+IF(FEBRERO!T209=0,"",FEBRERO!T209)</f>
        <v>GASTOS DE COMERCIALIZACION</v>
      </c>
      <c r="U209" s="470">
        <f t="shared" ref="U209:AJ209" si="185">U210</f>
        <v>0</v>
      </c>
      <c r="V209" s="471">
        <f t="shared" si="185"/>
        <v>0</v>
      </c>
      <c r="W209" s="471">
        <f t="shared" si="185"/>
        <v>0</v>
      </c>
      <c r="X209" s="472">
        <f t="shared" si="185"/>
        <v>0</v>
      </c>
      <c r="Y209" s="379">
        <f t="shared" si="185"/>
        <v>0</v>
      </c>
      <c r="Z209" s="471">
        <f t="shared" si="185"/>
        <v>0</v>
      </c>
      <c r="AA209" s="380">
        <f t="shared" si="185"/>
        <v>0</v>
      </c>
      <c r="AB209" s="379">
        <f t="shared" si="185"/>
        <v>0</v>
      </c>
      <c r="AC209" s="471">
        <f t="shared" si="185"/>
        <v>0</v>
      </c>
      <c r="AD209" s="380">
        <f t="shared" si="185"/>
        <v>0</v>
      </c>
      <c r="AE209" s="379">
        <f t="shared" si="185"/>
        <v>0</v>
      </c>
      <c r="AF209" s="471">
        <f t="shared" si="185"/>
        <v>0</v>
      </c>
      <c r="AG209" s="380">
        <f t="shared" si="185"/>
        <v>0</v>
      </c>
      <c r="AH209" s="379">
        <f t="shared" si="185"/>
        <v>0</v>
      </c>
      <c r="AI209" s="471">
        <f t="shared" si="185"/>
        <v>0</v>
      </c>
      <c r="AJ209" s="380">
        <f t="shared" si="185"/>
        <v>0</v>
      </c>
      <c r="AK209" s="9"/>
      <c r="AL209" s="128">
        <f>AL210</f>
        <v>0</v>
      </c>
      <c r="AM209" s="130">
        <f>AM210</f>
        <v>0</v>
      </c>
      <c r="AN209" s="9"/>
    </row>
    <row r="210" spans="1:40" s="382" customFormat="1" ht="24.95" customHeight="1">
      <c r="A210" s="752"/>
      <c r="B210" s="661"/>
      <c r="N210" s="9"/>
      <c r="P210" s="9"/>
      <c r="Q210" s="9"/>
      <c r="R210" s="9"/>
      <c r="S210" s="704">
        <f>+IF(FEBRERO!S210=0,"",FEBRERO!S210)</f>
        <v>5100000</v>
      </c>
      <c r="T210" s="680" t="str">
        <f>+IF(FEBRERO!T210=0,"",FEBRERO!T210)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30">
        <f t="shared" si="186"/>
        <v>0</v>
      </c>
      <c r="AB210" s="128">
        <f t="shared" si="186"/>
        <v>0</v>
      </c>
      <c r="AC210" s="122">
        <f t="shared" si="186"/>
        <v>0</v>
      </c>
      <c r="AD210" s="130">
        <f t="shared" si="186"/>
        <v>0</v>
      </c>
      <c r="AE210" s="128">
        <f t="shared" si="186"/>
        <v>0</v>
      </c>
      <c r="AF210" s="122">
        <f t="shared" si="186"/>
        <v>0</v>
      </c>
      <c r="AG210" s="130">
        <f t="shared" si="186"/>
        <v>0</v>
      </c>
      <c r="AH210" s="128">
        <f t="shared" si="186"/>
        <v>0</v>
      </c>
      <c r="AI210" s="122">
        <f t="shared" si="186"/>
        <v>0</v>
      </c>
      <c r="AJ210" s="130">
        <f t="shared" si="186"/>
        <v>0</v>
      </c>
      <c r="AK210" s="9"/>
      <c r="AL210" s="128">
        <f>AL211+AL218</f>
        <v>0</v>
      </c>
      <c r="AM210" s="130">
        <f>AM211+AM218</f>
        <v>0</v>
      </c>
      <c r="AN210" s="9"/>
    </row>
    <row r="211" spans="1:40" s="382" customFormat="1" ht="24.95" customHeight="1">
      <c r="A211" s="752"/>
      <c r="B211" s="661"/>
      <c r="N211" s="9"/>
      <c r="P211" s="9"/>
      <c r="Q211" s="9"/>
      <c r="R211" s="9"/>
      <c r="S211" s="705">
        <f>+IF(FEBRERO!S211=0,"",FEBRERO!S211)</f>
        <v>5100100</v>
      </c>
      <c r="T211" s="681" t="str">
        <f>+IF(FEBRERO!T211=0,"",FEBRERO!T211)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6">
        <f t="shared" si="187"/>
        <v>0</v>
      </c>
      <c r="AB211" s="19">
        <f t="shared" si="187"/>
        <v>0</v>
      </c>
      <c r="AC211" s="142">
        <f t="shared" si="187"/>
        <v>0</v>
      </c>
      <c r="AD211" s="16">
        <f t="shared" si="187"/>
        <v>0</v>
      </c>
      <c r="AE211" s="19">
        <f t="shared" si="187"/>
        <v>0</v>
      </c>
      <c r="AF211" s="142">
        <f t="shared" si="187"/>
        <v>0</v>
      </c>
      <c r="AG211" s="16">
        <f t="shared" si="187"/>
        <v>0</v>
      </c>
      <c r="AH211" s="19">
        <f t="shared" si="187"/>
        <v>0</v>
      </c>
      <c r="AI211" s="15">
        <f t="shared" si="187"/>
        <v>0</v>
      </c>
      <c r="AJ211" s="16">
        <f t="shared" si="187"/>
        <v>0</v>
      </c>
      <c r="AK211" s="10"/>
      <c r="AL211" s="29">
        <f>SUM(AL212:AL217)</f>
        <v>0</v>
      </c>
      <c r="AM211" s="26">
        <f>SUM(AM212:AM217)</f>
        <v>0</v>
      </c>
      <c r="AN211" s="9"/>
    </row>
    <row r="212" spans="1:40" s="382" customFormat="1" ht="24.95" customHeight="1">
      <c r="A212" s="752"/>
      <c r="B212" s="661"/>
      <c r="N212" s="9"/>
      <c r="P212" s="9"/>
      <c r="Q212" s="9"/>
      <c r="R212" s="9"/>
      <c r="S212" s="706" t="str">
        <f>+IF(FEBRERO!S212=0,"",FEBRERO!S212)</f>
        <v>5100100-1</v>
      </c>
      <c r="T212" s="682" t="str">
        <f>+IF(FEBRERO!T212=0,"",FEBRERO!T212)</f>
        <v>Productos Farmaceuticos</v>
      </c>
      <c r="U212" s="27">
        <f>+ENERO!U212</f>
        <v>0</v>
      </c>
      <c r="V212" s="15">
        <f>FEBRERO!V212+MARZO!AL212</f>
        <v>0</v>
      </c>
      <c r="W212" s="15">
        <f>FEBRERO!W212+MARZO!AM212</f>
        <v>0</v>
      </c>
      <c r="X212" s="18">
        <f t="shared" ref="X212:X218" si="188">SUM(U212:W212)</f>
        <v>0</v>
      </c>
      <c r="Y212" s="19">
        <f>FEBRERO!AA212</f>
        <v>0</v>
      </c>
      <c r="Z212" s="374">
        <v>0</v>
      </c>
      <c r="AA212" s="16">
        <f t="shared" ref="AA212:AA218" si="189">SUM(Y212:Z212)</f>
        <v>0</v>
      </c>
      <c r="AB212" s="19">
        <f>FEBRERO!AD212</f>
        <v>0</v>
      </c>
      <c r="AC212" s="374">
        <v>0</v>
      </c>
      <c r="AD212" s="16">
        <f t="shared" ref="AD212:AD218" si="190">SUM(AB212:AC212)</f>
        <v>0</v>
      </c>
      <c r="AE212" s="19">
        <f>FEBRERO!AG212</f>
        <v>0</v>
      </c>
      <c r="AF212" s="374">
        <v>0</v>
      </c>
      <c r="AG212" s="16">
        <f t="shared" ref="AG212:AG218" si="191">SUM(AE212:AF212)</f>
        <v>0</v>
      </c>
      <c r="AH212" s="19">
        <f t="shared" ref="AH212:AH218" si="192">X212-AA212</f>
        <v>0</v>
      </c>
      <c r="AI212" s="15">
        <f t="shared" ref="AI212:AI218" si="193">X212-AD212</f>
        <v>0</v>
      </c>
      <c r="AJ212" s="16">
        <f t="shared" ref="AJ212:AJ218" si="194">X212-AG212</f>
        <v>0</v>
      </c>
      <c r="AK212" s="9"/>
      <c r="AL212" s="372">
        <v>0</v>
      </c>
      <c r="AM212" s="375">
        <v>0</v>
      </c>
      <c r="AN212" s="9"/>
    </row>
    <row r="213" spans="1:40" s="382" customFormat="1" ht="24.95" customHeight="1">
      <c r="A213" s="752"/>
      <c r="B213" s="661"/>
      <c r="N213" s="9"/>
      <c r="P213" s="9"/>
      <c r="Q213" s="9"/>
      <c r="R213" s="9"/>
      <c r="S213" s="706" t="str">
        <f>+IF(FEBRERO!S213=0,"",FEBRERO!S213)</f>
        <v>5100100-2</v>
      </c>
      <c r="T213" s="682" t="str">
        <f>+IF(FEBRERO!T213=0,"",FEBRERO!T213)</f>
        <v>Material Médico Quirúrgico</v>
      </c>
      <c r="U213" s="27">
        <f>+ENERO!U213</f>
        <v>0</v>
      </c>
      <c r="V213" s="15">
        <f>FEBRERO!V213+MARZO!AL213</f>
        <v>0</v>
      </c>
      <c r="W213" s="15">
        <f>FEBRERO!W213+MARZO!AM213</f>
        <v>0</v>
      </c>
      <c r="X213" s="18">
        <f t="shared" si="188"/>
        <v>0</v>
      </c>
      <c r="Y213" s="19">
        <f>FEBRERO!AA213</f>
        <v>0</v>
      </c>
      <c r="Z213" s="374">
        <v>0</v>
      </c>
      <c r="AA213" s="16">
        <f t="shared" si="189"/>
        <v>0</v>
      </c>
      <c r="AB213" s="19">
        <f>FEBRERO!AD213</f>
        <v>0</v>
      </c>
      <c r="AC213" s="374">
        <v>0</v>
      </c>
      <c r="AD213" s="16">
        <f t="shared" si="190"/>
        <v>0</v>
      </c>
      <c r="AE213" s="19">
        <f>FEBRERO!AG213</f>
        <v>0</v>
      </c>
      <c r="AF213" s="374">
        <v>0</v>
      </c>
      <c r="AG213" s="16">
        <f t="shared" si="191"/>
        <v>0</v>
      </c>
      <c r="AH213" s="19">
        <f t="shared" si="192"/>
        <v>0</v>
      </c>
      <c r="AI213" s="15">
        <f t="shared" si="193"/>
        <v>0</v>
      </c>
      <c r="AJ213" s="16">
        <f t="shared" si="194"/>
        <v>0</v>
      </c>
      <c r="AK213" s="9"/>
      <c r="AL213" s="372">
        <v>0</v>
      </c>
      <c r="AM213" s="375">
        <v>0</v>
      </c>
      <c r="AN213" s="9"/>
    </row>
    <row r="214" spans="1:40" s="382" customFormat="1" ht="24.95" customHeight="1">
      <c r="A214" s="752"/>
      <c r="B214" s="661"/>
      <c r="N214" s="9"/>
      <c r="P214" s="9"/>
      <c r="Q214" s="9"/>
      <c r="R214" s="9"/>
      <c r="S214" s="706" t="str">
        <f>+IF(FEBRERO!S214=0,"",FEBRERO!S214)</f>
        <v>5100100-3</v>
      </c>
      <c r="T214" s="682" t="str">
        <f>+IF(FEBRERO!T214=0,"",FEBRERO!T214)</f>
        <v>Material de Laboratorio</v>
      </c>
      <c r="U214" s="27">
        <f>+ENERO!U214</f>
        <v>0</v>
      </c>
      <c r="V214" s="15">
        <f>FEBRERO!V214+MARZO!AL214</f>
        <v>0</v>
      </c>
      <c r="W214" s="15">
        <f>FEBRERO!W214+MARZO!AM214</f>
        <v>0</v>
      </c>
      <c r="X214" s="18">
        <f t="shared" si="188"/>
        <v>0</v>
      </c>
      <c r="Y214" s="19">
        <f>FEBRERO!AA214</f>
        <v>0</v>
      </c>
      <c r="Z214" s="374">
        <v>0</v>
      </c>
      <c r="AA214" s="16">
        <f t="shared" si="189"/>
        <v>0</v>
      </c>
      <c r="AB214" s="19">
        <f>FEBRERO!AD214</f>
        <v>0</v>
      </c>
      <c r="AC214" s="374">
        <v>0</v>
      </c>
      <c r="AD214" s="16">
        <f t="shared" si="190"/>
        <v>0</v>
      </c>
      <c r="AE214" s="19">
        <f>FEBRERO!AG214</f>
        <v>0</v>
      </c>
      <c r="AF214" s="374">
        <v>0</v>
      </c>
      <c r="AG214" s="16">
        <f t="shared" si="191"/>
        <v>0</v>
      </c>
      <c r="AH214" s="19">
        <f t="shared" si="192"/>
        <v>0</v>
      </c>
      <c r="AI214" s="15">
        <f t="shared" si="193"/>
        <v>0</v>
      </c>
      <c r="AJ214" s="16">
        <f t="shared" si="194"/>
        <v>0</v>
      </c>
      <c r="AK214" s="9"/>
      <c r="AL214" s="372">
        <v>0</v>
      </c>
      <c r="AM214" s="375">
        <v>0</v>
      </c>
      <c r="AN214" s="9"/>
    </row>
    <row r="215" spans="1:40" s="382" customFormat="1" ht="24.95" customHeight="1">
      <c r="A215" s="752"/>
      <c r="B215" s="661"/>
      <c r="N215" s="9"/>
      <c r="P215" s="9"/>
      <c r="Q215" s="9"/>
      <c r="R215" s="9"/>
      <c r="S215" s="706" t="str">
        <f>+IF(FEBRERO!S215=0,"",FEBRERO!S215)</f>
        <v>5100100-4</v>
      </c>
      <c r="T215" s="682" t="str">
        <f>+IF(FEBRERO!T215=0,"",FEBRERO!T215)</f>
        <v>Material para Odontologia</v>
      </c>
      <c r="U215" s="27">
        <f>+ENERO!U215</f>
        <v>0</v>
      </c>
      <c r="V215" s="15">
        <f>FEBRERO!V215+MARZO!AL215</f>
        <v>0</v>
      </c>
      <c r="W215" s="15">
        <f>FEBRERO!W215+MARZO!AM215</f>
        <v>0</v>
      </c>
      <c r="X215" s="18">
        <f t="shared" si="188"/>
        <v>0</v>
      </c>
      <c r="Y215" s="19">
        <f>FEBRERO!AA215</f>
        <v>0</v>
      </c>
      <c r="Z215" s="374">
        <v>0</v>
      </c>
      <c r="AA215" s="16">
        <f t="shared" si="189"/>
        <v>0</v>
      </c>
      <c r="AB215" s="19">
        <f>FEBRERO!AD215</f>
        <v>0</v>
      </c>
      <c r="AC215" s="374">
        <v>0</v>
      </c>
      <c r="AD215" s="16">
        <f t="shared" si="190"/>
        <v>0</v>
      </c>
      <c r="AE215" s="19">
        <f>FEBRERO!AG215</f>
        <v>0</v>
      </c>
      <c r="AF215" s="374">
        <v>0</v>
      </c>
      <c r="AG215" s="16">
        <f t="shared" si="191"/>
        <v>0</v>
      </c>
      <c r="AH215" s="19">
        <f t="shared" si="192"/>
        <v>0</v>
      </c>
      <c r="AI215" s="15">
        <f t="shared" si="193"/>
        <v>0</v>
      </c>
      <c r="AJ215" s="16">
        <f t="shared" si="194"/>
        <v>0</v>
      </c>
      <c r="AK215" s="9"/>
      <c r="AL215" s="372">
        <v>0</v>
      </c>
      <c r="AM215" s="375">
        <v>0</v>
      </c>
      <c r="AN215" s="9"/>
    </row>
    <row r="216" spans="1:40" s="382" customFormat="1" ht="24.95" customHeight="1">
      <c r="A216" s="752"/>
      <c r="B216" s="661"/>
      <c r="N216" s="9"/>
      <c r="P216" s="9"/>
      <c r="Q216" s="9"/>
      <c r="R216" s="9"/>
      <c r="S216" s="706" t="str">
        <f>+IF(FEBRERO!S216=0,"",FEBRERO!S216)</f>
        <v>5100100-5</v>
      </c>
      <c r="T216" s="682" t="str">
        <f>+IF(FEBRERO!T216=0,"",FEBRERO!T216)</f>
        <v>Material para Rayos X</v>
      </c>
      <c r="U216" s="27">
        <f>+ENERO!U216</f>
        <v>0</v>
      </c>
      <c r="V216" s="15">
        <f>FEBRERO!V216+MARZO!AL216</f>
        <v>0</v>
      </c>
      <c r="W216" s="15">
        <f>FEBRERO!W216+MARZO!AM216</f>
        <v>0</v>
      </c>
      <c r="X216" s="18">
        <f t="shared" si="188"/>
        <v>0</v>
      </c>
      <c r="Y216" s="19">
        <f>FEBRERO!AA216</f>
        <v>0</v>
      </c>
      <c r="Z216" s="374">
        <v>0</v>
      </c>
      <c r="AA216" s="16">
        <f t="shared" si="189"/>
        <v>0</v>
      </c>
      <c r="AB216" s="19">
        <f>FEBRERO!AD216</f>
        <v>0</v>
      </c>
      <c r="AC216" s="374">
        <v>0</v>
      </c>
      <c r="AD216" s="16">
        <f t="shared" si="190"/>
        <v>0</v>
      </c>
      <c r="AE216" s="19">
        <f>FEBRERO!AG216</f>
        <v>0</v>
      </c>
      <c r="AF216" s="374">
        <v>0</v>
      </c>
      <c r="AG216" s="16">
        <f t="shared" si="191"/>
        <v>0</v>
      </c>
      <c r="AH216" s="19">
        <f t="shared" si="192"/>
        <v>0</v>
      </c>
      <c r="AI216" s="15">
        <f t="shared" si="193"/>
        <v>0</v>
      </c>
      <c r="AJ216" s="16">
        <f t="shared" si="194"/>
        <v>0</v>
      </c>
      <c r="AK216" s="9"/>
      <c r="AL216" s="372">
        <v>0</v>
      </c>
      <c r="AM216" s="375">
        <v>0</v>
      </c>
      <c r="AN216" s="9"/>
    </row>
    <row r="217" spans="1:40" s="382" customFormat="1" ht="24.95" customHeight="1">
      <c r="A217" s="752"/>
      <c r="B217" s="661"/>
      <c r="N217" s="9"/>
      <c r="P217" s="9"/>
      <c r="Q217" s="9"/>
      <c r="R217" s="9"/>
      <c r="S217" s="706" t="str">
        <f>+IF(FEBRERO!S217=0,"",FEBRERO!S217)</f>
        <v>5100100-6</v>
      </c>
      <c r="T217" s="682" t="str">
        <f>+IF(FEBRERO!T217=0,"",FEBRERO!T217)</f>
        <v>Material aseo personal, etc.</v>
      </c>
      <c r="U217" s="27">
        <f>+ENERO!U217</f>
        <v>0</v>
      </c>
      <c r="V217" s="15">
        <f>FEBRERO!V217+MARZO!AL217</f>
        <v>0</v>
      </c>
      <c r="W217" s="15">
        <f>FEBRERO!W217+MARZO!AM217</f>
        <v>0</v>
      </c>
      <c r="X217" s="18">
        <f t="shared" si="188"/>
        <v>0</v>
      </c>
      <c r="Y217" s="19">
        <f>FEBRERO!AA217</f>
        <v>0</v>
      </c>
      <c r="Z217" s="374">
        <v>0</v>
      </c>
      <c r="AA217" s="16">
        <f t="shared" si="189"/>
        <v>0</v>
      </c>
      <c r="AB217" s="19">
        <f>FEBRERO!AD217</f>
        <v>0</v>
      </c>
      <c r="AC217" s="374">
        <v>0</v>
      </c>
      <c r="AD217" s="16">
        <f t="shared" si="190"/>
        <v>0</v>
      </c>
      <c r="AE217" s="19">
        <f>FEBRERO!AG217</f>
        <v>0</v>
      </c>
      <c r="AF217" s="374">
        <v>0</v>
      </c>
      <c r="AG217" s="16">
        <f t="shared" si="191"/>
        <v>0</v>
      </c>
      <c r="AH217" s="19">
        <f t="shared" si="192"/>
        <v>0</v>
      </c>
      <c r="AI217" s="15">
        <f t="shared" si="193"/>
        <v>0</v>
      </c>
      <c r="AJ217" s="16">
        <f t="shared" si="194"/>
        <v>0</v>
      </c>
      <c r="AK217" s="9"/>
      <c r="AL217" s="372">
        <v>0</v>
      </c>
      <c r="AM217" s="375">
        <v>0</v>
      </c>
      <c r="AN217" s="9"/>
    </row>
    <row r="218" spans="1:40" s="382" customFormat="1" ht="24.95" customHeight="1" thickBot="1">
      <c r="A218" s="752"/>
      <c r="B218" s="661"/>
      <c r="N218" s="9"/>
      <c r="P218" s="9"/>
      <c r="Q218" s="9"/>
      <c r="R218" s="9"/>
      <c r="S218" s="717">
        <f>+IF(FEBRERO!S218=0,"",FEBRERO!S218)</f>
        <v>5199999</v>
      </c>
      <c r="T218" s="697" t="str">
        <f>+IF(FEBRERO!T218=0,"",FEBRERO!T218)</f>
        <v>Vigencias Anteriores</v>
      </c>
      <c r="U218" s="133">
        <f>+ENERO!U218</f>
        <v>0</v>
      </c>
      <c r="V218" s="121">
        <f>FEBRERO!V218+MARZO!AL218</f>
        <v>0</v>
      </c>
      <c r="W218" s="121">
        <f>FEBRERO!W218+MARZO!AM218</f>
        <v>0</v>
      </c>
      <c r="X218" s="126">
        <f t="shared" si="188"/>
        <v>0</v>
      </c>
      <c r="Y218" s="124">
        <f>FEBRERO!AA218</f>
        <v>0</v>
      </c>
      <c r="Z218" s="388">
        <v>0</v>
      </c>
      <c r="AA218" s="125">
        <f t="shared" si="189"/>
        <v>0</v>
      </c>
      <c r="AB218" s="124">
        <f>FEBRERO!AD218</f>
        <v>0</v>
      </c>
      <c r="AC218" s="388">
        <v>0</v>
      </c>
      <c r="AD218" s="125">
        <f t="shared" si="190"/>
        <v>0</v>
      </c>
      <c r="AE218" s="124">
        <f>FEBRERO!AG218</f>
        <v>0</v>
      </c>
      <c r="AF218" s="388">
        <v>0</v>
      </c>
      <c r="AG218" s="125">
        <f t="shared" si="191"/>
        <v>0</v>
      </c>
      <c r="AH218" s="124">
        <f t="shared" si="192"/>
        <v>0</v>
      </c>
      <c r="AI218" s="121">
        <f t="shared" si="193"/>
        <v>0</v>
      </c>
      <c r="AJ218" s="125">
        <f t="shared" si="194"/>
        <v>0</v>
      </c>
      <c r="AK218" s="9"/>
      <c r="AL218" s="501">
        <v>0</v>
      </c>
      <c r="AM218" s="502">
        <v>0</v>
      </c>
      <c r="AN218" s="9"/>
    </row>
    <row r="219" spans="1:40" s="382" customFormat="1" ht="24.95" customHeight="1" thickBot="1">
      <c r="A219" s="752"/>
      <c r="B219" s="661"/>
      <c r="N219" s="9"/>
      <c r="P219" s="9"/>
      <c r="Q219" s="9"/>
      <c r="R219" s="9"/>
      <c r="S219" s="495" t="str">
        <f>+IF(FEBRERO!S219=0,"",FEBRERO!S219)</f>
        <v/>
      </c>
      <c r="T219" s="694"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2"/>
      <c r="B220" s="661"/>
      <c r="N220" s="9"/>
      <c r="P220" s="9"/>
      <c r="Q220" s="9"/>
      <c r="R220" s="9"/>
      <c r="S220" s="357" t="str">
        <f>+IF(FEBRERO!S220=0,"",FEBRERO!S220)</f>
        <v>C</v>
      </c>
      <c r="T220" s="676" t="str">
        <f>+IF(FEBRERO!T220=0,"",FEBRERO!T220)</f>
        <v xml:space="preserve">SERVICIO DE LA DEUDA </v>
      </c>
      <c r="U220" s="358">
        <f t="shared" ref="U220:AJ220" si="195">U222+U227</f>
        <v>0</v>
      </c>
      <c r="V220" s="359">
        <f t="shared" si="195"/>
        <v>0</v>
      </c>
      <c r="W220" s="359">
        <f t="shared" si="195"/>
        <v>0</v>
      </c>
      <c r="X220" s="362">
        <f t="shared" si="195"/>
        <v>0</v>
      </c>
      <c r="Y220" s="361">
        <f t="shared" si="195"/>
        <v>0</v>
      </c>
      <c r="Z220" s="359">
        <f t="shared" si="195"/>
        <v>0</v>
      </c>
      <c r="AA220" s="362">
        <f t="shared" si="195"/>
        <v>0</v>
      </c>
      <c r="AB220" s="361">
        <f t="shared" si="195"/>
        <v>0</v>
      </c>
      <c r="AC220" s="359">
        <f t="shared" si="195"/>
        <v>0</v>
      </c>
      <c r="AD220" s="362">
        <f t="shared" si="195"/>
        <v>0</v>
      </c>
      <c r="AE220" s="361">
        <f t="shared" si="195"/>
        <v>0</v>
      </c>
      <c r="AF220" s="359">
        <f t="shared" si="195"/>
        <v>0</v>
      </c>
      <c r="AG220" s="362">
        <f t="shared" si="195"/>
        <v>0</v>
      </c>
      <c r="AH220" s="361">
        <f t="shared" si="195"/>
        <v>0</v>
      </c>
      <c r="AI220" s="359">
        <f t="shared" si="195"/>
        <v>0</v>
      </c>
      <c r="AJ220" s="360">
        <f t="shared" si="195"/>
        <v>0</v>
      </c>
      <c r="AK220" s="500"/>
      <c r="AL220" s="361">
        <f>AL222+AL227</f>
        <v>0</v>
      </c>
      <c r="AM220" s="360">
        <f>AM222+AM227</f>
        <v>0</v>
      </c>
      <c r="AN220" s="9"/>
    </row>
    <row r="221" spans="1:40" s="382" customFormat="1" ht="24.95" customHeight="1">
      <c r="A221" s="752"/>
      <c r="B221" s="661"/>
      <c r="N221" s="9"/>
      <c r="P221" s="9"/>
      <c r="Q221" s="9"/>
      <c r="R221" s="9"/>
      <c r="S221" s="366" t="str">
        <f>+IF(FEBRERO!S221=0,"",FEBRERO!S221)</f>
        <v/>
      </c>
      <c r="T221" s="695"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2"/>
      <c r="B222" s="661"/>
      <c r="N222" s="9"/>
      <c r="P222" s="9"/>
      <c r="Q222" s="9"/>
      <c r="R222" s="9"/>
      <c r="S222" s="704">
        <f>+IF(FEBRERO!S222=0,"",FEBRERO!S222)</f>
        <v>7001000</v>
      </c>
      <c r="T222" s="680" t="str">
        <f>+IF(FEBRERO!T222=0,"",FEBRERO!T222)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82" customFormat="1" ht="24.95" customHeight="1">
      <c r="A223" s="752"/>
      <c r="B223" s="661"/>
      <c r="N223" s="9"/>
      <c r="P223" s="9"/>
      <c r="Q223" s="9"/>
      <c r="R223" s="9"/>
      <c r="S223" s="705">
        <f>+IF(FEBRERO!S223=0,"",FEBRERO!S223)</f>
        <v>7001100</v>
      </c>
      <c r="T223" s="681" t="str">
        <f>+IF(FEBRERO!T223=0,"",FEBRERO!T223)</f>
        <v>Amortización deuda Pública Interna</v>
      </c>
      <c r="U223" s="27">
        <f>+ENERO!U223</f>
        <v>0</v>
      </c>
      <c r="V223" s="15">
        <f>FEBRERO!V223+MARZO!AL223</f>
        <v>0</v>
      </c>
      <c r="W223" s="15">
        <f>FEBRERO!W223+MARZO!AM223</f>
        <v>0</v>
      </c>
      <c r="X223" s="18">
        <f>SUM(U223:W223)</f>
        <v>0</v>
      </c>
      <c r="Y223" s="19">
        <f>FEBRERO!AA223</f>
        <v>0</v>
      </c>
      <c r="Z223" s="374">
        <v>0</v>
      </c>
      <c r="AA223" s="18">
        <f>SUM(Y223:Z223)</f>
        <v>0</v>
      </c>
      <c r="AB223" s="19">
        <f>FEBRERO!AD223</f>
        <v>0</v>
      </c>
      <c r="AC223" s="374">
        <v>0</v>
      </c>
      <c r="AD223" s="18">
        <f>SUM(AB223:AC223)</f>
        <v>0</v>
      </c>
      <c r="AE223" s="19">
        <f>FEBRERO!AG223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2"/>
      <c r="B224" s="661"/>
      <c r="N224" s="9"/>
      <c r="P224" s="9"/>
      <c r="Q224" s="9"/>
      <c r="R224" s="9"/>
      <c r="S224" s="705">
        <f>+IF(FEBRERO!S224=0,"",FEBRERO!S224)</f>
        <v>7001200</v>
      </c>
      <c r="T224" s="681" t="str">
        <f>+IF(FEBRERO!T224=0,"",FEBRERO!T224)</f>
        <v>Intereses Comisiones y gastos de la Deuda Pública</v>
      </c>
      <c r="U224" s="27">
        <f>+ENERO!U224</f>
        <v>0</v>
      </c>
      <c r="V224" s="15">
        <f>FEBRERO!V224+MARZO!AL224</f>
        <v>0</v>
      </c>
      <c r="W224" s="15">
        <f>FEBRERO!W224+MARZO!AM224</f>
        <v>0</v>
      </c>
      <c r="X224" s="18">
        <f>SUM(U224:W224)</f>
        <v>0</v>
      </c>
      <c r="Y224" s="19">
        <f>FEBRERO!AA224</f>
        <v>0</v>
      </c>
      <c r="Z224" s="374">
        <v>0</v>
      </c>
      <c r="AA224" s="18">
        <f>SUM(Y224:Z224)</f>
        <v>0</v>
      </c>
      <c r="AB224" s="19">
        <f>FEBRERO!AD224</f>
        <v>0</v>
      </c>
      <c r="AC224" s="374">
        <v>0</v>
      </c>
      <c r="AD224" s="18">
        <f>SUM(AB224:AC224)</f>
        <v>0</v>
      </c>
      <c r="AE224" s="19">
        <f>FEBRERO!AG224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2"/>
      <c r="B225" s="661"/>
      <c r="N225" s="9"/>
      <c r="P225" s="9"/>
      <c r="Q225" s="9"/>
      <c r="R225" s="9"/>
      <c r="S225" s="705">
        <f>+IF(FEBRERO!S225=0,"",FEBRERO!S225)</f>
        <v>7001999</v>
      </c>
      <c r="T225" s="681" t="str">
        <f>+IF(FEBRERO!T225=0,"",FEBRERO!T225)</f>
        <v>Vigencias Anteriores</v>
      </c>
      <c r="U225" s="27">
        <f>+ENERO!U225</f>
        <v>0</v>
      </c>
      <c r="V225" s="15">
        <f>FEBRERO!V225+MARZO!AL225</f>
        <v>0</v>
      </c>
      <c r="W225" s="15">
        <f>FEBRERO!W225+MARZO!AM225</f>
        <v>0</v>
      </c>
      <c r="X225" s="18">
        <f>SUM(U225:W225)</f>
        <v>0</v>
      </c>
      <c r="Y225" s="19">
        <f>FEBRERO!AA225</f>
        <v>0</v>
      </c>
      <c r="Z225" s="374">
        <v>0</v>
      </c>
      <c r="AA225" s="18">
        <f>SUM(Y225:Z225)</f>
        <v>0</v>
      </c>
      <c r="AB225" s="19">
        <f>FEBRERO!AD225</f>
        <v>0</v>
      </c>
      <c r="AC225" s="374">
        <v>0</v>
      </c>
      <c r="AD225" s="18">
        <f>SUM(AB225:AC225)</f>
        <v>0</v>
      </c>
      <c r="AE225" s="19">
        <f>FEBRERO!AG225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2"/>
      <c r="B226" s="661"/>
      <c r="N226" s="9"/>
      <c r="P226" s="9"/>
      <c r="Q226" s="9"/>
      <c r="R226" s="9"/>
      <c r="S226" s="366" t="str">
        <f>+IF(FEBRERO!S226=0,"",FEBRERO!S226)</f>
        <v/>
      </c>
      <c r="T226" s="695"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2"/>
      <c r="B227" s="661"/>
      <c r="N227" s="9"/>
      <c r="P227" s="9"/>
      <c r="Q227" s="9"/>
      <c r="R227" s="9"/>
      <c r="S227" s="704">
        <f>+IF(FEBRERO!S227=0,"",FEBRERO!S227)</f>
        <v>7002001</v>
      </c>
      <c r="T227" s="680" t="str">
        <f>+IF(FEBRERO!T227=0,"",FEBRERO!T227)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82" customFormat="1" ht="24.95" customHeight="1">
      <c r="A228" s="752"/>
      <c r="B228" s="661"/>
      <c r="N228" s="9"/>
      <c r="P228" s="9"/>
      <c r="Q228" s="9"/>
      <c r="R228" s="9"/>
      <c r="S228" s="705">
        <f>+IF(FEBRERO!S228=0,"",FEBRERO!S228)</f>
        <v>7002100</v>
      </c>
      <c r="T228" s="681" t="str">
        <f>+IF(FEBRERO!T228=0,"",FEBRERO!T228)</f>
        <v>Amortización deuda Pública Externa</v>
      </c>
      <c r="U228" s="27">
        <f>+ENERO!U228</f>
        <v>0</v>
      </c>
      <c r="V228" s="15">
        <f>FEBRERO!V228+MARZO!AL228</f>
        <v>0</v>
      </c>
      <c r="W228" s="15">
        <f>FEBRERO!W228+MARZO!AM228</f>
        <v>0</v>
      </c>
      <c r="X228" s="18">
        <f>SUM(U228:W228)</f>
        <v>0</v>
      </c>
      <c r="Y228" s="19">
        <f>FEBRERO!AA228</f>
        <v>0</v>
      </c>
      <c r="Z228" s="374">
        <v>0</v>
      </c>
      <c r="AA228" s="18">
        <f>SUM(Y228:Z228)</f>
        <v>0</v>
      </c>
      <c r="AB228" s="19">
        <f>FEBRERO!AD228</f>
        <v>0</v>
      </c>
      <c r="AC228" s="374">
        <v>0</v>
      </c>
      <c r="AD228" s="18">
        <f>SUM(AB228:AC228)</f>
        <v>0</v>
      </c>
      <c r="AE228" s="19">
        <f>FEBRERO!AG228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2"/>
      <c r="B229" s="661"/>
      <c r="N229" s="9"/>
      <c r="P229" s="9"/>
      <c r="Q229" s="9"/>
      <c r="R229" s="9"/>
      <c r="S229" s="705">
        <f>+IF(FEBRERO!S229=0,"",FEBRERO!S229)</f>
        <v>7002200</v>
      </c>
      <c r="T229" s="681" t="str">
        <f>+IF(FEBRERO!T229=0,"",FEBRERO!T229)</f>
        <v>Intereses Comisiones y gastos de la Deuda Pública</v>
      </c>
      <c r="U229" s="27">
        <f>+ENERO!U229</f>
        <v>0</v>
      </c>
      <c r="V229" s="15">
        <f>FEBRERO!V229+MARZO!AL229</f>
        <v>0</v>
      </c>
      <c r="W229" s="15">
        <f>FEBRERO!W229+MARZO!AM229</f>
        <v>0</v>
      </c>
      <c r="X229" s="18">
        <f>SUM(U229:W229)</f>
        <v>0</v>
      </c>
      <c r="Y229" s="19">
        <f>FEBRERO!AA229</f>
        <v>0</v>
      </c>
      <c r="Z229" s="374">
        <v>0</v>
      </c>
      <c r="AA229" s="18">
        <f>SUM(Y229:Z229)</f>
        <v>0</v>
      </c>
      <c r="AB229" s="19">
        <f>FEBRERO!AD229</f>
        <v>0</v>
      </c>
      <c r="AC229" s="374">
        <v>0</v>
      </c>
      <c r="AD229" s="18">
        <f>SUM(AB229:AC229)</f>
        <v>0</v>
      </c>
      <c r="AE229" s="19">
        <f>FEBRERO!AG229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2"/>
      <c r="B230" s="661"/>
      <c r="N230" s="9"/>
      <c r="P230" s="9"/>
      <c r="Q230" s="9"/>
      <c r="R230" s="9"/>
      <c r="S230" s="710">
        <f>+IF(FEBRERO!S230=0,"",FEBRERO!S230)</f>
        <v>7002999</v>
      </c>
      <c r="T230" s="687" t="str">
        <f>+IF(FEBRERO!T230=0,"",FEBRERO!T230)</f>
        <v>Vigencias Anteriores</v>
      </c>
      <c r="U230" s="133">
        <f>+ENERO!U230</f>
        <v>0</v>
      </c>
      <c r="V230" s="121">
        <f>FEBRERO!V230+MARZO!AL230</f>
        <v>0</v>
      </c>
      <c r="W230" s="121">
        <f>FEBRERO!W230+MARZO!AM230</f>
        <v>0</v>
      </c>
      <c r="X230" s="126">
        <f>SUM(U230:W230)</f>
        <v>0</v>
      </c>
      <c r="Y230" s="124">
        <f>FEBRERO!AA230</f>
        <v>0</v>
      </c>
      <c r="Z230" s="388">
        <v>0</v>
      </c>
      <c r="AA230" s="126">
        <f>SUM(Y230:Z230)</f>
        <v>0</v>
      </c>
      <c r="AB230" s="124">
        <f>FEBRERO!AD230</f>
        <v>0</v>
      </c>
      <c r="AC230" s="388">
        <v>0</v>
      </c>
      <c r="AD230" s="126">
        <f>SUM(AB230:AC230)</f>
        <v>0</v>
      </c>
      <c r="AE230" s="124">
        <f>FEBRERO!AG230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2"/>
      <c r="B231" s="661"/>
      <c r="N231" s="9"/>
      <c r="P231" s="9"/>
      <c r="Q231" s="9"/>
      <c r="R231" s="9"/>
      <c r="S231" s="489" t="str">
        <f>+IF(FEBRERO!S231=0,"",FEBRERO!S231)</f>
        <v/>
      </c>
      <c r="T231" s="688" t="str">
        <f>+IF(FEBRERO!T231=0,"",FEBRERO!T231)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2"/>
      <c r="B232" s="661"/>
      <c r="N232" s="9"/>
      <c r="P232" s="9"/>
      <c r="Q232" s="9"/>
      <c r="R232" s="9"/>
      <c r="S232" s="505" t="str">
        <f>+IF(FEBRERO!S232=0,"",FEBRERO!S232)</f>
        <v>D</v>
      </c>
      <c r="T232" s="696" t="str">
        <f>+IF(FEBRERO!T232=0,"",FEBRERO!T232)</f>
        <v>INVERSION</v>
      </c>
      <c r="U232" s="470">
        <f>U234+U243</f>
        <v>0</v>
      </c>
      <c r="V232" s="471">
        <f t="shared" ref="V232:AJ232" si="198">V234+V243</f>
        <v>0</v>
      </c>
      <c r="W232" s="471">
        <f t="shared" si="198"/>
        <v>433878092</v>
      </c>
      <c r="X232" s="472">
        <f t="shared" si="198"/>
        <v>433878092</v>
      </c>
      <c r="Y232" s="379">
        <f t="shared" si="198"/>
        <v>270702372</v>
      </c>
      <c r="Z232" s="471">
        <f t="shared" si="198"/>
        <v>21998000</v>
      </c>
      <c r="AA232" s="472">
        <f t="shared" si="198"/>
        <v>292700372</v>
      </c>
      <c r="AB232" s="379">
        <f t="shared" si="198"/>
        <v>0</v>
      </c>
      <c r="AC232" s="471">
        <f t="shared" si="198"/>
        <v>142683852</v>
      </c>
      <c r="AD232" s="472">
        <f t="shared" si="198"/>
        <v>142683852</v>
      </c>
      <c r="AE232" s="379">
        <f t="shared" si="198"/>
        <v>0</v>
      </c>
      <c r="AF232" s="471">
        <f t="shared" si="198"/>
        <v>135351186</v>
      </c>
      <c r="AG232" s="472">
        <f t="shared" si="198"/>
        <v>135351186</v>
      </c>
      <c r="AH232" s="379">
        <f t="shared" si="198"/>
        <v>141177720</v>
      </c>
      <c r="AI232" s="471">
        <f t="shared" si="198"/>
        <v>291194240</v>
      </c>
      <c r="AJ232" s="380">
        <f t="shared" si="198"/>
        <v>298526906</v>
      </c>
      <c r="AK232" s="500"/>
      <c r="AL232" s="379">
        <f t="shared" ref="AL232:AM232" si="199">AL234+AL243</f>
        <v>0</v>
      </c>
      <c r="AM232" s="380">
        <f t="shared" si="199"/>
        <v>0</v>
      </c>
      <c r="AN232" s="9"/>
    </row>
    <row r="233" spans="1:40" s="382" customFormat="1" ht="24.95" customHeight="1">
      <c r="A233" s="752"/>
      <c r="B233" s="661"/>
      <c r="N233" s="9"/>
      <c r="P233" s="9"/>
      <c r="Q233" s="9"/>
      <c r="R233" s="9"/>
      <c r="S233" s="366" t="str">
        <f>+IF(FEBRERO!S233=0,"",FEBRERO!S233)</f>
        <v/>
      </c>
      <c r="T233" s="695"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2"/>
      <c r="B234" s="661"/>
      <c r="N234" s="9"/>
      <c r="P234" s="9"/>
      <c r="Q234" s="9"/>
      <c r="R234" s="9"/>
      <c r="S234" s="704">
        <f>+IF(FEBRERO!S234=0,"",FEBRERO!S234)</f>
        <v>8000000</v>
      </c>
      <c r="T234" s="680" t="str">
        <f>+IF(FEBRERO!T234=0,"",FEBRERO!T234)</f>
        <v>Programas de Inversión</v>
      </c>
      <c r="U234" s="132">
        <f>U235</f>
        <v>0</v>
      </c>
      <c r="V234" s="122">
        <f t="shared" ref="V234:AJ234" si="200">V235</f>
        <v>0</v>
      </c>
      <c r="W234" s="122">
        <f t="shared" si="200"/>
        <v>380000000</v>
      </c>
      <c r="X234" s="129">
        <f t="shared" si="200"/>
        <v>380000000</v>
      </c>
      <c r="Y234" s="128">
        <f t="shared" si="200"/>
        <v>270702372</v>
      </c>
      <c r="Z234" s="122">
        <f t="shared" si="200"/>
        <v>21998000</v>
      </c>
      <c r="AA234" s="129">
        <f t="shared" si="200"/>
        <v>292700372</v>
      </c>
      <c r="AB234" s="128">
        <f t="shared" si="200"/>
        <v>0</v>
      </c>
      <c r="AC234" s="122">
        <f t="shared" si="200"/>
        <v>142683852</v>
      </c>
      <c r="AD234" s="129">
        <f t="shared" si="200"/>
        <v>142683852</v>
      </c>
      <c r="AE234" s="128">
        <f t="shared" si="200"/>
        <v>0</v>
      </c>
      <c r="AF234" s="122">
        <f t="shared" si="200"/>
        <v>135351186</v>
      </c>
      <c r="AG234" s="129">
        <f t="shared" si="200"/>
        <v>135351186</v>
      </c>
      <c r="AH234" s="128">
        <f t="shared" si="200"/>
        <v>87299628</v>
      </c>
      <c r="AI234" s="122">
        <f t="shared" si="200"/>
        <v>237316148</v>
      </c>
      <c r="AJ234" s="130">
        <f t="shared" si="200"/>
        <v>244648814</v>
      </c>
      <c r="AK234" s="9"/>
      <c r="AL234" s="128">
        <f t="shared" ref="AL234:AM234" si="201">AL235</f>
        <v>0</v>
      </c>
      <c r="AM234" s="130">
        <f t="shared" si="201"/>
        <v>0</v>
      </c>
      <c r="AN234" s="9"/>
    </row>
    <row r="235" spans="1:40" s="382" customFormat="1" ht="24.95" customHeight="1">
      <c r="A235" s="752"/>
      <c r="B235" s="661"/>
      <c r="N235" s="9"/>
      <c r="P235" s="9"/>
      <c r="Q235" s="9"/>
      <c r="R235" s="9"/>
      <c r="S235" s="705">
        <f>+IF(FEBRERO!S235=0,"",FEBRERO!S235)</f>
        <v>8001000</v>
      </c>
      <c r="T235" s="681" t="str">
        <f>+IF(FEBRERO!T235=0,"",FEBRERO!T235)</f>
        <v>Formación Bruta del Capital</v>
      </c>
      <c r="U235" s="27">
        <f t="shared" ref="U235:AJ235" si="202">SUM(U236:U241)</f>
        <v>0</v>
      </c>
      <c r="V235" s="15">
        <f t="shared" si="202"/>
        <v>0</v>
      </c>
      <c r="W235" s="15">
        <f t="shared" si="202"/>
        <v>380000000</v>
      </c>
      <c r="X235" s="18">
        <f t="shared" si="202"/>
        <v>380000000</v>
      </c>
      <c r="Y235" s="19">
        <f t="shared" si="202"/>
        <v>270702372</v>
      </c>
      <c r="Z235" s="142">
        <f t="shared" si="202"/>
        <v>21998000</v>
      </c>
      <c r="AA235" s="18">
        <f t="shared" si="202"/>
        <v>292700372</v>
      </c>
      <c r="AB235" s="19">
        <f t="shared" si="202"/>
        <v>0</v>
      </c>
      <c r="AC235" s="142">
        <f t="shared" si="202"/>
        <v>142683852</v>
      </c>
      <c r="AD235" s="18">
        <f t="shared" si="202"/>
        <v>142683852</v>
      </c>
      <c r="AE235" s="19">
        <f t="shared" si="202"/>
        <v>0</v>
      </c>
      <c r="AF235" s="142">
        <f t="shared" si="202"/>
        <v>135351186</v>
      </c>
      <c r="AG235" s="18">
        <f t="shared" si="202"/>
        <v>135351186</v>
      </c>
      <c r="AH235" s="19">
        <f t="shared" si="202"/>
        <v>87299628</v>
      </c>
      <c r="AI235" s="15">
        <f t="shared" si="202"/>
        <v>237316148</v>
      </c>
      <c r="AJ235" s="16">
        <f t="shared" si="202"/>
        <v>244648814</v>
      </c>
      <c r="AK235" s="9"/>
      <c r="AL235" s="29">
        <f>SUM(AL236:AL241)</f>
        <v>0</v>
      </c>
      <c r="AM235" s="26">
        <f>SUM(AM236:AM241)</f>
        <v>0</v>
      </c>
      <c r="AN235" s="9"/>
    </row>
    <row r="236" spans="1:40" s="382" customFormat="1" ht="24.95" customHeight="1">
      <c r="A236" s="752"/>
      <c r="B236" s="661"/>
      <c r="N236" s="9"/>
      <c r="P236" s="9"/>
      <c r="Q236" s="9"/>
      <c r="R236" s="9"/>
      <c r="S236" s="706" t="str">
        <f>+IF(FEBRERO!S236=0,"",FEBRERO!S236)</f>
        <v>8001000-1</v>
      </c>
      <c r="T236" s="682" t="str">
        <f>+IF(FEBRERO!T236=0,"",FEBRERO!T236)</f>
        <v>Subprogr.Construc. Remodelac. Adecuación y Apliac.1</v>
      </c>
      <c r="U236" s="27">
        <f>+ENERO!U236</f>
        <v>0</v>
      </c>
      <c r="V236" s="15">
        <f>FEBRERO!V236+MARZO!AL236</f>
        <v>0</v>
      </c>
      <c r="W236" s="15">
        <f>FEBRERO!W236+MARZO!AM236</f>
        <v>380000000</v>
      </c>
      <c r="X236" s="18">
        <f t="shared" ref="X236:X241" si="203">SUM(U236:W236)</f>
        <v>380000000</v>
      </c>
      <c r="Y236" s="19">
        <f>FEBRERO!AA236</f>
        <v>270702372</v>
      </c>
      <c r="Z236" s="374">
        <v>21998000</v>
      </c>
      <c r="AA236" s="18">
        <f t="shared" ref="AA236:AA241" si="204">SUM(Y236:Z236)</f>
        <v>292700372</v>
      </c>
      <c r="AB236" s="19">
        <f>FEBRERO!AD236</f>
        <v>0</v>
      </c>
      <c r="AC236" s="374">
        <v>142683852</v>
      </c>
      <c r="AD236" s="18">
        <f t="shared" ref="AD236:AD241" si="205">SUM(AB236:AC236)</f>
        <v>142683852</v>
      </c>
      <c r="AE236" s="19">
        <f>FEBRERO!AG236</f>
        <v>0</v>
      </c>
      <c r="AF236" s="374">
        <v>135351186</v>
      </c>
      <c r="AG236" s="18">
        <f t="shared" ref="AG236:AG241" si="206">SUM(AE236:AF236)</f>
        <v>135351186</v>
      </c>
      <c r="AH236" s="19">
        <f t="shared" ref="AH236:AH241" si="207">X236-AA236</f>
        <v>87299628</v>
      </c>
      <c r="AI236" s="15">
        <f t="shared" ref="AI236:AI241" si="208">X236-AD236</f>
        <v>237316148</v>
      </c>
      <c r="AJ236" s="16">
        <f t="shared" ref="AJ236:AJ241" si="209">X236-AG236</f>
        <v>244648814</v>
      </c>
      <c r="AK236" s="9"/>
      <c r="AL236" s="372">
        <v>0</v>
      </c>
      <c r="AM236" s="375">
        <v>0</v>
      </c>
      <c r="AN236" s="9"/>
    </row>
    <row r="237" spans="1:40" s="382" customFormat="1" ht="24.95" customHeight="1">
      <c r="A237" s="752"/>
      <c r="B237" s="661"/>
      <c r="N237" s="9"/>
      <c r="P237" s="9"/>
      <c r="Q237" s="9"/>
      <c r="R237" s="9"/>
      <c r="S237" s="706" t="str">
        <f>+IF(FEBRERO!S237=0,"",FEBRERO!S237)</f>
        <v>8001000-2</v>
      </c>
      <c r="T237" s="682" t="str">
        <f>+IF(FEBRERO!T237=0,"",FEBRERO!T237)</f>
        <v>Subprogr.Construc. Remodelac. Adecuación y Apliac.2</v>
      </c>
      <c r="U237" s="27">
        <f>+ENERO!U237</f>
        <v>0</v>
      </c>
      <c r="V237" s="15">
        <f>FEBRERO!V237+MARZO!AL237</f>
        <v>0</v>
      </c>
      <c r="W237" s="15">
        <f>FEBRERO!W237+MARZO!AM237</f>
        <v>0</v>
      </c>
      <c r="X237" s="18">
        <f t="shared" si="203"/>
        <v>0</v>
      </c>
      <c r="Y237" s="19">
        <f>FEBRERO!AA237</f>
        <v>0</v>
      </c>
      <c r="Z237" s="374">
        <v>0</v>
      </c>
      <c r="AA237" s="18">
        <f t="shared" si="204"/>
        <v>0</v>
      </c>
      <c r="AB237" s="19">
        <f>FEBRERO!AD237</f>
        <v>0</v>
      </c>
      <c r="AC237" s="374">
        <v>0</v>
      </c>
      <c r="AD237" s="18">
        <f t="shared" si="205"/>
        <v>0</v>
      </c>
      <c r="AE237" s="19">
        <f>FEBRERO!AG237</f>
        <v>0</v>
      </c>
      <c r="AF237" s="374">
        <v>0</v>
      </c>
      <c r="AG237" s="18">
        <f t="shared" si="206"/>
        <v>0</v>
      </c>
      <c r="AH237" s="19">
        <f t="shared" si="207"/>
        <v>0</v>
      </c>
      <c r="AI237" s="15">
        <f t="shared" si="208"/>
        <v>0</v>
      </c>
      <c r="AJ237" s="16">
        <f t="shared" si="209"/>
        <v>0</v>
      </c>
      <c r="AK237" s="9"/>
      <c r="AL237" s="372">
        <v>0</v>
      </c>
      <c r="AM237" s="375">
        <v>0</v>
      </c>
      <c r="AN237" s="9"/>
    </row>
    <row r="238" spans="1:40" s="382" customFormat="1" ht="24.95" customHeight="1">
      <c r="A238" s="752"/>
      <c r="B238" s="661"/>
      <c r="N238" s="9"/>
      <c r="P238" s="9"/>
      <c r="Q238" s="9"/>
      <c r="R238" s="9"/>
      <c r="S238" s="706" t="str">
        <f>+IF(FEBRERO!S238=0,"",FEBRERO!S238)</f>
        <v>8001000-3</v>
      </c>
      <c r="T238" s="682" t="str">
        <f>+IF(FEBRERO!T238=0,"",FEBRERO!T238)</f>
        <v>Subprogr.Construc. Remodelac. Adecuación y Apliac.3</v>
      </c>
      <c r="U238" s="27">
        <f>+ENERO!U238</f>
        <v>0</v>
      </c>
      <c r="V238" s="15">
        <f>FEBRERO!V238+MARZO!AL238</f>
        <v>0</v>
      </c>
      <c r="W238" s="15">
        <f>FEBRERO!W238+MARZO!AM238</f>
        <v>0</v>
      </c>
      <c r="X238" s="18">
        <f t="shared" si="203"/>
        <v>0</v>
      </c>
      <c r="Y238" s="19">
        <f>FEBRERO!AA238</f>
        <v>0</v>
      </c>
      <c r="Z238" s="374">
        <v>0</v>
      </c>
      <c r="AA238" s="18">
        <f t="shared" si="204"/>
        <v>0</v>
      </c>
      <c r="AB238" s="19">
        <f>FEBRERO!AD238</f>
        <v>0</v>
      </c>
      <c r="AC238" s="374">
        <v>0</v>
      </c>
      <c r="AD238" s="18">
        <f t="shared" si="205"/>
        <v>0</v>
      </c>
      <c r="AE238" s="19">
        <f>FEBRERO!AG238</f>
        <v>0</v>
      </c>
      <c r="AF238" s="374">
        <v>0</v>
      </c>
      <c r="AG238" s="18">
        <f t="shared" si="206"/>
        <v>0</v>
      </c>
      <c r="AH238" s="19">
        <f t="shared" si="207"/>
        <v>0</v>
      </c>
      <c r="AI238" s="15">
        <f t="shared" si="208"/>
        <v>0</v>
      </c>
      <c r="AJ238" s="16">
        <f t="shared" si="209"/>
        <v>0</v>
      </c>
      <c r="AK238" s="9"/>
      <c r="AL238" s="372">
        <v>0</v>
      </c>
      <c r="AM238" s="375">
        <v>0</v>
      </c>
      <c r="AN238" s="9"/>
    </row>
    <row r="239" spans="1:40" s="382" customFormat="1" ht="24.95" customHeight="1">
      <c r="A239" s="752"/>
      <c r="B239" s="661"/>
      <c r="N239" s="9"/>
      <c r="P239" s="9"/>
      <c r="Q239" s="9"/>
      <c r="S239" s="706" t="str">
        <f>+IF(FEBRERO!S239=0,"",FEBRERO!S239)</f>
        <v>8001000-4</v>
      </c>
      <c r="T239" s="682" t="str">
        <f>+IF(FEBRERO!T239=0,"",FEBRERO!T239)</f>
        <v>Subprogr.Construc. Remodelac. Adecuación y Apliac.4</v>
      </c>
      <c r="U239" s="27">
        <f>+ENERO!U239</f>
        <v>0</v>
      </c>
      <c r="V239" s="15">
        <f>FEBRERO!V239+MARZO!AL239</f>
        <v>0</v>
      </c>
      <c r="W239" s="15">
        <f>FEBRERO!W239+MARZO!AM239</f>
        <v>0</v>
      </c>
      <c r="X239" s="18">
        <f t="shared" si="203"/>
        <v>0</v>
      </c>
      <c r="Y239" s="19">
        <f>FEBRERO!AA239</f>
        <v>0</v>
      </c>
      <c r="Z239" s="374">
        <v>0</v>
      </c>
      <c r="AA239" s="18">
        <f t="shared" si="204"/>
        <v>0</v>
      </c>
      <c r="AB239" s="19">
        <f>FEBRERO!AD239</f>
        <v>0</v>
      </c>
      <c r="AC239" s="374">
        <v>0</v>
      </c>
      <c r="AD239" s="18">
        <f t="shared" si="205"/>
        <v>0</v>
      </c>
      <c r="AE239" s="19">
        <f>FEBRERO!AG239</f>
        <v>0</v>
      </c>
      <c r="AF239" s="374">
        <v>0</v>
      </c>
      <c r="AG239" s="18">
        <f t="shared" si="206"/>
        <v>0</v>
      </c>
      <c r="AH239" s="19">
        <f t="shared" si="207"/>
        <v>0</v>
      </c>
      <c r="AI239" s="15">
        <f t="shared" si="208"/>
        <v>0</v>
      </c>
      <c r="AJ239" s="16">
        <f t="shared" si="209"/>
        <v>0</v>
      </c>
      <c r="AK239" s="9"/>
      <c r="AL239" s="372">
        <v>0</v>
      </c>
      <c r="AM239" s="375">
        <v>0</v>
      </c>
      <c r="AN239" s="9"/>
    </row>
    <row r="240" spans="1:40" s="382" customFormat="1" ht="24.95" customHeight="1">
      <c r="A240" s="752"/>
      <c r="B240" s="661"/>
      <c r="N240" s="9"/>
      <c r="P240" s="9"/>
      <c r="Q240" s="9"/>
      <c r="S240" s="706" t="str">
        <f>+IF(FEBRERO!S240=0,"",FEBRERO!S240)</f>
        <v>8001000-7</v>
      </c>
      <c r="T240" s="682" t="str">
        <f>+IF(FEBRERO!T240=0,"",FEBRERO!T240)</f>
        <v>Subprogr.Construc. Remodelac. Adecuación y Apliac.5</v>
      </c>
      <c r="U240" s="27">
        <f>+ENERO!U240</f>
        <v>0</v>
      </c>
      <c r="V240" s="15">
        <f>FEBRERO!V240+MARZO!AL240</f>
        <v>0</v>
      </c>
      <c r="W240" s="15">
        <f>FEBRERO!W240+MARZO!AM240</f>
        <v>0</v>
      </c>
      <c r="X240" s="18">
        <f t="shared" si="203"/>
        <v>0</v>
      </c>
      <c r="Y240" s="19">
        <f>FEBRERO!AA240</f>
        <v>0</v>
      </c>
      <c r="Z240" s="374">
        <v>0</v>
      </c>
      <c r="AA240" s="18">
        <f t="shared" si="204"/>
        <v>0</v>
      </c>
      <c r="AB240" s="19">
        <f>FEBRERO!AD240</f>
        <v>0</v>
      </c>
      <c r="AC240" s="374">
        <v>0</v>
      </c>
      <c r="AD240" s="18">
        <f t="shared" si="205"/>
        <v>0</v>
      </c>
      <c r="AE240" s="19">
        <f>FEBRERO!AG240</f>
        <v>0</v>
      </c>
      <c r="AF240" s="374">
        <v>0</v>
      </c>
      <c r="AG240" s="18">
        <f t="shared" si="206"/>
        <v>0</v>
      </c>
      <c r="AH240" s="19">
        <f t="shared" si="207"/>
        <v>0</v>
      </c>
      <c r="AI240" s="15">
        <f t="shared" si="208"/>
        <v>0</v>
      </c>
      <c r="AJ240" s="16">
        <f t="shared" si="209"/>
        <v>0</v>
      </c>
      <c r="AK240" s="9"/>
      <c r="AL240" s="372">
        <v>0</v>
      </c>
      <c r="AM240" s="375">
        <v>0</v>
      </c>
      <c r="AN240" s="9"/>
    </row>
    <row r="241" spans="1:70" ht="24.95" customHeight="1">
      <c r="A241" s="752"/>
      <c r="B241" s="661"/>
      <c r="C241" s="382"/>
      <c r="D241" s="382"/>
      <c r="E241" s="382"/>
      <c r="F241" s="382"/>
      <c r="G241" s="382"/>
      <c r="H241" s="382"/>
      <c r="I241" s="382"/>
      <c r="J241" s="382"/>
      <c r="K241" s="382"/>
      <c r="L241" s="382"/>
      <c r="M241" s="382"/>
      <c r="N241" s="9"/>
      <c r="O241" s="382"/>
      <c r="P241" s="9"/>
      <c r="Q241" s="9"/>
      <c r="S241" s="716">
        <f>+IF(FEBRERO!S241=0,"",FEBRERO!S241)</f>
        <v>8001999</v>
      </c>
      <c r="T241" s="682" t="str">
        <f>+IF(FEBRERO!T241=0,"",FEBRERO!T241)</f>
        <v>Vigencias Anteriores</v>
      </c>
      <c r="U241" s="27">
        <f>+ENERO!U241</f>
        <v>0</v>
      </c>
      <c r="V241" s="15">
        <f>FEBRERO!V241+MARZO!AL241</f>
        <v>0</v>
      </c>
      <c r="W241" s="15">
        <f>FEBRERO!W241+MARZO!AM241</f>
        <v>0</v>
      </c>
      <c r="X241" s="18">
        <f t="shared" si="203"/>
        <v>0</v>
      </c>
      <c r="Y241" s="19">
        <f>FEBRERO!AA241</f>
        <v>0</v>
      </c>
      <c r="Z241" s="374">
        <v>0</v>
      </c>
      <c r="AA241" s="18">
        <f t="shared" si="204"/>
        <v>0</v>
      </c>
      <c r="AB241" s="19">
        <f>FEBRERO!AD241</f>
        <v>0</v>
      </c>
      <c r="AC241" s="374">
        <v>0</v>
      </c>
      <c r="AD241" s="18">
        <f t="shared" si="205"/>
        <v>0</v>
      </c>
      <c r="AE241" s="19">
        <f>FEBRERO!AG241</f>
        <v>0</v>
      </c>
      <c r="AF241" s="374">
        <v>0</v>
      </c>
      <c r="AG241" s="18">
        <f t="shared" si="206"/>
        <v>0</v>
      </c>
      <c r="AH241" s="19">
        <f t="shared" si="207"/>
        <v>0</v>
      </c>
      <c r="AI241" s="15">
        <f t="shared" si="208"/>
        <v>0</v>
      </c>
      <c r="AJ241" s="16">
        <f t="shared" si="209"/>
        <v>0</v>
      </c>
      <c r="AK241" s="9"/>
      <c r="AL241" s="372">
        <v>0</v>
      </c>
      <c r="AM241" s="375">
        <v>0</v>
      </c>
      <c r="BM241" s="382"/>
      <c r="BN241" s="382"/>
      <c r="BO241" s="382"/>
      <c r="BP241" s="382"/>
      <c r="BQ241" s="382"/>
      <c r="BR241" s="382"/>
    </row>
    <row r="242" spans="1:70" ht="24.95" customHeight="1">
      <c r="A242" s="752"/>
      <c r="B242" s="661"/>
      <c r="C242" s="382"/>
      <c r="D242" s="382"/>
      <c r="E242" s="382"/>
      <c r="F242" s="382"/>
      <c r="G242" s="382"/>
      <c r="H242" s="382"/>
      <c r="I242" s="382"/>
      <c r="J242" s="382"/>
      <c r="K242" s="382"/>
      <c r="L242" s="382"/>
      <c r="M242" s="382"/>
      <c r="N242" s="9"/>
      <c r="O242" s="382"/>
      <c r="P242" s="9"/>
      <c r="Q242" s="9"/>
      <c r="S242" s="366" t="str">
        <f>+IF(FEBRERO!S242=0,"",FEBRERO!S242)</f>
        <v/>
      </c>
      <c r="T242" s="695"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2"/>
      <c r="B243" s="661"/>
      <c r="C243" s="382"/>
      <c r="D243" s="382"/>
      <c r="E243" s="382"/>
      <c r="F243" s="382"/>
      <c r="G243" s="382"/>
      <c r="H243" s="382"/>
      <c r="I243" s="382"/>
      <c r="J243" s="382"/>
      <c r="K243" s="382"/>
      <c r="L243" s="382"/>
      <c r="M243" s="382"/>
      <c r="N243" s="9"/>
      <c r="O243" s="382"/>
      <c r="P243" s="9"/>
      <c r="Q243" s="9"/>
      <c r="S243" s="704">
        <f>+IF(FEBRERO!S243=0,"",FEBRERO!S243)</f>
        <v>8002001</v>
      </c>
      <c r="T243" s="680" t="str">
        <f>+IF(FEBRERO!T243=0,"",FEBRERO!T243)</f>
        <v>Gastos Operativos de Inversion   (Programas Especiales)</v>
      </c>
      <c r="U243" s="132">
        <f t="shared" ref="U243:AJ243" si="210">SUM(U244:U256)</f>
        <v>0</v>
      </c>
      <c r="V243" s="122">
        <f t="shared" si="210"/>
        <v>0</v>
      </c>
      <c r="W243" s="122">
        <f t="shared" si="210"/>
        <v>53878092</v>
      </c>
      <c r="X243" s="129">
        <f t="shared" si="210"/>
        <v>53878092</v>
      </c>
      <c r="Y243" s="128">
        <f t="shared" si="210"/>
        <v>0</v>
      </c>
      <c r="Z243" s="122">
        <f t="shared" si="210"/>
        <v>0</v>
      </c>
      <c r="AA243" s="129">
        <f t="shared" si="210"/>
        <v>0</v>
      </c>
      <c r="AB243" s="128">
        <f t="shared" si="210"/>
        <v>0</v>
      </c>
      <c r="AC243" s="122">
        <f t="shared" si="210"/>
        <v>0</v>
      </c>
      <c r="AD243" s="129">
        <f t="shared" si="210"/>
        <v>0</v>
      </c>
      <c r="AE243" s="128">
        <f t="shared" si="210"/>
        <v>0</v>
      </c>
      <c r="AF243" s="122">
        <f t="shared" si="210"/>
        <v>0</v>
      </c>
      <c r="AG243" s="129">
        <f t="shared" si="210"/>
        <v>0</v>
      </c>
      <c r="AH243" s="128">
        <f t="shared" si="210"/>
        <v>53878092</v>
      </c>
      <c r="AI243" s="122">
        <f t="shared" si="210"/>
        <v>53878092</v>
      </c>
      <c r="AJ243" s="130">
        <f t="shared" si="210"/>
        <v>53878092</v>
      </c>
      <c r="AK243" s="9"/>
      <c r="AL243" s="128">
        <f>SUM(AL244:AL256)</f>
        <v>0</v>
      </c>
      <c r="AM243" s="130">
        <f>SUM(AM244:AM256)</f>
        <v>0</v>
      </c>
    </row>
    <row r="244" spans="1:70" ht="24.95" customHeight="1">
      <c r="A244" s="752"/>
      <c r="B244" s="661"/>
      <c r="C244" s="382"/>
      <c r="D244" s="382"/>
      <c r="E244" s="382"/>
      <c r="F244" s="382"/>
      <c r="G244" s="382"/>
      <c r="H244" s="382"/>
      <c r="I244" s="382"/>
      <c r="J244" s="382"/>
      <c r="K244" s="382"/>
      <c r="L244" s="382"/>
      <c r="M244" s="382"/>
      <c r="N244" s="9"/>
      <c r="O244" s="382"/>
      <c r="P244" s="9"/>
      <c r="Q244" s="9"/>
      <c r="S244" s="706" t="str">
        <f>+IF(FEBRERO!S244=0,"",FEBRERO!S244)</f>
        <v>8002100-1</v>
      </c>
      <c r="T244" s="682" t="str">
        <f>+IF(FEBRERO!T244=0,"",FEBRERO!T244)</f>
        <v>Fondo de la Vivienda</v>
      </c>
      <c r="U244" s="27">
        <f>+ENERO!U244</f>
        <v>0</v>
      </c>
      <c r="V244" s="15">
        <f>FEBRERO!V244+MARZO!AL244</f>
        <v>0</v>
      </c>
      <c r="W244" s="15">
        <f>FEBRERO!W244+MARZO!AM244</f>
        <v>53878092</v>
      </c>
      <c r="X244" s="18">
        <f t="shared" ref="X244:X256" si="211">SUM(U244:W244)</f>
        <v>53878092</v>
      </c>
      <c r="Y244" s="19">
        <f>FEBRERO!AA244</f>
        <v>0</v>
      </c>
      <c r="Z244" s="374">
        <v>0</v>
      </c>
      <c r="AA244" s="18">
        <f t="shared" ref="AA244:AA256" si="212">SUM(Y244:Z244)</f>
        <v>0</v>
      </c>
      <c r="AB244" s="19">
        <f>FEBRERO!AD244</f>
        <v>0</v>
      </c>
      <c r="AC244" s="374">
        <v>0</v>
      </c>
      <c r="AD244" s="18">
        <f t="shared" ref="AD244:AD256" si="213">SUM(AB244:AC244)</f>
        <v>0</v>
      </c>
      <c r="AE244" s="19">
        <f>FEBRERO!AG244</f>
        <v>0</v>
      </c>
      <c r="AF244" s="374">
        <v>0</v>
      </c>
      <c r="AG244" s="18">
        <f t="shared" ref="AG244:AG256" si="214">SUM(AE244:AF244)</f>
        <v>0</v>
      </c>
      <c r="AH244" s="19">
        <f t="shared" ref="AH244:AH256" si="215">X244-AA244</f>
        <v>53878092</v>
      </c>
      <c r="AI244" s="15">
        <f t="shared" ref="AI244:AI256" si="216">X244-AD244</f>
        <v>53878092</v>
      </c>
      <c r="AJ244" s="16">
        <f t="shared" ref="AJ244:AJ256" si="217">X244-AG244</f>
        <v>53878092</v>
      </c>
      <c r="AK244" s="9"/>
      <c r="AL244" s="372">
        <v>0</v>
      </c>
      <c r="AM244" s="375">
        <v>0</v>
      </c>
    </row>
    <row r="245" spans="1:70" ht="24.95" customHeight="1">
      <c r="A245" s="752"/>
      <c r="B245" s="661"/>
      <c r="C245" s="382"/>
      <c r="D245" s="382"/>
      <c r="E245" s="382"/>
      <c r="F245" s="382"/>
      <c r="G245" s="382"/>
      <c r="H245" s="382"/>
      <c r="I245" s="382"/>
      <c r="J245" s="382"/>
      <c r="K245" s="382"/>
      <c r="L245" s="382"/>
      <c r="M245" s="382"/>
      <c r="N245" s="9"/>
      <c r="O245" s="382"/>
      <c r="P245" s="9"/>
      <c r="Q245" s="9"/>
      <c r="S245" s="706" t="str">
        <f>+IF(FEBRERO!S245=0,"",FEBRERO!S245)</f>
        <v>8002100-2</v>
      </c>
      <c r="T245" s="682" t="str">
        <f>+IF(FEBRERO!T245=0,"",FEBRERO!T245)</f>
        <v>Programas Especial 01</v>
      </c>
      <c r="U245" s="27">
        <f>+ENERO!U245</f>
        <v>0</v>
      </c>
      <c r="V245" s="15">
        <f>FEBRERO!V245+MARZO!AL245</f>
        <v>0</v>
      </c>
      <c r="W245" s="15">
        <f>FEBRERO!W245+MARZO!AM245</f>
        <v>0</v>
      </c>
      <c r="X245" s="18">
        <f t="shared" si="211"/>
        <v>0</v>
      </c>
      <c r="Y245" s="19">
        <f>FEBRERO!AA245</f>
        <v>0</v>
      </c>
      <c r="Z245" s="374">
        <v>0</v>
      </c>
      <c r="AA245" s="18">
        <f t="shared" si="212"/>
        <v>0</v>
      </c>
      <c r="AB245" s="19">
        <f>FEBRERO!AD245</f>
        <v>0</v>
      </c>
      <c r="AC245" s="374">
        <v>0</v>
      </c>
      <c r="AD245" s="18">
        <f t="shared" si="213"/>
        <v>0</v>
      </c>
      <c r="AE245" s="19">
        <f>FEBRERO!AG245</f>
        <v>0</v>
      </c>
      <c r="AF245" s="374">
        <v>0</v>
      </c>
      <c r="AG245" s="18">
        <f t="shared" si="214"/>
        <v>0</v>
      </c>
      <c r="AH245" s="19">
        <f t="shared" si="215"/>
        <v>0</v>
      </c>
      <c r="AI245" s="15">
        <f t="shared" si="216"/>
        <v>0</v>
      </c>
      <c r="AJ245" s="16">
        <f t="shared" si="217"/>
        <v>0</v>
      </c>
      <c r="AK245" s="9"/>
      <c r="AL245" s="372">
        <v>0</v>
      </c>
      <c r="AM245" s="375">
        <v>0</v>
      </c>
    </row>
    <row r="246" spans="1:70" ht="24.95" customHeight="1">
      <c r="A246" s="752"/>
      <c r="B246" s="661"/>
      <c r="C246" s="382"/>
      <c r="D246" s="382"/>
      <c r="E246" s="382"/>
      <c r="F246" s="382"/>
      <c r="G246" s="382"/>
      <c r="H246" s="382"/>
      <c r="I246" s="382"/>
      <c r="J246" s="382"/>
      <c r="K246" s="382"/>
      <c r="L246" s="382"/>
      <c r="M246" s="382"/>
      <c r="N246" s="9"/>
      <c r="O246" s="382"/>
      <c r="P246" s="9"/>
      <c r="Q246" s="9"/>
      <c r="S246" s="706" t="str">
        <f>+IF(FEBRERO!S246=0,"",FEBRERO!S246)</f>
        <v>8002100-3</v>
      </c>
      <c r="T246" s="682" t="str">
        <f>+IF(FEBRERO!T246=0,"",FEBRERO!T246)</f>
        <v>Programas Especial 02</v>
      </c>
      <c r="U246" s="27">
        <f>+ENERO!U246</f>
        <v>0</v>
      </c>
      <c r="V246" s="15">
        <f>FEBRERO!V246+MARZO!AL246</f>
        <v>0</v>
      </c>
      <c r="W246" s="15">
        <f>FEBRERO!W246+MARZO!AM246</f>
        <v>0</v>
      </c>
      <c r="X246" s="18">
        <f t="shared" si="211"/>
        <v>0</v>
      </c>
      <c r="Y246" s="19">
        <f>FEBRERO!AA246</f>
        <v>0</v>
      </c>
      <c r="Z246" s="374">
        <v>0</v>
      </c>
      <c r="AA246" s="18">
        <f t="shared" si="212"/>
        <v>0</v>
      </c>
      <c r="AB246" s="19">
        <f>FEBRERO!AD246</f>
        <v>0</v>
      </c>
      <c r="AC246" s="374">
        <v>0</v>
      </c>
      <c r="AD246" s="18">
        <f t="shared" si="213"/>
        <v>0</v>
      </c>
      <c r="AE246" s="19">
        <f>FEBRERO!AG246</f>
        <v>0</v>
      </c>
      <c r="AF246" s="374">
        <v>0</v>
      </c>
      <c r="AG246" s="18">
        <f t="shared" si="214"/>
        <v>0</v>
      </c>
      <c r="AH246" s="19">
        <f t="shared" si="215"/>
        <v>0</v>
      </c>
      <c r="AI246" s="15">
        <f t="shared" si="216"/>
        <v>0</v>
      </c>
      <c r="AJ246" s="16">
        <f t="shared" si="217"/>
        <v>0</v>
      </c>
      <c r="AK246" s="9"/>
      <c r="AL246" s="372">
        <v>0</v>
      </c>
      <c r="AM246" s="375">
        <v>0</v>
      </c>
    </row>
    <row r="247" spans="1:70" ht="24.95" customHeight="1">
      <c r="A247" s="752"/>
      <c r="B247" s="661"/>
      <c r="C247" s="382"/>
      <c r="D247" s="382"/>
      <c r="E247" s="382"/>
      <c r="F247" s="382"/>
      <c r="G247" s="382"/>
      <c r="H247" s="382"/>
      <c r="I247" s="382"/>
      <c r="J247" s="382"/>
      <c r="K247" s="382"/>
      <c r="L247" s="382"/>
      <c r="M247" s="382"/>
      <c r="N247" s="9"/>
      <c r="O247" s="382"/>
      <c r="P247" s="9"/>
      <c r="Q247" s="9"/>
      <c r="S247" s="706" t="str">
        <f>+IF(FEBRERO!S247=0,"",FEBRERO!S247)</f>
        <v>8002100-4</v>
      </c>
      <c r="T247" s="682" t="str">
        <f>+IF(FEBRERO!T247=0,"",FEBRERO!T247)</f>
        <v>Programas Especial 03</v>
      </c>
      <c r="U247" s="27">
        <f>+ENERO!U247</f>
        <v>0</v>
      </c>
      <c r="V247" s="15">
        <f>FEBRERO!V247+MARZO!AL247</f>
        <v>0</v>
      </c>
      <c r="W247" s="15">
        <f>FEBRERO!W247+MARZO!AM247</f>
        <v>0</v>
      </c>
      <c r="X247" s="18">
        <f t="shared" si="211"/>
        <v>0</v>
      </c>
      <c r="Y247" s="19">
        <f>FEBRERO!AA247</f>
        <v>0</v>
      </c>
      <c r="Z247" s="374">
        <v>0</v>
      </c>
      <c r="AA247" s="18">
        <f t="shared" si="212"/>
        <v>0</v>
      </c>
      <c r="AB247" s="19">
        <f>FEBRERO!AD247</f>
        <v>0</v>
      </c>
      <c r="AC247" s="374">
        <v>0</v>
      </c>
      <c r="AD247" s="18">
        <f t="shared" si="213"/>
        <v>0</v>
      </c>
      <c r="AE247" s="19">
        <f>FEBRERO!AG247</f>
        <v>0</v>
      </c>
      <c r="AF247" s="374">
        <v>0</v>
      </c>
      <c r="AG247" s="18">
        <f t="shared" si="214"/>
        <v>0</v>
      </c>
      <c r="AH247" s="19">
        <f t="shared" si="215"/>
        <v>0</v>
      </c>
      <c r="AI247" s="15">
        <f t="shared" si="216"/>
        <v>0</v>
      </c>
      <c r="AJ247" s="16">
        <f t="shared" si="217"/>
        <v>0</v>
      </c>
      <c r="AK247" s="9"/>
      <c r="AL247" s="372">
        <v>0</v>
      </c>
      <c r="AM247" s="375">
        <v>0</v>
      </c>
    </row>
    <row r="248" spans="1:70" ht="24.95" customHeight="1">
      <c r="A248" s="752"/>
      <c r="B248" s="661"/>
      <c r="C248" s="382"/>
      <c r="D248" s="382"/>
      <c r="E248" s="382"/>
      <c r="F248" s="382"/>
      <c r="G248" s="382"/>
      <c r="H248" s="382"/>
      <c r="I248" s="382"/>
      <c r="J248" s="382"/>
      <c r="K248" s="382"/>
      <c r="L248" s="382"/>
      <c r="M248" s="382"/>
      <c r="N248" s="9"/>
      <c r="O248" s="382"/>
      <c r="P248" s="9"/>
      <c r="Q248" s="9"/>
      <c r="S248" s="706" t="str">
        <f>+IF(FEBRERO!S248=0,"",FEBRERO!S248)</f>
        <v>8002100-5</v>
      </c>
      <c r="T248" s="682" t="str">
        <f>+IF(FEBRERO!T248=0,"",FEBRERO!T248)</f>
        <v>Programas Especial 04</v>
      </c>
      <c r="U248" s="27">
        <f>+ENERO!U248</f>
        <v>0</v>
      </c>
      <c r="V248" s="15">
        <f>FEBRERO!V248+MARZO!AL248</f>
        <v>0</v>
      </c>
      <c r="W248" s="15">
        <f>FEBRERO!W248+MARZO!AM248</f>
        <v>0</v>
      </c>
      <c r="X248" s="18">
        <f t="shared" si="211"/>
        <v>0</v>
      </c>
      <c r="Y248" s="19">
        <f>FEBRERO!AA248</f>
        <v>0</v>
      </c>
      <c r="Z248" s="374">
        <v>0</v>
      </c>
      <c r="AA248" s="18">
        <f t="shared" si="212"/>
        <v>0</v>
      </c>
      <c r="AB248" s="19">
        <f>FEBRERO!AD248</f>
        <v>0</v>
      </c>
      <c r="AC248" s="374">
        <v>0</v>
      </c>
      <c r="AD248" s="18">
        <f t="shared" si="213"/>
        <v>0</v>
      </c>
      <c r="AE248" s="19">
        <f>FEBRERO!AG248</f>
        <v>0</v>
      </c>
      <c r="AF248" s="374">
        <v>0</v>
      </c>
      <c r="AG248" s="18">
        <f t="shared" si="214"/>
        <v>0</v>
      </c>
      <c r="AH248" s="19">
        <f t="shared" si="215"/>
        <v>0</v>
      </c>
      <c r="AI248" s="15">
        <f t="shared" si="216"/>
        <v>0</v>
      </c>
      <c r="AJ248" s="16">
        <f t="shared" si="217"/>
        <v>0</v>
      </c>
      <c r="AK248" s="9"/>
      <c r="AL248" s="372">
        <v>0</v>
      </c>
      <c r="AM248" s="375">
        <v>0</v>
      </c>
    </row>
    <row r="249" spans="1:70" ht="24.95" customHeight="1">
      <c r="A249" s="752"/>
      <c r="B249" s="661"/>
      <c r="C249" s="382"/>
      <c r="D249" s="382"/>
      <c r="E249" s="382"/>
      <c r="F249" s="382"/>
      <c r="G249" s="382"/>
      <c r="H249" s="382"/>
      <c r="I249" s="382"/>
      <c r="J249" s="382"/>
      <c r="K249" s="382"/>
      <c r="L249" s="382"/>
      <c r="M249" s="382"/>
      <c r="N249" s="9"/>
      <c r="O249" s="382"/>
      <c r="P249" s="9"/>
      <c r="Q249" s="9"/>
      <c r="S249" s="706" t="str">
        <f>+IF(FEBRERO!S249=0,"",FEBRERO!S249)</f>
        <v>8002100-6</v>
      </c>
      <c r="T249" s="682" t="str">
        <f>+IF(FEBRERO!T249=0,"",FEBRERO!T249)</f>
        <v>Programas Especial 05</v>
      </c>
      <c r="U249" s="27">
        <f>+ENERO!U249</f>
        <v>0</v>
      </c>
      <c r="V249" s="15">
        <f>FEBRERO!V249+MARZO!AL249</f>
        <v>0</v>
      </c>
      <c r="W249" s="15">
        <f>FEBRERO!W249+MARZO!AM249</f>
        <v>0</v>
      </c>
      <c r="X249" s="18">
        <f t="shared" si="211"/>
        <v>0</v>
      </c>
      <c r="Y249" s="19">
        <f>FEBRERO!AA249</f>
        <v>0</v>
      </c>
      <c r="Z249" s="374">
        <v>0</v>
      </c>
      <c r="AA249" s="18">
        <f t="shared" si="212"/>
        <v>0</v>
      </c>
      <c r="AB249" s="19">
        <f>FEBRERO!AD249</f>
        <v>0</v>
      </c>
      <c r="AC249" s="374">
        <v>0</v>
      </c>
      <c r="AD249" s="18">
        <f t="shared" si="213"/>
        <v>0</v>
      </c>
      <c r="AE249" s="19">
        <f>FEBRERO!AG249</f>
        <v>0</v>
      </c>
      <c r="AF249" s="374">
        <v>0</v>
      </c>
      <c r="AG249" s="18">
        <f t="shared" si="214"/>
        <v>0</v>
      </c>
      <c r="AH249" s="19">
        <f t="shared" si="215"/>
        <v>0</v>
      </c>
      <c r="AI249" s="15">
        <f t="shared" si="216"/>
        <v>0</v>
      </c>
      <c r="AJ249" s="16">
        <f t="shared" si="217"/>
        <v>0</v>
      </c>
      <c r="AK249" s="9"/>
      <c r="AL249" s="372">
        <v>0</v>
      </c>
      <c r="AM249" s="375">
        <v>0</v>
      </c>
    </row>
    <row r="250" spans="1:70" ht="24.95" customHeight="1">
      <c r="A250" s="752"/>
      <c r="B250" s="661"/>
      <c r="C250" s="382"/>
      <c r="D250" s="382"/>
      <c r="E250" s="382"/>
      <c r="F250" s="382"/>
      <c r="G250" s="382"/>
      <c r="H250" s="382"/>
      <c r="I250" s="382"/>
      <c r="J250" s="382"/>
      <c r="K250" s="382"/>
      <c r="L250" s="382"/>
      <c r="M250" s="382"/>
      <c r="N250" s="9"/>
      <c r="O250" s="382"/>
      <c r="P250" s="9"/>
      <c r="Q250" s="9"/>
      <c r="S250" s="706" t="str">
        <f>+IF(FEBRERO!S250=0,"",FEBRERO!S250)</f>
        <v>8002100-7</v>
      </c>
      <c r="T250" s="682" t="str">
        <f>+IF(FEBRERO!T250=0,"",FEBRERO!T250)</f>
        <v>Programas Especial 06</v>
      </c>
      <c r="U250" s="27">
        <f>+ENERO!U250</f>
        <v>0</v>
      </c>
      <c r="V250" s="15">
        <f>FEBRERO!V250+MARZO!AL250</f>
        <v>0</v>
      </c>
      <c r="W250" s="15">
        <f>FEBRERO!W250+MARZO!AM250</f>
        <v>0</v>
      </c>
      <c r="X250" s="18">
        <f>SUM(U250:W250)</f>
        <v>0</v>
      </c>
      <c r="Y250" s="19">
        <f>FEBRERO!AA250</f>
        <v>0</v>
      </c>
      <c r="Z250" s="374">
        <v>0</v>
      </c>
      <c r="AA250" s="18">
        <f>SUM(Y250:Z250)</f>
        <v>0</v>
      </c>
      <c r="AB250" s="19">
        <f>FEBRERO!AD250</f>
        <v>0</v>
      </c>
      <c r="AC250" s="374">
        <v>0</v>
      </c>
      <c r="AD250" s="18">
        <f>SUM(AB250:AC250)</f>
        <v>0</v>
      </c>
      <c r="AE250" s="19">
        <f>FEBRERO!AG250</f>
        <v>0</v>
      </c>
      <c r="AF250" s="374">
        <v>0</v>
      </c>
      <c r="AG250" s="18">
        <f>SUM(AE250:AF250)</f>
        <v>0</v>
      </c>
      <c r="AH250" s="19">
        <f>X250-AA250</f>
        <v>0</v>
      </c>
      <c r="AI250" s="15">
        <f>X250-AD250</f>
        <v>0</v>
      </c>
      <c r="AJ250" s="16">
        <f>X250-AG250</f>
        <v>0</v>
      </c>
      <c r="AK250" s="9"/>
      <c r="AL250" s="372">
        <v>0</v>
      </c>
      <c r="AM250" s="375">
        <v>0</v>
      </c>
    </row>
    <row r="251" spans="1:70" ht="24.95" customHeight="1">
      <c r="A251" s="752"/>
      <c r="B251" s="661"/>
      <c r="C251" s="382"/>
      <c r="D251" s="382"/>
      <c r="E251" s="382"/>
      <c r="F251" s="382"/>
      <c r="G251" s="382"/>
      <c r="H251" s="382"/>
      <c r="I251" s="382"/>
      <c r="J251" s="382"/>
      <c r="K251" s="382"/>
      <c r="L251" s="382"/>
      <c r="M251" s="382"/>
      <c r="N251" s="9"/>
      <c r="O251" s="382"/>
      <c r="P251" s="9"/>
      <c r="Q251" s="9"/>
      <c r="S251" s="706" t="str">
        <f>+IF(FEBRERO!S251=0,"",FEBRERO!S251)</f>
        <v>8002100-8</v>
      </c>
      <c r="T251" s="682" t="str">
        <f>+IF(FEBRERO!T251=0,"",FEBRERO!T251)</f>
        <v>Programas Especial 07</v>
      </c>
      <c r="U251" s="27">
        <f>+ENERO!U251</f>
        <v>0</v>
      </c>
      <c r="V251" s="15">
        <f>FEBRERO!V251+MARZO!AL251</f>
        <v>0</v>
      </c>
      <c r="W251" s="15">
        <f>FEBRERO!W251+MARZO!AM251</f>
        <v>0</v>
      </c>
      <c r="X251" s="18">
        <f>SUM(U251:W251)</f>
        <v>0</v>
      </c>
      <c r="Y251" s="19">
        <f>FEBRERO!AA251</f>
        <v>0</v>
      </c>
      <c r="Z251" s="374">
        <v>0</v>
      </c>
      <c r="AA251" s="18">
        <f>SUM(Y251:Z251)</f>
        <v>0</v>
      </c>
      <c r="AB251" s="19">
        <f>FEBRERO!AD251</f>
        <v>0</v>
      </c>
      <c r="AC251" s="374">
        <v>0</v>
      </c>
      <c r="AD251" s="18">
        <f>SUM(AB251:AC251)</f>
        <v>0</v>
      </c>
      <c r="AE251" s="19">
        <f>FEBRERO!AG251</f>
        <v>0</v>
      </c>
      <c r="AF251" s="374">
        <v>0</v>
      </c>
      <c r="AG251" s="18">
        <f>SUM(AE251:AF251)</f>
        <v>0</v>
      </c>
      <c r="AH251" s="19">
        <f>X251-AA251</f>
        <v>0</v>
      </c>
      <c r="AI251" s="15">
        <f>X251-AD251</f>
        <v>0</v>
      </c>
      <c r="AJ251" s="16">
        <f>X251-AG251</f>
        <v>0</v>
      </c>
      <c r="AK251" s="9"/>
      <c r="AL251" s="372">
        <v>0</v>
      </c>
      <c r="AM251" s="375">
        <v>0</v>
      </c>
    </row>
    <row r="252" spans="1:70" ht="24.95" customHeight="1">
      <c r="A252" s="752"/>
      <c r="B252" s="661"/>
      <c r="C252" s="382"/>
      <c r="D252" s="382"/>
      <c r="E252" s="382"/>
      <c r="F252" s="382"/>
      <c r="G252" s="382"/>
      <c r="H252" s="382"/>
      <c r="I252" s="382"/>
      <c r="J252" s="382"/>
      <c r="K252" s="382"/>
      <c r="L252" s="382"/>
      <c r="M252" s="382"/>
      <c r="N252" s="9"/>
      <c r="O252" s="382"/>
      <c r="P252" s="9"/>
      <c r="Q252" s="9"/>
      <c r="S252" s="706" t="str">
        <f>+IF(FEBRERO!S252=0,"",FEBRERO!S252)</f>
        <v>8002100-9</v>
      </c>
      <c r="T252" s="682" t="str">
        <f>+IF(FEBRERO!T252=0,"",FEBRERO!T252)</f>
        <v>Programas Especial 08</v>
      </c>
      <c r="U252" s="27">
        <f>+ENERO!U252</f>
        <v>0</v>
      </c>
      <c r="V252" s="15">
        <f>FEBRERO!V252+MARZO!AL252</f>
        <v>0</v>
      </c>
      <c r="W252" s="15">
        <f>FEBRERO!W252+MARZO!AM252</f>
        <v>0</v>
      </c>
      <c r="X252" s="18">
        <f>SUM(U252:W252)</f>
        <v>0</v>
      </c>
      <c r="Y252" s="19">
        <f>FEBRERO!AA252</f>
        <v>0</v>
      </c>
      <c r="Z252" s="374">
        <v>0</v>
      </c>
      <c r="AA252" s="18">
        <f>SUM(Y252:Z252)</f>
        <v>0</v>
      </c>
      <c r="AB252" s="19">
        <f>FEBRERO!AD252</f>
        <v>0</v>
      </c>
      <c r="AC252" s="374">
        <v>0</v>
      </c>
      <c r="AD252" s="18">
        <f>SUM(AB252:AC252)</f>
        <v>0</v>
      </c>
      <c r="AE252" s="19">
        <f>FEBRERO!AG252</f>
        <v>0</v>
      </c>
      <c r="AF252" s="374">
        <v>0</v>
      </c>
      <c r="AG252" s="18">
        <f>SUM(AE252:AF252)</f>
        <v>0</v>
      </c>
      <c r="AH252" s="19">
        <f>X252-AA252</f>
        <v>0</v>
      </c>
      <c r="AI252" s="15">
        <f>X252-AD252</f>
        <v>0</v>
      </c>
      <c r="AJ252" s="16">
        <f>X252-AG252</f>
        <v>0</v>
      </c>
      <c r="AK252" s="9"/>
      <c r="AL252" s="372">
        <v>0</v>
      </c>
      <c r="AM252" s="375">
        <v>0</v>
      </c>
    </row>
    <row r="253" spans="1:70" ht="24.95" customHeight="1">
      <c r="A253" s="752"/>
      <c r="B253" s="661"/>
      <c r="C253" s="382"/>
      <c r="D253" s="382"/>
      <c r="E253" s="382"/>
      <c r="F253" s="382"/>
      <c r="G253" s="382"/>
      <c r="H253" s="382"/>
      <c r="I253" s="382"/>
      <c r="J253" s="382"/>
      <c r="K253" s="382"/>
      <c r="L253" s="382"/>
      <c r="M253" s="382"/>
      <c r="N253" s="9"/>
      <c r="O253" s="382"/>
      <c r="P253" s="9"/>
      <c r="Q253" s="9"/>
      <c r="S253" s="706" t="str">
        <f>+IF(FEBRERO!S253=0,"",FEBRERO!S253)</f>
        <v>8002100-10</v>
      </c>
      <c r="T253" s="682" t="str">
        <f>+IF(FEBRERO!T253=0,"",FEBRERO!T253)</f>
        <v>Programas Especial 09</v>
      </c>
      <c r="U253" s="27">
        <f>+ENERO!U253</f>
        <v>0</v>
      </c>
      <c r="V253" s="15">
        <f>FEBRERO!V253+MARZO!AL253</f>
        <v>0</v>
      </c>
      <c r="W253" s="15">
        <f>FEBRERO!W253+MARZO!AM253</f>
        <v>0</v>
      </c>
      <c r="X253" s="18">
        <f>SUM(U253:W253)</f>
        <v>0</v>
      </c>
      <c r="Y253" s="19">
        <f>FEBRERO!AA253</f>
        <v>0</v>
      </c>
      <c r="Z253" s="374">
        <v>0</v>
      </c>
      <c r="AA253" s="18">
        <f>SUM(Y253:Z253)</f>
        <v>0</v>
      </c>
      <c r="AB253" s="19">
        <f>FEBRERO!AD253</f>
        <v>0</v>
      </c>
      <c r="AC253" s="374">
        <v>0</v>
      </c>
      <c r="AD253" s="18">
        <f>SUM(AB253:AC253)</f>
        <v>0</v>
      </c>
      <c r="AE253" s="19">
        <f>FEBRERO!AG253</f>
        <v>0</v>
      </c>
      <c r="AF253" s="374">
        <v>0</v>
      </c>
      <c r="AG253" s="18">
        <f>SUM(AE253:AF253)</f>
        <v>0</v>
      </c>
      <c r="AH253" s="19">
        <f>X253-AA253</f>
        <v>0</v>
      </c>
      <c r="AI253" s="15">
        <f>X253-AD253</f>
        <v>0</v>
      </c>
      <c r="AJ253" s="16">
        <f>X253-AG253</f>
        <v>0</v>
      </c>
      <c r="AK253" s="9"/>
      <c r="AL253" s="372">
        <v>0</v>
      </c>
      <c r="AM253" s="375">
        <v>0</v>
      </c>
    </row>
    <row r="254" spans="1:70" ht="24.95" customHeight="1">
      <c r="A254" s="752"/>
      <c r="B254" s="661"/>
      <c r="C254" s="382"/>
      <c r="D254" s="382"/>
      <c r="E254" s="382"/>
      <c r="F254" s="382"/>
      <c r="G254" s="382"/>
      <c r="H254" s="382"/>
      <c r="I254" s="382"/>
      <c r="J254" s="382"/>
      <c r="K254" s="382"/>
      <c r="L254" s="382"/>
      <c r="M254" s="382"/>
      <c r="N254" s="9"/>
      <c r="O254" s="382"/>
      <c r="P254" s="9"/>
      <c r="Q254" s="9"/>
      <c r="S254" s="706" t="str">
        <f>+IF(FEBRERO!S254=0,"",FEBRERO!S254)</f>
        <v>8002100-11</v>
      </c>
      <c r="T254" s="682" t="str">
        <f>+IF(FEBRERO!T254=0,"",FEBRERO!T254)</f>
        <v>Programas Especial 10</v>
      </c>
      <c r="U254" s="27">
        <f>+ENERO!U254</f>
        <v>0</v>
      </c>
      <c r="V254" s="15">
        <f>FEBRERO!V254+MARZO!AL254</f>
        <v>0</v>
      </c>
      <c r="W254" s="15">
        <f>FEBRERO!W254+MARZO!AM254</f>
        <v>0</v>
      </c>
      <c r="X254" s="18">
        <f>SUM(U254:W254)</f>
        <v>0</v>
      </c>
      <c r="Y254" s="19">
        <f>FEBRERO!AA254</f>
        <v>0</v>
      </c>
      <c r="Z254" s="374">
        <v>0</v>
      </c>
      <c r="AA254" s="18">
        <f>SUM(Y254:Z254)</f>
        <v>0</v>
      </c>
      <c r="AB254" s="19">
        <f>FEBRERO!AD254</f>
        <v>0</v>
      </c>
      <c r="AC254" s="374">
        <v>0</v>
      </c>
      <c r="AD254" s="18">
        <f>SUM(AB254:AC254)</f>
        <v>0</v>
      </c>
      <c r="AE254" s="19">
        <f>FEBRERO!AG254</f>
        <v>0</v>
      </c>
      <c r="AF254" s="374">
        <v>0</v>
      </c>
      <c r="AG254" s="18">
        <f>SUM(AE254:AF254)</f>
        <v>0</v>
      </c>
      <c r="AH254" s="19">
        <f>X254-AA254</f>
        <v>0</v>
      </c>
      <c r="AI254" s="15">
        <f>X254-AD254</f>
        <v>0</v>
      </c>
      <c r="AJ254" s="16">
        <f>X254-AG254</f>
        <v>0</v>
      </c>
      <c r="AK254" s="9"/>
      <c r="AL254" s="372">
        <v>0</v>
      </c>
      <c r="AM254" s="375">
        <v>0</v>
      </c>
    </row>
    <row r="255" spans="1:70" ht="24.95" customHeight="1">
      <c r="A255" s="752"/>
      <c r="B255" s="661"/>
      <c r="C255" s="382"/>
      <c r="D255" s="382"/>
      <c r="E255" s="382"/>
      <c r="F255" s="382"/>
      <c r="G255" s="382"/>
      <c r="H255" s="382"/>
      <c r="I255" s="382"/>
      <c r="J255" s="382"/>
      <c r="K255" s="382"/>
      <c r="L255" s="382"/>
      <c r="M255" s="382"/>
      <c r="N255" s="9"/>
      <c r="O255" s="382"/>
      <c r="P255" s="9"/>
      <c r="Q255" s="9"/>
      <c r="S255" s="706" t="str">
        <f>+IF(FEBRERO!S255=0,"",FEBRERO!S255)</f>
        <v>8002100-12</v>
      </c>
      <c r="T255" s="682" t="str">
        <f>+IF(FEBRERO!T255=0,"",FEBRERO!T255)</f>
        <v>Programas Especial 11</v>
      </c>
      <c r="U255" s="27">
        <f>+ENERO!U255</f>
        <v>0</v>
      </c>
      <c r="V255" s="15">
        <f>FEBRERO!V255+MARZO!AL255</f>
        <v>0</v>
      </c>
      <c r="W255" s="15">
        <f>FEBRERO!W255+MARZO!AM255</f>
        <v>0</v>
      </c>
      <c r="X255" s="18">
        <f t="shared" si="211"/>
        <v>0</v>
      </c>
      <c r="Y255" s="19">
        <f>FEBRERO!AA255</f>
        <v>0</v>
      </c>
      <c r="Z255" s="374">
        <v>0</v>
      </c>
      <c r="AA255" s="18">
        <f t="shared" si="212"/>
        <v>0</v>
      </c>
      <c r="AB255" s="19">
        <f>FEBRERO!AD255</f>
        <v>0</v>
      </c>
      <c r="AC255" s="374">
        <v>0</v>
      </c>
      <c r="AD255" s="18">
        <f t="shared" si="213"/>
        <v>0</v>
      </c>
      <c r="AE255" s="19">
        <f>FEBRERO!AG255</f>
        <v>0</v>
      </c>
      <c r="AF255" s="374">
        <v>0</v>
      </c>
      <c r="AG255" s="18">
        <f t="shared" si="214"/>
        <v>0</v>
      </c>
      <c r="AH255" s="19">
        <f t="shared" si="215"/>
        <v>0</v>
      </c>
      <c r="AI255" s="15">
        <f t="shared" si="216"/>
        <v>0</v>
      </c>
      <c r="AJ255" s="16">
        <f t="shared" si="217"/>
        <v>0</v>
      </c>
      <c r="AK255" s="9"/>
      <c r="AL255" s="372">
        <v>0</v>
      </c>
      <c r="AM255" s="375">
        <v>0</v>
      </c>
    </row>
    <row r="256" spans="1:70" ht="24.95" customHeight="1" thickBot="1">
      <c r="A256" s="752"/>
      <c r="B256" s="661"/>
      <c r="C256" s="382"/>
      <c r="D256" s="382"/>
      <c r="E256" s="382"/>
      <c r="F256" s="382"/>
      <c r="G256" s="382"/>
      <c r="H256" s="382"/>
      <c r="I256" s="382"/>
      <c r="J256" s="382"/>
      <c r="K256" s="382"/>
      <c r="L256" s="382"/>
      <c r="M256" s="382"/>
      <c r="N256" s="9"/>
      <c r="O256" s="382"/>
      <c r="P256" s="9"/>
      <c r="Q256" s="9"/>
      <c r="S256" s="717">
        <f>+IF(FEBRERO!S256=0,"",FEBRERO!S256)</f>
        <v>8002999</v>
      </c>
      <c r="T256" s="697" t="str">
        <f>+IF(FEBRERO!T256=0,"",FEBRERO!T256)</f>
        <v>Vigencias Anteriores</v>
      </c>
      <c r="U256" s="133">
        <f>+ENERO!U256</f>
        <v>0</v>
      </c>
      <c r="V256" s="121">
        <f>FEBRERO!V256+MARZO!AL256</f>
        <v>0</v>
      </c>
      <c r="W256" s="121">
        <f>FEBRERO!W256+MARZO!AM256</f>
        <v>0</v>
      </c>
      <c r="X256" s="126">
        <f t="shared" si="211"/>
        <v>0</v>
      </c>
      <c r="Y256" s="124">
        <f>FEBRERO!AA256</f>
        <v>0</v>
      </c>
      <c r="Z256" s="388">
        <v>0</v>
      </c>
      <c r="AA256" s="126">
        <f t="shared" si="212"/>
        <v>0</v>
      </c>
      <c r="AB256" s="124">
        <f>FEBRERO!AD256</f>
        <v>0</v>
      </c>
      <c r="AC256" s="388">
        <v>0</v>
      </c>
      <c r="AD256" s="126">
        <f t="shared" si="213"/>
        <v>0</v>
      </c>
      <c r="AE256" s="124">
        <f>FEBRERO!AG256</f>
        <v>0</v>
      </c>
      <c r="AF256" s="388">
        <v>0</v>
      </c>
      <c r="AG256" s="126">
        <f t="shared" si="214"/>
        <v>0</v>
      </c>
      <c r="AH256" s="124">
        <f t="shared" si="215"/>
        <v>0</v>
      </c>
      <c r="AI256" s="121">
        <f t="shared" si="216"/>
        <v>0</v>
      </c>
      <c r="AJ256" s="125">
        <f t="shared" si="217"/>
        <v>0</v>
      </c>
      <c r="AK256" s="9"/>
      <c r="AL256" s="384">
        <v>0</v>
      </c>
      <c r="AM256" s="389">
        <v>0</v>
      </c>
    </row>
    <row r="257" spans="1:39" ht="24.95" customHeight="1" thickBot="1">
      <c r="A257" s="752"/>
      <c r="B257" s="661"/>
      <c r="C257" s="382"/>
      <c r="D257" s="382"/>
      <c r="E257" s="382"/>
      <c r="F257" s="382"/>
      <c r="G257" s="382"/>
      <c r="H257" s="382"/>
      <c r="I257" s="382"/>
      <c r="J257" s="382"/>
      <c r="K257" s="382"/>
      <c r="L257" s="382"/>
      <c r="M257" s="382"/>
      <c r="N257" s="9"/>
      <c r="O257" s="382"/>
      <c r="P257" s="9"/>
      <c r="Q257" s="9"/>
      <c r="S257" s="495" t="str">
        <f>+IF(FEBRERO!S257=0,"",FEBRERO!S257)</f>
        <v/>
      </c>
      <c r="T257" s="694" t="str">
        <f>+IF(FEBRERO!T257=0,"",FEBRERO!T257)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76" t="s">
        <v>363</v>
      </c>
      <c r="T258" s="777" t="s">
        <v>133</v>
      </c>
      <c r="U258" s="340">
        <f>+(C10+C17+C113)-(U10+U193+U220+U232)</f>
        <v>0</v>
      </c>
      <c r="V258" s="340">
        <f t="shared" ref="V258:AJ258" si="218">+(D10+D17+D113)-(V10+V193+V220+V232)</f>
        <v>0</v>
      </c>
      <c r="W258" s="340">
        <f t="shared" si="218"/>
        <v>0</v>
      </c>
      <c r="X258" s="340">
        <f t="shared" si="218"/>
        <v>0</v>
      </c>
      <c r="Y258" s="340">
        <f t="shared" si="218"/>
        <v>-11226671468</v>
      </c>
      <c r="Z258" s="340">
        <f t="shared" si="218"/>
        <v>-765676330</v>
      </c>
      <c r="AA258" s="340">
        <f t="shared" si="218"/>
        <v>-11992347798</v>
      </c>
      <c r="AB258" s="340">
        <f t="shared" si="218"/>
        <v>-5715936931</v>
      </c>
      <c r="AC258" s="340">
        <f t="shared" si="218"/>
        <v>-2379474977</v>
      </c>
      <c r="AD258" s="340">
        <f t="shared" si="218"/>
        <v>-8095411908</v>
      </c>
      <c r="AE258" s="340">
        <f t="shared" si="218"/>
        <v>27178735957</v>
      </c>
      <c r="AF258" s="340">
        <f t="shared" si="218"/>
        <v>40526153183</v>
      </c>
      <c r="AG258" s="340">
        <f t="shared" si="218"/>
        <v>-9713168340</v>
      </c>
      <c r="AH258" s="340">
        <f t="shared" si="218"/>
        <v>-21450880976</v>
      </c>
      <c r="AI258" s="340">
        <f t="shared" si="218"/>
        <v>-33102228245</v>
      </c>
      <c r="AJ258" s="778">
        <f t="shared" si="218"/>
        <v>-44740365181</v>
      </c>
      <c r="AK258" s="9"/>
      <c r="AL258" s="338">
        <v>0</v>
      </c>
      <c r="AM258" s="339">
        <v>0</v>
      </c>
    </row>
    <row r="259" spans="1: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2996041157</v>
      </c>
    </row>
    <row r="260" spans="1:39" ht="24.95" customHeight="1" thickBot="1">
      <c r="S260" s="795" t="s">
        <v>582</v>
      </c>
      <c r="T260" s="796"/>
      <c r="U260" s="771">
        <f>+U8-U262</f>
        <v>47989706380</v>
      </c>
      <c r="V260" s="771">
        <f t="shared" ref="V260:AJ260" si="219">+V8-V262</f>
        <v>-88081545</v>
      </c>
      <c r="W260" s="771">
        <f t="shared" si="219"/>
        <v>572985667</v>
      </c>
      <c r="X260" s="771">
        <f t="shared" si="219"/>
        <v>48474610502</v>
      </c>
      <c r="Y260" s="771">
        <f t="shared" si="219"/>
        <v>20015796295</v>
      </c>
      <c r="Z260" s="771">
        <f t="shared" si="219"/>
        <v>7021440975</v>
      </c>
      <c r="AA260" s="771">
        <f t="shared" si="219"/>
        <v>27037237270</v>
      </c>
      <c r="AB260" s="771">
        <f t="shared" si="219"/>
        <v>7872148404</v>
      </c>
      <c r="AC260" s="771">
        <f t="shared" si="219"/>
        <v>4736553044</v>
      </c>
      <c r="AD260" s="771">
        <f t="shared" si="219"/>
        <v>12608701448</v>
      </c>
      <c r="AE260" s="771">
        <f t="shared" si="219"/>
        <v>2208803458</v>
      </c>
      <c r="AF260" s="771">
        <f t="shared" si="219"/>
        <v>1556863607</v>
      </c>
      <c r="AG260" s="771">
        <f t="shared" si="219"/>
        <v>3765667065</v>
      </c>
      <c r="AH260" s="771">
        <f t="shared" si="219"/>
        <v>21437373232</v>
      </c>
      <c r="AI260" s="771">
        <f t="shared" si="219"/>
        <v>35865909054</v>
      </c>
      <c r="AJ260" s="772">
        <f t="shared" si="219"/>
        <v>44708943437</v>
      </c>
      <c r="AK260" s="10"/>
      <c r="AL260" s="382"/>
      <c r="AM260" s="382"/>
    </row>
    <row r="261" spans="1:39" ht="24.95" customHeight="1" thickBot="1">
      <c r="S261" s="800"/>
      <c r="T261" s="801"/>
      <c r="U261" s="779"/>
      <c r="V261" s="779"/>
      <c r="W261" s="779"/>
      <c r="X261" s="779"/>
      <c r="Y261" s="779"/>
      <c r="Z261" s="779"/>
      <c r="AA261" s="779"/>
      <c r="AB261" s="779"/>
      <c r="AC261" s="779"/>
      <c r="AD261" s="779"/>
      <c r="AE261" s="779"/>
      <c r="AF261" s="779"/>
      <c r="AG261" s="779"/>
      <c r="AH261" s="779"/>
      <c r="AI261" s="779"/>
      <c r="AJ261" s="780"/>
    </row>
    <row r="262" spans="1:39" ht="24.95" customHeight="1" thickBot="1">
      <c r="S262" s="797" t="s">
        <v>583</v>
      </c>
      <c r="T262" s="798"/>
      <c r="U262" s="775">
        <f>+SUMIF($T$8:$T$256,$T$33,U8:U256)</f>
        <v>2232471701</v>
      </c>
      <c r="V262" s="775">
        <f t="shared" ref="V262:AJ262" si="220">+SUMIF($T$8:$T$256,$T$33,V8:V256)</f>
        <v>88081545</v>
      </c>
      <c r="W262" s="775">
        <f t="shared" si="220"/>
        <v>3658369773</v>
      </c>
      <c r="X262" s="775">
        <f t="shared" si="220"/>
        <v>5978923019</v>
      </c>
      <c r="Y262" s="775">
        <f t="shared" si="220"/>
        <v>4055689359</v>
      </c>
      <c r="Z262" s="775">
        <f t="shared" si="220"/>
        <v>1909725916</v>
      </c>
      <c r="AA262" s="775">
        <f t="shared" si="220"/>
        <v>5965415275</v>
      </c>
      <c r="AB262" s="775">
        <f t="shared" si="220"/>
        <v>4055689359</v>
      </c>
      <c r="AC262" s="775">
        <f t="shared" si="220"/>
        <v>1909725916</v>
      </c>
      <c r="AD262" s="775">
        <f t="shared" si="220"/>
        <v>5965415275</v>
      </c>
      <c r="AE262" s="775">
        <f t="shared" si="220"/>
        <v>4055689359</v>
      </c>
      <c r="AF262" s="775">
        <f t="shared" si="220"/>
        <v>1891811916</v>
      </c>
      <c r="AG262" s="775">
        <f t="shared" si="220"/>
        <v>5947501275</v>
      </c>
      <c r="AH262" s="775">
        <f t="shared" si="220"/>
        <v>13507744</v>
      </c>
      <c r="AI262" s="775">
        <f t="shared" si="220"/>
        <v>13507744</v>
      </c>
      <c r="AJ262" s="799">
        <f t="shared" si="220"/>
        <v>31421744</v>
      </c>
    </row>
    <row r="263" spans="1: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39" ht="24.95" customHeight="1" thickBot="1">
      <c r="S264" s="773" t="s">
        <v>584</v>
      </c>
      <c r="T264" s="774"/>
      <c r="U264" s="793">
        <f>+U260+U262</f>
        <v>50222178081</v>
      </c>
      <c r="V264" s="793">
        <f t="shared" ref="V264:AJ264" si="221">+V260+V262</f>
        <v>0</v>
      </c>
      <c r="W264" s="793">
        <f t="shared" si="221"/>
        <v>4231355440</v>
      </c>
      <c r="X264" s="793">
        <f t="shared" si="221"/>
        <v>54453533521</v>
      </c>
      <c r="Y264" s="793">
        <f t="shared" si="221"/>
        <v>24071485654</v>
      </c>
      <c r="Z264" s="793">
        <f t="shared" si="221"/>
        <v>8931166891</v>
      </c>
      <c r="AA264" s="793">
        <f t="shared" si="221"/>
        <v>33002652545</v>
      </c>
      <c r="AB264" s="793">
        <f t="shared" si="221"/>
        <v>11927837763</v>
      </c>
      <c r="AC264" s="793">
        <f t="shared" si="221"/>
        <v>6646278960</v>
      </c>
      <c r="AD264" s="793">
        <f t="shared" si="221"/>
        <v>18574116723</v>
      </c>
      <c r="AE264" s="793">
        <f t="shared" si="221"/>
        <v>6264492817</v>
      </c>
      <c r="AF264" s="793">
        <f t="shared" si="221"/>
        <v>3448675523</v>
      </c>
      <c r="AG264" s="793">
        <f t="shared" si="221"/>
        <v>9713168340</v>
      </c>
      <c r="AH264" s="793">
        <f t="shared" si="221"/>
        <v>21450880976</v>
      </c>
      <c r="AI264" s="793">
        <f t="shared" si="221"/>
        <v>35879416798</v>
      </c>
      <c r="AJ264" s="794">
        <f t="shared" si="221"/>
        <v>44740365181</v>
      </c>
    </row>
  </sheetData>
  <sheetProtection password="E076" sheet="1" objects="1" scenarios="1" formatCells="0" formatColumn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3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300-000001000000}"/>
    <dataValidation allowBlank="1" showInputMessage="1" showErrorMessage="1" promptTitle="ATENCION..." prompt="Las actividades de Promoción y Prevención se manejaran en su respectivo régimen." sqref="A43:C44 P43:Q44 K43:K44 H43:H44" xr:uid="{00000000-0002-0000-0300-000002000000}"/>
    <dataValidation allowBlank="1" showInputMessage="1" showErrorMessage="1" promptTitle="ATENCION..." prompt="Las actividades de Promoción y Prevención se manejaran en cada régimen." sqref="A23:C24 P23:Q24 K23:K24 H23:H24" xr:uid="{00000000-0002-0000-0300-000003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300-000004000000}"/>
  </dataValidations>
  <printOptions horizontalCentered="1" verticalCentered="1"/>
  <pageMargins left="0" right="0" top="0" bottom="1.3779527559055118" header="0.23622047244094491" footer="0.23622047244094491"/>
  <pageSetup scale="50" orientation="portrait" blackAndWhite="1"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S264"/>
  <sheetViews>
    <sheetView showGridLines="0" topLeftCell="R247" zoomScale="80" zoomScaleNormal="80" workbookViewId="0">
      <selection activeCell="Z264" sqref="Z264"/>
    </sheetView>
  </sheetViews>
  <sheetFormatPr baseColWidth="10" defaultColWidth="0" defaultRowHeight="24.95" customHeight="1"/>
  <cols>
    <col min="1" max="1" width="12.85546875" style="753" customWidth="1"/>
    <col min="2" max="2" width="51" style="662" customWidth="1"/>
    <col min="3" max="3" width="16.7109375" style="272" customWidth="1"/>
    <col min="4" max="4" width="13.140625" style="272" customWidth="1"/>
    <col min="5" max="6" width="14.42578125" style="272" customWidth="1"/>
    <col min="7" max="7" width="16.7109375" style="272" customWidth="1"/>
    <col min="8" max="8" width="16.140625" style="272" customWidth="1"/>
    <col min="9" max="10" width="14.42578125" style="272" customWidth="1"/>
    <col min="11" max="11" width="15.42578125" style="272" customWidth="1"/>
    <col min="12" max="12" width="14.42578125" style="272" customWidth="1"/>
    <col min="13" max="13" width="16.7109375" style="272" customWidth="1"/>
    <col min="14" max="14" width="16.7109375" style="31" customWidth="1"/>
    <col min="15" max="15" width="2.85546875" style="272" customWidth="1"/>
    <col min="16" max="17" width="23.7109375" style="31" customWidth="1"/>
    <col min="18" max="18" width="2.140625" style="272" customWidth="1"/>
    <col min="19" max="19" width="13.28515625" style="698" customWidth="1"/>
    <col min="20" max="20" width="34.7109375" style="674" customWidth="1"/>
    <col min="21" max="21" width="17.42578125" style="272" customWidth="1"/>
    <col min="22" max="22" width="17.5703125" style="272" customWidth="1"/>
    <col min="23" max="23" width="17.85546875" style="272" customWidth="1"/>
    <col min="24" max="24" width="18" style="272" customWidth="1"/>
    <col min="25" max="26" width="17.28515625" style="272" customWidth="1"/>
    <col min="27" max="27" width="19" style="272" customWidth="1"/>
    <col min="28" max="29" width="17.28515625" style="272" customWidth="1"/>
    <col min="30" max="30" width="19.140625" style="272" customWidth="1"/>
    <col min="31" max="31" width="16.42578125" style="272" customWidth="1"/>
    <col min="32" max="36" width="17.28515625" style="272" customWidth="1"/>
    <col min="37" max="37" width="8.85546875" style="1" customWidth="1"/>
    <col min="38" max="39" width="23.7109375" style="272" customWidth="1"/>
    <col min="40" max="40" width="4.85546875" style="272" customWidth="1"/>
    <col min="41" max="41" width="12.28515625" style="272" customWidth="1"/>
    <col min="42" max="42" width="56.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2998" t="str">
        <f>IF($F$8-$X$8=0," ","OJO: PRESUPUESTO DESEQUILIBRADO")</f>
        <v xml:space="preserve"> </v>
      </c>
      <c r="B1" s="2998"/>
      <c r="C1" s="3132"/>
      <c r="D1" s="3132"/>
      <c r="E1" s="3132"/>
      <c r="F1" s="3132"/>
      <c r="G1" s="3132"/>
      <c r="H1" s="3132"/>
      <c r="I1" s="3132"/>
      <c r="J1" s="3132"/>
      <c r="K1" s="2999" t="str">
        <f>+IF(L8&gt;I8,"OJO - SUS RECAUDOS SON SUPERIORES A SUS RECONOCIMIENTOS, VERIFIQUE","")</f>
        <v/>
      </c>
      <c r="L1" s="2999"/>
      <c r="M1" s="2999"/>
      <c r="N1" s="2999"/>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0"/>
      <c r="B2" s="718" t="str">
        <f>+ENERO!B2</f>
        <v>SECRETARIA SECCIONAL DE SALUD Y PROTECCION SOCIAL DE ANTIOQUIA DE ANTIOQUIA</v>
      </c>
      <c r="C2" s="274"/>
      <c r="D2" s="3008" t="str">
        <f>+IF(F2="","","MUNICIPIO:")</f>
        <v>MUNICIPIO:</v>
      </c>
      <c r="E2" s="3008"/>
      <c r="F2" s="275" t="str">
        <f>IF(INSTRUCCIONES!B3=0,"",INSTRUCCIONES!B3)</f>
        <v>ITAGUI</v>
      </c>
      <c r="G2" s="276"/>
      <c r="H2" s="276"/>
      <c r="I2" s="276"/>
      <c r="J2" s="276"/>
      <c r="K2" s="277"/>
      <c r="L2" s="3009" t="s">
        <v>388</v>
      </c>
      <c r="M2" s="2982"/>
      <c r="N2" s="609" t="s">
        <v>389</v>
      </c>
      <c r="P2" s="2993" t="s">
        <v>466</v>
      </c>
      <c r="Q2" s="2994"/>
      <c r="R2" s="279"/>
      <c r="S2" s="699"/>
      <c r="T2" s="718" t="str">
        <f>+ENERO!T2</f>
        <v>SECRETARIA SECCIONAL DE SALUD Y PROTECCION SOCIAL DE ANTIOQUIA DE ANTIOQUIA</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278" t="s">
        <v>389</v>
      </c>
      <c r="AL2" s="2993" t="s">
        <v>466</v>
      </c>
      <c r="AM2" s="2994"/>
      <c r="AO2" s="2">
        <v>4</v>
      </c>
      <c r="AP2" s="280" t="s">
        <v>7</v>
      </c>
      <c r="AQ2" s="281"/>
      <c r="AR2" s="3"/>
      <c r="AS2" s="3"/>
      <c r="AT2" s="3"/>
      <c r="AU2" s="3"/>
      <c r="AV2" s="3"/>
      <c r="AW2" s="3"/>
      <c r="AX2" s="3"/>
      <c r="AY2" s="3"/>
      <c r="AZ2" s="4"/>
      <c r="BB2" s="2993" t="s">
        <v>616</v>
      </c>
      <c r="BC2" s="3010"/>
      <c r="BD2" s="51" t="s">
        <v>388</v>
      </c>
      <c r="BE2" s="278" t="str">
        <f>+L3</f>
        <v>ABRIL</v>
      </c>
      <c r="BF2" s="273"/>
      <c r="BG2" s="2993" t="s">
        <v>617</v>
      </c>
      <c r="BH2" s="3010"/>
      <c r="BI2" s="3010"/>
      <c r="BJ2" s="51" t="s">
        <v>388</v>
      </c>
      <c r="BK2" s="278" t="str">
        <f>+BE2</f>
        <v>ABRIL</v>
      </c>
      <c r="BM2" s="2993" t="s">
        <v>617</v>
      </c>
      <c r="BN2" s="3010"/>
      <c r="BO2" s="3010"/>
      <c r="BP2" s="51" t="s">
        <v>388</v>
      </c>
      <c r="BQ2" s="278" t="str">
        <f>+BK2</f>
        <v>ABRIL</v>
      </c>
    </row>
    <row r="3" spans="1:69" ht="24.95" customHeight="1" thickBot="1">
      <c r="A3" s="751"/>
      <c r="B3" s="3025" t="s">
        <v>8</v>
      </c>
      <c r="C3" s="282"/>
      <c r="D3" s="3041" t="str">
        <f>+IF(F3="","","INSTITUCION:")</f>
        <v>INSTITUCION:</v>
      </c>
      <c r="E3" s="3041"/>
      <c r="F3" s="3000" t="str">
        <f>IF(INSTRUCCIONES!B5=0,"",INSTRUCCIONES!B5)</f>
        <v>ESE HOSPITALSAN RAFAEL</v>
      </c>
      <c r="G3" s="3000"/>
      <c r="H3" s="3000"/>
      <c r="I3" s="3000"/>
      <c r="J3" s="3000"/>
      <c r="K3" s="3001"/>
      <c r="L3" s="3026" t="s">
        <v>368</v>
      </c>
      <c r="M3" s="3027"/>
      <c r="N3" s="3006">
        <f>+INSTRUCCIONES!F3</f>
        <v>2017</v>
      </c>
      <c r="P3" s="2995" t="s">
        <v>525</v>
      </c>
      <c r="Q3" s="3013" t="s">
        <v>532</v>
      </c>
      <c r="R3" s="279"/>
      <c r="S3" s="700"/>
      <c r="T3" s="3025" t="s">
        <v>10</v>
      </c>
      <c r="U3" s="283"/>
      <c r="V3" s="2972" t="str">
        <f>+IF(Y3="","","E.S.E. H O S P I T A L:")</f>
        <v>E.S.E. H O S P I T A L:</v>
      </c>
      <c r="W3" s="2972"/>
      <c r="X3" s="2972"/>
      <c r="Y3" s="2974" t="str">
        <f>IF(INSTRUCCIONES!B5=0,"",INSTRUCCIONES!B5)</f>
        <v>ESE HOSPITALSAN RAFAEL</v>
      </c>
      <c r="Z3" s="2974"/>
      <c r="AA3" s="2974"/>
      <c r="AB3" s="2974"/>
      <c r="AC3" s="2974"/>
      <c r="AD3" s="2974"/>
      <c r="AE3" s="2974"/>
      <c r="AF3" s="2974"/>
      <c r="AG3" s="2975"/>
      <c r="AH3" s="2978" t="str">
        <f>+L3</f>
        <v>ABRIL</v>
      </c>
      <c r="AI3" s="2979"/>
      <c r="AJ3" s="2970">
        <f>+N3</f>
        <v>2017</v>
      </c>
      <c r="AL3" s="2995" t="s">
        <v>533</v>
      </c>
      <c r="AM3" s="3013" t="s">
        <v>532</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50">
        <f>+BK3</f>
        <v>2017</v>
      </c>
    </row>
    <row r="4" spans="1:69" ht="24.95" customHeight="1" thickBot="1">
      <c r="A4" s="751"/>
      <c r="B4" s="3133"/>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292"/>
      <c r="BE4" s="47"/>
      <c r="BF4" s="7"/>
      <c r="BG4" s="291"/>
      <c r="BH4" s="292"/>
      <c r="BI4" s="292"/>
      <c r="BJ4" s="48"/>
      <c r="BK4" s="293"/>
      <c r="BL4" s="8"/>
      <c r="BM4" s="291"/>
      <c r="BN4" s="294"/>
      <c r="BO4" s="294"/>
      <c r="BP4" s="49"/>
      <c r="BQ4" s="295"/>
    </row>
    <row r="5" spans="1:69" ht="42" customHeight="1" thickBot="1">
      <c r="A5" s="3134" t="s">
        <v>17</v>
      </c>
      <c r="B5" s="3136" t="s">
        <v>18</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2990" t="s">
        <v>481</v>
      </c>
      <c r="T5" s="3043" t="s">
        <v>18</v>
      </c>
      <c r="U5" s="296" t="s">
        <v>19</v>
      </c>
      <c r="V5" s="297"/>
      <c r="W5" s="297"/>
      <c r="X5" s="298"/>
      <c r="Y5" s="299" t="s">
        <v>530</v>
      </c>
      <c r="Z5" s="297"/>
      <c r="AA5" s="297"/>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3018" t="str">
        <f>+CONCATENATE("ACUMULADO ",N3)</f>
        <v>ACUMULADO 2017</v>
      </c>
      <c r="BI5" s="3019"/>
      <c r="BJ5" s="3019"/>
      <c r="BK5" s="3020"/>
      <c r="BM5" s="3016" t="s">
        <v>32</v>
      </c>
      <c r="BN5" s="308" t="str">
        <f>+CONCATENATE("ACUMULADO ",BQ3)</f>
        <v>ACUMULADO 2017</v>
      </c>
      <c r="BO5" s="309"/>
      <c r="BP5" s="310"/>
      <c r="BQ5" s="311"/>
    </row>
    <row r="6" spans="1:69" ht="24.95" customHeight="1" thickBot="1">
      <c r="A6" s="3135"/>
      <c r="B6" s="31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2991"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ABRIL</v>
      </c>
      <c r="AS6" s="316" t="str">
        <f>AR6</f>
        <v>ABRIL</v>
      </c>
      <c r="AT6" s="316" t="str">
        <f>AR6</f>
        <v>ABRIL</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3017"/>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22882432426</v>
      </c>
      <c r="AR7" s="327">
        <f>I22</f>
        <v>9761369383</v>
      </c>
      <c r="AS7" s="327">
        <f>L22</f>
        <v>5272166421</v>
      </c>
      <c r="AT7" s="13"/>
      <c r="AU7" s="328">
        <f t="shared" ref="AU7:AU17" si="0">IF(AQ7=0," ",AR7/AQ7)</f>
        <v>0.42658792567475101</v>
      </c>
      <c r="AV7" s="328">
        <f t="shared" ref="AV7:AV17" si="1">IF(AQ7=0," ",AS7/AQ7)</f>
        <v>0.23040235945412599</v>
      </c>
      <c r="AW7" s="327">
        <f>I23/AO$2*12+I24</f>
        <v>18744939207</v>
      </c>
      <c r="AX7" s="327">
        <f>L23/AO$2*12+L24</f>
        <v>5277330321</v>
      </c>
      <c r="AY7" s="327">
        <f t="shared" ref="AY7:AY16" si="2">AW7-AQ7</f>
        <v>-4137493219</v>
      </c>
      <c r="AZ7" s="329">
        <f t="shared" ref="AZ7:AZ16" si="3">AX7-AQ7</f>
        <v>-17605102105</v>
      </c>
      <c r="BB7" s="330" t="s">
        <v>53</v>
      </c>
      <c r="BC7" s="54">
        <f>F10</f>
        <v>617329922</v>
      </c>
      <c r="BD7" s="55">
        <f>I10</f>
        <v>617329922</v>
      </c>
      <c r="BE7" s="56">
        <f>K10</f>
        <v>0</v>
      </c>
      <c r="BF7" s="57"/>
      <c r="BG7" s="91" t="s">
        <v>54</v>
      </c>
      <c r="BH7" s="116">
        <f>+SUM(BH8:BH11)</f>
        <v>33368992191</v>
      </c>
      <c r="BI7" s="116">
        <f>+SUM(BI8:BI11)</f>
        <v>23031823519</v>
      </c>
      <c r="BJ7" s="116">
        <f>+SUM(BJ8:BJ11)</f>
        <v>12345220740</v>
      </c>
      <c r="BK7" s="116">
        <f>+SUM(BK8:BK11)</f>
        <v>1586730026</v>
      </c>
      <c r="BM7" s="61" t="s">
        <v>54</v>
      </c>
      <c r="BN7" s="62">
        <f>BN8+BN15+BN22</f>
        <v>33368992191</v>
      </c>
      <c r="BO7" s="63">
        <f>BO8+BO15+BO22</f>
        <v>23031823519</v>
      </c>
      <c r="BP7" s="63">
        <f>BP8+BP15+BP22</f>
        <v>12345220740</v>
      </c>
      <c r="BQ7" s="64">
        <f>BQ8+BQ15+BQ22</f>
        <v>1586730026</v>
      </c>
    </row>
    <row r="8" spans="1:69" s="9" customFormat="1" ht="24.95" customHeight="1" thickBot="1">
      <c r="A8" s="730">
        <f>+IF(MARZO!A8=0,"",MARZO!A8)</f>
        <v>1</v>
      </c>
      <c r="B8" s="635" t="str">
        <f>+IF(MARZO!B8=0,"",MARZO!B8)</f>
        <v>INGRESOS</v>
      </c>
      <c r="C8" s="331">
        <f>C10+C17+C113</f>
        <v>50222178081</v>
      </c>
      <c r="D8" s="331">
        <f t="shared" ref="D8:Q8" si="4">D10+D17+D113</f>
        <v>0</v>
      </c>
      <c r="E8" s="331">
        <f t="shared" si="4"/>
        <v>8213312601</v>
      </c>
      <c r="F8" s="331">
        <f t="shared" si="4"/>
        <v>58435490682</v>
      </c>
      <c r="G8" s="331">
        <f t="shared" si="4"/>
        <v>21010304747</v>
      </c>
      <c r="H8" s="331">
        <f t="shared" si="4"/>
        <v>5968219426</v>
      </c>
      <c r="I8" s="331">
        <f t="shared" si="4"/>
        <v>26978524173</v>
      </c>
      <c r="J8" s="331">
        <f t="shared" si="4"/>
        <v>10478704815</v>
      </c>
      <c r="K8" s="331">
        <f t="shared" si="4"/>
        <v>2656032104</v>
      </c>
      <c r="L8" s="331">
        <f t="shared" si="4"/>
        <v>13134736919</v>
      </c>
      <c r="M8" s="331">
        <f t="shared" si="4"/>
        <v>31456966509</v>
      </c>
      <c r="N8" s="331">
        <f t="shared" si="4"/>
        <v>45300753763</v>
      </c>
      <c r="O8" s="333"/>
      <c r="P8" s="334">
        <f t="shared" si="4"/>
        <v>0</v>
      </c>
      <c r="Q8" s="332">
        <f t="shared" si="4"/>
        <v>3981957161</v>
      </c>
      <c r="S8" s="701" t="str">
        <f>+IF(MARZO!S8=0,"",MARZO!S8)</f>
        <v/>
      </c>
      <c r="T8" s="675" t="str">
        <f>+IF(MARZO!T8=0,"",MARZO!T8)</f>
        <v>GASTOS</v>
      </c>
      <c r="U8" s="335">
        <f>U10+U193+U220+U232</f>
        <v>50222178081</v>
      </c>
      <c r="V8" s="336">
        <f t="shared" ref="V8:AJ8" si="5">V10+V193+V220+V232</f>
        <v>0</v>
      </c>
      <c r="W8" s="336">
        <f t="shared" si="5"/>
        <v>8213312601</v>
      </c>
      <c r="X8" s="337">
        <f t="shared" si="5"/>
        <v>58435490682</v>
      </c>
      <c r="Y8" s="338">
        <f t="shared" si="5"/>
        <v>33002652545</v>
      </c>
      <c r="Z8" s="336">
        <f t="shared" si="5"/>
        <v>3905623391</v>
      </c>
      <c r="AA8" s="337">
        <f t="shared" si="5"/>
        <v>36908275936</v>
      </c>
      <c r="AB8" s="338">
        <f t="shared" si="5"/>
        <v>18574116723</v>
      </c>
      <c r="AC8" s="336">
        <f t="shared" si="5"/>
        <v>5829476709</v>
      </c>
      <c r="AD8" s="337">
        <f t="shared" si="5"/>
        <v>24403593432</v>
      </c>
      <c r="AE8" s="338">
        <f t="shared" si="5"/>
        <v>9713168340</v>
      </c>
      <c r="AF8" s="336">
        <f t="shared" si="5"/>
        <v>3389925111</v>
      </c>
      <c r="AG8" s="337">
        <f t="shared" si="5"/>
        <v>13103093451</v>
      </c>
      <c r="AH8" s="338">
        <f t="shared" si="5"/>
        <v>21527214746</v>
      </c>
      <c r="AI8" s="336">
        <f t="shared" si="5"/>
        <v>34031897250</v>
      </c>
      <c r="AJ8" s="339">
        <f t="shared" si="5"/>
        <v>45332397231</v>
      </c>
      <c r="AL8" s="340">
        <f t="shared" ref="AL8:AM8" si="6">AL10+AL193+AL220+AL232</f>
        <v>0</v>
      </c>
      <c r="AM8" s="341">
        <f t="shared" si="6"/>
        <v>3981957161</v>
      </c>
      <c r="AO8" s="21"/>
      <c r="AP8" s="11" t="s">
        <v>56</v>
      </c>
      <c r="AQ8" s="12">
        <f>F25</f>
        <v>15702041866</v>
      </c>
      <c r="AR8" s="12">
        <f>I25</f>
        <v>10254568232</v>
      </c>
      <c r="AS8" s="12">
        <f>L25</f>
        <v>4608631880</v>
      </c>
      <c r="AT8" s="13"/>
      <c r="AU8" s="342">
        <f t="shared" si="0"/>
        <v>0.65307227681034641</v>
      </c>
      <c r="AV8" s="342">
        <f t="shared" si="1"/>
        <v>0.29350525997381138</v>
      </c>
      <c r="AW8" s="12">
        <f>I26/AO$2*12+I27</f>
        <v>21947114336</v>
      </c>
      <c r="AX8" s="12">
        <f>L26/AO$2*12+L27</f>
        <v>5009305280</v>
      </c>
      <c r="AY8" s="12">
        <f t="shared" si="2"/>
        <v>6245072470</v>
      </c>
      <c r="AZ8" s="343">
        <f t="shared" si="3"/>
        <v>-10692736586</v>
      </c>
      <c r="BB8" s="140" t="s">
        <v>57</v>
      </c>
      <c r="BC8" s="65">
        <f>BC9+BC19</f>
        <v>41179273113</v>
      </c>
      <c r="BD8" s="66">
        <f>BD9+BD19</f>
        <v>14475794026</v>
      </c>
      <c r="BE8" s="67">
        <f>BE9+BE19</f>
        <v>321395943</v>
      </c>
      <c r="BF8" s="57"/>
      <c r="BG8" s="68" t="s">
        <v>58</v>
      </c>
      <c r="BH8" s="69">
        <f>BN9+BN13</f>
        <v>2542168139</v>
      </c>
      <c r="BI8" s="69">
        <f>BO9+BO13</f>
        <v>666306377</v>
      </c>
      <c r="BJ8" s="69">
        <f>BP9+BP13</f>
        <v>666306377</v>
      </c>
      <c r="BK8" s="69">
        <f>BQ9+BQ13</f>
        <v>157788261</v>
      </c>
      <c r="BM8" s="71" t="s">
        <v>59</v>
      </c>
      <c r="BN8" s="72">
        <f>BN9+BN14+BN13</f>
        <v>24698908346</v>
      </c>
      <c r="BO8" s="69">
        <f>BO9+BO14+BO13</f>
        <v>16938863015</v>
      </c>
      <c r="BP8" s="69">
        <f>BP9+BP14+BP13</f>
        <v>9499511094</v>
      </c>
      <c r="BQ8" s="70">
        <f>BQ9+BQ14+BQ13</f>
        <v>1307528000</v>
      </c>
    </row>
    <row r="9" spans="1:69"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210337189</v>
      </c>
      <c r="AR9" s="12">
        <f>I28+I75</f>
        <v>383593078</v>
      </c>
      <c r="AS9" s="12">
        <f>L28+L75</f>
        <v>2604857</v>
      </c>
      <c r="AT9" s="13"/>
      <c r="AU9" s="350">
        <f t="shared" si="0"/>
        <v>1.8237054503946994</v>
      </c>
      <c r="AV9" s="350">
        <f t="shared" si="1"/>
        <v>1.2384196120449246E-2</v>
      </c>
      <c r="AW9" s="351">
        <f>(I30+I33+I36+I76)/AO$2*12+I31+I34+I37+I38+I39+I40+I77</f>
        <v>1149147820</v>
      </c>
      <c r="AX9" s="351">
        <f>(L30+L33+L36+L76)/AO$2*12+L31+L34+L37+L38+L39+L40+L77</f>
        <v>6183157</v>
      </c>
      <c r="AY9" s="351">
        <f t="shared" si="2"/>
        <v>938810631</v>
      </c>
      <c r="AZ9" s="352">
        <f t="shared" si="3"/>
        <v>-204154032</v>
      </c>
      <c r="BB9" s="353" t="s">
        <v>427</v>
      </c>
      <c r="BC9" s="73">
        <f>BC10+BC18</f>
        <v>40501810887</v>
      </c>
      <c r="BD9" s="74">
        <f>BD10+BD18</f>
        <v>13519510900</v>
      </c>
      <c r="BE9" s="75">
        <f>BE10+BE18</f>
        <v>264330872</v>
      </c>
      <c r="BF9" s="76"/>
      <c r="BG9" s="77" t="s">
        <v>62</v>
      </c>
      <c r="BH9" s="78">
        <f t="shared" ref="BH9:BK10" si="7">BN14</f>
        <v>22156740207</v>
      </c>
      <c r="BI9" s="78">
        <f t="shared" si="7"/>
        <v>16272556638</v>
      </c>
      <c r="BJ9" s="78">
        <f t="shared" si="7"/>
        <v>8833204717</v>
      </c>
      <c r="BK9" s="78">
        <f t="shared" si="7"/>
        <v>1149739739</v>
      </c>
      <c r="BM9" s="137" t="s">
        <v>63</v>
      </c>
      <c r="BN9" s="80">
        <f>SUM(BN10:BN12)</f>
        <v>2025410762</v>
      </c>
      <c r="BO9" s="78">
        <f>SUM(BO10:BO12)</f>
        <v>529385707</v>
      </c>
      <c r="BP9" s="78">
        <f>SUM(BP10:BP12)</f>
        <v>529385707</v>
      </c>
      <c r="BQ9" s="79">
        <f>SUM(BQ10:BQ12)</f>
        <v>123735329</v>
      </c>
    </row>
    <row r="10" spans="1:69" s="9" customFormat="1" ht="24.95" customHeight="1">
      <c r="A10" s="731">
        <f>+IF(MARZO!A10=0,"",MARZO!A10)</f>
        <v>10</v>
      </c>
      <c r="B10" s="637" t="str">
        <f>+IF(MARZO!B10=0,"",MARZO!B10)</f>
        <v>DISPONIBILIDAD INICIAL</v>
      </c>
      <c r="C10" s="174">
        <f t="shared" ref="C10:N10" si="8">SUM(C12:C15)</f>
        <v>0</v>
      </c>
      <c r="D10" s="354">
        <f t="shared" si="8"/>
        <v>0</v>
      </c>
      <c r="E10" s="354">
        <f t="shared" si="8"/>
        <v>617329922</v>
      </c>
      <c r="F10" s="175">
        <f t="shared" si="8"/>
        <v>617329922</v>
      </c>
      <c r="G10" s="355">
        <f t="shared" si="8"/>
        <v>617329922</v>
      </c>
      <c r="H10" s="354">
        <f t="shared" si="8"/>
        <v>0</v>
      </c>
      <c r="I10" s="356">
        <f t="shared" si="8"/>
        <v>617329922</v>
      </c>
      <c r="J10" s="174">
        <f t="shared" si="8"/>
        <v>617329922</v>
      </c>
      <c r="K10" s="354">
        <f t="shared" si="8"/>
        <v>0</v>
      </c>
      <c r="L10" s="175">
        <f t="shared" si="8"/>
        <v>617329922</v>
      </c>
      <c r="M10" s="174">
        <f t="shared" si="8"/>
        <v>0</v>
      </c>
      <c r="N10" s="175">
        <f t="shared" si="8"/>
        <v>0</v>
      </c>
      <c r="O10" s="13"/>
      <c r="P10" s="174">
        <f>SUM(P12:P15)</f>
        <v>0</v>
      </c>
      <c r="Q10" s="175">
        <f>SUM(Q12:Q15)</f>
        <v>0</v>
      </c>
      <c r="S10" s="357" t="str">
        <f>+IF(MARZO!S10=0,"",MARZO!S10)</f>
        <v>A</v>
      </c>
      <c r="T10" s="676" t="str">
        <f>+IF(MARZO!T10=0,"",MARZO!T10)</f>
        <v>GASTOS DE FUNCIONAMIENTO</v>
      </c>
      <c r="U10" s="358">
        <f>U12+U110+U170</f>
        <v>35471771735</v>
      </c>
      <c r="V10" s="359">
        <f t="shared" ref="V10:AJ10" si="9">V12+V110+V170</f>
        <v>-99588299</v>
      </c>
      <c r="W10" s="359">
        <f t="shared" si="9"/>
        <v>5964115702</v>
      </c>
      <c r="X10" s="362">
        <f t="shared" si="9"/>
        <v>41336299138</v>
      </c>
      <c r="Y10" s="361">
        <f t="shared" si="9"/>
        <v>25865359667</v>
      </c>
      <c r="Z10" s="359">
        <f t="shared" si="9"/>
        <v>2933819514</v>
      </c>
      <c r="AA10" s="362">
        <f t="shared" si="9"/>
        <v>28799179181</v>
      </c>
      <c r="AB10" s="361">
        <f t="shared" si="9"/>
        <v>13618951286</v>
      </c>
      <c r="AC10" s="359">
        <f t="shared" si="9"/>
        <v>4493625116</v>
      </c>
      <c r="AD10" s="362">
        <f t="shared" si="9"/>
        <v>18112576402</v>
      </c>
      <c r="AE10" s="361">
        <f t="shared" si="9"/>
        <v>7335941454</v>
      </c>
      <c r="AF10" s="359">
        <f t="shared" si="9"/>
        <v>2900186485</v>
      </c>
      <c r="AG10" s="362">
        <f t="shared" si="9"/>
        <v>10236127939</v>
      </c>
      <c r="AH10" s="361">
        <f t="shared" si="9"/>
        <v>12537119957</v>
      </c>
      <c r="AI10" s="359">
        <f t="shared" si="9"/>
        <v>23223722736</v>
      </c>
      <c r="AJ10" s="360">
        <f t="shared" si="9"/>
        <v>31100171199</v>
      </c>
      <c r="AL10" s="363">
        <f t="shared" ref="AL10:AM10" si="10">AL12+AL110+AL170</f>
        <v>-100100000</v>
      </c>
      <c r="AM10" s="364">
        <f t="shared" si="10"/>
        <v>3651666127</v>
      </c>
      <c r="AO10" s="349"/>
      <c r="AP10" s="11" t="s">
        <v>65</v>
      </c>
      <c r="AQ10" s="12">
        <f>F42</f>
        <v>0</v>
      </c>
      <c r="AR10" s="12">
        <f>I42</f>
        <v>0</v>
      </c>
      <c r="AS10" s="12">
        <f>L42</f>
        <v>0</v>
      </c>
      <c r="AT10" s="13"/>
      <c r="AU10" s="350" t="str">
        <f t="shared" si="0"/>
        <v xml:space="preserve"> </v>
      </c>
      <c r="AV10" s="350" t="str">
        <f t="shared" si="1"/>
        <v xml:space="preserve"> </v>
      </c>
      <c r="AW10" s="351">
        <f>I43/AO$2*12+I44</f>
        <v>0</v>
      </c>
      <c r="AX10" s="351">
        <f>L43/AO$2*12+L44</f>
        <v>0</v>
      </c>
      <c r="AY10" s="351">
        <f t="shared" si="2"/>
        <v>0</v>
      </c>
      <c r="AZ10" s="352">
        <f t="shared" si="3"/>
        <v>0</v>
      </c>
      <c r="BB10" s="365" t="s">
        <v>428</v>
      </c>
      <c r="BC10" s="73">
        <f>BC11+BC12+BC13+BC14+BC16+BC17+BC15</f>
        <v>40501810887</v>
      </c>
      <c r="BD10" s="74">
        <f>BD11+BD12+BD13+BD14+BD16+BD17+BD15</f>
        <v>13519510900</v>
      </c>
      <c r="BE10" s="75">
        <f>BE11+BE12+BE13+BE14+BE16+BE17+BE15</f>
        <v>264330872</v>
      </c>
      <c r="BF10" s="76"/>
      <c r="BG10" s="68" t="s">
        <v>66</v>
      </c>
      <c r="BH10" s="81">
        <f t="shared" si="7"/>
        <v>8508053842</v>
      </c>
      <c r="BI10" s="81">
        <f t="shared" si="7"/>
        <v>6003651226</v>
      </c>
      <c r="BJ10" s="81">
        <f t="shared" si="7"/>
        <v>2756695455</v>
      </c>
      <c r="BK10" s="81">
        <f t="shared" si="7"/>
        <v>277306272</v>
      </c>
      <c r="BM10" s="134" t="s">
        <v>440</v>
      </c>
      <c r="BN10" s="83">
        <f>X17+X66</f>
        <v>1512951119</v>
      </c>
      <c r="BO10" s="81">
        <f>AA17+AA66</f>
        <v>405644570</v>
      </c>
      <c r="BP10" s="81">
        <f>AD17+AD66</f>
        <v>405644570</v>
      </c>
      <c r="BQ10" s="82">
        <f>AF17+AF66</f>
        <v>102161904</v>
      </c>
    </row>
    <row r="11" spans="1:69" s="9" customFormat="1" ht="24.95" customHeight="1">
      <c r="A11" s="666"/>
      <c r="B11" s="636"/>
      <c r="C11" s="344"/>
      <c r="D11" s="344"/>
      <c r="E11" s="344"/>
      <c r="F11" s="344"/>
      <c r="G11" s="344"/>
      <c r="H11" s="344"/>
      <c r="I11" s="344"/>
      <c r="J11" s="344"/>
      <c r="K11" s="344"/>
      <c r="L11" s="344"/>
      <c r="M11" s="344"/>
      <c r="N11" s="345"/>
      <c r="O11" s="333"/>
      <c r="P11" s="346"/>
      <c r="Q11" s="345"/>
      <c r="S11" s="366"/>
      <c r="T11" s="695"/>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0.33333333333333331</v>
      </c>
      <c r="AU11" s="350" t="str">
        <f t="shared" si="0"/>
        <v xml:space="preserve"> </v>
      </c>
      <c r="AV11" s="350" t="str">
        <f t="shared" si="1"/>
        <v xml:space="preserve"> </v>
      </c>
      <c r="AW11" s="351">
        <f>I88</f>
        <v>0</v>
      </c>
      <c r="AX11" s="351">
        <f>L88</f>
        <v>0</v>
      </c>
      <c r="AY11" s="351">
        <f t="shared" si="2"/>
        <v>0</v>
      </c>
      <c r="AZ11" s="352">
        <f t="shared" si="3"/>
        <v>0</v>
      </c>
      <c r="BB11" s="365" t="s">
        <v>429</v>
      </c>
      <c r="BC11" s="73">
        <f>F26</f>
        <v>13439321219</v>
      </c>
      <c r="BD11" s="74">
        <f>I26</f>
        <v>5846273052</v>
      </c>
      <c r="BE11" s="75">
        <f>K26</f>
        <v>200000000</v>
      </c>
      <c r="BF11" s="76"/>
      <c r="BG11" s="68" t="s">
        <v>67</v>
      </c>
      <c r="BH11" s="84">
        <f>BN22</f>
        <v>162030003</v>
      </c>
      <c r="BI11" s="84">
        <f>BO22</f>
        <v>89309278</v>
      </c>
      <c r="BJ11" s="84">
        <f>BP22</f>
        <v>89014191</v>
      </c>
      <c r="BK11" s="84">
        <f>BQ22</f>
        <v>1895754</v>
      </c>
      <c r="BM11" s="135" t="s">
        <v>441</v>
      </c>
      <c r="BN11" s="86">
        <f>X18+X67</f>
        <v>36988810</v>
      </c>
      <c r="BO11" s="84">
        <f>AA18+AA67</f>
        <v>25954158</v>
      </c>
      <c r="BP11" s="84">
        <f>AD18+AD67</f>
        <v>25954158</v>
      </c>
      <c r="BQ11" s="85">
        <f>AF18+AF67</f>
        <v>6260264</v>
      </c>
    </row>
    <row r="12" spans="1:69" s="9" customFormat="1" ht="24.95" customHeight="1">
      <c r="A12" s="611">
        <f>+IF(MARZO!A12=0,"",MARZO!A12)</f>
        <v>1001</v>
      </c>
      <c r="B12" s="638" t="str">
        <f>+IF(MARZO!B12=0,"",MARZO!B12)</f>
        <v>Bienestar Social (Caja, Bancos, Inversiones Tempor.) a Dic-31-2016</v>
      </c>
      <c r="C12" s="671">
        <f>+ENERO!C12</f>
        <v>0</v>
      </c>
      <c r="D12" s="373">
        <f>MARZO!D12+ABRIL!P12</f>
        <v>0</v>
      </c>
      <c r="E12" s="373">
        <f>MARZO!E12+ABRIL!Q12</f>
        <v>26156707</v>
      </c>
      <c r="F12" s="143">
        <f>SUM(C12:E12)</f>
        <v>26156707</v>
      </c>
      <c r="G12" s="219">
        <f>MARZO!I12</f>
        <v>26156707</v>
      </c>
      <c r="H12" s="374">
        <v>0</v>
      </c>
      <c r="I12" s="143">
        <f>SUM(G12:H12)</f>
        <v>26156707</v>
      </c>
      <c r="J12" s="219">
        <f>MARZO!L12</f>
        <v>26156707</v>
      </c>
      <c r="K12" s="131">
        <f>+H12</f>
        <v>0</v>
      </c>
      <c r="L12" s="143">
        <f>SUM(J12:K12)</f>
        <v>26156707</v>
      </c>
      <c r="M12" s="219">
        <f>F12-I12</f>
        <v>0</v>
      </c>
      <c r="N12" s="143">
        <f>F12-L12</f>
        <v>0</v>
      </c>
      <c r="O12" s="294"/>
      <c r="P12" s="372">
        <v>0</v>
      </c>
      <c r="Q12" s="375">
        <v>0</v>
      </c>
      <c r="S12" s="702">
        <f>+IF(MARZO!S12=0,"",MARZO!S12)</f>
        <v>1000000</v>
      </c>
      <c r="T12" s="678" t="str">
        <f>+IF(MARZO!T12=0,"",MARZO!T12)</f>
        <v>GASTOS DE PERSONAL</v>
      </c>
      <c r="U12" s="376">
        <f t="shared" ref="U12:AJ12" si="11">U14+U63</f>
        <v>27757873896</v>
      </c>
      <c r="V12" s="377">
        <f t="shared" si="11"/>
        <v>-489268627</v>
      </c>
      <c r="W12" s="377">
        <f t="shared" si="11"/>
        <v>2855008127</v>
      </c>
      <c r="X12" s="378">
        <f t="shared" si="11"/>
        <v>30123613396</v>
      </c>
      <c r="Y12" s="363">
        <f t="shared" si="11"/>
        <v>19560897373</v>
      </c>
      <c r="Z12" s="377">
        <f t="shared" si="11"/>
        <v>2576886522</v>
      </c>
      <c r="AA12" s="378">
        <f t="shared" si="11"/>
        <v>22137783895</v>
      </c>
      <c r="AB12" s="363">
        <f t="shared" si="11"/>
        <v>10876152484</v>
      </c>
      <c r="AC12" s="377">
        <f t="shared" si="11"/>
        <v>3822279490</v>
      </c>
      <c r="AD12" s="378">
        <f t="shared" si="11"/>
        <v>14698431974</v>
      </c>
      <c r="AE12" s="363">
        <f t="shared" si="11"/>
        <v>5756042184</v>
      </c>
      <c r="AF12" s="377">
        <f t="shared" si="11"/>
        <v>2581744707</v>
      </c>
      <c r="AG12" s="378">
        <f t="shared" si="11"/>
        <v>8337786891</v>
      </c>
      <c r="AH12" s="363">
        <f t="shared" si="11"/>
        <v>7985829501</v>
      </c>
      <c r="AI12" s="377">
        <f t="shared" si="11"/>
        <v>15425181422</v>
      </c>
      <c r="AJ12" s="364">
        <f t="shared" si="11"/>
        <v>21785826505</v>
      </c>
      <c r="AK12" s="10"/>
      <c r="AL12" s="379">
        <f>AL14+AL63</f>
        <v>0</v>
      </c>
      <c r="AM12" s="380">
        <f>AM14+AM63</f>
        <v>1551666127</v>
      </c>
      <c r="AO12" s="370"/>
      <c r="AP12" s="527"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18905646713</v>
      </c>
      <c r="BD12" s="74">
        <f>I23</f>
        <v>4491784912</v>
      </c>
      <c r="BE12" s="75">
        <f>K23</f>
        <v>0</v>
      </c>
      <c r="BF12" s="76"/>
      <c r="BG12" s="381" t="s">
        <v>391</v>
      </c>
      <c r="BH12" s="84">
        <f>BN25</f>
        <v>14723406346</v>
      </c>
      <c r="BI12" s="15">
        <f>BO25</f>
        <v>5919069641</v>
      </c>
      <c r="BJ12" s="84">
        <f>BP25</f>
        <v>4251006436</v>
      </c>
      <c r="BK12" s="84">
        <f>BQ25</f>
        <v>103927956</v>
      </c>
      <c r="BM12" s="136" t="s">
        <v>442</v>
      </c>
      <c r="BN12" s="86">
        <f>X16+X65-X81-X33-BN10-BN11</f>
        <v>475470833</v>
      </c>
      <c r="BO12" s="84">
        <f>AA16+AA65-AA81-AA33-BO10-BO11</f>
        <v>97786979</v>
      </c>
      <c r="BP12" s="84">
        <f>AD16+AD65-AD81-AD33-BP10-BP11</f>
        <v>97786979</v>
      </c>
      <c r="BQ12" s="85">
        <f>AF16+AF65-AF81-AF33-BQ10-BQ11</f>
        <v>15313161</v>
      </c>
    </row>
    <row r="13" spans="1:69" s="9" customFormat="1" ht="24.95" customHeight="1">
      <c r="A13" s="611">
        <f>+IF(MARZO!A13=0,"",MARZO!A13)</f>
        <v>1002</v>
      </c>
      <c r="B13" s="638" t="str">
        <f>+IF(MARZO!B13=0,"",MARZO!B13)</f>
        <v>Fondo Vivienda (Caja, Bancos, Inversiones Tempor.) a Dic-31-2016</v>
      </c>
      <c r="C13" s="671">
        <f>+ENERO!C13</f>
        <v>0</v>
      </c>
      <c r="D13" s="373">
        <f>MARZO!D13+ABRIL!P13</f>
        <v>0</v>
      </c>
      <c r="E13" s="373">
        <f>MARZO!E13+ABRIL!Q13</f>
        <v>53878092</v>
      </c>
      <c r="F13" s="143">
        <f>SUM(C13:E13)</f>
        <v>53878092</v>
      </c>
      <c r="G13" s="219">
        <f>MARZO!I13</f>
        <v>53878092</v>
      </c>
      <c r="H13" s="374">
        <v>0</v>
      </c>
      <c r="I13" s="143">
        <f>SUM(G13:H13)</f>
        <v>53878092</v>
      </c>
      <c r="J13" s="219">
        <f>MARZO!L13</f>
        <v>53878092</v>
      </c>
      <c r="K13" s="131">
        <f>+H13</f>
        <v>0</v>
      </c>
      <c r="L13" s="143">
        <f>SUM(J13:K13)</f>
        <v>53878092</v>
      </c>
      <c r="M13" s="219">
        <f>F13-I13</f>
        <v>0</v>
      </c>
      <c r="N13" s="143">
        <f>F13-L13</f>
        <v>0</v>
      </c>
      <c r="O13" s="382"/>
      <c r="P13" s="372">
        <v>0</v>
      </c>
      <c r="Q13" s="375">
        <v>0</v>
      </c>
      <c r="S13" s="366"/>
      <c r="T13" s="695"/>
      <c r="U13" s="161"/>
      <c r="V13" s="161"/>
      <c r="W13" s="161"/>
      <c r="X13" s="161"/>
      <c r="Y13" s="161"/>
      <c r="Z13" s="161"/>
      <c r="AA13" s="161"/>
      <c r="AB13" s="161"/>
      <c r="AC13" s="161"/>
      <c r="AD13" s="161"/>
      <c r="AE13" s="161"/>
      <c r="AF13" s="161"/>
      <c r="AG13" s="161"/>
      <c r="AH13" s="161"/>
      <c r="AI13" s="161"/>
      <c r="AJ13" s="166"/>
      <c r="AK13" s="10"/>
      <c r="AL13" s="368"/>
      <c r="AM13" s="369"/>
      <c r="AO13" s="20"/>
      <c r="AP13" s="527"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157521482</v>
      </c>
      <c r="BD13" s="88">
        <f>+I30+I33+I36+I38+I39+I40</f>
        <v>352172557</v>
      </c>
      <c r="BE13" s="89">
        <f>+K30+K33+K36+K38+K39+K40</f>
        <v>50000</v>
      </c>
      <c r="BF13" s="90"/>
      <c r="BG13" s="91" t="s">
        <v>70</v>
      </c>
      <c r="BH13" s="84">
        <f t="shared" ref="BH13:BK15" si="12">BN29</f>
        <v>433878092</v>
      </c>
      <c r="BI13" s="84">
        <f t="shared" si="12"/>
        <v>292700372</v>
      </c>
      <c r="BJ13" s="84">
        <f t="shared" si="12"/>
        <v>142683852</v>
      </c>
      <c r="BK13" s="84">
        <f t="shared" si="12"/>
        <v>0</v>
      </c>
      <c r="BM13" s="139" t="s">
        <v>443</v>
      </c>
      <c r="BN13" s="83">
        <f>X43-X55+X57-X61+X90-X102+X104-X108</f>
        <v>516757377</v>
      </c>
      <c r="BO13" s="81">
        <f>AA43-AA55+AA57-AA61+AA90-AA102+AA104-AA108</f>
        <v>136920670</v>
      </c>
      <c r="BP13" s="81">
        <f>AD43-AD55+AD57-AD61+AD90-AD102+AD104-AD108</f>
        <v>136920670</v>
      </c>
      <c r="BQ13" s="82">
        <f>AF43-AF55+AF57-AF61+AF90-AF102+AF104-AF108</f>
        <v>34052932</v>
      </c>
    </row>
    <row r="14" spans="1:69" s="9" customFormat="1" ht="24.95" customHeight="1">
      <c r="A14" s="611">
        <f>+IF(MARZO!A14=0,"",MARZO!A14)</f>
        <v>1003</v>
      </c>
      <c r="B14" s="638" t="str">
        <f>+IF(MARZO!B14=0,"",MARZO!B14)</f>
        <v>Fondos Comunes y Especiales (Caja, Bancos, Invers. Tempor.) a Dic-31-2016</v>
      </c>
      <c r="C14" s="671">
        <f>+ENERO!C14</f>
        <v>0</v>
      </c>
      <c r="D14" s="373">
        <f>MARZO!D14+ABRIL!P14</f>
        <v>0</v>
      </c>
      <c r="E14" s="373">
        <f>MARZO!E14+ABRIL!Q14</f>
        <v>433953123</v>
      </c>
      <c r="F14" s="143">
        <f>SUM(C14:E14)</f>
        <v>433953123</v>
      </c>
      <c r="G14" s="219">
        <f>MARZO!I14</f>
        <v>433953123</v>
      </c>
      <c r="H14" s="374">
        <v>0</v>
      </c>
      <c r="I14" s="143">
        <f>SUM(G14:H14)</f>
        <v>433953123</v>
      </c>
      <c r="J14" s="219">
        <f>MARZO!L14</f>
        <v>433953123</v>
      </c>
      <c r="K14" s="131">
        <f>+H14</f>
        <v>0</v>
      </c>
      <c r="L14" s="143">
        <f>SUM(J14:K14)</f>
        <v>433953123</v>
      </c>
      <c r="M14" s="219">
        <f>F14-I14</f>
        <v>0</v>
      </c>
      <c r="N14" s="143">
        <f>F14-L14</f>
        <v>0</v>
      </c>
      <c r="O14" s="382"/>
      <c r="P14" s="372">
        <v>0</v>
      </c>
      <c r="Q14" s="375">
        <v>0</v>
      </c>
      <c r="S14" s="703">
        <f>+IF(MARZO!S14=0,"",MARZO!S14)</f>
        <v>1010000</v>
      </c>
      <c r="T14" s="679" t="str">
        <f>+IF(MARZO!T14=0,"",MARZO!T14)</f>
        <v>Gastos de Administración</v>
      </c>
      <c r="U14" s="132">
        <f t="shared" ref="U14:AJ14" si="13">U16+U35+U43+U57</f>
        <v>4011945263</v>
      </c>
      <c r="V14" s="122">
        <f t="shared" si="13"/>
        <v>682143344</v>
      </c>
      <c r="W14" s="122">
        <f t="shared" si="13"/>
        <v>744012433</v>
      </c>
      <c r="X14" s="129">
        <f t="shared" si="13"/>
        <v>5438101040</v>
      </c>
      <c r="Y14" s="128">
        <f t="shared" si="13"/>
        <v>3909778038</v>
      </c>
      <c r="Z14" s="122">
        <f t="shared" si="13"/>
        <v>466442074</v>
      </c>
      <c r="AA14" s="129">
        <f t="shared" si="13"/>
        <v>4376220112</v>
      </c>
      <c r="AB14" s="128">
        <f t="shared" si="13"/>
        <v>1874839569</v>
      </c>
      <c r="AC14" s="122">
        <f t="shared" si="13"/>
        <v>828003690</v>
      </c>
      <c r="AD14" s="129">
        <f t="shared" si="13"/>
        <v>2702843259</v>
      </c>
      <c r="AE14" s="128">
        <f t="shared" si="13"/>
        <v>1250722796</v>
      </c>
      <c r="AF14" s="122">
        <f t="shared" si="13"/>
        <v>808889784</v>
      </c>
      <c r="AG14" s="129">
        <f t="shared" si="13"/>
        <v>2059612580</v>
      </c>
      <c r="AH14" s="128">
        <f t="shared" si="13"/>
        <v>1061880928</v>
      </c>
      <c r="AI14" s="122">
        <f t="shared" si="13"/>
        <v>2735257781</v>
      </c>
      <c r="AJ14" s="130">
        <f t="shared" si="13"/>
        <v>3378488460</v>
      </c>
      <c r="AK14" s="10"/>
      <c r="AL14" s="128">
        <f>AL16+AL35+AL43+AL57</f>
        <v>122300000</v>
      </c>
      <c r="AM14" s="130">
        <f>AM16+AM35+AM43+AM57</f>
        <v>519210353</v>
      </c>
      <c r="AO14" s="21"/>
      <c r="AP14" s="11" t="s">
        <v>73</v>
      </c>
      <c r="AQ14" s="12">
        <f>F19-AQ7-AQ8-AQ9-AQ10-AQ11-AQ12-AQ13</f>
        <v>9239881893</v>
      </c>
      <c r="AR14" s="12">
        <f>I19-AR7-AR8-AR9-AR10-AR11-AR12-AR13</f>
        <v>4952115231</v>
      </c>
      <c r="AS14" s="12">
        <f>L19-AS7-AS8-AS9-AS10-AS11-AS12-AS13</f>
        <v>2415116140</v>
      </c>
      <c r="AT14" s="382"/>
      <c r="AU14" s="350">
        <f t="shared" si="0"/>
        <v>0.53595005740837987</v>
      </c>
      <c r="AV14" s="350">
        <f t="shared" si="1"/>
        <v>0.26137954661841045</v>
      </c>
      <c r="AW14" s="351">
        <f>(I41+I46+I49+I52+I55+I58+I61+I64+I67+I70+I73+I78+I81+I82+I83+I85+I94+I104)/AO$2*12+I47+I50+I53+I56+I59+I62+I65+I68+I71+I74</f>
        <v>13576860920</v>
      </c>
      <c r="AX14" s="351">
        <f>(L41+L46+L49+L52+L55+L58+L61+L64+L67+L70+L73+L78+L81+L82+L83+L85+L94+L104)/AO$2*12+L47+L50+L53+L56+L59+L62+L65+L68+L71+L74</f>
        <v>3593881763</v>
      </c>
      <c r="AY14" s="351">
        <f t="shared" si="2"/>
        <v>4336979027</v>
      </c>
      <c r="AZ14" s="352">
        <f t="shared" si="3"/>
        <v>-5646000130</v>
      </c>
      <c r="BB14" s="383" t="s">
        <v>432</v>
      </c>
      <c r="BC14" s="92">
        <f>+F64</f>
        <v>5110724757</v>
      </c>
      <c r="BD14" s="93">
        <f>+I64</f>
        <v>737558019</v>
      </c>
      <c r="BE14" s="94">
        <f>K64</f>
        <v>660695</v>
      </c>
      <c r="BF14" s="95"/>
      <c r="BG14" s="91" t="s">
        <v>74</v>
      </c>
      <c r="BH14" s="81">
        <f t="shared" si="12"/>
        <v>0</v>
      </c>
      <c r="BI14" s="81">
        <f t="shared" si="12"/>
        <v>0</v>
      </c>
      <c r="BJ14" s="81">
        <f t="shared" si="12"/>
        <v>0</v>
      </c>
      <c r="BK14" s="81">
        <f t="shared" si="12"/>
        <v>0</v>
      </c>
      <c r="BM14" s="138" t="s">
        <v>439</v>
      </c>
      <c r="BN14" s="86">
        <f>X35-X41+X83-X88</f>
        <v>22156740207</v>
      </c>
      <c r="BO14" s="84">
        <f>AA35-AA41+AA83-AA88</f>
        <v>16272556638</v>
      </c>
      <c r="BP14" s="84">
        <f>AD35-AD41+AD83-AD88</f>
        <v>8833204717</v>
      </c>
      <c r="BQ14" s="85">
        <f>AF35-AF41+AF83-AF88</f>
        <v>1149739739</v>
      </c>
    </row>
    <row r="15" spans="1:69" s="9" customFormat="1" ht="24.95" customHeight="1" thickBot="1">
      <c r="A15" s="612">
        <f>+IF(MARZO!A15=0,"",MARZO!A15)</f>
        <v>1004</v>
      </c>
      <c r="B15" s="638" t="str">
        <f>+IF(MARZO!B15=0,"",MARZO!B15)</f>
        <v>Cesantias Ley 50/1990 a Dic-31-2016</v>
      </c>
      <c r="C15" s="769">
        <f>+ENERO!C15</f>
        <v>0</v>
      </c>
      <c r="D15" s="385">
        <f>MARZO!D15+ABRIL!P15</f>
        <v>0</v>
      </c>
      <c r="E15" s="385">
        <f>MARZO!E15+ABRIL!Q15</f>
        <v>103342000</v>
      </c>
      <c r="F15" s="386">
        <f>SUM(C15:E15)</f>
        <v>103342000</v>
      </c>
      <c r="G15" s="387">
        <f>MARZO!I15</f>
        <v>103342000</v>
      </c>
      <c r="H15" s="388">
        <v>0</v>
      </c>
      <c r="I15" s="386">
        <f>SUM(G15:H15)</f>
        <v>103342000</v>
      </c>
      <c r="J15" s="387">
        <f>MARZO!L15</f>
        <v>103342000</v>
      </c>
      <c r="K15" s="165">
        <f>+H15</f>
        <v>0</v>
      </c>
      <c r="L15" s="386">
        <f>SUM(J15:K15)</f>
        <v>103342000</v>
      </c>
      <c r="M15" s="387">
        <f>F15-I15</f>
        <v>0</v>
      </c>
      <c r="N15" s="386">
        <f>F15-L15</f>
        <v>0</v>
      </c>
      <c r="O15" s="382"/>
      <c r="P15" s="384">
        <v>0</v>
      </c>
      <c r="Q15" s="389">
        <v>0</v>
      </c>
      <c r="S15" s="366" t="str">
        <f>+IF(MARZO!S15=0,"",MARZO!S15)</f>
        <v/>
      </c>
      <c r="T15" s="695"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9054339033</v>
      </c>
      <c r="AR15" s="12">
        <f>I113</f>
        <v>1599074</v>
      </c>
      <c r="AS15" s="12">
        <f>L113</f>
        <v>1599074</v>
      </c>
      <c r="AT15" s="13"/>
      <c r="AU15" s="342">
        <f t="shared" si="0"/>
        <v>1.7660858447777542E-4</v>
      </c>
      <c r="AV15" s="350">
        <f t="shared" si="1"/>
        <v>1.7660858447777542E-4</v>
      </c>
      <c r="AW15" s="12">
        <f>+AR15</f>
        <v>1599074</v>
      </c>
      <c r="AX15" s="12">
        <f>+AS15</f>
        <v>1599074</v>
      </c>
      <c r="AY15" s="12">
        <f t="shared" si="2"/>
        <v>-9052739959</v>
      </c>
      <c r="AZ15" s="343">
        <f t="shared" si="3"/>
        <v>-9052739959</v>
      </c>
      <c r="BA15" s="382"/>
      <c r="BB15" s="383" t="s">
        <v>77</v>
      </c>
      <c r="BC15" s="92">
        <f>F46+F49</f>
        <v>375197511</v>
      </c>
      <c r="BD15" s="93">
        <f>I46+I49</f>
        <v>76375361</v>
      </c>
      <c r="BE15" s="94">
        <f>K46+K49</f>
        <v>0</v>
      </c>
      <c r="BF15" s="95"/>
      <c r="BG15" s="91" t="s">
        <v>78</v>
      </c>
      <c r="BH15" s="81">
        <f t="shared" si="12"/>
        <v>9909214053</v>
      </c>
      <c r="BI15" s="81">
        <f t="shared" si="12"/>
        <v>7664682404</v>
      </c>
      <c r="BJ15" s="81">
        <f t="shared" si="12"/>
        <v>7664682404</v>
      </c>
      <c r="BK15" s="81">
        <f t="shared" si="12"/>
        <v>1699267129</v>
      </c>
      <c r="BM15" s="71" t="s">
        <v>66</v>
      </c>
      <c r="BN15" s="83">
        <f>SUM(BN16:BN21)</f>
        <v>8508053842</v>
      </c>
      <c r="BO15" s="81">
        <f>SUM(BO16:BO21)</f>
        <v>6003651226</v>
      </c>
      <c r="BP15" s="81">
        <f>SUM(BP16:BP21)</f>
        <v>2756695455</v>
      </c>
      <c r="BQ15" s="82">
        <f>SUM(BQ16:BQ21)</f>
        <v>277306272</v>
      </c>
    </row>
    <row r="16" spans="1:69" s="9" customFormat="1" ht="24.95" customHeight="1" thickBot="1">
      <c r="A16" s="732" t="str">
        <f>+IF(MARZO!A16=0,"",MARZO!A16)</f>
        <v/>
      </c>
      <c r="B16" s="639" t="str">
        <f>+IF(MARZO!B16=0,"",MARZO!B16)</f>
        <v/>
      </c>
      <c r="C16" s="390"/>
      <c r="D16" s="390"/>
      <c r="E16" s="390"/>
      <c r="F16" s="390"/>
      <c r="G16" s="390"/>
      <c r="H16" s="390"/>
      <c r="I16" s="390"/>
      <c r="J16" s="390"/>
      <c r="K16" s="390"/>
      <c r="L16" s="390"/>
      <c r="M16" s="390"/>
      <c r="N16" s="391"/>
      <c r="O16" s="382"/>
      <c r="P16" s="392"/>
      <c r="Q16" s="393"/>
      <c r="S16" s="704">
        <f>+IF(MARZO!S16=0,"",MARZO!S16)</f>
        <v>1010100</v>
      </c>
      <c r="T16" s="680" t="str">
        <f>+IF(MARZO!T16=0,"",MARZO!T16)</f>
        <v>Servicios Personales Asociados a Nómina</v>
      </c>
      <c r="U16" s="132">
        <f t="shared" ref="U16:AJ16" si="14">SUM(U17:U20)+U33</f>
        <v>762990941</v>
      </c>
      <c r="V16" s="122">
        <f t="shared" si="14"/>
        <v>0</v>
      </c>
      <c r="W16" s="122">
        <f t="shared" si="14"/>
        <v>19210353</v>
      </c>
      <c r="X16" s="129">
        <f t="shared" si="14"/>
        <v>782201294</v>
      </c>
      <c r="Y16" s="128">
        <f t="shared" si="14"/>
        <v>129746050</v>
      </c>
      <c r="Z16" s="122">
        <f t="shared" si="14"/>
        <v>40272507</v>
      </c>
      <c r="AA16" s="129">
        <f t="shared" si="14"/>
        <v>170018557</v>
      </c>
      <c r="AB16" s="128">
        <f t="shared" si="14"/>
        <v>129746050</v>
      </c>
      <c r="AC16" s="122">
        <f t="shared" si="14"/>
        <v>40272507</v>
      </c>
      <c r="AD16" s="129">
        <f t="shared" si="14"/>
        <v>170018557</v>
      </c>
      <c r="AE16" s="128">
        <f t="shared" si="14"/>
        <v>128841571</v>
      </c>
      <c r="AF16" s="122">
        <f t="shared" si="14"/>
        <v>40272507</v>
      </c>
      <c r="AG16" s="129">
        <f t="shared" si="14"/>
        <v>169114078</v>
      </c>
      <c r="AH16" s="128">
        <f t="shared" si="14"/>
        <v>612182737</v>
      </c>
      <c r="AI16" s="122">
        <f t="shared" si="14"/>
        <v>612182737</v>
      </c>
      <c r="AJ16" s="130">
        <f t="shared" si="14"/>
        <v>613087216</v>
      </c>
      <c r="AK16" s="10"/>
      <c r="AL16" s="128">
        <f>SUM(AL17:AL20)+AL33</f>
        <v>0</v>
      </c>
      <c r="AM16" s="130">
        <f>SUM(AM17:AM20)+AM33</f>
        <v>19210353</v>
      </c>
      <c r="AO16" s="21"/>
      <c r="AP16" s="394" t="s">
        <v>81</v>
      </c>
      <c r="AQ16" s="395">
        <f>F10</f>
        <v>617329922</v>
      </c>
      <c r="AR16" s="395">
        <f>I10</f>
        <v>617329922</v>
      </c>
      <c r="AS16" s="395">
        <f>L10</f>
        <v>617329922</v>
      </c>
      <c r="AT16" s="382"/>
      <c r="AU16" s="396">
        <f t="shared" si="0"/>
        <v>1</v>
      </c>
      <c r="AV16" s="396">
        <f t="shared" si="1"/>
        <v>1</v>
      </c>
      <c r="AW16" s="395">
        <f t="shared" ref="AW16:AX16" si="15">+AR16</f>
        <v>617329922</v>
      </c>
      <c r="AX16" s="395">
        <f t="shared" si="15"/>
        <v>617329922</v>
      </c>
      <c r="AY16" s="12">
        <f t="shared" si="2"/>
        <v>0</v>
      </c>
      <c r="AZ16" s="397">
        <f t="shared" si="3"/>
        <v>0</v>
      </c>
      <c r="BA16" s="382"/>
      <c r="BB16" s="365" t="s">
        <v>433</v>
      </c>
      <c r="BC16" s="73">
        <f>F43</f>
        <v>0</v>
      </c>
      <c r="BD16" s="74">
        <f>I43</f>
        <v>0</v>
      </c>
      <c r="BE16" s="75">
        <f>K43</f>
        <v>0</v>
      </c>
      <c r="BF16" s="76"/>
      <c r="BG16" s="91" t="s">
        <v>82</v>
      </c>
      <c r="BH16" s="96">
        <f>BH7+BH12+BH13+BH14+BH15</f>
        <v>58435490682</v>
      </c>
      <c r="BI16" s="96">
        <f>BI7+BI12+BI13+BI14+BI15</f>
        <v>36908275936</v>
      </c>
      <c r="BJ16" s="96">
        <f>BJ7+BJ12+BJ13+BJ14+BJ15</f>
        <v>24403593432</v>
      </c>
      <c r="BK16" s="96">
        <f>BK7+BK12+BK13+BK14+BK15</f>
        <v>3389925111</v>
      </c>
      <c r="BM16" s="137" t="s">
        <v>83</v>
      </c>
      <c r="BN16" s="83">
        <f>X114-X121+X147-X148-X153</f>
        <v>1070052974</v>
      </c>
      <c r="BO16" s="81">
        <f>AA114-AA121+AA147-AA148-AA153</f>
        <v>438820859</v>
      </c>
      <c r="BP16" s="81">
        <f>AD114-AD121+AD147-AD148-AD153</f>
        <v>340566405</v>
      </c>
      <c r="BQ16" s="82">
        <f>AF114-AF121+AF147-AF148-AF153</f>
        <v>60849324</v>
      </c>
    </row>
    <row r="17" spans="1:70" s="382" customFormat="1" ht="24.95" customHeight="1" thickBot="1">
      <c r="A17" s="731">
        <f>+IF(MARZO!A17=0,"",MARZO!A17)</f>
        <v>11</v>
      </c>
      <c r="B17" s="640" t="str">
        <f>+IF(MARZO!B17=0,"",MARZO!B17)</f>
        <v>INGRESOS  CORRIENTES</v>
      </c>
      <c r="C17" s="334">
        <f>C19+C94+C104</f>
        <v>41169250887</v>
      </c>
      <c r="D17" s="331">
        <f t="shared" ref="D17:Q17" si="16">D19+D94+D104</f>
        <v>0</v>
      </c>
      <c r="E17" s="331">
        <f t="shared" si="16"/>
        <v>7594570840</v>
      </c>
      <c r="F17" s="331">
        <f t="shared" si="16"/>
        <v>48763821727</v>
      </c>
      <c r="G17" s="331">
        <f t="shared" si="16"/>
        <v>20391433497</v>
      </c>
      <c r="H17" s="331">
        <f t="shared" si="16"/>
        <v>5968161680</v>
      </c>
      <c r="I17" s="331">
        <f t="shared" si="16"/>
        <v>26359595177</v>
      </c>
      <c r="J17" s="331">
        <f t="shared" si="16"/>
        <v>9859833565</v>
      </c>
      <c r="K17" s="331">
        <f t="shared" si="16"/>
        <v>2655974358</v>
      </c>
      <c r="L17" s="331">
        <f t="shared" si="16"/>
        <v>12515807923</v>
      </c>
      <c r="M17" s="331">
        <f t="shared" si="16"/>
        <v>22404226550</v>
      </c>
      <c r="N17" s="332">
        <f t="shared" si="16"/>
        <v>36248013804</v>
      </c>
      <c r="P17" s="174">
        <f t="shared" si="16"/>
        <v>0</v>
      </c>
      <c r="Q17" s="175">
        <f t="shared" si="16"/>
        <v>3981957161</v>
      </c>
      <c r="R17" s="9"/>
      <c r="S17" s="705">
        <f>+IF(MARZO!S17=0,"",MARZO!S17)</f>
        <v>1010101</v>
      </c>
      <c r="T17" s="681" t="str">
        <f>+IF(MARZO!T17=0,"",MARZO!T17)</f>
        <v>Sueldos del Personal de nómina</v>
      </c>
      <c r="U17" s="27">
        <f>+ENERO!U17</f>
        <v>619731764</v>
      </c>
      <c r="V17" s="15">
        <f>MARZO!V17+ABRIL!AL17</f>
        <v>0</v>
      </c>
      <c r="W17" s="15">
        <f>MARZO!W17+ABRIL!AM17</f>
        <v>0</v>
      </c>
      <c r="X17" s="18">
        <f>SUM(U17:W17)</f>
        <v>619731764</v>
      </c>
      <c r="Y17" s="19">
        <f>MARZO!AA17</f>
        <v>109017433</v>
      </c>
      <c r="Z17" s="374">
        <v>38367070</v>
      </c>
      <c r="AA17" s="18">
        <f>SUM(Y17:Z17)</f>
        <v>147384503</v>
      </c>
      <c r="AB17" s="19">
        <f>MARZO!AD17</f>
        <v>109017433</v>
      </c>
      <c r="AC17" s="374">
        <v>38367070</v>
      </c>
      <c r="AD17" s="18">
        <f>SUM(AB17:AC17)</f>
        <v>147384503</v>
      </c>
      <c r="AE17" s="19">
        <f>MARZO!AG17</f>
        <v>108864353</v>
      </c>
      <c r="AF17" s="374">
        <v>38367070</v>
      </c>
      <c r="AG17" s="18">
        <f>SUM(AE17:AF17)</f>
        <v>147231423</v>
      </c>
      <c r="AH17" s="19">
        <f>X17-AA17</f>
        <v>472347261</v>
      </c>
      <c r="AI17" s="15">
        <f>X17-AD17</f>
        <v>472347261</v>
      </c>
      <c r="AJ17" s="16">
        <f>X17-AG17</f>
        <v>472500341</v>
      </c>
      <c r="AK17" s="9"/>
      <c r="AL17" s="372">
        <v>0</v>
      </c>
      <c r="AM17" s="375">
        <v>0</v>
      </c>
      <c r="AN17" s="9"/>
      <c r="AO17" s="349"/>
      <c r="AP17" s="399" t="s">
        <v>85</v>
      </c>
      <c r="AQ17" s="400">
        <f>SUM(AQ7:AQ16)</f>
        <v>57706362329</v>
      </c>
      <c r="AR17" s="401">
        <f>SUM(AR7:AR16)</f>
        <v>25970574920</v>
      </c>
      <c r="AS17" s="402">
        <f>SUM(AS7:AS16)</f>
        <v>12917448294</v>
      </c>
      <c r="AT17" s="403"/>
      <c r="AU17" s="401">
        <f t="shared" si="0"/>
        <v>0.45004699433200346</v>
      </c>
      <c r="AV17" s="401">
        <f t="shared" si="1"/>
        <v>0.22384790467910695</v>
      </c>
      <c r="AW17" s="404">
        <f>SUM(AX7:AX16)</f>
        <v>14505629517</v>
      </c>
      <c r="AX17" s="404">
        <f>SUM(AX7:AX16)</f>
        <v>14505629517</v>
      </c>
      <c r="AY17" s="404">
        <f>SUM(AY7:AY16)</f>
        <v>-1669371050</v>
      </c>
      <c r="AZ17" s="405">
        <f>SUM(AZ7:AZ16)</f>
        <v>-43200732812</v>
      </c>
      <c r="BA17" s="9"/>
      <c r="BB17" s="365" t="s">
        <v>434</v>
      </c>
      <c r="BC17" s="73">
        <f>F41+F52+F55+F58+F61+F67+F70+F73+F76+F79+F82+F86+F87+F88+F89+F90+F91</f>
        <v>2513399205</v>
      </c>
      <c r="BD17" s="74">
        <f>I41+I52+I55+I58+I61+I67+I70+I73+I76+I79+I82+I86+I87+I88+I89+I90+I91</f>
        <v>2015346999</v>
      </c>
      <c r="BE17" s="75">
        <f>K41+K52+K55+K58+K61+K67+K70+K73+K76+K79+K82+K86+K87+K88+K89+K90+K91</f>
        <v>63620177</v>
      </c>
      <c r="BF17" s="76"/>
      <c r="BG17" s="98" t="s">
        <v>86</v>
      </c>
      <c r="BH17" s="99">
        <f>BC23-BH16</f>
        <v>-58435490682</v>
      </c>
      <c r="BI17" s="99"/>
      <c r="BJ17" s="99"/>
      <c r="BK17" s="99"/>
      <c r="BM17" s="137" t="s">
        <v>449</v>
      </c>
      <c r="BN17" s="83">
        <f>X123-X126-X139+X155-X156-X167-X168</f>
        <v>4972439656</v>
      </c>
      <c r="BO17" s="81">
        <f>AA123-AA126-AA139+AA155-AA156-AA167-AA168</f>
        <v>4376315882</v>
      </c>
      <c r="BP17" s="81">
        <f>AD123-AD126-AD139+AD155-AD156-AD167-AD168</f>
        <v>1774412621</v>
      </c>
      <c r="BQ17" s="82">
        <f>AF123-AF126-AF139+AF155-AF156-AF167-AF168</f>
        <v>111919453</v>
      </c>
      <c r="BR17" s="9"/>
    </row>
    <row r="18" spans="1:70" s="9" customFormat="1" ht="24.95" customHeight="1" thickBot="1">
      <c r="A18" s="611" t="str">
        <f>+IF(MARZO!A18=0,"",MARZO!A18)</f>
        <v/>
      </c>
      <c r="B18" s="641" t="str">
        <f>+IF(MARZO!B18=0,"",MARZO!B18)</f>
        <v/>
      </c>
      <c r="C18" s="294"/>
      <c r="D18" s="294"/>
      <c r="E18" s="294"/>
      <c r="F18" s="294"/>
      <c r="G18" s="294"/>
      <c r="H18" s="294"/>
      <c r="I18" s="294"/>
      <c r="J18" s="294"/>
      <c r="K18" s="294"/>
      <c r="L18" s="294"/>
      <c r="M18" s="294"/>
      <c r="N18" s="463"/>
      <c r="P18" s="407"/>
      <c r="Q18" s="406"/>
      <c r="S18" s="705">
        <f>+IF(MARZO!S18=0,"",MARZO!S18)</f>
        <v>1010102</v>
      </c>
      <c r="T18" s="681" t="str">
        <f>+IF(MARZO!T18=0,"",MARZO!T18)</f>
        <v>Horas Extras,Dominic.,Festivos y Rec. Nocturnos</v>
      </c>
      <c r="U18" s="27">
        <f>+ENERO!U18</f>
        <v>0</v>
      </c>
      <c r="V18" s="15">
        <f>MARZO!V18+ABRIL!AL18</f>
        <v>0</v>
      </c>
      <c r="W18" s="15">
        <f>MARZO!W18+ABRIL!AM18</f>
        <v>0</v>
      </c>
      <c r="X18" s="18">
        <f>SUM(U18:W18)</f>
        <v>0</v>
      </c>
      <c r="Y18" s="19">
        <f>MARZO!AA18</f>
        <v>0</v>
      </c>
      <c r="Z18" s="374">
        <v>0</v>
      </c>
      <c r="AA18" s="18">
        <f>SUM(Y18:Z18)</f>
        <v>0</v>
      </c>
      <c r="AB18" s="19">
        <f>MARZO!AD18</f>
        <v>0</v>
      </c>
      <c r="AC18" s="374">
        <v>0</v>
      </c>
      <c r="AD18" s="18">
        <f>SUM(AB18:AC18)</f>
        <v>0</v>
      </c>
      <c r="AE18" s="19">
        <f>MARZO!AG18</f>
        <v>0</v>
      </c>
      <c r="AF18" s="374">
        <v>0</v>
      </c>
      <c r="AG18" s="18">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1561061212</v>
      </c>
      <c r="BO18" s="81">
        <f>AA148+AA156</f>
        <v>802916526</v>
      </c>
      <c r="BP18" s="81">
        <f>AD148+AD156</f>
        <v>256161417</v>
      </c>
      <c r="BQ18" s="82">
        <f>AF148+AF156</f>
        <v>4191348</v>
      </c>
      <c r="BR18" s="382"/>
    </row>
    <row r="19" spans="1:70" s="9" customFormat="1" ht="24.95" customHeight="1" thickBot="1">
      <c r="A19" s="733">
        <f>+IF(MARZO!A19=0,"",MARZO!A19)</f>
        <v>113</v>
      </c>
      <c r="B19" s="642" t="str">
        <f>+IF(MARZO!B19=0,"",MARZO!B19)</f>
        <v>VENTA DE SERVICIOS</v>
      </c>
      <c r="C19" s="334">
        <f t="shared" ref="C19:N19" si="17">C21+C85</f>
        <v>40501810887</v>
      </c>
      <c r="D19" s="331">
        <f t="shared" si="17"/>
        <v>0</v>
      </c>
      <c r="E19" s="331">
        <f t="shared" si="17"/>
        <v>7532882487</v>
      </c>
      <c r="F19" s="332">
        <f t="shared" si="17"/>
        <v>48034693374</v>
      </c>
      <c r="G19" s="334">
        <f t="shared" si="17"/>
        <v>19551475022</v>
      </c>
      <c r="H19" s="331">
        <f t="shared" si="17"/>
        <v>5800170902</v>
      </c>
      <c r="I19" s="332">
        <f t="shared" si="17"/>
        <v>25351645924</v>
      </c>
      <c r="J19" s="334">
        <f t="shared" si="17"/>
        <v>9699610011</v>
      </c>
      <c r="K19" s="331">
        <f t="shared" si="17"/>
        <v>2598909287</v>
      </c>
      <c r="L19" s="332">
        <f t="shared" si="17"/>
        <v>12298519298</v>
      </c>
      <c r="M19" s="334">
        <f t="shared" si="17"/>
        <v>22683047450</v>
      </c>
      <c r="N19" s="332">
        <f t="shared" si="17"/>
        <v>35736174076</v>
      </c>
      <c r="O19" s="382"/>
      <c r="P19" s="43">
        <f>P21+P85</f>
        <v>0</v>
      </c>
      <c r="Q19" s="45">
        <f>Q21+Q85</f>
        <v>3920268808</v>
      </c>
      <c r="S19" s="705">
        <f>+IF(MARZO!S19=0,"",MARZO!S19)</f>
        <v>1010103</v>
      </c>
      <c r="T19" s="681" t="str">
        <f>+IF(MARZO!T19=0,"",MARZO!T19)</f>
        <v>Prima Técnica</v>
      </c>
      <c r="U19" s="27">
        <f>+ENERO!U19</f>
        <v>0</v>
      </c>
      <c r="V19" s="15">
        <f>MARZO!V19+ABRIL!AL19</f>
        <v>0</v>
      </c>
      <c r="W19" s="15">
        <f>MARZO!W19+ABRIL!AM19</f>
        <v>0</v>
      </c>
      <c r="X19" s="18">
        <f>SUM(U19:W19)</f>
        <v>0</v>
      </c>
      <c r="Y19" s="19">
        <f>MARZO!AA19</f>
        <v>0</v>
      </c>
      <c r="Z19" s="374">
        <v>0</v>
      </c>
      <c r="AA19" s="18">
        <f>SUM(Y19:Z19)</f>
        <v>0</v>
      </c>
      <c r="AB19" s="19">
        <f>MARZO!AD19</f>
        <v>0</v>
      </c>
      <c r="AC19" s="374">
        <v>0</v>
      </c>
      <c r="AD19" s="18">
        <f>SUM(AB19:AC19)</f>
        <v>0</v>
      </c>
      <c r="AE19" s="19">
        <f>MARZO!AG19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677462226</v>
      </c>
      <c r="BD19" s="93">
        <f>+I105+I106+I107+I108+I109+I110+I98</f>
        <v>956283126</v>
      </c>
      <c r="BE19" s="94">
        <f>+K105+K106+K107+K108+K109+K110+K98</f>
        <v>57065071</v>
      </c>
      <c r="BF19" s="57"/>
      <c r="BG19" s="382"/>
      <c r="BH19" s="382">
        <f>BN33</f>
        <v>0</v>
      </c>
      <c r="BI19" s="382"/>
      <c r="BJ19" s="382"/>
      <c r="BK19" s="382"/>
      <c r="BM19" s="137" t="s">
        <v>94</v>
      </c>
      <c r="BN19" s="83">
        <f>X126+X167</f>
        <v>904500000</v>
      </c>
      <c r="BO19" s="81">
        <f>AA126+AA167</f>
        <v>385597959</v>
      </c>
      <c r="BP19" s="81">
        <f>AD126+AD167</f>
        <v>385555012</v>
      </c>
      <c r="BQ19" s="82">
        <f>AF126+AF167</f>
        <v>100346147</v>
      </c>
    </row>
    <row r="20" spans="1:70" s="422" customFormat="1" ht="24.95" customHeight="1" thickBot="1">
      <c r="A20" s="611" t="str">
        <f>+IF(MARZO!A20=0,"",MARZO!A20)</f>
        <v/>
      </c>
      <c r="B20" s="643" t="str">
        <f>+IF(MARZO!B20=0,"",MARZO!B20)</f>
        <v/>
      </c>
      <c r="C20" s="294"/>
      <c r="D20" s="294"/>
      <c r="E20" s="294"/>
      <c r="F20" s="294"/>
      <c r="G20" s="294"/>
      <c r="H20" s="294"/>
      <c r="I20" s="294"/>
      <c r="J20" s="294"/>
      <c r="K20" s="294"/>
      <c r="L20" s="294"/>
      <c r="M20" s="294"/>
      <c r="N20" s="463"/>
      <c r="O20" s="9"/>
      <c r="P20" s="407"/>
      <c r="Q20" s="406"/>
      <c r="R20" s="9"/>
      <c r="S20" s="705">
        <f>+IF(MARZO!S20=0,"",MARZO!S20)</f>
        <v>1010104</v>
      </c>
      <c r="T20" s="681" t="str">
        <f>+IF(MARZO!T20=0,"",MARZO!T20)</f>
        <v>Otros</v>
      </c>
      <c r="U20" s="27">
        <f t="shared" ref="U20:AJ20" si="18">SUM(U21:U32)</f>
        <v>143259177</v>
      </c>
      <c r="V20" s="15">
        <f t="shared" si="18"/>
        <v>0</v>
      </c>
      <c r="W20" s="15">
        <f t="shared" si="18"/>
        <v>19210353</v>
      </c>
      <c r="X20" s="18">
        <f t="shared" si="18"/>
        <v>162469530</v>
      </c>
      <c r="Y20" s="19">
        <f t="shared" si="18"/>
        <v>20728617</v>
      </c>
      <c r="Z20" s="142">
        <f t="shared" si="18"/>
        <v>1905437</v>
      </c>
      <c r="AA20" s="18">
        <f t="shared" si="18"/>
        <v>22634054</v>
      </c>
      <c r="AB20" s="19">
        <f t="shared" si="18"/>
        <v>20728617</v>
      </c>
      <c r="AC20" s="142">
        <f t="shared" si="18"/>
        <v>1905437</v>
      </c>
      <c r="AD20" s="18">
        <f t="shared" si="18"/>
        <v>22634054</v>
      </c>
      <c r="AE20" s="19">
        <f t="shared" si="18"/>
        <v>19977218</v>
      </c>
      <c r="AF20" s="142">
        <f t="shared" si="18"/>
        <v>1905437</v>
      </c>
      <c r="AG20" s="18">
        <f t="shared" si="18"/>
        <v>21882655</v>
      </c>
      <c r="AH20" s="19">
        <f t="shared" si="18"/>
        <v>139835476</v>
      </c>
      <c r="AI20" s="15">
        <f t="shared" si="18"/>
        <v>139835476</v>
      </c>
      <c r="AJ20" s="16">
        <f t="shared" si="18"/>
        <v>140586875</v>
      </c>
      <c r="AK20" s="9"/>
      <c r="AL20" s="29">
        <f>SUM(AL21:AL32)</f>
        <v>0</v>
      </c>
      <c r="AM20" s="26">
        <f>SUM(AM21:AM32)</f>
        <v>19210353</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1411839</v>
      </c>
      <c r="BD20" s="66">
        <f>+I115+I117+I119+I120+I121+I123+I124</f>
        <v>1599074</v>
      </c>
      <c r="BE20" s="67">
        <f>+K115+K117+K119+K120+K121+K123+K124</f>
        <v>57746</v>
      </c>
      <c r="BF20" s="57"/>
      <c r="BG20" s="382"/>
      <c r="BH20" s="382">
        <f>BH19-BH16</f>
        <v>-58435490682</v>
      </c>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4">
        <f>+IF(MARZO!A21=0,"",MARZO!A21)</f>
        <v>11301</v>
      </c>
      <c r="B21" s="644" t="str">
        <f>+IF(MARZO!B21=0,"",MARZO!B21)</f>
        <v>Venta de Servicios de Salud</v>
      </c>
      <c r="C21" s="174">
        <f t="shared" ref="C21:N21" si="19">C22+C25+C28+C41+C42+C45+C48+C51+C54+C57+C60+C63+C66+C69+C72+C75+C78+C81</f>
        <v>40501810887</v>
      </c>
      <c r="D21" s="354">
        <f t="shared" si="19"/>
        <v>0</v>
      </c>
      <c r="E21" s="354">
        <f t="shared" si="19"/>
        <v>7532882487</v>
      </c>
      <c r="F21" s="354">
        <f t="shared" si="19"/>
        <v>48034693374</v>
      </c>
      <c r="G21" s="354">
        <f t="shared" si="19"/>
        <v>19551475022</v>
      </c>
      <c r="H21" s="354">
        <f t="shared" si="19"/>
        <v>5800170902</v>
      </c>
      <c r="I21" s="354">
        <f t="shared" si="19"/>
        <v>25351645924</v>
      </c>
      <c r="J21" s="354">
        <f t="shared" si="19"/>
        <v>9699610011</v>
      </c>
      <c r="K21" s="354">
        <f t="shared" si="19"/>
        <v>2598909287</v>
      </c>
      <c r="L21" s="354">
        <f t="shared" si="19"/>
        <v>12298519298</v>
      </c>
      <c r="M21" s="354">
        <f t="shared" si="19"/>
        <v>22683047450</v>
      </c>
      <c r="N21" s="175">
        <f t="shared" si="19"/>
        <v>35736174076</v>
      </c>
      <c r="O21" s="382"/>
      <c r="P21" s="43">
        <f>P22+P25+P28+P41+P42+P45+P48+P51+P54+P57+P60+P63+P66+P69+P72+P75+P78+P81</f>
        <v>0</v>
      </c>
      <c r="Q21" s="45">
        <f>Q22+Q25+Q28+Q41+Q42+Q45+Q48+Q51+Q54+Q57+Q60+Q63+Q66+Q69+Q72+Q75+Q78+Q81</f>
        <v>3920268808</v>
      </c>
      <c r="R21" s="9"/>
      <c r="S21" s="706" t="str">
        <f>+IF(MARZO!S21=0,"",MARZO!S21)</f>
        <v>1010104-1</v>
      </c>
      <c r="T21" s="682" t="str">
        <f>+IF(MARZO!T21=0,"",MARZO!T21)</f>
        <v xml:space="preserve">Prima de Navidad </v>
      </c>
      <c r="U21" s="27">
        <f>+ENERO!U21</f>
        <v>52257791</v>
      </c>
      <c r="V21" s="15">
        <f>MARZO!V21+ABRIL!AL21</f>
        <v>0</v>
      </c>
      <c r="W21" s="15">
        <f>MARZO!W21+ABRIL!AM21</f>
        <v>0</v>
      </c>
      <c r="X21" s="18">
        <f t="shared" ref="X21:X33" si="20">SUM(U21:W21)</f>
        <v>52257791</v>
      </c>
      <c r="Y21" s="19">
        <f>MARZO!AA21</f>
        <v>317672</v>
      </c>
      <c r="Z21" s="374">
        <v>0</v>
      </c>
      <c r="AA21" s="18">
        <f t="shared" ref="AA21:AA33" si="21">SUM(Y21:Z21)</f>
        <v>317672</v>
      </c>
      <c r="AB21" s="19">
        <f>MARZO!AD21</f>
        <v>317672</v>
      </c>
      <c r="AC21" s="374">
        <v>0</v>
      </c>
      <c r="AD21" s="18">
        <f t="shared" ref="AD21:AD33" si="22">SUM(AB21:AC21)</f>
        <v>317672</v>
      </c>
      <c r="AE21" s="19">
        <f>MARZO!AG21</f>
        <v>0</v>
      </c>
      <c r="AF21" s="374">
        <v>0</v>
      </c>
      <c r="AG21" s="18">
        <f t="shared" ref="AG21:AG33" si="23">SUM(AE21:AF21)</f>
        <v>0</v>
      </c>
      <c r="AH21" s="19">
        <f t="shared" ref="AH21:AH33" si="24">X21-AA21</f>
        <v>51940119</v>
      </c>
      <c r="AI21" s="15">
        <f t="shared" ref="AI21:AI33" si="25">X21-AD21</f>
        <v>51940119</v>
      </c>
      <c r="AJ21" s="16">
        <f t="shared" ref="AJ21:AJ33" si="26">X21-AG21</f>
        <v>52257791</v>
      </c>
      <c r="AK21" s="9"/>
      <c r="AL21" s="372">
        <v>0</v>
      </c>
      <c r="AM21" s="375">
        <v>0</v>
      </c>
      <c r="AN21" s="9"/>
      <c r="AO21" s="349"/>
      <c r="AP21" s="423"/>
      <c r="AQ21" s="517"/>
      <c r="AR21" s="425" t="str">
        <f>AR6</f>
        <v>ABRIL</v>
      </c>
      <c r="AS21" s="426" t="str">
        <f>AR6</f>
        <v>ABRIL</v>
      </c>
      <c r="AT21" s="425" t="str">
        <f>AR6</f>
        <v>ABRIL</v>
      </c>
      <c r="AU21" s="425" t="s">
        <v>44</v>
      </c>
      <c r="AV21" s="425" t="s">
        <v>22</v>
      </c>
      <c r="AW21" s="517"/>
      <c r="AX21" s="517"/>
      <c r="AY21" s="425" t="s">
        <v>44</v>
      </c>
      <c r="AZ21" s="428" t="s">
        <v>22</v>
      </c>
      <c r="BA21" s="9"/>
      <c r="BB21" s="101" t="s">
        <v>437</v>
      </c>
      <c r="BC21" s="65">
        <f>SUMIF($B8:B122,$B24,F8:F122)+F122</f>
        <v>16637475808</v>
      </c>
      <c r="BD21" s="66">
        <f>SUMIF($B8:B122,$B24,I8:I122)+I122</f>
        <v>11883801151</v>
      </c>
      <c r="BE21" s="67">
        <f>SUMIF($B8:B122,$B24,K8:K122)+K122</f>
        <v>2334578415</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3">
        <f>+IF(MARZO!A22=0,"",MARZO!A22)</f>
        <v>1130101</v>
      </c>
      <c r="B22" s="645" t="str">
        <f>+IF(MARZO!B22=0,"",MARZO!B22)</f>
        <v>EPS - REGIMEN CONTRIBUTIVO</v>
      </c>
      <c r="C22" s="43">
        <f t="shared" ref="C22:N22" si="27">SUM(C23:C24)</f>
        <v>18905646713</v>
      </c>
      <c r="D22" s="44">
        <f t="shared" si="27"/>
        <v>0</v>
      </c>
      <c r="E22" s="44">
        <f t="shared" si="27"/>
        <v>3976785713</v>
      </c>
      <c r="F22" s="44">
        <f t="shared" si="27"/>
        <v>22882432426</v>
      </c>
      <c r="G22" s="44">
        <f t="shared" si="27"/>
        <v>7552362244</v>
      </c>
      <c r="H22" s="44">
        <f t="shared" si="27"/>
        <v>2209007139</v>
      </c>
      <c r="I22" s="44">
        <f t="shared" si="27"/>
        <v>9761369383</v>
      </c>
      <c r="J22" s="44">
        <f t="shared" si="27"/>
        <v>4225413661</v>
      </c>
      <c r="K22" s="44">
        <f t="shared" si="27"/>
        <v>1046752760</v>
      </c>
      <c r="L22" s="44">
        <f t="shared" si="27"/>
        <v>5272166421</v>
      </c>
      <c r="M22" s="44">
        <f t="shared" si="27"/>
        <v>13121063043</v>
      </c>
      <c r="N22" s="45">
        <f t="shared" si="27"/>
        <v>17610266005</v>
      </c>
      <c r="P22" s="43">
        <f>SUM(P23:P24)</f>
        <v>0</v>
      </c>
      <c r="Q22" s="45">
        <f>SUM(Q23:Q24)</f>
        <v>2354370115</v>
      </c>
      <c r="S22" s="706" t="str">
        <f>+IF(MARZO!S22=0,"",MARZO!S22)</f>
        <v>1010104-2</v>
      </c>
      <c r="T22" s="682" t="str">
        <f>+IF(MARZO!T22=0,"",MARZO!T22)</f>
        <v>Prima Vida Cara</v>
      </c>
      <c r="U22" s="27">
        <f>+ENERO!U22</f>
        <v>24380551</v>
      </c>
      <c r="V22" s="15">
        <f>MARZO!V22+ABRIL!AL22</f>
        <v>0</v>
      </c>
      <c r="W22" s="15">
        <f>MARZO!W22+ABRIL!AM22</f>
        <v>19210353</v>
      </c>
      <c r="X22" s="18">
        <f t="shared" si="20"/>
        <v>43590904</v>
      </c>
      <c r="Y22" s="19">
        <f>MARZO!AA22</f>
        <v>19210353</v>
      </c>
      <c r="Z22" s="374">
        <v>0</v>
      </c>
      <c r="AA22" s="18">
        <f t="shared" si="21"/>
        <v>19210353</v>
      </c>
      <c r="AB22" s="19">
        <f>MARZO!AD22</f>
        <v>19210353</v>
      </c>
      <c r="AC22" s="374">
        <v>0</v>
      </c>
      <c r="AD22" s="18">
        <f t="shared" si="22"/>
        <v>19210353</v>
      </c>
      <c r="AE22" s="19">
        <f>MARZO!AG22</f>
        <v>19210353</v>
      </c>
      <c r="AF22" s="374">
        <v>0</v>
      </c>
      <c r="AG22" s="18">
        <f t="shared" si="23"/>
        <v>19210353</v>
      </c>
      <c r="AH22" s="19">
        <f t="shared" si="24"/>
        <v>24380551</v>
      </c>
      <c r="AI22" s="15">
        <f t="shared" si="25"/>
        <v>24380551</v>
      </c>
      <c r="AJ22" s="16">
        <f t="shared" si="26"/>
        <v>24380551</v>
      </c>
      <c r="AL22" s="372">
        <v>0</v>
      </c>
      <c r="AM22" s="375">
        <v>19210353</v>
      </c>
      <c r="AO22" s="21"/>
      <c r="AP22" s="429" t="s">
        <v>104</v>
      </c>
      <c r="AQ22" s="430">
        <f>X17+X66</f>
        <v>1512951119</v>
      </c>
      <c r="AR22" s="430">
        <f>AD17+AD66</f>
        <v>405644570</v>
      </c>
      <c r="AS22" s="430">
        <f>AG17+AG66</f>
        <v>405491490</v>
      </c>
      <c r="AT22" s="431"/>
      <c r="AU22" s="432">
        <f t="shared" ref="AU22:AU32" si="28">IF(AQ22=0," ",AR22/AQ22)</f>
        <v>0.26811478897488428</v>
      </c>
      <c r="AV22" s="432">
        <f t="shared" ref="AV22:AV32" si="29">IF(AQ22=0," ",AS22/AQ22)</f>
        <v>0.26801360923544815</v>
      </c>
      <c r="AW22" s="433">
        <f>AR22/$AO$2*12</f>
        <v>1216933710</v>
      </c>
      <c r="AX22" s="433">
        <f>AS22/$AO$2*12</f>
        <v>1216474470</v>
      </c>
      <c r="AY22" s="433">
        <f t="shared" ref="AY22:AY31" si="30">AQ22-AW22</f>
        <v>296017409</v>
      </c>
      <c r="AZ22" s="434">
        <f t="shared" ref="AZ22:AZ31" si="31">AQ22-AX22</f>
        <v>296476649</v>
      </c>
      <c r="BA22" s="382"/>
      <c r="BB22" s="102" t="s">
        <v>109</v>
      </c>
      <c r="BC22" s="103">
        <f>BC7+BC8+BC20+BC21</f>
        <v>58435490682</v>
      </c>
      <c r="BD22" s="104">
        <f>BD7+BD8+BD20+BD21</f>
        <v>26978524173</v>
      </c>
      <c r="BE22" s="105">
        <f>BE7+BE8+BE20+BE21</f>
        <v>2656032104</v>
      </c>
      <c r="BF22" s="57"/>
      <c r="BG22" s="382"/>
      <c r="BH22" s="382"/>
      <c r="BI22" s="382"/>
      <c r="BJ22" s="382"/>
      <c r="BK22" s="382"/>
      <c r="BM22" s="71" t="s">
        <v>67</v>
      </c>
      <c r="BN22" s="83">
        <f>BN23+BN24</f>
        <v>162030003</v>
      </c>
      <c r="BO22" s="81">
        <f>BO23+BO24</f>
        <v>89309278</v>
      </c>
      <c r="BP22" s="81">
        <f>BP23+BP24</f>
        <v>89014191</v>
      </c>
      <c r="BQ22" s="82">
        <f>BQ23+BQ24</f>
        <v>1895754</v>
      </c>
      <c r="BR22" s="382"/>
    </row>
    <row r="23" spans="1:70" s="422" customFormat="1" ht="24.95" customHeight="1">
      <c r="A23" s="611" t="str">
        <f>+IF(MARZO!A23=0,"",MARZO!A23)</f>
        <v>1130101-1</v>
      </c>
      <c r="B23" s="646" t="str">
        <f>+CONCATENATE("Vigencia ",INSTRUCCIONES!$F$3)</f>
        <v>Vigencia 2017</v>
      </c>
      <c r="C23" s="671">
        <f>+ENERO!C23</f>
        <v>18905646713</v>
      </c>
      <c r="D23" s="373">
        <f>MARZO!D23+ABRIL!P23</f>
        <v>0</v>
      </c>
      <c r="E23" s="373">
        <f>MARZO!E23+ABRIL!Q23</f>
        <v>0</v>
      </c>
      <c r="F23" s="373">
        <f>SUM(C23:E23)</f>
        <v>18905646713</v>
      </c>
      <c r="G23" s="373">
        <f>MARZO!I23</f>
        <v>3329530533</v>
      </c>
      <c r="H23" s="374">
        <v>1162254379</v>
      </c>
      <c r="I23" s="373">
        <f>SUM(G23:H23)</f>
        <v>4491784912</v>
      </c>
      <c r="J23" s="373">
        <f>MARZO!L23</f>
        <v>2581950</v>
      </c>
      <c r="K23" s="374">
        <v>0</v>
      </c>
      <c r="L23" s="373">
        <f>SUM(J23:K23)</f>
        <v>2581950</v>
      </c>
      <c r="M23" s="373">
        <f>F23-I23</f>
        <v>14413861801</v>
      </c>
      <c r="N23" s="143">
        <f>F23-L23</f>
        <v>18903064763</v>
      </c>
      <c r="O23" s="9"/>
      <c r="P23" s="372">
        <v>0</v>
      </c>
      <c r="Q23" s="375">
        <v>0</v>
      </c>
      <c r="R23" s="9"/>
      <c r="S23" s="706" t="str">
        <f>+IF(MARZO!S23=0,"",MARZO!S23)</f>
        <v>1010104-3</v>
      </c>
      <c r="T23" s="682" t="str">
        <f>+IF(MARZO!T23=0,"",MARZO!T23)</f>
        <v>Prima de Vacaciones</v>
      </c>
      <c r="U23" s="27">
        <f>+ENERO!U23</f>
        <v>25221642</v>
      </c>
      <c r="V23" s="15">
        <f>MARZO!V23+ABRIL!AL23</f>
        <v>0</v>
      </c>
      <c r="W23" s="15">
        <f>MARZO!W23+ABRIL!AM23</f>
        <v>0</v>
      </c>
      <c r="X23" s="18">
        <f t="shared" si="20"/>
        <v>25221642</v>
      </c>
      <c r="Y23" s="19">
        <f>MARZO!AA23</f>
        <v>153080</v>
      </c>
      <c r="Z23" s="374">
        <v>0</v>
      </c>
      <c r="AA23" s="18">
        <f t="shared" si="21"/>
        <v>153080</v>
      </c>
      <c r="AB23" s="19">
        <f>MARZO!AD23</f>
        <v>153080</v>
      </c>
      <c r="AC23" s="374">
        <v>0</v>
      </c>
      <c r="AD23" s="18">
        <f t="shared" si="22"/>
        <v>153080</v>
      </c>
      <c r="AE23" s="19">
        <f>MARZO!AG23</f>
        <v>0</v>
      </c>
      <c r="AF23" s="374">
        <v>0</v>
      </c>
      <c r="AG23" s="18">
        <f t="shared" si="23"/>
        <v>0</v>
      </c>
      <c r="AH23" s="19">
        <f t="shared" si="24"/>
        <v>25068562</v>
      </c>
      <c r="AI23" s="15">
        <f t="shared" si="25"/>
        <v>25068562</v>
      </c>
      <c r="AJ23" s="16">
        <f t="shared" si="26"/>
        <v>25221642</v>
      </c>
      <c r="AK23" s="9"/>
      <c r="AL23" s="372">
        <v>0</v>
      </c>
      <c r="AM23" s="375">
        <v>0</v>
      </c>
      <c r="AN23" s="9"/>
      <c r="AO23" s="370"/>
      <c r="AP23" s="435" t="s">
        <v>108</v>
      </c>
      <c r="AQ23" s="436">
        <f>X16+X65-AQ22</f>
        <v>512459643</v>
      </c>
      <c r="AR23" s="436">
        <f>AD16+AD65-AR22</f>
        <v>123741137</v>
      </c>
      <c r="AS23" s="436">
        <f>AG16+AG65-AS22</f>
        <v>122989738</v>
      </c>
      <c r="AT23" s="327"/>
      <c r="AU23" s="342">
        <f t="shared" si="28"/>
        <v>0.24146513523602481</v>
      </c>
      <c r="AV23" s="342">
        <f t="shared" si="29"/>
        <v>0.23999887538461248</v>
      </c>
      <c r="AW23" s="436">
        <f>(AR23-AD21-AD22-AD23-AD25-AD30-AD33-AD70-AD71-AD72-AD74-AD78-AD81)/$AO$2*12+AX22/12*2.5+AD30+AD33+AD78+AD81</f>
        <v>452545844.25</v>
      </c>
      <c r="AX23" s="436">
        <f>(AS23-AG21-AG22-AG23-AG25-AG30-AG33-AG70-AG71-AG72-AG74-AG78-AG81)/$AO$2*12+AX22/12*2.5+AG30+AG33+AG78+AG81</f>
        <v>452163143.25</v>
      </c>
      <c r="AY23" s="436">
        <f t="shared" si="30"/>
        <v>59913798.75</v>
      </c>
      <c r="AZ23" s="46">
        <f t="shared" si="31"/>
        <v>60296499.75</v>
      </c>
      <c r="BA23" s="382"/>
      <c r="BF23" s="382"/>
      <c r="BG23" s="382"/>
      <c r="BH23" s="382"/>
      <c r="BI23" s="382"/>
      <c r="BJ23" s="382"/>
      <c r="BK23" s="382"/>
      <c r="BL23" s="382"/>
      <c r="BM23" s="137" t="s">
        <v>105</v>
      </c>
      <c r="BN23" s="83">
        <f>X177</f>
        <v>18619412</v>
      </c>
      <c r="BO23" s="81">
        <f>AA177</f>
        <v>5307284</v>
      </c>
      <c r="BP23" s="81">
        <f>AD177</f>
        <v>5307284</v>
      </c>
      <c r="BQ23" s="82">
        <f>AF177</f>
        <v>1326821</v>
      </c>
      <c r="BR23" s="9"/>
    </row>
    <row r="24" spans="1:70" s="422" customFormat="1" ht="24.95" customHeight="1">
      <c r="A24" s="611" t="str">
        <f>+IF(MARZO!A24=0,"",MARZO!A24)</f>
        <v>1130101-2</v>
      </c>
      <c r="B24" s="646" t="str">
        <f>+IF(MARZO!B24=0,"",MARZO!B24)</f>
        <v>Vigencia Anterior</v>
      </c>
      <c r="C24" s="671">
        <f>+ENERO!C24</f>
        <v>0</v>
      </c>
      <c r="D24" s="373">
        <f>MARZO!D24+ABRIL!P24</f>
        <v>0</v>
      </c>
      <c r="E24" s="373">
        <f>MARZO!E24+ABRIL!Q24</f>
        <v>3976785713</v>
      </c>
      <c r="F24" s="373">
        <f>SUM(C24:E24)</f>
        <v>3976785713</v>
      </c>
      <c r="G24" s="373">
        <f>MARZO!I24</f>
        <v>4222831711</v>
      </c>
      <c r="H24" s="374">
        <v>1046752760</v>
      </c>
      <c r="I24" s="373">
        <f>SUM(G24:H24)</f>
        <v>5269584471</v>
      </c>
      <c r="J24" s="373">
        <f>MARZO!L24</f>
        <v>4222831711</v>
      </c>
      <c r="K24" s="374">
        <v>1046752760</v>
      </c>
      <c r="L24" s="373">
        <f>SUM(J24:K24)</f>
        <v>5269584471</v>
      </c>
      <c r="M24" s="373">
        <f>F24-I24</f>
        <v>-1292798758</v>
      </c>
      <c r="N24" s="143">
        <f>F24-L24</f>
        <v>-1292798758</v>
      </c>
      <c r="O24" s="382"/>
      <c r="P24" s="372">
        <v>0</v>
      </c>
      <c r="Q24" s="375">
        <v>2354370115</v>
      </c>
      <c r="R24" s="9"/>
      <c r="S24" s="706" t="str">
        <f>+IF(MARZO!S24=0,"",MARZO!S24)</f>
        <v>1010104-4</v>
      </c>
      <c r="T24" s="682" t="str">
        <f>+IF(MARZO!T24=0,"",MARZO!T24)</f>
        <v>Prima Clima</v>
      </c>
      <c r="U24" s="27">
        <f>+ENERO!U24</f>
        <v>0</v>
      </c>
      <c r="V24" s="15">
        <f>MARZO!V24+ABRIL!AL24</f>
        <v>0</v>
      </c>
      <c r="W24" s="15">
        <f>MARZO!W24+ABRIL!AM24</f>
        <v>0</v>
      </c>
      <c r="X24" s="18">
        <f t="shared" si="20"/>
        <v>0</v>
      </c>
      <c r="Y24" s="19">
        <f>MARZO!AA24</f>
        <v>0</v>
      </c>
      <c r="Z24" s="374">
        <v>0</v>
      </c>
      <c r="AA24" s="18">
        <f t="shared" si="21"/>
        <v>0</v>
      </c>
      <c r="AB24" s="19">
        <f>MARZO!AD24</f>
        <v>0</v>
      </c>
      <c r="AC24" s="374">
        <v>0</v>
      </c>
      <c r="AD24" s="18">
        <f t="shared" si="22"/>
        <v>0</v>
      </c>
      <c r="AE24" s="19">
        <f>MARZO!AG24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27581445257</v>
      </c>
      <c r="AR24" s="431">
        <f>AD35+AD83</f>
        <v>14032125597</v>
      </c>
      <c r="AS24" s="431">
        <f>AG35+AG83</f>
        <v>7672384993</v>
      </c>
      <c r="AT24" s="431"/>
      <c r="AU24" s="373">
        <f t="shared" si="28"/>
        <v>0.5087523683494698</v>
      </c>
      <c r="AV24" s="373">
        <f t="shared" si="29"/>
        <v>0.27817197110266717</v>
      </c>
      <c r="AW24" s="373">
        <f>(AR24-AD41-AD88)/$AO$2*12+AD41+AD88</f>
        <v>31698535031</v>
      </c>
      <c r="AX24" s="373">
        <f>(AS24-AG41-AG88)/$AO$2*12+AG41+AG88</f>
        <v>12619313219</v>
      </c>
      <c r="AY24" s="373">
        <f t="shared" si="30"/>
        <v>-4117089774</v>
      </c>
      <c r="AZ24" s="143">
        <f t="shared" si="31"/>
        <v>14962132038</v>
      </c>
      <c r="BA24" s="9"/>
      <c r="BB24" s="437"/>
      <c r="BC24" s="382"/>
      <c r="BD24" s="382"/>
      <c r="BE24" s="382"/>
      <c r="BF24" s="382"/>
      <c r="BG24" s="382"/>
      <c r="BH24" s="382"/>
      <c r="BI24" s="382"/>
      <c r="BJ24" s="382"/>
      <c r="BK24" s="382"/>
      <c r="BL24" s="382"/>
      <c r="BM24" s="137" t="s">
        <v>110</v>
      </c>
      <c r="BN24" s="83">
        <f>X170-X177-X174-X183-X191</f>
        <v>143410591</v>
      </c>
      <c r="BO24" s="81">
        <f>AA170-AA177-AA174-AA183-AA191</f>
        <v>84001994</v>
      </c>
      <c r="BP24" s="81">
        <f>AD170-AD177-AD174-AD183-AD191</f>
        <v>83706907</v>
      </c>
      <c r="BQ24" s="82">
        <f>AF170-AF177-AF174-AF183-AF191</f>
        <v>568933</v>
      </c>
      <c r="BR24" s="382"/>
    </row>
    <row r="25" spans="1:70" s="382" customFormat="1" ht="24.95" customHeight="1">
      <c r="A25" s="733">
        <f>+IF(MARZO!A25=0,"",MARZO!A25)</f>
        <v>1130102</v>
      </c>
      <c r="B25" s="645" t="str">
        <f>+IF(MARZO!B25=0,"",MARZO!B25)</f>
        <v>ARS - REGIMEN SUBSIDIADO</v>
      </c>
      <c r="C25" s="43">
        <f t="shared" ref="C25:N25" si="32">SUM(C26:C27)</f>
        <v>13439321219</v>
      </c>
      <c r="D25" s="44">
        <f t="shared" si="32"/>
        <v>0</v>
      </c>
      <c r="E25" s="44">
        <f t="shared" si="32"/>
        <v>2262720647</v>
      </c>
      <c r="F25" s="44">
        <f t="shared" si="32"/>
        <v>15702041866</v>
      </c>
      <c r="G25" s="44">
        <f t="shared" si="32"/>
        <v>7767799545</v>
      </c>
      <c r="H25" s="44">
        <f t="shared" si="32"/>
        <v>2486768687</v>
      </c>
      <c r="I25" s="44">
        <f t="shared" si="32"/>
        <v>10254568232</v>
      </c>
      <c r="J25" s="44">
        <f t="shared" si="32"/>
        <v>3518066827</v>
      </c>
      <c r="K25" s="44">
        <f t="shared" si="32"/>
        <v>1090565053</v>
      </c>
      <c r="L25" s="44">
        <f t="shared" si="32"/>
        <v>4608631880</v>
      </c>
      <c r="M25" s="44">
        <f t="shared" si="32"/>
        <v>5447473634</v>
      </c>
      <c r="N25" s="45">
        <f t="shared" si="32"/>
        <v>11093409986</v>
      </c>
      <c r="P25" s="43">
        <f>SUM(P26:P27)</f>
        <v>0</v>
      </c>
      <c r="Q25" s="45">
        <f>SUM(Q26:Q27)</f>
        <v>1048540234</v>
      </c>
      <c r="R25" s="9"/>
      <c r="S25" s="706" t="str">
        <f>+IF(MARZO!S25=0,"",MARZO!S25)</f>
        <v>1010104-5</v>
      </c>
      <c r="T25" s="682" t="str">
        <f>+IF(MARZO!T25=0,"",MARZO!T25)</f>
        <v>Prima de Servicios</v>
      </c>
      <c r="U25" s="27">
        <f>+ENERO!U25</f>
        <v>26128895</v>
      </c>
      <c r="V25" s="15">
        <f>MARZO!V25+ABRIL!AL25</f>
        <v>0</v>
      </c>
      <c r="W25" s="15">
        <f>MARZO!W25+ABRIL!AM25</f>
        <v>0</v>
      </c>
      <c r="X25" s="18">
        <f t="shared" si="20"/>
        <v>26128895</v>
      </c>
      <c r="Y25" s="19">
        <f>MARZO!AA25</f>
        <v>153080</v>
      </c>
      <c r="Z25" s="374">
        <v>0</v>
      </c>
      <c r="AA25" s="18">
        <f t="shared" si="21"/>
        <v>153080</v>
      </c>
      <c r="AB25" s="19">
        <f>MARZO!AD25</f>
        <v>153080</v>
      </c>
      <c r="AC25" s="374">
        <v>0</v>
      </c>
      <c r="AD25" s="18">
        <f t="shared" si="22"/>
        <v>153080</v>
      </c>
      <c r="AE25" s="19">
        <f>MARZO!AG25</f>
        <v>0</v>
      </c>
      <c r="AF25" s="374">
        <v>0</v>
      </c>
      <c r="AG25" s="18">
        <f t="shared" si="23"/>
        <v>0</v>
      </c>
      <c r="AH25" s="19">
        <f t="shared" si="24"/>
        <v>25975815</v>
      </c>
      <c r="AI25" s="15">
        <f t="shared" si="25"/>
        <v>25975815</v>
      </c>
      <c r="AJ25" s="16">
        <f t="shared" si="26"/>
        <v>26128895</v>
      </c>
      <c r="AK25" s="9"/>
      <c r="AL25" s="372">
        <v>0</v>
      </c>
      <c r="AM25" s="375">
        <v>0</v>
      </c>
      <c r="AN25" s="9"/>
      <c r="AO25" s="21"/>
      <c r="AP25" s="438" t="s">
        <v>116</v>
      </c>
      <c r="AQ25" s="373">
        <f>X43+X57+X90+X104</f>
        <v>516757377</v>
      </c>
      <c r="AR25" s="373">
        <f>AD43+AD57+AD90+AD104</f>
        <v>136920670</v>
      </c>
      <c r="AS25" s="373">
        <f>AG43+AG57+AG90+AG104</f>
        <v>136920670</v>
      </c>
      <c r="AT25" s="431"/>
      <c r="AU25" s="373">
        <f t="shared" si="28"/>
        <v>0.26496122957137774</v>
      </c>
      <c r="AV25" s="373">
        <f t="shared" si="29"/>
        <v>0.26496122957137774</v>
      </c>
      <c r="AW25" s="373">
        <f>(AR25-AD55-AD61-AD102-AD108)/$AO$2*12+AD55+AD61+AD102+AD108</f>
        <v>410762010</v>
      </c>
      <c r="AX25" s="373">
        <f>(AS25-AG55-AG61-AG102-AG108)/$AO$2*12+AG55+AG61+AG102+AG108</f>
        <v>410762010</v>
      </c>
      <c r="AY25" s="373">
        <f t="shared" si="30"/>
        <v>105995367</v>
      </c>
      <c r="AZ25" s="143">
        <f t="shared" si="31"/>
        <v>105995367</v>
      </c>
      <c r="BM25" s="140" t="s">
        <v>445</v>
      </c>
      <c r="BN25" s="106">
        <f>+SUM(BN26:BN28)</f>
        <v>14723406346</v>
      </c>
      <c r="BO25" s="107">
        <f>+SUM(BO26:BO28)</f>
        <v>5919069641</v>
      </c>
      <c r="BP25" s="107">
        <f>+SUM(BP26:BP28)</f>
        <v>4251006436</v>
      </c>
      <c r="BQ25" s="108">
        <f>+SUM(BQ26:BQ28)</f>
        <v>103927956</v>
      </c>
    </row>
    <row r="26" spans="1:70" s="9" customFormat="1" ht="24.95" customHeight="1">
      <c r="A26" s="611" t="str">
        <f>+IF(MARZO!A26=0,"",MARZO!A26)</f>
        <v>1130102-1</v>
      </c>
      <c r="B26" s="646" t="str">
        <f>+CONCATENATE("Vigencia ",INSTRUCCIONES!$F$3)</f>
        <v>Vigencia 2017</v>
      </c>
      <c r="C26" s="671">
        <f>+ENERO!C26</f>
        <v>13439321219</v>
      </c>
      <c r="D26" s="373">
        <f>MARZO!D26+ABRIL!P26</f>
        <v>0</v>
      </c>
      <c r="E26" s="373">
        <f>MARZO!E26+ABRIL!Q26</f>
        <v>0</v>
      </c>
      <c r="F26" s="373">
        <f>SUM(C26:E26)</f>
        <v>13439321219</v>
      </c>
      <c r="G26" s="373">
        <f>MARZO!I26</f>
        <v>4250069418</v>
      </c>
      <c r="H26" s="374">
        <v>1596203634</v>
      </c>
      <c r="I26" s="373">
        <f>SUM(G26:H26)</f>
        <v>5846273052</v>
      </c>
      <c r="J26" s="373">
        <f>MARZO!L26</f>
        <v>336700</v>
      </c>
      <c r="K26" s="374">
        <v>200000000</v>
      </c>
      <c r="L26" s="373">
        <f>SUM(J26:K26)</f>
        <v>200336700</v>
      </c>
      <c r="M26" s="373">
        <f>F26-I26</f>
        <v>7593048167</v>
      </c>
      <c r="N26" s="143">
        <f>F26-L26</f>
        <v>13238984519</v>
      </c>
      <c r="P26" s="372">
        <v>0</v>
      </c>
      <c r="Q26" s="375">
        <v>0</v>
      </c>
      <c r="S26" s="706" t="str">
        <f>+IF(MARZO!S26=0,"",MARZO!S26)</f>
        <v>1010104-8</v>
      </c>
      <c r="T26" s="682" t="str">
        <f>+IF(MARZO!T26=0,"",MARZO!T26)</f>
        <v>Bonific. por Servicios Prestados</v>
      </c>
      <c r="U26" s="27">
        <f>+ENERO!U26</f>
        <v>12868455</v>
      </c>
      <c r="V26" s="15">
        <f>MARZO!V26+ABRIL!AL26</f>
        <v>0</v>
      </c>
      <c r="W26" s="15">
        <f>MARZO!W26+ABRIL!AM26</f>
        <v>0</v>
      </c>
      <c r="X26" s="18">
        <f t="shared" si="20"/>
        <v>12868455</v>
      </c>
      <c r="Y26" s="19">
        <f>MARZO!AA26</f>
        <v>713119</v>
      </c>
      <c r="Z26" s="374">
        <v>1851803</v>
      </c>
      <c r="AA26" s="18">
        <f t="shared" si="21"/>
        <v>2564922</v>
      </c>
      <c r="AB26" s="19">
        <f>MARZO!AD26</f>
        <v>713119</v>
      </c>
      <c r="AC26" s="374">
        <v>1851803</v>
      </c>
      <c r="AD26" s="18">
        <f t="shared" si="22"/>
        <v>2564922</v>
      </c>
      <c r="AE26" s="19">
        <f>MARZO!AG26</f>
        <v>605963</v>
      </c>
      <c r="AF26" s="374">
        <v>1851803</v>
      </c>
      <c r="AG26" s="18">
        <f t="shared" si="23"/>
        <v>2457766</v>
      </c>
      <c r="AH26" s="19">
        <f t="shared" si="24"/>
        <v>10303533</v>
      </c>
      <c r="AI26" s="15">
        <f t="shared" si="25"/>
        <v>10303533</v>
      </c>
      <c r="AJ26" s="16">
        <f t="shared" si="26"/>
        <v>10410689</v>
      </c>
      <c r="AL26" s="372">
        <v>0</v>
      </c>
      <c r="AM26" s="375">
        <v>0</v>
      </c>
      <c r="AO26" s="21"/>
      <c r="AP26" s="439" t="s">
        <v>120</v>
      </c>
      <c r="AQ26" s="327">
        <f>X110</f>
        <v>11049998309</v>
      </c>
      <c r="AR26" s="327">
        <f>AD110</f>
        <v>3325130237</v>
      </c>
      <c r="AS26" s="327">
        <f>AG110</f>
        <v>1862980867</v>
      </c>
      <c r="AT26" s="371">
        <f>AO2/12</f>
        <v>0.33333333333333331</v>
      </c>
      <c r="AU26" s="342">
        <f t="shared" si="28"/>
        <v>0.30091680957921491</v>
      </c>
      <c r="AV26" s="342">
        <f t="shared" si="29"/>
        <v>0.1685955793751244</v>
      </c>
      <c r="AW26" s="436">
        <f>(AR26-AD121-AD139-AD143-AD153-AD168)/$AO$2*12+AD121+AD139+AD143+AD153+AD168</f>
        <v>8838521147</v>
      </c>
      <c r="AX26" s="436">
        <f>(AS26-AG121-AG139-AG143-AG153-AG168)/$AO$2*12+AG121+AG139+AG143+AG153+AG168</f>
        <v>4452073037</v>
      </c>
      <c r="AY26" s="436">
        <f t="shared" si="30"/>
        <v>2211477162</v>
      </c>
      <c r="AZ26" s="46">
        <f t="shared" si="31"/>
        <v>6597925272</v>
      </c>
      <c r="BA26" s="382"/>
      <c r="BB26" s="382"/>
      <c r="BC26" s="382"/>
      <c r="BD26" s="382"/>
      <c r="BE26" s="382"/>
      <c r="BF26" s="382"/>
      <c r="BG26" s="382"/>
      <c r="BH26" s="382"/>
      <c r="BI26" s="382"/>
      <c r="BJ26" s="382"/>
      <c r="BK26" s="382"/>
      <c r="BM26" s="109" t="s">
        <v>446</v>
      </c>
      <c r="BN26" s="86">
        <f>+X198+X212</f>
        <v>6446158346</v>
      </c>
      <c r="BO26" s="84">
        <f>+AA198+AA212</f>
        <v>1785940549</v>
      </c>
      <c r="BP26" s="84">
        <f>+AD198+AD212</f>
        <v>1334858852</v>
      </c>
      <c r="BQ26" s="85">
        <f>+AF198+AF212</f>
        <v>55313996</v>
      </c>
      <c r="BR26" s="382"/>
    </row>
    <row r="27" spans="1:70" s="422" customFormat="1" ht="24.95" customHeight="1">
      <c r="A27" s="611" t="str">
        <f>+IF(MARZO!A27=0,"",MARZO!A27)</f>
        <v>1130102-2</v>
      </c>
      <c r="B27" s="646" t="str">
        <f>+IF(MARZO!B27=0,"",MARZO!B27)</f>
        <v>Vigencia Anterior</v>
      </c>
      <c r="C27" s="671">
        <f>+ENERO!C27</f>
        <v>0</v>
      </c>
      <c r="D27" s="373">
        <f>MARZO!D27+ABRIL!P27</f>
        <v>0</v>
      </c>
      <c r="E27" s="373">
        <f>MARZO!E27+ABRIL!Q27</f>
        <v>2262720647</v>
      </c>
      <c r="F27" s="373">
        <f>SUM(C27:E27)</f>
        <v>2262720647</v>
      </c>
      <c r="G27" s="373">
        <f>MARZO!I27</f>
        <v>3517730127</v>
      </c>
      <c r="H27" s="374">
        <v>890565053</v>
      </c>
      <c r="I27" s="373">
        <f>SUM(G27:H27)</f>
        <v>4408295180</v>
      </c>
      <c r="J27" s="373">
        <f>MARZO!L27</f>
        <v>3517730127</v>
      </c>
      <c r="K27" s="374">
        <v>890565053</v>
      </c>
      <c r="L27" s="373">
        <f>SUM(J27:K27)</f>
        <v>4408295180</v>
      </c>
      <c r="M27" s="373">
        <f>F27-I27</f>
        <v>-2145574533</v>
      </c>
      <c r="N27" s="143">
        <f>F27-L27</f>
        <v>-2145574533</v>
      </c>
      <c r="O27" s="382"/>
      <c r="P27" s="372">
        <v>0</v>
      </c>
      <c r="Q27" s="375">
        <v>1048540234</v>
      </c>
      <c r="R27" s="9"/>
      <c r="S27" s="706" t="str">
        <f>+IF(MARZO!S27=0,"",MARZO!S27)</f>
        <v>1010104-9</v>
      </c>
      <c r="T27" s="682" t="str">
        <f>+IF(MARZO!T27=0,"",MARZO!T27)</f>
        <v>Auxilio de Transporte</v>
      </c>
      <c r="U27" s="27">
        <f>+ENERO!U27</f>
        <v>0</v>
      </c>
      <c r="V27" s="15">
        <f>MARZO!V27+ABRIL!AL27</f>
        <v>0</v>
      </c>
      <c r="W27" s="15">
        <f>MARZO!W27+ABRIL!AM27</f>
        <v>0</v>
      </c>
      <c r="X27" s="18">
        <f t="shared" si="20"/>
        <v>0</v>
      </c>
      <c r="Y27" s="19">
        <f>MARZO!AA27</f>
        <v>0</v>
      </c>
      <c r="Z27" s="374">
        <v>0</v>
      </c>
      <c r="AA27" s="18">
        <f t="shared" si="21"/>
        <v>0</v>
      </c>
      <c r="AB27" s="19">
        <f>MARZO!AD27</f>
        <v>0</v>
      </c>
      <c r="AC27" s="374">
        <v>0</v>
      </c>
      <c r="AD27" s="18">
        <f t="shared" si="22"/>
        <v>0</v>
      </c>
      <c r="AE27" s="19">
        <f>MARZO!AG27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162687433</v>
      </c>
      <c r="AR27" s="373">
        <f>AD170</f>
        <v>89014191</v>
      </c>
      <c r="AS27" s="373">
        <f>AG170</f>
        <v>35360181</v>
      </c>
      <c r="AT27" s="431"/>
      <c r="AU27" s="373">
        <f t="shared" si="28"/>
        <v>0.54714853728130308</v>
      </c>
      <c r="AV27" s="373">
        <f t="shared" si="29"/>
        <v>0.21735041452156911</v>
      </c>
      <c r="AW27" s="373">
        <f>(AR27-AD174-AD183-AD191)/$AO$2*12+AD174+AD183+AD191</f>
        <v>267042573</v>
      </c>
      <c r="AX27" s="373">
        <f>(AS27-AG174-AG183-AG191)/$AO$2*12+AG174+AG183+AG191</f>
        <v>106080543</v>
      </c>
      <c r="AY27" s="373">
        <f t="shared" si="30"/>
        <v>-104355140</v>
      </c>
      <c r="AZ27" s="143">
        <f t="shared" si="31"/>
        <v>56606890</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3">
        <f>+IF(MARZO!A28=0,"",MARZO!A28)</f>
        <v>1130103</v>
      </c>
      <c r="B28" s="622" t="str">
        <f>+IF(MARZO!B28=0,"",MARZO!B28)</f>
        <v>SUBSIDIO A LA OFERTA- ATENCION PERSONAS POBRES NO CUBIERTOS CON SUBSIDIO A LA DEMANDA</v>
      </c>
      <c r="C28" s="43">
        <f>C29+C32+C35+C38+C39+C40</f>
        <v>157521482</v>
      </c>
      <c r="D28" s="44">
        <f>+D29+D32+D35+D38+D39+D40</f>
        <v>0</v>
      </c>
      <c r="E28" s="44">
        <f>+E29+E32+E35+E38+E39+E40</f>
        <v>212958</v>
      </c>
      <c r="F28" s="44">
        <f>+F29+F32+F35+F38+F39+F40</f>
        <v>157734440</v>
      </c>
      <c r="G28" s="44">
        <f t="shared" ref="G28:N28" si="33">G29+G32+G35+G38+G39+G40</f>
        <v>172843191</v>
      </c>
      <c r="H28" s="44">
        <f t="shared" si="33"/>
        <v>179542324</v>
      </c>
      <c r="I28" s="44">
        <f t="shared" si="33"/>
        <v>352385515</v>
      </c>
      <c r="J28" s="44">
        <f t="shared" si="33"/>
        <v>1205508</v>
      </c>
      <c r="K28" s="44">
        <f t="shared" si="33"/>
        <v>50000</v>
      </c>
      <c r="L28" s="44">
        <f t="shared" si="33"/>
        <v>1255508</v>
      </c>
      <c r="M28" s="44">
        <f t="shared" si="33"/>
        <v>-194651075</v>
      </c>
      <c r="N28" s="45">
        <f t="shared" si="33"/>
        <v>156478932</v>
      </c>
      <c r="O28" s="382"/>
      <c r="P28" s="43">
        <f>P29+P32+P35+P38+P39+P940</f>
        <v>0</v>
      </c>
      <c r="Q28" s="45">
        <f>Q29+Q32+Q35+Q38+Q39+Q40</f>
        <v>212958</v>
      </c>
      <c r="R28" s="9"/>
      <c r="S28" s="706" t="str">
        <f>+IF(MARZO!S28=0,"",MARZO!S28)</f>
        <v>1010104-10</v>
      </c>
      <c r="T28" s="682" t="str">
        <f>+IF(MARZO!T28=0,"",MARZO!T28)</f>
        <v>Subsidio de Alimentación</v>
      </c>
      <c r="U28" s="27">
        <f>+ENERO!U28</f>
        <v>532000</v>
      </c>
      <c r="V28" s="15">
        <f>MARZO!V28+ABRIL!AL28</f>
        <v>0</v>
      </c>
      <c r="W28" s="15">
        <f>MARZO!W28+ABRIL!AM28</f>
        <v>0</v>
      </c>
      <c r="X28" s="18">
        <f t="shared" si="20"/>
        <v>532000</v>
      </c>
      <c r="Y28" s="19">
        <f>MARZO!AA28</f>
        <v>160902</v>
      </c>
      <c r="Z28" s="374">
        <v>53634</v>
      </c>
      <c r="AA28" s="18">
        <f t="shared" si="21"/>
        <v>214536</v>
      </c>
      <c r="AB28" s="19">
        <f>MARZO!AD28</f>
        <v>160902</v>
      </c>
      <c r="AC28" s="374">
        <v>53634</v>
      </c>
      <c r="AD28" s="18">
        <f t="shared" si="22"/>
        <v>214536</v>
      </c>
      <c r="AE28" s="19">
        <f>MARZO!AG28</f>
        <v>160902</v>
      </c>
      <c r="AF28" s="374">
        <v>53634</v>
      </c>
      <c r="AG28" s="18">
        <f t="shared" si="23"/>
        <v>214536</v>
      </c>
      <c r="AH28" s="19">
        <f t="shared" si="24"/>
        <v>317464</v>
      </c>
      <c r="AI28" s="15">
        <f t="shared" si="25"/>
        <v>317464</v>
      </c>
      <c r="AJ28" s="16">
        <f t="shared" si="26"/>
        <v>317464</v>
      </c>
      <c r="AK28" s="9"/>
      <c r="AL28" s="372">
        <v>0</v>
      </c>
      <c r="AM28" s="375">
        <v>0</v>
      </c>
      <c r="AN28" s="9"/>
      <c r="AO28" s="349"/>
      <c r="AP28" s="787" t="s">
        <v>586</v>
      </c>
      <c r="AQ28" s="373">
        <f>X195</f>
        <v>16665313452</v>
      </c>
      <c r="AR28" s="373">
        <f>AD195</f>
        <v>6148333178</v>
      </c>
      <c r="AS28" s="373">
        <f>AG195</f>
        <v>2731614326</v>
      </c>
      <c r="AT28" s="431"/>
      <c r="AU28" s="373">
        <f t="shared" si="28"/>
        <v>0.36892994516476618</v>
      </c>
      <c r="AV28" s="373">
        <f t="shared" si="29"/>
        <v>0.16391016789859297</v>
      </c>
      <c r="AW28" s="373">
        <f>(AR28-AD207)/$AO$2*12+AD207</f>
        <v>14650346050</v>
      </c>
      <c r="AX28" s="373">
        <f>(AS28-AG207)/$AO$2*12+AG207</f>
        <v>4436017494</v>
      </c>
      <c r="AY28" s="373">
        <f t="shared" si="30"/>
        <v>2014967402</v>
      </c>
      <c r="AZ28" s="143">
        <f t="shared" si="31"/>
        <v>12229295958</v>
      </c>
      <c r="BA28" s="382"/>
      <c r="BB28" s="382"/>
      <c r="BC28" s="382"/>
      <c r="BD28" s="382"/>
      <c r="BE28" s="382"/>
      <c r="BF28" s="382"/>
      <c r="BG28" s="382"/>
      <c r="BH28" s="382"/>
      <c r="BI28" s="382"/>
      <c r="BJ28" s="382"/>
      <c r="BK28" s="382"/>
      <c r="BL28" s="382"/>
      <c r="BM28" s="71" t="s">
        <v>448</v>
      </c>
      <c r="BN28" s="83">
        <f>+X196-X198-X207</f>
        <v>8277248000</v>
      </c>
      <c r="BO28" s="81">
        <f>+AA196-AA198-AA207</f>
        <v>4133129092</v>
      </c>
      <c r="BP28" s="81">
        <f>+AD196-AD198-AD207</f>
        <v>2916147584</v>
      </c>
      <c r="BQ28" s="82">
        <f>+AF196-AF198-AF207</f>
        <v>48613960</v>
      </c>
      <c r="BR28" s="9"/>
    </row>
    <row r="29" spans="1:70" s="9" customFormat="1" ht="24.95" customHeight="1">
      <c r="A29" s="611" t="str">
        <f>+IF(MARZO!A29=0,"",MARZO!A29)</f>
        <v>1130103-1</v>
      </c>
      <c r="B29" s="647"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6" t="str">
        <f>+IF(MARZO!S29=0,"",MARZO!S29)</f>
        <v>1010104-11</v>
      </c>
      <c r="T29" s="682" t="str">
        <f>+IF(MARZO!T29=0,"",MARZO!T29)</f>
        <v>Gastos de Representación</v>
      </c>
      <c r="U29" s="27">
        <f>+ENERO!U29</f>
        <v>0</v>
      </c>
      <c r="V29" s="15">
        <f>MARZO!V29+ABRIL!AL29</f>
        <v>0</v>
      </c>
      <c r="W29" s="15">
        <f>MARZO!W29+ABRIL!AM29</f>
        <v>0</v>
      </c>
      <c r="X29" s="18">
        <f t="shared" si="20"/>
        <v>0</v>
      </c>
      <c r="Y29" s="19">
        <f>MARZO!AA29</f>
        <v>0</v>
      </c>
      <c r="Z29" s="374">
        <v>0</v>
      </c>
      <c r="AA29" s="18">
        <f t="shared" si="21"/>
        <v>0</v>
      </c>
      <c r="AB29" s="19">
        <f>MARZO!AD29</f>
        <v>0</v>
      </c>
      <c r="AC29" s="374">
        <v>0</v>
      </c>
      <c r="AD29" s="18">
        <f t="shared" si="22"/>
        <v>0</v>
      </c>
      <c r="AE29" s="19">
        <f>MARZO!AG29</f>
        <v>0</v>
      </c>
      <c r="AF29" s="374">
        <v>0</v>
      </c>
      <c r="AG29" s="18">
        <f t="shared" si="23"/>
        <v>0</v>
      </c>
      <c r="AH29" s="19">
        <f t="shared" si="24"/>
        <v>0</v>
      </c>
      <c r="AI29" s="15">
        <f t="shared" si="25"/>
        <v>0</v>
      </c>
      <c r="AJ29" s="16">
        <f t="shared" si="26"/>
        <v>0</v>
      </c>
      <c r="AL29" s="372">
        <v>0</v>
      </c>
      <c r="AM29" s="375">
        <v>0</v>
      </c>
      <c r="AO29" s="21"/>
      <c r="AP29" s="787"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433878092</v>
      </c>
      <c r="BO29" s="107">
        <f>AA232-AA256-AA241</f>
        <v>292700372</v>
      </c>
      <c r="BP29" s="107">
        <f>AD232-AD256-AD241</f>
        <v>142683852</v>
      </c>
      <c r="BQ29" s="108">
        <f>AF232-AF256-AF241</f>
        <v>0</v>
      </c>
      <c r="BR29" s="382"/>
    </row>
    <row r="30" spans="1:70" s="422" customFormat="1" ht="24.95" customHeight="1">
      <c r="A30" s="611" t="str">
        <f>+IF(MARZO!A30=0,"",MARZO!A30)</f>
        <v>1130103-1-1</v>
      </c>
      <c r="B30" s="646" t="str">
        <f>+CONCATENATE("Vigencia ",INSTRUCCIONES!$F$3)</f>
        <v>Vigencia 2017</v>
      </c>
      <c r="C30" s="671">
        <f>+ENERO!C30</f>
        <v>0</v>
      </c>
      <c r="D30" s="373">
        <f>MARZO!D30+ABRIL!P30</f>
        <v>0</v>
      </c>
      <c r="E30" s="373">
        <f>MARZO!E30+ABRIL!Q30</f>
        <v>0</v>
      </c>
      <c r="F30" s="373">
        <f>SUM(C30:E30)</f>
        <v>0</v>
      </c>
      <c r="G30" s="373">
        <f>MARZO!I30</f>
        <v>0</v>
      </c>
      <c r="H30" s="374">
        <v>0</v>
      </c>
      <c r="I30" s="373">
        <f>SUM(G30:H30)</f>
        <v>0</v>
      </c>
      <c r="J30" s="373">
        <f>MARZO!L30</f>
        <v>0</v>
      </c>
      <c r="K30" s="374">
        <v>0</v>
      </c>
      <c r="L30" s="373">
        <f>SUM(J30:K30)</f>
        <v>0</v>
      </c>
      <c r="M30" s="373">
        <f>F30-I30</f>
        <v>0</v>
      </c>
      <c r="N30" s="143">
        <f>F30-L30</f>
        <v>0</v>
      </c>
      <c r="O30" s="9"/>
      <c r="P30" s="372">
        <v>0</v>
      </c>
      <c r="Q30" s="375">
        <v>0</v>
      </c>
      <c r="R30" s="9"/>
      <c r="S30" s="706" t="str">
        <f>+IF(MARZO!S30=0,"",MARZO!S30)</f>
        <v>1010104-12</v>
      </c>
      <c r="T30" s="682" t="str">
        <f>+IF(MARZO!T30=0,"",MARZO!T30)</f>
        <v xml:space="preserve"> Indemnizaciones por Vacaciones o Supresión de Cargos por Reestructuración</v>
      </c>
      <c r="U30" s="27">
        <f>+ENERO!U30</f>
        <v>0</v>
      </c>
      <c r="V30" s="15">
        <f>MARZO!V30+ABRIL!AL30</f>
        <v>0</v>
      </c>
      <c r="W30" s="15">
        <f>MARZO!W30+ABRIL!AM30</f>
        <v>0</v>
      </c>
      <c r="X30" s="18">
        <f t="shared" si="20"/>
        <v>0</v>
      </c>
      <c r="Y30" s="19">
        <f>MARZO!AA30</f>
        <v>0</v>
      </c>
      <c r="Z30" s="374">
        <v>0</v>
      </c>
      <c r="AA30" s="18">
        <f t="shared" si="21"/>
        <v>0</v>
      </c>
      <c r="AB30" s="19">
        <f>MARZO!AD30</f>
        <v>0</v>
      </c>
      <c r="AC30" s="374">
        <v>0</v>
      </c>
      <c r="AD30" s="18">
        <f t="shared" si="22"/>
        <v>0</v>
      </c>
      <c r="AE30" s="19">
        <f>MARZO!AG30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433878092</v>
      </c>
      <c r="AR30" s="373">
        <f>AD220+AD232</f>
        <v>142683852</v>
      </c>
      <c r="AS30" s="373">
        <f>AG220+AG232</f>
        <v>135351186</v>
      </c>
      <c r="AT30" s="431"/>
      <c r="AU30" s="373">
        <f t="shared" si="28"/>
        <v>0.32885700990867267</v>
      </c>
      <c r="AV30" s="373">
        <f t="shared" si="29"/>
        <v>0.31195671893938354</v>
      </c>
      <c r="AW30" s="373">
        <f>(AR30-AD225-AD230-AD241-AD256)/$AO$2*12+AD225+AD230+AD241+AD256</f>
        <v>428051556</v>
      </c>
      <c r="AX30" s="373">
        <f>(AS30-AG225-AG230-AG241-AG256)/$AO$2*12+AG225+AG230+AG241+AG256</f>
        <v>406053558</v>
      </c>
      <c r="AY30" s="373">
        <f t="shared" si="30"/>
        <v>5826536</v>
      </c>
      <c r="AZ30" s="143">
        <f t="shared" si="31"/>
        <v>27824534</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+IF(MARZO!A31=0,"",MARZO!A31)</f>
        <v>1130103-1-2</v>
      </c>
      <c r="B31" s="646" t="str">
        <f>+IF(MARZO!B31=0,"",MARZO!B31)</f>
        <v>Vigencia Anterior</v>
      </c>
      <c r="C31" s="671">
        <f>+ENERO!C31</f>
        <v>0</v>
      </c>
      <c r="D31" s="373">
        <f>MARZO!D31+ABRIL!P31</f>
        <v>0</v>
      </c>
      <c r="E31" s="373">
        <f>MARZO!E31+ABRIL!Q31</f>
        <v>0</v>
      </c>
      <c r="F31" s="373">
        <f>SUM(C31:E31)</f>
        <v>0</v>
      </c>
      <c r="G31" s="373">
        <f>MARZO!I31</f>
        <v>0</v>
      </c>
      <c r="H31" s="374">
        <v>0</v>
      </c>
      <c r="I31" s="373">
        <f>SUM(G31:H31)</f>
        <v>0</v>
      </c>
      <c r="J31" s="373">
        <f>MARZO!L31</f>
        <v>0</v>
      </c>
      <c r="K31" s="374">
        <v>0</v>
      </c>
      <c r="L31" s="373">
        <f>SUM(J31:K31)</f>
        <v>0</v>
      </c>
      <c r="M31" s="373">
        <f>F31-I31</f>
        <v>0</v>
      </c>
      <c r="N31" s="143">
        <f>F31-L31</f>
        <v>0</v>
      </c>
      <c r="O31" s="382"/>
      <c r="P31" s="372">
        <v>0</v>
      </c>
      <c r="Q31" s="375">
        <v>0</v>
      </c>
      <c r="R31" s="9"/>
      <c r="S31" s="706" t="str">
        <f>+IF(MARZO!S31=0,"",MARZO!S31)</f>
        <v>1010104-13</v>
      </c>
      <c r="T31" s="682" t="str">
        <f>+IF(MARZO!T31=0,"",MARZO!T31)</f>
        <v>Bonificación Especial por Recreación</v>
      </c>
      <c r="U31" s="27">
        <f>+ENERO!U31</f>
        <v>1869843</v>
      </c>
      <c r="V31" s="15">
        <f>MARZO!V31+ABRIL!AL31</f>
        <v>0</v>
      </c>
      <c r="W31" s="15">
        <f>MARZO!W31+ABRIL!AM31</f>
        <v>0</v>
      </c>
      <c r="X31" s="18">
        <f t="shared" si="20"/>
        <v>1869843</v>
      </c>
      <c r="Y31" s="19">
        <f>MARZO!AA31</f>
        <v>20411</v>
      </c>
      <c r="Z31" s="374">
        <v>0</v>
      </c>
      <c r="AA31" s="18">
        <f t="shared" si="21"/>
        <v>20411</v>
      </c>
      <c r="AB31" s="19">
        <f>MARZO!AD31</f>
        <v>20411</v>
      </c>
      <c r="AC31" s="374">
        <v>0</v>
      </c>
      <c r="AD31" s="18">
        <f t="shared" si="22"/>
        <v>20411</v>
      </c>
      <c r="AE31" s="19">
        <f>MARZO!AG31</f>
        <v>0</v>
      </c>
      <c r="AF31" s="374">
        <v>0</v>
      </c>
      <c r="AG31" s="18">
        <f t="shared" si="23"/>
        <v>0</v>
      </c>
      <c r="AH31" s="19">
        <f t="shared" si="24"/>
        <v>1849432</v>
      </c>
      <c r="AI31" s="15">
        <f t="shared" si="25"/>
        <v>1849432</v>
      </c>
      <c r="AJ31" s="16">
        <f t="shared" si="26"/>
        <v>1869843</v>
      </c>
      <c r="AK31" s="9"/>
      <c r="AL31" s="372">
        <v>0</v>
      </c>
      <c r="AM31" s="375">
        <v>0</v>
      </c>
      <c r="AN31" s="9"/>
      <c r="AO31" s="349"/>
      <c r="AP31" s="415" t="s">
        <v>135</v>
      </c>
      <c r="AQ31" s="431">
        <f>X258</f>
        <v>0</v>
      </c>
      <c r="AR31" s="431">
        <f>AD258</f>
        <v>-11268856513</v>
      </c>
      <c r="AS31" s="431">
        <f>AG258</f>
        <v>-13103093451</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9909214053</v>
      </c>
      <c r="BO31" s="107">
        <f>AA33+AA41+AA55+AA61+AA81+AA88+AA102+AA108+AA121+AA139+AA143+AA153+AA168+AA174+AA183+AA191+AA207+AA218+AA230+AA241+AA256+AA225</f>
        <v>7664682404</v>
      </c>
      <c r="BP31" s="107">
        <f>AD33+AD41+AD55+AD61+AD81+AD88+AD102+AD108+AD121+AD139+AD143+AD153+AD168+AD174+AD183+AD191+AD207+AD218+AD230+AD241+AD256+AD225</f>
        <v>7664682404</v>
      </c>
      <c r="BQ31" s="108">
        <f>AF33+AF41+AF55+AF61+AF81+AF88+AF102+AF108+AF121+AF139+AF143+AF153+AF168+AF174+AF183+AF191+AF207+AF218+AF230+AF241+AF256+AF225</f>
        <v>1699267129</v>
      </c>
      <c r="BR31" s="9"/>
    </row>
    <row r="32" spans="1:70" s="9" customFormat="1" ht="24.95" customHeight="1" thickBot="1">
      <c r="A32" s="611" t="str">
        <f>+IF(MARZO!A32=0,"",MARZO!A32)</f>
        <v>1130103-2</v>
      </c>
      <c r="B32" s="647" t="str">
        <f>+IF(MARZO!B32=0,"",MARZO!B32)</f>
        <v>Prestación de Servicios de salud  2o. Nivel</v>
      </c>
      <c r="C32" s="19">
        <f t="shared" ref="C32:N32" si="35">SUM(C33:C34)</f>
        <v>157521482</v>
      </c>
      <c r="D32" s="15">
        <f t="shared" si="35"/>
        <v>0</v>
      </c>
      <c r="E32" s="15">
        <f t="shared" si="35"/>
        <v>212958</v>
      </c>
      <c r="F32" s="15">
        <f t="shared" si="35"/>
        <v>157734440</v>
      </c>
      <c r="G32" s="15">
        <f t="shared" si="35"/>
        <v>172843191</v>
      </c>
      <c r="H32" s="15">
        <f t="shared" si="35"/>
        <v>179542324</v>
      </c>
      <c r="I32" s="15">
        <f t="shared" si="35"/>
        <v>352385515</v>
      </c>
      <c r="J32" s="15">
        <f t="shared" si="35"/>
        <v>1205508</v>
      </c>
      <c r="K32" s="15">
        <f t="shared" si="35"/>
        <v>50000</v>
      </c>
      <c r="L32" s="15">
        <f t="shared" si="35"/>
        <v>1255508</v>
      </c>
      <c r="M32" s="15">
        <f t="shared" si="35"/>
        <v>-194651075</v>
      </c>
      <c r="N32" s="16">
        <f t="shared" si="35"/>
        <v>156478932</v>
      </c>
      <c r="O32" s="382"/>
      <c r="P32" s="144">
        <f>SUM(P33:P34)</f>
        <v>0</v>
      </c>
      <c r="Q32" s="145">
        <f>SUM(Q33:Q34)</f>
        <v>212958</v>
      </c>
      <c r="S32" s="706" t="str">
        <f>+IF(MARZO!S32=0,"",MARZO!S32)</f>
        <v>1010104-14</v>
      </c>
      <c r="T32" s="682" t="str">
        <f>+IF(MARZO!T32=0,"",MARZO!T32)</f>
        <v/>
      </c>
      <c r="U32" s="27">
        <f>+ENERO!U32</f>
        <v>0</v>
      </c>
      <c r="V32" s="15">
        <f>MARZO!V32+ABRIL!AL32</f>
        <v>0</v>
      </c>
      <c r="W32" s="15">
        <f>MARZO!W32+ABRIL!AM32</f>
        <v>0</v>
      </c>
      <c r="X32" s="18">
        <f t="shared" si="20"/>
        <v>0</v>
      </c>
      <c r="Y32" s="19">
        <f>MARZO!AA32</f>
        <v>0</v>
      </c>
      <c r="Z32" s="374">
        <v>0</v>
      </c>
      <c r="AA32" s="18">
        <f t="shared" si="21"/>
        <v>0</v>
      </c>
      <c r="AB32" s="19">
        <f>MARZO!AD32</f>
        <v>0</v>
      </c>
      <c r="AC32" s="374">
        <v>0</v>
      </c>
      <c r="AD32" s="18">
        <f t="shared" si="22"/>
        <v>0</v>
      </c>
      <c r="AE32" s="19">
        <f>MARZO!AG32</f>
        <v>0</v>
      </c>
      <c r="AF32" s="374">
        <v>0</v>
      </c>
      <c r="AG32" s="18">
        <f t="shared" si="23"/>
        <v>0</v>
      </c>
      <c r="AH32" s="19">
        <f t="shared" si="24"/>
        <v>0</v>
      </c>
      <c r="AI32" s="15">
        <f t="shared" si="25"/>
        <v>0</v>
      </c>
      <c r="AJ32" s="16">
        <f t="shared" si="26"/>
        <v>0</v>
      </c>
      <c r="AL32" s="372">
        <v>0</v>
      </c>
      <c r="AM32" s="375">
        <v>0</v>
      </c>
      <c r="AO32" s="21"/>
      <c r="AP32" s="440" t="s">
        <v>140</v>
      </c>
      <c r="AQ32" s="395">
        <f>SUM(AQ22:AQ31)</f>
        <v>58435490682</v>
      </c>
      <c r="AR32" s="395">
        <f>SUM(AR22:AR31)</f>
        <v>13134736919</v>
      </c>
      <c r="AS32" s="395">
        <f>SUM(AS22:AS31)</f>
        <v>0</v>
      </c>
      <c r="AT32" s="441"/>
      <c r="AU32" s="442">
        <f t="shared" si="28"/>
        <v>0.22477328017108478</v>
      </c>
      <c r="AV32" s="442">
        <f t="shared" si="29"/>
        <v>0</v>
      </c>
      <c r="AW32" s="351">
        <f>SUM(AW22:AW31)</f>
        <v>57962737921.25</v>
      </c>
      <c r="AX32" s="351">
        <f>SUM(AX22:AX31)</f>
        <v>24098937474.25</v>
      </c>
      <c r="AY32" s="351">
        <f>SUM(AY22:AY31)</f>
        <v>472752760.75</v>
      </c>
      <c r="AZ32" s="352">
        <f>SUM(AZ22:AZ31)</f>
        <v>34336553207.75</v>
      </c>
      <c r="BA32" s="382"/>
      <c r="BB32" s="422"/>
      <c r="BC32" s="422"/>
      <c r="BD32" s="422"/>
      <c r="BE32" s="422"/>
      <c r="BF32" s="422"/>
      <c r="BG32" s="382"/>
      <c r="BH32" s="382"/>
      <c r="BI32" s="382"/>
      <c r="BJ32" s="382"/>
      <c r="BK32" s="382"/>
      <c r="BM32" s="110" t="s">
        <v>136</v>
      </c>
      <c r="BN32" s="106">
        <f>+BN7+BN25+BN29+BN30+BN31</f>
        <v>58435490682</v>
      </c>
      <c r="BO32" s="107">
        <f t="shared" ref="BO32:BQ32" si="36">+BO7+BO25+BO29+BO30+BO31</f>
        <v>36908275936</v>
      </c>
      <c r="BP32" s="107">
        <f t="shared" si="36"/>
        <v>24403593432</v>
      </c>
      <c r="BQ32" s="108">
        <f t="shared" si="36"/>
        <v>3389925111</v>
      </c>
      <c r="BR32" s="382"/>
    </row>
    <row r="33" spans="1:70" s="422" customFormat="1" ht="24.95" customHeight="1" thickBot="1">
      <c r="A33" s="611" t="str">
        <f>+IF(MARZO!A33=0,"",MARZO!A33)</f>
        <v>1130103-2-1</v>
      </c>
      <c r="B33" s="646" t="str">
        <f>+CONCATENATE("Vigencia ",INSTRUCCIONES!$F$3)</f>
        <v>Vigencia 2017</v>
      </c>
      <c r="C33" s="671">
        <f>+ENERO!C33</f>
        <v>157521482</v>
      </c>
      <c r="D33" s="373">
        <f>MARZO!D33+ABRIL!P33</f>
        <v>0</v>
      </c>
      <c r="E33" s="373">
        <f>MARZO!E33+ABRIL!Q33</f>
        <v>0</v>
      </c>
      <c r="F33" s="373">
        <f>SUM(C33:E33)</f>
        <v>157521482</v>
      </c>
      <c r="G33" s="373">
        <f>MARZO!I33</f>
        <v>172630233</v>
      </c>
      <c r="H33" s="374">
        <v>179542324</v>
      </c>
      <c r="I33" s="373">
        <f>SUM(G33:H33)</f>
        <v>352172557</v>
      </c>
      <c r="J33" s="373">
        <f>MARZO!L33</f>
        <v>992550</v>
      </c>
      <c r="K33" s="374">
        <v>50000</v>
      </c>
      <c r="L33" s="373">
        <f>SUM(J33:K33)</f>
        <v>1042550</v>
      </c>
      <c r="M33" s="373">
        <f>F33-I33</f>
        <v>-194651075</v>
      </c>
      <c r="N33" s="143">
        <f>F33-L33</f>
        <v>156478932</v>
      </c>
      <c r="O33" s="9"/>
      <c r="P33" s="372">
        <v>0</v>
      </c>
      <c r="Q33" s="375">
        <v>0</v>
      </c>
      <c r="R33" s="9"/>
      <c r="S33" s="705">
        <f>+IF(MARZO!S33=0,"",MARZO!S33)</f>
        <v>1010199</v>
      </c>
      <c r="T33" s="681" t="str">
        <f>+IF(MARZO!T33=0,"",MARZO!T33)</f>
        <v>Vigencias Anteriores</v>
      </c>
      <c r="U33" s="27">
        <f>+ENERO!U33</f>
        <v>0</v>
      </c>
      <c r="V33" s="15">
        <f>MARZO!V33+ABRIL!AL33</f>
        <v>0</v>
      </c>
      <c r="W33" s="15">
        <f>MARZO!W33+ABRIL!AM33</f>
        <v>0</v>
      </c>
      <c r="X33" s="18">
        <f t="shared" si="20"/>
        <v>0</v>
      </c>
      <c r="Y33" s="19">
        <f>MARZO!AA33</f>
        <v>0</v>
      </c>
      <c r="Z33" s="374">
        <v>0</v>
      </c>
      <c r="AA33" s="18">
        <f t="shared" si="21"/>
        <v>0</v>
      </c>
      <c r="AB33" s="19">
        <f>MARZO!AD33</f>
        <v>0</v>
      </c>
      <c r="AC33" s="374">
        <v>0</v>
      </c>
      <c r="AD33" s="18">
        <f t="shared" si="22"/>
        <v>0</v>
      </c>
      <c r="AE33" s="19">
        <f>MARZO!AG33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-9929751763</v>
      </c>
      <c r="BP33" s="113">
        <f>AD258</f>
        <v>-11268856513</v>
      </c>
      <c r="BQ33" s="114">
        <f>AF258</f>
        <v>41910828652</v>
      </c>
      <c r="BR33" s="382"/>
    </row>
    <row r="34" spans="1:70" s="422" customFormat="1" ht="24.95" customHeight="1" thickBot="1">
      <c r="A34" s="611" t="str">
        <f>+IF(MARZO!A34=0,"",MARZO!A34)</f>
        <v>1130103-2-2</v>
      </c>
      <c r="B34" s="646" t="str">
        <f>+IF(MARZO!B34=0,"",MARZO!B34)</f>
        <v>Vigencia Anterior</v>
      </c>
      <c r="C34" s="671">
        <f>+ENERO!C34</f>
        <v>0</v>
      </c>
      <c r="D34" s="373">
        <f>MARZO!D34+ABRIL!P34</f>
        <v>0</v>
      </c>
      <c r="E34" s="373">
        <f>MARZO!E34+ABRIL!Q34</f>
        <v>212958</v>
      </c>
      <c r="F34" s="373">
        <f>SUM(C34:E34)</f>
        <v>212958</v>
      </c>
      <c r="G34" s="373">
        <f>MARZO!I34</f>
        <v>212958</v>
      </c>
      <c r="H34" s="374">
        <v>0</v>
      </c>
      <c r="I34" s="373">
        <f>SUM(G34:H34)</f>
        <v>212958</v>
      </c>
      <c r="J34" s="373">
        <f>MARZO!L34</f>
        <v>212958</v>
      </c>
      <c r="K34" s="374">
        <v>0</v>
      </c>
      <c r="L34" s="373">
        <f>SUM(J34:K34)</f>
        <v>212958</v>
      </c>
      <c r="M34" s="373">
        <f>F34-I34</f>
        <v>0</v>
      </c>
      <c r="N34" s="143">
        <f>F34-L34</f>
        <v>0</v>
      </c>
      <c r="O34" s="382"/>
      <c r="P34" s="372">
        <v>0</v>
      </c>
      <c r="Q34" s="375">
        <v>212958</v>
      </c>
      <c r="R34" s="9"/>
      <c r="S34" s="366" t="str">
        <f>+IF(MARZO!S34=0,"",MARZO!S34)</f>
        <v/>
      </c>
      <c r="T34" s="695"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385"/>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+IF(MARZO!A35=0,"",MARZO!A35)</f>
        <v>1130103-3</v>
      </c>
      <c r="B35" s="647" t="str">
        <f>+IF(MARZO!B35=0,"",MARZO!B35)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4">
        <f>+IF(MARZO!S35=0,"",MARZO!S35)</f>
        <v>1010200</v>
      </c>
      <c r="T35" s="680" t="str">
        <f>+IF(MARZO!T35=0,"",MARZO!T35)</f>
        <v>Servicios Personales Indirectos</v>
      </c>
      <c r="U35" s="132">
        <f t="shared" ref="U35:AJ35" si="38">SUM(U36:U41)</f>
        <v>3034900183</v>
      </c>
      <c r="V35" s="122">
        <f t="shared" si="38"/>
        <v>706945424</v>
      </c>
      <c r="W35" s="122">
        <f t="shared" si="38"/>
        <v>700000000</v>
      </c>
      <c r="X35" s="129">
        <f t="shared" si="38"/>
        <v>4441845607</v>
      </c>
      <c r="Y35" s="128">
        <f t="shared" si="38"/>
        <v>3745628562</v>
      </c>
      <c r="Z35" s="122">
        <f t="shared" si="38"/>
        <v>413464818</v>
      </c>
      <c r="AA35" s="129">
        <f t="shared" si="38"/>
        <v>4159093380</v>
      </c>
      <c r="AB35" s="128">
        <f t="shared" si="38"/>
        <v>1710690093</v>
      </c>
      <c r="AC35" s="122">
        <f t="shared" si="38"/>
        <v>775026434</v>
      </c>
      <c r="AD35" s="129">
        <f t="shared" si="38"/>
        <v>2485716527</v>
      </c>
      <c r="AE35" s="128">
        <f t="shared" si="38"/>
        <v>1087477799</v>
      </c>
      <c r="AF35" s="122">
        <f t="shared" si="38"/>
        <v>755912528</v>
      </c>
      <c r="AG35" s="129">
        <f t="shared" si="38"/>
        <v>1843390327</v>
      </c>
      <c r="AH35" s="128">
        <f t="shared" si="38"/>
        <v>282752227</v>
      </c>
      <c r="AI35" s="122">
        <f t="shared" si="38"/>
        <v>1956129080</v>
      </c>
      <c r="AJ35" s="130">
        <f t="shared" si="38"/>
        <v>2598455280</v>
      </c>
      <c r="AK35" s="9"/>
      <c r="AL35" s="128">
        <f>SUM(AL36:AL41)</f>
        <v>122300000</v>
      </c>
      <c r="AM35" s="130">
        <f>SUM(AM36:AM41)</f>
        <v>500000000</v>
      </c>
      <c r="AN35" s="9"/>
      <c r="AO35" s="349"/>
      <c r="AP35" s="450"/>
      <c r="AQ35" s="292"/>
      <c r="AR35" s="451"/>
      <c r="AS35" s="451"/>
      <c r="AT35" s="451"/>
      <c r="AU35" s="452">
        <f>AR17-AR32</f>
        <v>12835838001</v>
      </c>
      <c r="AV35" s="453">
        <f>AS17-AR32</f>
        <v>-217288625</v>
      </c>
      <c r="AW35" s="453" t="s">
        <v>153</v>
      </c>
      <c r="AX35" s="453"/>
      <c r="AY35" s="453">
        <f>AY17+AY32</f>
        <v>-1196618289.25</v>
      </c>
      <c r="AZ35" s="455">
        <f>AZ17+AY32</f>
        <v>-42727980051.25</v>
      </c>
      <c r="BB35" s="422"/>
      <c r="BC35" s="422"/>
      <c r="BD35" s="422"/>
      <c r="BE35" s="422"/>
      <c r="BF35" s="422"/>
    </row>
    <row r="36" spans="1:70" s="382" customFormat="1" ht="24.95" customHeight="1" thickBot="1">
      <c r="A36" s="611" t="str">
        <f>+IF(MARZO!A36=0,"",MARZO!A36)</f>
        <v>1130103-3-1</v>
      </c>
      <c r="B36" s="646" t="str">
        <f>+CONCATENATE("Vigencia ",INSTRUCCIONES!$F$3)</f>
        <v>Vigencia 2017</v>
      </c>
      <c r="C36" s="671">
        <f>+ENERO!C36</f>
        <v>0</v>
      </c>
      <c r="D36" s="373">
        <f>MARZO!D36+ABRIL!P36</f>
        <v>0</v>
      </c>
      <c r="E36" s="373">
        <f>MARZO!E36+ABRIL!Q36</f>
        <v>0</v>
      </c>
      <c r="F36" s="373">
        <f t="shared" ref="F36:F41" si="39">SUM(C36:E36)</f>
        <v>0</v>
      </c>
      <c r="G36" s="373">
        <f>MARZO!I36</f>
        <v>0</v>
      </c>
      <c r="H36" s="374">
        <v>0</v>
      </c>
      <c r="I36" s="373">
        <f t="shared" ref="I36:I41" si="40">SUM(G36:H36)</f>
        <v>0</v>
      </c>
      <c r="J36" s="373">
        <f>MARZO!L36</f>
        <v>0</v>
      </c>
      <c r="K36" s="374">
        <v>0</v>
      </c>
      <c r="L36" s="373">
        <f t="shared" ref="L36:L41" si="41">SUM(J36:K36)</f>
        <v>0</v>
      </c>
      <c r="M36" s="373">
        <f t="shared" ref="M36:M41" si="42">F36-I36</f>
        <v>0</v>
      </c>
      <c r="N36" s="143">
        <f t="shared" ref="N36:N41" si="43">F36-L36</f>
        <v>0</v>
      </c>
      <c r="O36" s="9"/>
      <c r="P36" s="372">
        <v>0</v>
      </c>
      <c r="Q36" s="375">
        <v>0</v>
      </c>
      <c r="R36" s="9"/>
      <c r="S36" s="705" t="str">
        <f>+IF(MARZO!S36=0,"",MARZO!S36)</f>
        <v>1010200-1</v>
      </c>
      <c r="T36" s="681" t="str">
        <f>+IF(MARZO!T36=0,"",MARZO!T36)</f>
        <v>Remuneración y Honorarios por Servicios Técnicos y Profesionales</v>
      </c>
      <c r="U36" s="27">
        <f>+ENERO!U36</f>
        <v>999690000</v>
      </c>
      <c r="V36" s="15">
        <f>MARZO!V36+ABRIL!AL36</f>
        <v>311300000</v>
      </c>
      <c r="W36" s="15">
        <f>MARZO!W36+ABRIL!AM36</f>
        <v>0</v>
      </c>
      <c r="X36" s="18">
        <f t="shared" ref="X36:X41" si="44">SUM(U36:W36)</f>
        <v>1310990000</v>
      </c>
      <c r="Y36" s="19">
        <f>MARZO!AA36</f>
        <v>1188330980</v>
      </c>
      <c r="Z36" s="374">
        <v>122529296</v>
      </c>
      <c r="AA36" s="18">
        <f t="shared" ref="AA36:AA41" si="45">SUM(Y36:Z36)</f>
        <v>1310860276</v>
      </c>
      <c r="AB36" s="19">
        <f>MARZO!AD36</f>
        <v>447307197</v>
      </c>
      <c r="AC36" s="374">
        <v>194129295</v>
      </c>
      <c r="AD36" s="18">
        <f t="shared" ref="AD36:AD41" si="46">SUM(AB36:AC36)</f>
        <v>641436492</v>
      </c>
      <c r="AE36" s="19">
        <f>MARZO!AG36</f>
        <v>373436292</v>
      </c>
      <c r="AF36" s="374">
        <v>196793295</v>
      </c>
      <c r="AG36" s="18">
        <f t="shared" ref="AG36:AG41" si="47">SUM(AE36:AF36)</f>
        <v>570229587</v>
      </c>
      <c r="AH36" s="19">
        <f t="shared" ref="AH36:AH41" si="48">X36-AA36</f>
        <v>129724</v>
      </c>
      <c r="AI36" s="15">
        <f t="shared" ref="AI36:AI41" si="49">X36-AD36</f>
        <v>669553508</v>
      </c>
      <c r="AJ36" s="16">
        <f t="shared" ref="AJ36:AJ41" si="50">X36-AG36</f>
        <v>740760413</v>
      </c>
      <c r="AK36" s="9"/>
      <c r="AL36" s="372">
        <v>122300000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+IF(MARZO!A37=0,"",MARZO!A37)</f>
        <v>1130103-3-2</v>
      </c>
      <c r="B37" s="646" t="str">
        <f>+IF(MARZO!B37=0,"",MARZO!B37)</f>
        <v>Vigencia Anterior</v>
      </c>
      <c r="C37" s="671">
        <f>+ENERO!C37</f>
        <v>0</v>
      </c>
      <c r="D37" s="373">
        <f>MARZO!D37+ABRIL!P37</f>
        <v>0</v>
      </c>
      <c r="E37" s="373">
        <f>MARZO!E37+ABRIL!Q37</f>
        <v>0</v>
      </c>
      <c r="F37" s="373">
        <f t="shared" si="39"/>
        <v>0</v>
      </c>
      <c r="G37" s="373">
        <f>MARZO!I37</f>
        <v>0</v>
      </c>
      <c r="H37" s="374">
        <v>0</v>
      </c>
      <c r="I37" s="373">
        <f t="shared" si="40"/>
        <v>0</v>
      </c>
      <c r="J37" s="373">
        <f>MARZO!L37</f>
        <v>0</v>
      </c>
      <c r="K37" s="374">
        <v>0</v>
      </c>
      <c r="L37" s="373">
        <f t="shared" si="41"/>
        <v>0</v>
      </c>
      <c r="M37" s="373">
        <f t="shared" si="42"/>
        <v>0</v>
      </c>
      <c r="N37" s="143">
        <f t="shared" si="43"/>
        <v>0</v>
      </c>
      <c r="P37" s="372">
        <v>0</v>
      </c>
      <c r="Q37" s="375">
        <v>0</v>
      </c>
      <c r="R37" s="9"/>
      <c r="S37" s="705" t="str">
        <f>+IF(MARZO!S37=0,"",MARZO!S37)</f>
        <v>1010200-2</v>
      </c>
      <c r="T37" s="681" t="str">
        <f>+IF(MARZO!T37=0,"",MARZO!T37)</f>
        <v>Personal Supernumerario</v>
      </c>
      <c r="U37" s="27">
        <f>+ENERO!U37</f>
        <v>0</v>
      </c>
      <c r="V37" s="15">
        <f>MARZO!V37+ABRIL!AL37</f>
        <v>0</v>
      </c>
      <c r="W37" s="15">
        <f>MARZO!W37+ABRIL!AM37</f>
        <v>0</v>
      </c>
      <c r="X37" s="18">
        <f t="shared" si="44"/>
        <v>0</v>
      </c>
      <c r="Y37" s="19">
        <f>MARZO!AA37</f>
        <v>0</v>
      </c>
      <c r="Z37" s="374">
        <v>0</v>
      </c>
      <c r="AA37" s="18">
        <f t="shared" si="45"/>
        <v>0</v>
      </c>
      <c r="AB37" s="19">
        <f>MARZO!AD37</f>
        <v>0</v>
      </c>
      <c r="AC37" s="374">
        <v>0</v>
      </c>
      <c r="AD37" s="18">
        <f t="shared" si="46"/>
        <v>0</v>
      </c>
      <c r="AE37" s="19">
        <f>MARZO!AG37</f>
        <v>0</v>
      </c>
      <c r="AF37" s="374">
        <v>0</v>
      </c>
      <c r="AG37" s="18">
        <f t="shared" si="47"/>
        <v>0</v>
      </c>
      <c r="AH37" s="19">
        <f t="shared" si="48"/>
        <v>0</v>
      </c>
      <c r="AI37" s="15">
        <f t="shared" si="49"/>
        <v>0</v>
      </c>
      <c r="AJ37" s="16">
        <f t="shared" si="50"/>
        <v>0</v>
      </c>
      <c r="AK37" s="9"/>
      <c r="AL37" s="372">
        <v>0</v>
      </c>
      <c r="AM37" s="375">
        <v>0</v>
      </c>
      <c r="AN37" s="9"/>
      <c r="AO37" s="24" t="s">
        <v>156</v>
      </c>
    </row>
    <row r="38" spans="1:70" s="382" customFormat="1" ht="24.95" customHeight="1">
      <c r="A38" s="735" t="str">
        <f>+IF(MARZO!A38=0,"",MARZO!A38)</f>
        <v>1130103-4</v>
      </c>
      <c r="B38" s="648" t="str">
        <f>+IF(MARZO!B38=0,"",MARZO!B38)</f>
        <v xml:space="preserve"> Aportes Patronales  1o. Nivel</v>
      </c>
      <c r="C38" s="671">
        <f>+ENERO!C38</f>
        <v>0</v>
      </c>
      <c r="D38" s="373">
        <f>MARZO!D38+ABRIL!P38</f>
        <v>0</v>
      </c>
      <c r="E38" s="373">
        <f>MARZO!E38+ABRIL!Q38</f>
        <v>0</v>
      </c>
      <c r="F38" s="373">
        <f t="shared" si="39"/>
        <v>0</v>
      </c>
      <c r="G38" s="373">
        <f>MARZO!I38</f>
        <v>0</v>
      </c>
      <c r="H38" s="374">
        <v>0</v>
      </c>
      <c r="I38" s="373">
        <f t="shared" si="40"/>
        <v>0</v>
      </c>
      <c r="J38" s="373">
        <f>MARZO!L38</f>
        <v>0</v>
      </c>
      <c r="K38" s="374">
        <v>0</v>
      </c>
      <c r="L38" s="373">
        <f t="shared" si="41"/>
        <v>0</v>
      </c>
      <c r="M38" s="373">
        <f t="shared" si="42"/>
        <v>0</v>
      </c>
      <c r="N38" s="143">
        <f t="shared" si="43"/>
        <v>0</v>
      </c>
      <c r="O38" s="525"/>
      <c r="P38" s="372">
        <v>0</v>
      </c>
      <c r="Q38" s="375">
        <v>0</v>
      </c>
      <c r="R38" s="9"/>
      <c r="S38" s="705" t="str">
        <f>+IF(MARZO!S38=0,"",MARZO!S38)</f>
        <v>1010200-3</v>
      </c>
      <c r="T38" s="681" t="str">
        <f>+IF(MARZO!T38=0,"",MARZO!T38)</f>
        <v>Honorarios de la Junta Directiva</v>
      </c>
      <c r="U38" s="27">
        <f>+ENERO!U38</f>
        <v>5000000</v>
      </c>
      <c r="V38" s="15">
        <f>MARZO!V38+ABRIL!AL38</f>
        <v>0</v>
      </c>
      <c r="W38" s="15">
        <f>MARZO!W38+ABRIL!AM38</f>
        <v>0</v>
      </c>
      <c r="X38" s="18">
        <f t="shared" si="44"/>
        <v>5000000</v>
      </c>
      <c r="Y38" s="19">
        <f>MARZO!AA38</f>
        <v>737718</v>
      </c>
      <c r="Z38" s="374">
        <v>0</v>
      </c>
      <c r="AA38" s="18">
        <f t="shared" si="45"/>
        <v>737718</v>
      </c>
      <c r="AB38" s="19">
        <f>MARZO!AD38</f>
        <v>737718</v>
      </c>
      <c r="AC38" s="374">
        <v>0</v>
      </c>
      <c r="AD38" s="18">
        <f t="shared" si="46"/>
        <v>737718</v>
      </c>
      <c r="AE38" s="19">
        <f>MARZO!AG38</f>
        <v>737718</v>
      </c>
      <c r="AF38" s="374">
        <v>0</v>
      </c>
      <c r="AG38" s="18">
        <f t="shared" si="47"/>
        <v>737718</v>
      </c>
      <c r="AH38" s="19">
        <f t="shared" si="48"/>
        <v>4262282</v>
      </c>
      <c r="AI38" s="15">
        <f t="shared" si="49"/>
        <v>4262282</v>
      </c>
      <c r="AJ38" s="16">
        <f t="shared" si="50"/>
        <v>4262282</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5" t="str">
        <f>+IF(MARZO!A39=0,"",MARZO!A39)</f>
        <v>1130103-5</v>
      </c>
      <c r="B39" s="648" t="str">
        <f>+IF(MARZO!B39=0,"",MARZO!B39)</f>
        <v xml:space="preserve"> Aportes Patronales  2o. Nivel</v>
      </c>
      <c r="C39" s="671">
        <f>+ENERO!C39</f>
        <v>0</v>
      </c>
      <c r="D39" s="373">
        <f>MARZO!D39+ABRIL!P39</f>
        <v>0</v>
      </c>
      <c r="E39" s="373">
        <f>MARZO!E39+ABRIL!Q39</f>
        <v>0</v>
      </c>
      <c r="F39" s="373">
        <f t="shared" si="39"/>
        <v>0</v>
      </c>
      <c r="G39" s="373">
        <f>MARZO!I39</f>
        <v>0</v>
      </c>
      <c r="H39" s="374">
        <v>0</v>
      </c>
      <c r="I39" s="373">
        <f t="shared" si="40"/>
        <v>0</v>
      </c>
      <c r="J39" s="373">
        <f>MARZO!L39</f>
        <v>0</v>
      </c>
      <c r="K39" s="374">
        <v>0</v>
      </c>
      <c r="L39" s="373">
        <f t="shared" si="41"/>
        <v>0</v>
      </c>
      <c r="M39" s="373">
        <f t="shared" si="42"/>
        <v>0</v>
      </c>
      <c r="N39" s="143">
        <f t="shared" si="43"/>
        <v>0</v>
      </c>
      <c r="O39" s="525"/>
      <c r="P39" s="372">
        <v>0</v>
      </c>
      <c r="Q39" s="375">
        <v>0</v>
      </c>
      <c r="R39" s="9"/>
      <c r="S39" s="705" t="str">
        <f>+IF(MARZO!S39=0,"",MARZO!S39)</f>
        <v>1010200-4</v>
      </c>
      <c r="T39" s="681" t="str">
        <f>+IF(MARZO!T39=0,"",MARZO!T39)</f>
        <v>Otros Honorarios</v>
      </c>
      <c r="U39" s="27">
        <f>+ENERO!U39</f>
        <v>2030210183</v>
      </c>
      <c r="V39" s="15">
        <f>MARZO!V39+ABRIL!AL39</f>
        <v>130000000</v>
      </c>
      <c r="W39" s="15">
        <f>MARZO!W39+ABRIL!AM39</f>
        <v>0</v>
      </c>
      <c r="X39" s="18">
        <f t="shared" si="44"/>
        <v>2160210183</v>
      </c>
      <c r="Y39" s="19">
        <f>MARZO!AA39</f>
        <v>2090914440</v>
      </c>
      <c r="Z39" s="374">
        <v>0</v>
      </c>
      <c r="AA39" s="18">
        <f t="shared" si="45"/>
        <v>2090914440</v>
      </c>
      <c r="AB39" s="19">
        <f>MARZO!AD39</f>
        <v>796999754</v>
      </c>
      <c r="AC39" s="374">
        <v>289961617</v>
      </c>
      <c r="AD39" s="18">
        <f t="shared" si="46"/>
        <v>1086961371</v>
      </c>
      <c r="AE39" s="19">
        <f>MARZO!AG39</f>
        <v>247658365</v>
      </c>
      <c r="AF39" s="374">
        <v>268183711</v>
      </c>
      <c r="AG39" s="18">
        <f t="shared" si="47"/>
        <v>515842076</v>
      </c>
      <c r="AH39" s="19">
        <f t="shared" si="48"/>
        <v>69295743</v>
      </c>
      <c r="AI39" s="15">
        <f t="shared" si="49"/>
        <v>1073248812</v>
      </c>
      <c r="AJ39" s="16">
        <f t="shared" si="50"/>
        <v>1644368107</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5" t="str">
        <f>+IF(MARZO!A40=0,"",MARZO!A40)</f>
        <v>1130103-6</v>
      </c>
      <c r="B40" s="648" t="str">
        <f>+IF(MARZO!B40=0,"",MARZO!B40)</f>
        <v xml:space="preserve"> Aportes Patronales  3er. Nivel</v>
      </c>
      <c r="C40" s="671">
        <f>+ENERO!C40</f>
        <v>0</v>
      </c>
      <c r="D40" s="373">
        <f>MARZO!D40+ABRIL!P40</f>
        <v>0</v>
      </c>
      <c r="E40" s="373">
        <f>MARZO!E40+ABRIL!Q40</f>
        <v>0</v>
      </c>
      <c r="F40" s="373">
        <f t="shared" si="39"/>
        <v>0</v>
      </c>
      <c r="G40" s="373">
        <f>MARZO!I40</f>
        <v>0</v>
      </c>
      <c r="H40" s="374">
        <v>0</v>
      </c>
      <c r="I40" s="373">
        <f t="shared" si="40"/>
        <v>0</v>
      </c>
      <c r="J40" s="373">
        <f>MARZO!L40</f>
        <v>0</v>
      </c>
      <c r="K40" s="374">
        <v>0</v>
      </c>
      <c r="L40" s="373">
        <f t="shared" si="41"/>
        <v>0</v>
      </c>
      <c r="M40" s="373">
        <f t="shared" si="42"/>
        <v>0</v>
      </c>
      <c r="N40" s="143">
        <f t="shared" si="43"/>
        <v>0</v>
      </c>
      <c r="O40" s="525"/>
      <c r="P40" s="372">
        <v>0</v>
      </c>
      <c r="Q40" s="375">
        <v>0</v>
      </c>
      <c r="R40" s="9"/>
      <c r="S40" s="705" t="str">
        <f>+IF(MARZO!S40=0,"",MARZO!S40)</f>
        <v>1010200-6</v>
      </c>
      <c r="T40" s="681" t="str">
        <f>+IF(MARZO!T40=0,"",MARZO!T40)</f>
        <v>Certificación, Habilitación y Acreditación</v>
      </c>
      <c r="U40" s="27">
        <f>+ENERO!U40</f>
        <v>0</v>
      </c>
      <c r="V40" s="15">
        <f>MARZO!V40+ABRIL!AL40</f>
        <v>0</v>
      </c>
      <c r="W40" s="15">
        <f>MARZO!W40+ABRIL!AM40</f>
        <v>0</v>
      </c>
      <c r="X40" s="18">
        <f t="shared" si="44"/>
        <v>0</v>
      </c>
      <c r="Y40" s="19">
        <f>MARZO!AA40</f>
        <v>0</v>
      </c>
      <c r="Z40" s="374">
        <v>0</v>
      </c>
      <c r="AA40" s="18">
        <f t="shared" si="45"/>
        <v>0</v>
      </c>
      <c r="AB40" s="19">
        <f>MARZO!AD40</f>
        <v>0</v>
      </c>
      <c r="AC40" s="374">
        <v>0</v>
      </c>
      <c r="AD40" s="18">
        <f t="shared" si="46"/>
        <v>0</v>
      </c>
      <c r="AE40" s="19">
        <f>MARZO!AG40</f>
        <v>0</v>
      </c>
      <c r="AF40" s="374">
        <v>0</v>
      </c>
      <c r="AG40" s="18">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3">
        <f>+IF(MARZO!A41=0,"",MARZO!A41)</f>
        <v>1130104</v>
      </c>
      <c r="B41" s="645" t="str">
        <f>+IF(MARZO!B41=0,"",MARZO!B41)</f>
        <v>SUBSIDIO A LA OFERTA- ACTIVIDADES NO POS-S</v>
      </c>
      <c r="C41" s="671">
        <f>+ENERO!C41</f>
        <v>0</v>
      </c>
      <c r="D41" s="122">
        <f>MARZO!D41+ABRIL!P41</f>
        <v>0</v>
      </c>
      <c r="E41" s="122">
        <f>MARZO!E41+ABRIL!Q41</f>
        <v>0</v>
      </c>
      <c r="F41" s="122">
        <f t="shared" si="39"/>
        <v>0</v>
      </c>
      <c r="G41" s="122">
        <f>MARZO!I41</f>
        <v>0</v>
      </c>
      <c r="H41" s="374">
        <v>0</v>
      </c>
      <c r="I41" s="122">
        <f t="shared" si="40"/>
        <v>0</v>
      </c>
      <c r="J41" s="122">
        <f>MARZO!L41</f>
        <v>0</v>
      </c>
      <c r="K41" s="374">
        <v>0</v>
      </c>
      <c r="L41" s="122">
        <f t="shared" si="41"/>
        <v>0</v>
      </c>
      <c r="M41" s="122">
        <f t="shared" si="42"/>
        <v>0</v>
      </c>
      <c r="N41" s="130">
        <f t="shared" si="43"/>
        <v>0</v>
      </c>
      <c r="O41" s="382"/>
      <c r="P41" s="374">
        <v>0</v>
      </c>
      <c r="Q41" s="375">
        <v>0</v>
      </c>
      <c r="R41" s="9"/>
      <c r="S41" s="705">
        <f>+IF(MARZO!S41=0,"",MARZO!S41)</f>
        <v>1010299</v>
      </c>
      <c r="T41" s="681" t="str">
        <f>+IF(MARZO!T41=0,"",MARZO!T41)</f>
        <v>Vigencias Anteriores</v>
      </c>
      <c r="U41" s="27">
        <f>+ENERO!U41</f>
        <v>0</v>
      </c>
      <c r="V41" s="15">
        <f>MARZO!V41+ABRIL!AL41</f>
        <v>265645424</v>
      </c>
      <c r="W41" s="15">
        <f>MARZO!W41+ABRIL!AM41</f>
        <v>700000000</v>
      </c>
      <c r="X41" s="18">
        <f t="shared" si="44"/>
        <v>965645424</v>
      </c>
      <c r="Y41" s="19">
        <f>MARZO!AA41</f>
        <v>465645424</v>
      </c>
      <c r="Z41" s="374">
        <v>290935522</v>
      </c>
      <c r="AA41" s="18">
        <f t="shared" si="45"/>
        <v>756580946</v>
      </c>
      <c r="AB41" s="19">
        <f>MARZO!AD41</f>
        <v>465645424</v>
      </c>
      <c r="AC41" s="374">
        <v>290935522</v>
      </c>
      <c r="AD41" s="18">
        <f t="shared" si="46"/>
        <v>756580946</v>
      </c>
      <c r="AE41" s="19">
        <f>MARZO!AG41</f>
        <v>465645424</v>
      </c>
      <c r="AF41" s="374">
        <v>290935522</v>
      </c>
      <c r="AG41" s="18">
        <f t="shared" si="47"/>
        <v>756580946</v>
      </c>
      <c r="AH41" s="19">
        <f t="shared" si="48"/>
        <v>209064478</v>
      </c>
      <c r="AI41" s="15">
        <f t="shared" si="49"/>
        <v>209064478</v>
      </c>
      <c r="AJ41" s="16">
        <f t="shared" si="50"/>
        <v>209064478</v>
      </c>
      <c r="AK41" s="9"/>
      <c r="AL41" s="372">
        <v>0</v>
      </c>
      <c r="AM41" s="375">
        <v>500000000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3">
        <f>+IF(MARZO!A42=0,"",MARZO!A42)</f>
        <v>1130106</v>
      </c>
      <c r="B42" s="645" t="str">
        <f>+IF(MARZO!B42=0,"",MARZO!B42)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66" t="str">
        <f>+IF(MARZO!S42=0,"",MARZO!S42)</f>
        <v/>
      </c>
      <c r="T42" s="695"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+IF(MARZO!A43=0,"",MARZO!A43)</f>
        <v>1130106-1</v>
      </c>
      <c r="B43" s="646" t="str">
        <f>+CONCATENATE("Vigencia ",INSTRUCCIONES!$F$3)</f>
        <v>Vigencia 2017</v>
      </c>
      <c r="C43" s="671">
        <f>+ENERO!C43</f>
        <v>0</v>
      </c>
      <c r="D43" s="373">
        <f>MARZO!D43+ABRIL!P43</f>
        <v>0</v>
      </c>
      <c r="E43" s="373">
        <f>MARZO!E43+ABRIL!Q43</f>
        <v>0</v>
      </c>
      <c r="F43" s="373">
        <f>SUM(C43:E43)</f>
        <v>0</v>
      </c>
      <c r="G43" s="373">
        <f>MARZO!I43</f>
        <v>0</v>
      </c>
      <c r="H43" s="374">
        <v>0</v>
      </c>
      <c r="I43" s="373">
        <f>SUM(G43:H43)</f>
        <v>0</v>
      </c>
      <c r="J43" s="373">
        <f>MARZO!L43</f>
        <v>0</v>
      </c>
      <c r="K43" s="374">
        <v>0</v>
      </c>
      <c r="L43" s="373">
        <f>SUM(J43:K43)</f>
        <v>0</v>
      </c>
      <c r="M43" s="373">
        <f>F43-I43</f>
        <v>0</v>
      </c>
      <c r="N43" s="143">
        <f>F43-L43</f>
        <v>0</v>
      </c>
      <c r="O43" s="382"/>
      <c r="P43" s="372">
        <v>0</v>
      </c>
      <c r="Q43" s="375">
        <v>0</v>
      </c>
      <c r="R43" s="9"/>
      <c r="S43" s="704">
        <f>+IF(MARZO!S43=0,"",MARZO!S43)</f>
        <v>1010300</v>
      </c>
      <c r="T43" s="680" t="str">
        <f>+IF(MARZO!T43=0,"",MARZO!T43)</f>
        <v>Contribuciones Inherentes nómina al Sector Privado</v>
      </c>
      <c r="U43" s="132">
        <f t="shared" ref="U43:AJ43" si="52">U44+U49+U55</f>
        <v>182861553</v>
      </c>
      <c r="V43" s="122">
        <f t="shared" si="52"/>
        <v>-24802080</v>
      </c>
      <c r="W43" s="122">
        <f t="shared" si="52"/>
        <v>24802080</v>
      </c>
      <c r="X43" s="129">
        <f t="shared" si="52"/>
        <v>182861553</v>
      </c>
      <c r="Y43" s="128">
        <f t="shared" si="52"/>
        <v>28681482</v>
      </c>
      <c r="Z43" s="122">
        <f t="shared" si="52"/>
        <v>10736052</v>
      </c>
      <c r="AA43" s="129">
        <f t="shared" si="52"/>
        <v>39417534</v>
      </c>
      <c r="AB43" s="128">
        <f t="shared" si="52"/>
        <v>28681482</v>
      </c>
      <c r="AC43" s="122">
        <f t="shared" si="52"/>
        <v>10736052</v>
      </c>
      <c r="AD43" s="129">
        <f t="shared" si="52"/>
        <v>39417534</v>
      </c>
      <c r="AE43" s="128">
        <f t="shared" si="52"/>
        <v>28681482</v>
      </c>
      <c r="AF43" s="122">
        <f t="shared" si="52"/>
        <v>10736052</v>
      </c>
      <c r="AG43" s="129">
        <f t="shared" si="52"/>
        <v>39417534</v>
      </c>
      <c r="AH43" s="128">
        <f t="shared" si="52"/>
        <v>143444019</v>
      </c>
      <c r="AI43" s="122">
        <f t="shared" si="52"/>
        <v>143444019</v>
      </c>
      <c r="AJ43" s="130">
        <f t="shared" si="52"/>
        <v>143444019</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+IF(MARZO!A44=0,"",MARZO!A44)</f>
        <v>1130106-2</v>
      </c>
      <c r="B44" s="646" t="str">
        <f>+IF(MARZO!B44=0,"",MARZO!B44)</f>
        <v>Vigencia Anterior</v>
      </c>
      <c r="C44" s="671">
        <f>+ENERO!C44</f>
        <v>0</v>
      </c>
      <c r="D44" s="373">
        <f>MARZO!D44+ABRIL!P44</f>
        <v>0</v>
      </c>
      <c r="E44" s="373">
        <f>MARZO!E44+ABRIL!Q44</f>
        <v>0</v>
      </c>
      <c r="F44" s="373">
        <f>SUM(C44:E44)</f>
        <v>0</v>
      </c>
      <c r="G44" s="373">
        <f>MARZO!I44</f>
        <v>0</v>
      </c>
      <c r="H44" s="374">
        <v>0</v>
      </c>
      <c r="I44" s="373">
        <f>SUM(G44:H44)</f>
        <v>0</v>
      </c>
      <c r="J44" s="373">
        <f>MARZO!L44</f>
        <v>0</v>
      </c>
      <c r="K44" s="374">
        <v>0</v>
      </c>
      <c r="L44" s="373">
        <f>SUM(J44:K44)</f>
        <v>0</v>
      </c>
      <c r="M44" s="373">
        <f>F44-I44</f>
        <v>0</v>
      </c>
      <c r="N44" s="143">
        <f>F44-L44</f>
        <v>0</v>
      </c>
      <c r="O44" s="382"/>
      <c r="P44" s="372">
        <v>0</v>
      </c>
      <c r="Q44" s="375">
        <v>0</v>
      </c>
      <c r="R44" s="9"/>
      <c r="S44" s="705">
        <f>+IF(MARZO!S44=0,"",MARZO!S44)</f>
        <v>1010301</v>
      </c>
      <c r="T44" s="681" t="str">
        <f>+IF(MARZO!T44=0,"",MARZO!T44)</f>
        <v>Contribuciones - SGP - Aportes Patronales - Cuentas Maestras</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3">
        <f>+IF(MARZO!A45=0,"",MARZO!A45)</f>
        <v>1130107</v>
      </c>
      <c r="B45" s="645" t="str">
        <f>+IF(MARZO!B45=0,"",MARZO!B45)</f>
        <v>MINSALUD-FOSYGA-RECLAMACIONES ECAT</v>
      </c>
      <c r="C45" s="43">
        <f t="shared" ref="C45:N45" si="54">SUM(C46:C47)</f>
        <v>375197511</v>
      </c>
      <c r="D45" s="44">
        <f t="shared" si="54"/>
        <v>0</v>
      </c>
      <c r="E45" s="44">
        <f t="shared" si="54"/>
        <v>79487</v>
      </c>
      <c r="F45" s="44">
        <f t="shared" si="54"/>
        <v>375276998</v>
      </c>
      <c r="G45" s="44">
        <f t="shared" si="54"/>
        <v>48132863</v>
      </c>
      <c r="H45" s="44">
        <f t="shared" si="54"/>
        <v>28321985</v>
      </c>
      <c r="I45" s="44">
        <f t="shared" si="54"/>
        <v>76454848</v>
      </c>
      <c r="J45" s="44">
        <f t="shared" si="54"/>
        <v>79487</v>
      </c>
      <c r="K45" s="44">
        <f t="shared" si="54"/>
        <v>0</v>
      </c>
      <c r="L45" s="44">
        <f t="shared" si="54"/>
        <v>79487</v>
      </c>
      <c r="M45" s="44">
        <f t="shared" si="54"/>
        <v>298822150</v>
      </c>
      <c r="N45" s="45">
        <f t="shared" si="54"/>
        <v>375197511</v>
      </c>
      <c r="P45" s="43">
        <f>SUM(P46:P47)</f>
        <v>0</v>
      </c>
      <c r="Q45" s="45">
        <f>SUM(Q46:Q47)</f>
        <v>79487</v>
      </c>
      <c r="R45" s="9"/>
      <c r="S45" s="706" t="str">
        <f>+IF(MARZO!S45=0,"",MARZO!S45)</f>
        <v>1010301-1</v>
      </c>
      <c r="T45" s="682" t="str">
        <f>+IF(MARZO!T45=0,"",MARZO!T45)</f>
        <v>E.P.S. - Aportes cuentas maestras</v>
      </c>
      <c r="U45" s="27">
        <f>+ENERO!U45</f>
        <v>0</v>
      </c>
      <c r="V45" s="15">
        <f>MARZO!V45+ABRIL!AL45</f>
        <v>0</v>
      </c>
      <c r="W45" s="15">
        <f>MARZO!W45+ABRIL!AM45</f>
        <v>0</v>
      </c>
      <c r="X45" s="18">
        <f>SUM(U45:W45)</f>
        <v>0</v>
      </c>
      <c r="Y45" s="19">
        <f>MARZO!AA45</f>
        <v>0</v>
      </c>
      <c r="Z45" s="374">
        <v>0</v>
      </c>
      <c r="AA45" s="18">
        <f>SUM(Y45:Z45)</f>
        <v>0</v>
      </c>
      <c r="AB45" s="19">
        <f>MARZO!AD45</f>
        <v>0</v>
      </c>
      <c r="AC45" s="374">
        <v>0</v>
      </c>
      <c r="AD45" s="18">
        <f>SUM(AB45:AC45)</f>
        <v>0</v>
      </c>
      <c r="AE45" s="19">
        <f>MARZO!AG45</f>
        <v>0</v>
      </c>
      <c r="AF45" s="374">
        <v>0</v>
      </c>
      <c r="AG45" s="18">
        <f>SUM(AE45:AF45)</f>
        <v>0</v>
      </c>
      <c r="AH45" s="19">
        <f>X45-AA45</f>
        <v>0</v>
      </c>
      <c r="AI45" s="15">
        <f>X45-AD45</f>
        <v>0</v>
      </c>
      <c r="AJ45" s="16">
        <f>X45-AG45</f>
        <v>0</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+IF(MARZO!A46=0,"",MARZO!A46)</f>
        <v>1130107-1</v>
      </c>
      <c r="B46" s="646" t="str">
        <f>+CONCATENATE("Vigencia ",INSTRUCCIONES!$F$3)</f>
        <v>Vigencia 2017</v>
      </c>
      <c r="C46" s="671">
        <f>+ENERO!C46</f>
        <v>375197511</v>
      </c>
      <c r="D46" s="373">
        <f>MARZO!D46+ABRIL!P46</f>
        <v>0</v>
      </c>
      <c r="E46" s="373">
        <f>MARZO!E46+ABRIL!Q46</f>
        <v>0</v>
      </c>
      <c r="F46" s="373">
        <f>SUM(C46:E46)</f>
        <v>375197511</v>
      </c>
      <c r="G46" s="373">
        <f>MARZO!I46</f>
        <v>48053376</v>
      </c>
      <c r="H46" s="374">
        <v>28321985</v>
      </c>
      <c r="I46" s="373">
        <f>SUM(G46:H46)</f>
        <v>76375361</v>
      </c>
      <c r="J46" s="373">
        <f>MARZO!L46</f>
        <v>0</v>
      </c>
      <c r="K46" s="374">
        <v>0</v>
      </c>
      <c r="L46" s="373">
        <f>SUM(J46:K46)</f>
        <v>0</v>
      </c>
      <c r="M46" s="373">
        <f>F46-I46</f>
        <v>298822150</v>
      </c>
      <c r="N46" s="143">
        <f>F46-L46</f>
        <v>375197511</v>
      </c>
      <c r="O46" s="382"/>
      <c r="P46" s="372">
        <v>0</v>
      </c>
      <c r="Q46" s="375">
        <v>0</v>
      </c>
      <c r="R46" s="9"/>
      <c r="S46" s="706" t="str">
        <f>+IF(MARZO!S46=0,"",MARZO!S46)</f>
        <v>1010301-2</v>
      </c>
      <c r="T46" s="682" t="str">
        <f>+IF(MARZO!T46=0,"",MARZO!T46)</f>
        <v>Fondos pensionales - Aportes cuentas maestras</v>
      </c>
      <c r="U46" s="27">
        <f>+ENERO!U46</f>
        <v>0</v>
      </c>
      <c r="V46" s="15">
        <f>MARZO!V46+ABRIL!AL46</f>
        <v>0</v>
      </c>
      <c r="W46" s="15">
        <f>MARZO!W46+ABRIL!AM46</f>
        <v>0</v>
      </c>
      <c r="X46" s="18">
        <f>SUM(U46:W46)</f>
        <v>0</v>
      </c>
      <c r="Y46" s="19">
        <f>MARZO!AA46</f>
        <v>0</v>
      </c>
      <c r="Z46" s="374">
        <v>0</v>
      </c>
      <c r="AA46" s="18">
        <f>SUM(Y46:Z46)</f>
        <v>0</v>
      </c>
      <c r="AB46" s="19">
        <f>MARZO!AD46</f>
        <v>0</v>
      </c>
      <c r="AC46" s="374">
        <v>0</v>
      </c>
      <c r="AD46" s="18">
        <f>SUM(AB46:AC46)</f>
        <v>0</v>
      </c>
      <c r="AE46" s="19">
        <f>MARZO!AG46</f>
        <v>0</v>
      </c>
      <c r="AF46" s="374">
        <v>0</v>
      </c>
      <c r="AG46" s="18">
        <f>SUM(AE46:AF46)</f>
        <v>0</v>
      </c>
      <c r="AH46" s="19">
        <f>X46-AA46</f>
        <v>0</v>
      </c>
      <c r="AI46" s="15">
        <f>X46-AD46</f>
        <v>0</v>
      </c>
      <c r="AJ46" s="16">
        <f>X46-AG46</f>
        <v>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+IF(MARZO!A47=0,"",MARZO!A47)</f>
        <v>1130107-2</v>
      </c>
      <c r="B47" s="646" t="str">
        <f>+IF(MARZO!B47=0,"",MARZO!B47)</f>
        <v>Vigencia Anterior</v>
      </c>
      <c r="C47" s="671">
        <f>+ENERO!C47</f>
        <v>0</v>
      </c>
      <c r="D47" s="373">
        <f>MARZO!D47+ABRIL!P47</f>
        <v>0</v>
      </c>
      <c r="E47" s="373">
        <f>MARZO!E47+ABRIL!Q47</f>
        <v>79487</v>
      </c>
      <c r="F47" s="373">
        <f>SUM(C47:E47)</f>
        <v>79487</v>
      </c>
      <c r="G47" s="373">
        <f>MARZO!I47</f>
        <v>79487</v>
      </c>
      <c r="H47" s="374">
        <v>0</v>
      </c>
      <c r="I47" s="373">
        <f>SUM(G47:H47)</f>
        <v>79487</v>
      </c>
      <c r="J47" s="373">
        <f>MARZO!L47</f>
        <v>79487</v>
      </c>
      <c r="K47" s="374">
        <v>0</v>
      </c>
      <c r="L47" s="373">
        <f>SUM(J47:K47)</f>
        <v>79487</v>
      </c>
      <c r="M47" s="373">
        <f>F47-I47</f>
        <v>0</v>
      </c>
      <c r="N47" s="143">
        <f>F47-L47</f>
        <v>0</v>
      </c>
      <c r="O47" s="382"/>
      <c r="P47" s="372">
        <v>0</v>
      </c>
      <c r="Q47" s="375">
        <v>79487</v>
      </c>
      <c r="R47" s="9"/>
      <c r="S47" s="706" t="str">
        <f>+IF(MARZO!S47=0,"",MARZO!S47)</f>
        <v>1010301-3</v>
      </c>
      <c r="T47" s="682" t="str">
        <f>+IF(MARZO!T47=0,"",MARZO!T47)</f>
        <v>Fondos de cesantías - Aportes cuentas maestras</v>
      </c>
      <c r="U47" s="27">
        <f>+ENERO!U47</f>
        <v>0</v>
      </c>
      <c r="V47" s="15">
        <f>MARZO!V47+ABRIL!AL47</f>
        <v>0</v>
      </c>
      <c r="W47" s="15">
        <f>MARZO!W47+ABRIL!AM47</f>
        <v>0</v>
      </c>
      <c r="X47" s="18">
        <f>SUM(U47:W47)</f>
        <v>0</v>
      </c>
      <c r="Y47" s="19">
        <f>MARZO!AA47</f>
        <v>0</v>
      </c>
      <c r="Z47" s="374">
        <v>0</v>
      </c>
      <c r="AA47" s="18">
        <f>SUM(Y47:Z47)</f>
        <v>0</v>
      </c>
      <c r="AB47" s="19">
        <f>MARZO!AD47</f>
        <v>0</v>
      </c>
      <c r="AC47" s="374">
        <v>0</v>
      </c>
      <c r="AD47" s="18">
        <f>SUM(AB47:AC47)</f>
        <v>0</v>
      </c>
      <c r="AE47" s="19">
        <f>MARZO!AG47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3">
        <f>+IF(MARZO!A48=0,"",MARZO!A48)</f>
        <v>1130108</v>
      </c>
      <c r="B48" s="645"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6" t="str">
        <f>+IF(MARZO!S48=0,"",MARZO!S48)</f>
        <v>1010301-4</v>
      </c>
      <c r="T48" s="682" t="str">
        <f>+IF(MARZO!T48=0,"",MARZO!T48)</f>
        <v>Riesgos laborales - Aportes cuentas maestras</v>
      </c>
      <c r="U48" s="27">
        <f>+ENERO!U48</f>
        <v>0</v>
      </c>
      <c r="V48" s="15">
        <f>MARZO!V48+ABRIL!AL48</f>
        <v>0</v>
      </c>
      <c r="W48" s="15">
        <f>MARZO!W48+ABRIL!AM48</f>
        <v>0</v>
      </c>
      <c r="X48" s="18">
        <f>SUM(U48:W48)</f>
        <v>0</v>
      </c>
      <c r="Y48" s="19">
        <f>MARZO!AA48</f>
        <v>0</v>
      </c>
      <c r="Z48" s="374">
        <v>0</v>
      </c>
      <c r="AA48" s="18">
        <f>SUM(Y48:Z48)</f>
        <v>0</v>
      </c>
      <c r="AB48" s="19">
        <f>MARZO!AD48</f>
        <v>0</v>
      </c>
      <c r="AC48" s="374">
        <v>0</v>
      </c>
      <c r="AD48" s="18">
        <f>SUM(AB48:AC48)</f>
        <v>0</v>
      </c>
      <c r="AE48" s="19">
        <f>MARZO!AG48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+IF(MARZO!A49=0,"",MARZO!A49)</f>
        <v>1130108-1</v>
      </c>
      <c r="B49" s="646" t="str">
        <f>+CONCATENATE("Vigencia ",INSTRUCCIONES!$F$3)</f>
        <v>Vigencia 2017</v>
      </c>
      <c r="C49" s="671">
        <f>+ENERO!C49</f>
        <v>0</v>
      </c>
      <c r="D49" s="373">
        <f>MARZO!D49+ABRIL!P49</f>
        <v>0</v>
      </c>
      <c r="E49" s="373">
        <f>MARZO!E49+ABRIL!Q49</f>
        <v>0</v>
      </c>
      <c r="F49" s="373">
        <f>SUM(C49:E49)</f>
        <v>0</v>
      </c>
      <c r="G49" s="373">
        <f>MARZO!I49</f>
        <v>0</v>
      </c>
      <c r="H49" s="374">
        <v>0</v>
      </c>
      <c r="I49" s="373">
        <f>SUM(G49:H49)</f>
        <v>0</v>
      </c>
      <c r="J49" s="373">
        <f>MARZO!L49</f>
        <v>0</v>
      </c>
      <c r="K49" s="374">
        <v>0</v>
      </c>
      <c r="L49" s="373">
        <f>SUM(J49:K49)</f>
        <v>0</v>
      </c>
      <c r="M49" s="373">
        <f>F49-I49</f>
        <v>0</v>
      </c>
      <c r="N49" s="143">
        <f>F49-L49</f>
        <v>0</v>
      </c>
      <c r="O49" s="382"/>
      <c r="P49" s="372">
        <v>0</v>
      </c>
      <c r="Q49" s="375">
        <v>0</v>
      </c>
      <c r="R49" s="9"/>
      <c r="S49" s="705">
        <f>+IF(MARZO!S49=0,"",MARZO!S49)</f>
        <v>1010302</v>
      </c>
      <c r="T49" s="681" t="str">
        <f>+IF(MARZO!T49=0,"",MARZO!T49)</f>
        <v>Contribuciones - Otros</v>
      </c>
      <c r="U49" s="27">
        <f t="shared" ref="U49:AJ49" si="56">SUM(U50:U54)</f>
        <v>182861553</v>
      </c>
      <c r="V49" s="15">
        <f t="shared" si="56"/>
        <v>0</v>
      </c>
      <c r="W49" s="15">
        <f t="shared" si="56"/>
        <v>0</v>
      </c>
      <c r="X49" s="18">
        <f t="shared" si="56"/>
        <v>182861553</v>
      </c>
      <c r="Y49" s="19">
        <f t="shared" si="56"/>
        <v>28681482</v>
      </c>
      <c r="Z49" s="142">
        <f t="shared" si="56"/>
        <v>10736052</v>
      </c>
      <c r="AA49" s="18">
        <f t="shared" si="56"/>
        <v>39417534</v>
      </c>
      <c r="AB49" s="19">
        <f t="shared" si="56"/>
        <v>28681482</v>
      </c>
      <c r="AC49" s="142">
        <f t="shared" si="56"/>
        <v>10736052</v>
      </c>
      <c r="AD49" s="18">
        <f t="shared" si="56"/>
        <v>39417534</v>
      </c>
      <c r="AE49" s="19">
        <f t="shared" si="56"/>
        <v>28681482</v>
      </c>
      <c r="AF49" s="142">
        <f t="shared" si="56"/>
        <v>10736052</v>
      </c>
      <c r="AG49" s="18">
        <f t="shared" si="56"/>
        <v>39417534</v>
      </c>
      <c r="AH49" s="19">
        <f t="shared" si="56"/>
        <v>143444019</v>
      </c>
      <c r="AI49" s="15">
        <f t="shared" si="56"/>
        <v>143444019</v>
      </c>
      <c r="AJ49" s="16">
        <f t="shared" si="56"/>
        <v>143444019</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+IF(MARZO!A50=0,"",MARZO!A50)</f>
        <v>1130108-2</v>
      </c>
      <c r="B50" s="646" t="str">
        <f>+IF(MARZO!B50=0,"",MARZO!B50)</f>
        <v>Vigencia Anterior</v>
      </c>
      <c r="C50" s="671">
        <f>+ENERO!C50</f>
        <v>0</v>
      </c>
      <c r="D50" s="373">
        <f>MARZO!D50+ABRIL!P50</f>
        <v>0</v>
      </c>
      <c r="E50" s="373">
        <f>MARZO!E50+ABRIL!Q50</f>
        <v>0</v>
      </c>
      <c r="F50" s="373">
        <f>SUM(C50:E50)</f>
        <v>0</v>
      </c>
      <c r="G50" s="373">
        <f>MARZO!I50</f>
        <v>0</v>
      </c>
      <c r="H50" s="374">
        <v>0</v>
      </c>
      <c r="I50" s="373">
        <f>SUM(G50:H50)</f>
        <v>0</v>
      </c>
      <c r="J50" s="373">
        <f>MARZO!L50</f>
        <v>0</v>
      </c>
      <c r="K50" s="374">
        <v>0</v>
      </c>
      <c r="L50" s="373">
        <f>SUM(J50:K50)</f>
        <v>0</v>
      </c>
      <c r="M50" s="373">
        <f>F50-I50</f>
        <v>0</v>
      </c>
      <c r="N50" s="143">
        <f>F50-L50</f>
        <v>0</v>
      </c>
      <c r="O50" s="382"/>
      <c r="P50" s="372">
        <v>0</v>
      </c>
      <c r="Q50" s="375">
        <v>0</v>
      </c>
      <c r="R50" s="9"/>
      <c r="S50" s="706" t="str">
        <f>+IF(MARZO!S50=0,"",MARZO!S50)</f>
        <v>1010302-1</v>
      </c>
      <c r="T50" s="682" t="str">
        <f>+IF(MARZO!T50=0,"",MARZO!T50)</f>
        <v>Aportes a E.P.S.- Con sit. Fondos</v>
      </c>
      <c r="U50" s="27">
        <f>+ENERO!U50</f>
        <v>72876516</v>
      </c>
      <c r="V50" s="15">
        <f>MARZO!V50+ABRIL!AL50</f>
        <v>0</v>
      </c>
      <c r="W50" s="15">
        <f>MARZO!W50+ABRIL!AM50</f>
        <v>0</v>
      </c>
      <c r="X50" s="18">
        <f t="shared" ref="X50:X55" si="57">SUM(U50:W50)</f>
        <v>72876516</v>
      </c>
      <c r="Y50" s="19">
        <f>MARZO!AA50</f>
        <v>9755531</v>
      </c>
      <c r="Z50" s="374">
        <v>3244337</v>
      </c>
      <c r="AA50" s="18">
        <f t="shared" ref="AA50:AA55" si="58">SUM(Y50:Z50)</f>
        <v>12999868</v>
      </c>
      <c r="AB50" s="19">
        <f>MARZO!AD50</f>
        <v>9755531</v>
      </c>
      <c r="AC50" s="374">
        <v>3244337</v>
      </c>
      <c r="AD50" s="18">
        <f t="shared" ref="AD50:AD55" si="59">SUM(AB50:AC50)</f>
        <v>12999868</v>
      </c>
      <c r="AE50" s="19">
        <f>MARZO!AG50</f>
        <v>9755531</v>
      </c>
      <c r="AF50" s="374">
        <v>3244337</v>
      </c>
      <c r="AG50" s="18">
        <f t="shared" ref="AG50:AG55" si="60">SUM(AE50:AF50)</f>
        <v>12999868</v>
      </c>
      <c r="AH50" s="19">
        <f t="shared" ref="AH50:AH55" si="61">X50-AA50</f>
        <v>59876648</v>
      </c>
      <c r="AI50" s="15">
        <f t="shared" ref="AI50:AI55" si="62">X50-AD50</f>
        <v>59876648</v>
      </c>
      <c r="AJ50" s="16">
        <f t="shared" ref="AJ50:AJ55" si="63">X50-AG50</f>
        <v>59876648</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3">
        <f>+IF(MARZO!A51=0,"",MARZO!A51)</f>
        <v>1130109</v>
      </c>
      <c r="B51" s="645"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6" t="str">
        <f>+IF(MARZO!S51=0,"",MARZO!S51)</f>
        <v>1010302-2</v>
      </c>
      <c r="T51" s="682" t="str">
        <f>+IF(MARZO!T51=0,"",MARZO!T51)</f>
        <v>Aportes Fondos Pensionales - Con Sit. Fondos</v>
      </c>
      <c r="U51" s="27">
        <f>+ENERO!U51</f>
        <v>75101971</v>
      </c>
      <c r="V51" s="15">
        <f>MARZO!V51+ABRIL!AL51</f>
        <v>0</v>
      </c>
      <c r="W51" s="15">
        <f>MARZO!W51+ABRIL!AM51</f>
        <v>0</v>
      </c>
      <c r="X51" s="18">
        <f t="shared" si="57"/>
        <v>75101971</v>
      </c>
      <c r="Y51" s="19">
        <f>MARZO!AA51</f>
        <v>13763043</v>
      </c>
      <c r="Z51" s="374">
        <v>4578950</v>
      </c>
      <c r="AA51" s="18">
        <f t="shared" si="58"/>
        <v>18341993</v>
      </c>
      <c r="AB51" s="19">
        <f>MARZO!AD51</f>
        <v>13763043</v>
      </c>
      <c r="AC51" s="374">
        <v>4578950</v>
      </c>
      <c r="AD51" s="18">
        <f t="shared" si="59"/>
        <v>18341993</v>
      </c>
      <c r="AE51" s="19">
        <f>MARZO!AG51</f>
        <v>13763043</v>
      </c>
      <c r="AF51" s="374">
        <v>4578950</v>
      </c>
      <c r="AG51" s="18">
        <f t="shared" si="60"/>
        <v>18341993</v>
      </c>
      <c r="AH51" s="19">
        <f t="shared" si="61"/>
        <v>56759978</v>
      </c>
      <c r="AI51" s="15">
        <f t="shared" si="62"/>
        <v>56759978</v>
      </c>
      <c r="AJ51" s="16">
        <f t="shared" si="63"/>
        <v>56759978</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+IF(MARZO!A52=0,"",MARZO!A52)</f>
        <v>1130109-1</v>
      </c>
      <c r="B52" s="646" t="str">
        <f>+CONCATENATE("Vigencia ",INSTRUCCIONES!$F$3)</f>
        <v>Vigencia 2017</v>
      </c>
      <c r="C52" s="671">
        <f>+ENERO!C52</f>
        <v>0</v>
      </c>
      <c r="D52" s="373">
        <f>MARZO!D52+ABRIL!P52</f>
        <v>0</v>
      </c>
      <c r="E52" s="373">
        <f>MARZO!E52+ABRIL!Q52</f>
        <v>0</v>
      </c>
      <c r="F52" s="373">
        <f>SUM(C52:E52)</f>
        <v>0</v>
      </c>
      <c r="G52" s="373">
        <f>MARZO!I52</f>
        <v>0</v>
      </c>
      <c r="H52" s="374">
        <v>0</v>
      </c>
      <c r="I52" s="373">
        <f>SUM(G52:H52)</f>
        <v>0</v>
      </c>
      <c r="J52" s="373">
        <f>MARZO!L52</f>
        <v>0</v>
      </c>
      <c r="K52" s="374">
        <v>0</v>
      </c>
      <c r="L52" s="373">
        <f>SUM(J52:K52)</f>
        <v>0</v>
      </c>
      <c r="M52" s="373">
        <f>F52-I52</f>
        <v>0</v>
      </c>
      <c r="N52" s="143">
        <f>F52-L52</f>
        <v>0</v>
      </c>
      <c r="O52" s="382"/>
      <c r="P52" s="372">
        <v>0</v>
      </c>
      <c r="Q52" s="375">
        <v>0</v>
      </c>
      <c r="R52" s="9"/>
      <c r="S52" s="706" t="str">
        <f>+IF(MARZO!S52=0,"",MARZO!S52)</f>
        <v>1010302-3</v>
      </c>
      <c r="T52" s="682" t="str">
        <f>+IF(MARZO!T52=0,"",MARZO!T52)</f>
        <v xml:space="preserve">Aportes a Fondos de Cesantia - Con Sit. de Fondos </v>
      </c>
      <c r="U52" s="27">
        <f>+ENERO!U52</f>
        <v>12471386</v>
      </c>
      <c r="V52" s="15">
        <f>MARZO!V52+ABRIL!AL52</f>
        <v>0</v>
      </c>
      <c r="W52" s="15">
        <f>MARZO!W52+ABRIL!AM52</f>
        <v>0</v>
      </c>
      <c r="X52" s="18">
        <f t="shared" si="57"/>
        <v>12471386</v>
      </c>
      <c r="Y52" s="19">
        <f>MARZO!AA52</f>
        <v>0</v>
      </c>
      <c r="Z52" s="374">
        <v>0</v>
      </c>
      <c r="AA52" s="18">
        <f t="shared" si="58"/>
        <v>0</v>
      </c>
      <c r="AB52" s="19">
        <f>MARZO!AD52</f>
        <v>0</v>
      </c>
      <c r="AC52" s="374">
        <v>0</v>
      </c>
      <c r="AD52" s="18">
        <f t="shared" si="59"/>
        <v>0</v>
      </c>
      <c r="AE52" s="19">
        <f>MARZO!AG52</f>
        <v>0</v>
      </c>
      <c r="AF52" s="374">
        <v>0</v>
      </c>
      <c r="AG52" s="18">
        <f t="shared" si="60"/>
        <v>0</v>
      </c>
      <c r="AH52" s="19">
        <f t="shared" si="61"/>
        <v>12471386</v>
      </c>
      <c r="AI52" s="15">
        <f t="shared" si="62"/>
        <v>12471386</v>
      </c>
      <c r="AJ52" s="16">
        <f t="shared" si="63"/>
        <v>12471386</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+IF(MARZO!A53=0,"",MARZO!A53)</f>
        <v>1130109-2</v>
      </c>
      <c r="B53" s="646" t="str">
        <f>+IF(MARZO!B53=0,"",MARZO!B53)</f>
        <v>Vigencia Anterior</v>
      </c>
      <c r="C53" s="671">
        <f>+ENERO!C53</f>
        <v>0</v>
      </c>
      <c r="D53" s="373">
        <f>MARZO!D53+ABRIL!P53</f>
        <v>0</v>
      </c>
      <c r="E53" s="373">
        <f>MARZO!E53+ABRIL!Q53</f>
        <v>0</v>
      </c>
      <c r="F53" s="373">
        <f>SUM(C53:E53)</f>
        <v>0</v>
      </c>
      <c r="G53" s="373">
        <f>MARZO!I53</f>
        <v>0</v>
      </c>
      <c r="H53" s="374">
        <v>0</v>
      </c>
      <c r="I53" s="373">
        <f>SUM(G53:H53)</f>
        <v>0</v>
      </c>
      <c r="J53" s="373">
        <f>MARZO!L53</f>
        <v>0</v>
      </c>
      <c r="K53" s="374">
        <v>0</v>
      </c>
      <c r="L53" s="373">
        <f>SUM(J53:K53)</f>
        <v>0</v>
      </c>
      <c r="M53" s="373">
        <f>F53-I53</f>
        <v>0</v>
      </c>
      <c r="N53" s="143">
        <f>F53-L53</f>
        <v>0</v>
      </c>
      <c r="O53" s="382"/>
      <c r="P53" s="372">
        <v>0</v>
      </c>
      <c r="Q53" s="375">
        <v>0</v>
      </c>
      <c r="R53" s="9"/>
      <c r="S53" s="706" t="str">
        <f>+IF(MARZO!S53=0,"",MARZO!S53)</f>
        <v>1010302-4</v>
      </c>
      <c r="T53" s="682" t="str">
        <f>+IF(MARZO!T53=0,"",MARZO!T53)</f>
        <v>Aporte a ARL. - Con Sit. de Fondos</v>
      </c>
      <c r="U53" s="27">
        <f>+ENERO!U53</f>
        <v>15124020</v>
      </c>
      <c r="V53" s="15">
        <f>MARZO!V53+ABRIL!AL53</f>
        <v>0</v>
      </c>
      <c r="W53" s="15">
        <f>MARZO!W53+ABRIL!AM53</f>
        <v>0</v>
      </c>
      <c r="X53" s="18">
        <f t="shared" si="57"/>
        <v>15124020</v>
      </c>
      <c r="Y53" s="19">
        <f>MARZO!AA53</f>
        <v>587220</v>
      </c>
      <c r="Z53" s="374">
        <v>200793</v>
      </c>
      <c r="AA53" s="18">
        <f t="shared" si="58"/>
        <v>788013</v>
      </c>
      <c r="AB53" s="19">
        <f>MARZO!AD53</f>
        <v>587220</v>
      </c>
      <c r="AC53" s="374">
        <v>200793</v>
      </c>
      <c r="AD53" s="18">
        <f t="shared" si="59"/>
        <v>788013</v>
      </c>
      <c r="AE53" s="19">
        <f>MARZO!AG53</f>
        <v>587220</v>
      </c>
      <c r="AF53" s="374">
        <v>200793</v>
      </c>
      <c r="AG53" s="18">
        <f t="shared" si="60"/>
        <v>788013</v>
      </c>
      <c r="AH53" s="19">
        <f t="shared" si="61"/>
        <v>14336007</v>
      </c>
      <c r="AI53" s="15">
        <f t="shared" si="62"/>
        <v>14336007</v>
      </c>
      <c r="AJ53" s="16">
        <f t="shared" si="63"/>
        <v>14336007</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3">
        <f>+IF(MARZO!A54=0,"",MARZO!A54)</f>
        <v>1130110</v>
      </c>
      <c r="B54" s="645" t="str">
        <f>+IF(MARZO!B54=0,"",MARZO!B54)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6" t="str">
        <f>+IF(MARZO!S54=0,"",MARZO!S54)</f>
        <v>1010302-5</v>
      </c>
      <c r="T54" s="682" t="str">
        <f>+IF(MARZO!T54=0,"",MARZO!T54)</f>
        <v>Aporte a Caja Compensación Familiar</v>
      </c>
      <c r="U54" s="27">
        <f>+ENERO!U54</f>
        <v>7287660</v>
      </c>
      <c r="V54" s="15">
        <f>MARZO!V54+ABRIL!AL54</f>
        <v>0</v>
      </c>
      <c r="W54" s="15">
        <f>MARZO!W54+ABRIL!AM54</f>
        <v>0</v>
      </c>
      <c r="X54" s="18">
        <f t="shared" si="57"/>
        <v>7287660</v>
      </c>
      <c r="Y54" s="19">
        <f>MARZO!AA54</f>
        <v>4575688</v>
      </c>
      <c r="Z54" s="374">
        <v>2711972</v>
      </c>
      <c r="AA54" s="18">
        <f t="shared" si="58"/>
        <v>7287660</v>
      </c>
      <c r="AB54" s="19">
        <f>MARZO!AD54</f>
        <v>4575688</v>
      </c>
      <c r="AC54" s="374">
        <v>2711972</v>
      </c>
      <c r="AD54" s="18">
        <f t="shared" si="59"/>
        <v>7287660</v>
      </c>
      <c r="AE54" s="19">
        <f>MARZO!AG54</f>
        <v>4575688</v>
      </c>
      <c r="AF54" s="374">
        <v>2711972</v>
      </c>
      <c r="AG54" s="18">
        <f t="shared" si="60"/>
        <v>7287660</v>
      </c>
      <c r="AH54" s="19">
        <f t="shared" si="61"/>
        <v>0</v>
      </c>
      <c r="AI54" s="15">
        <f t="shared" si="62"/>
        <v>0</v>
      </c>
      <c r="AJ54" s="16">
        <f t="shared" si="63"/>
        <v>0</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+IF(MARZO!A55=0,"",MARZO!A55)</f>
        <v>1130110-1</v>
      </c>
      <c r="B55" s="646" t="str">
        <f>+CONCATENATE("Vigencia ",INSTRUCCIONES!$F$3)</f>
        <v>Vigencia 2017</v>
      </c>
      <c r="C55" s="671">
        <f>+ENERO!C55</f>
        <v>0</v>
      </c>
      <c r="D55" s="373">
        <f>MARZO!D55+ABRIL!P55</f>
        <v>0</v>
      </c>
      <c r="E55" s="373">
        <f>MARZO!E55+ABRIL!Q55</f>
        <v>0</v>
      </c>
      <c r="F55" s="373">
        <f>SUM(C55:E55)</f>
        <v>0</v>
      </c>
      <c r="G55" s="373">
        <f>MARZO!I55</f>
        <v>0</v>
      </c>
      <c r="H55" s="374">
        <v>0</v>
      </c>
      <c r="I55" s="373">
        <f>SUM(G55:H55)</f>
        <v>0</v>
      </c>
      <c r="J55" s="373">
        <f>MARZO!L55</f>
        <v>0</v>
      </c>
      <c r="K55" s="374">
        <v>0</v>
      </c>
      <c r="L55" s="373">
        <f>SUM(J55:K55)</f>
        <v>0</v>
      </c>
      <c r="M55" s="373">
        <f>F55-I55</f>
        <v>0</v>
      </c>
      <c r="N55" s="143">
        <f>F55-L55</f>
        <v>0</v>
      </c>
      <c r="O55" s="382"/>
      <c r="P55" s="372">
        <v>0</v>
      </c>
      <c r="Q55" s="375">
        <v>0</v>
      </c>
      <c r="R55" s="9"/>
      <c r="S55" s="705">
        <f>+IF(MARZO!S55=0,"",MARZO!S55)</f>
        <v>1010399</v>
      </c>
      <c r="T55" s="681" t="str">
        <f>+IF(MARZO!T55=0,"",MARZO!T55)</f>
        <v>Vigencias Anteriores</v>
      </c>
      <c r="U55" s="27">
        <f>+ENERO!U55</f>
        <v>0</v>
      </c>
      <c r="V55" s="15">
        <f>MARZO!V55+ABRIL!AL55</f>
        <v>-24802080</v>
      </c>
      <c r="W55" s="15">
        <f>MARZO!W55+ABRIL!AM55</f>
        <v>24802080</v>
      </c>
      <c r="X55" s="18">
        <f t="shared" si="57"/>
        <v>0</v>
      </c>
      <c r="Y55" s="19">
        <f>MARZO!AA55</f>
        <v>0</v>
      </c>
      <c r="Z55" s="374">
        <v>0</v>
      </c>
      <c r="AA55" s="18">
        <f t="shared" si="58"/>
        <v>0</v>
      </c>
      <c r="AB55" s="19">
        <f>MARZO!AD55</f>
        <v>0</v>
      </c>
      <c r="AC55" s="374">
        <v>0</v>
      </c>
      <c r="AD55" s="18">
        <f t="shared" si="59"/>
        <v>0</v>
      </c>
      <c r="AE55" s="19">
        <f>MARZO!AG55</f>
        <v>0</v>
      </c>
      <c r="AF55" s="374">
        <v>0</v>
      </c>
      <c r="AG55" s="18">
        <f t="shared" si="60"/>
        <v>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+IF(MARZO!A56=0,"",MARZO!A56)</f>
        <v>1130110-2</v>
      </c>
      <c r="B56" s="646" t="str">
        <f>+IF(MARZO!B56=0,"",MARZO!B56)</f>
        <v>Vigencia Anterior</v>
      </c>
      <c r="C56" s="671">
        <f>+ENERO!C56</f>
        <v>0</v>
      </c>
      <c r="D56" s="373">
        <f>MARZO!D56+ABRIL!P56</f>
        <v>0</v>
      </c>
      <c r="E56" s="373">
        <f>MARZO!E56+ABRIL!Q56</f>
        <v>0</v>
      </c>
      <c r="F56" s="373">
        <f>SUM(C56:E56)</f>
        <v>0</v>
      </c>
      <c r="G56" s="373">
        <f>MARZO!I56</f>
        <v>0</v>
      </c>
      <c r="H56" s="374">
        <v>0</v>
      </c>
      <c r="I56" s="373">
        <f>SUM(G56:H56)</f>
        <v>0</v>
      </c>
      <c r="J56" s="373">
        <f>MARZO!L56</f>
        <v>0</v>
      </c>
      <c r="K56" s="374">
        <v>0</v>
      </c>
      <c r="L56" s="373">
        <f>SUM(J56:K56)</f>
        <v>0</v>
      </c>
      <c r="M56" s="373">
        <f>F56-I56</f>
        <v>0</v>
      </c>
      <c r="N56" s="143">
        <f>F56-L56</f>
        <v>0</v>
      </c>
      <c r="O56" s="382"/>
      <c r="P56" s="372">
        <v>0</v>
      </c>
      <c r="Q56" s="375">
        <v>0</v>
      </c>
      <c r="R56" s="9"/>
      <c r="S56" s="366" t="str">
        <f>+IF(MARZO!S56=0,"",MARZO!S56)</f>
        <v/>
      </c>
      <c r="T56" s="695"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3">
        <f>+IF(MARZO!A57=0,"",MARZO!A57)</f>
        <v>1130111</v>
      </c>
      <c r="B57" s="645" t="str">
        <f>+IF(MARZO!B57=0,"",MARZO!B57)</f>
        <v>IPS PRIVADAS</v>
      </c>
      <c r="C57" s="43">
        <f t="shared" ref="C57:N57" si="66">SUM(C58:C59)</f>
        <v>133639169</v>
      </c>
      <c r="D57" s="44">
        <f t="shared" si="66"/>
        <v>0</v>
      </c>
      <c r="E57" s="44">
        <f t="shared" si="66"/>
        <v>176960</v>
      </c>
      <c r="F57" s="44">
        <f t="shared" si="66"/>
        <v>133816129</v>
      </c>
      <c r="G57" s="44">
        <f t="shared" si="66"/>
        <v>195132</v>
      </c>
      <c r="H57" s="44">
        <f t="shared" si="66"/>
        <v>0</v>
      </c>
      <c r="I57" s="44">
        <f t="shared" si="66"/>
        <v>195132</v>
      </c>
      <c r="J57" s="44">
        <f t="shared" si="66"/>
        <v>176960</v>
      </c>
      <c r="K57" s="44">
        <f t="shared" si="66"/>
        <v>0</v>
      </c>
      <c r="L57" s="44">
        <f t="shared" si="66"/>
        <v>176960</v>
      </c>
      <c r="M57" s="44">
        <f t="shared" si="66"/>
        <v>133620997</v>
      </c>
      <c r="N57" s="45">
        <f t="shared" si="66"/>
        <v>133639169</v>
      </c>
      <c r="P57" s="43">
        <f>SUM(P58:P59)</f>
        <v>0</v>
      </c>
      <c r="Q57" s="45">
        <f>SUM(Q58:Q59)</f>
        <v>176960</v>
      </c>
      <c r="R57" s="9"/>
      <c r="S57" s="704">
        <f>+IF(MARZO!S57=0,"",MARZO!S57)</f>
        <v>1010400</v>
      </c>
      <c r="T57" s="680" t="str">
        <f>+IF(MARZO!T57=0,"",MARZO!T57)</f>
        <v>Contribuciones Inherentes nómina del Sector Publico</v>
      </c>
      <c r="U57" s="132">
        <f t="shared" ref="U57:AJ57" si="67">U58+U61</f>
        <v>31192586</v>
      </c>
      <c r="V57" s="122">
        <f t="shared" si="67"/>
        <v>0</v>
      </c>
      <c r="W57" s="122">
        <f t="shared" si="67"/>
        <v>0</v>
      </c>
      <c r="X57" s="129">
        <f t="shared" si="67"/>
        <v>31192586</v>
      </c>
      <c r="Y57" s="128">
        <f t="shared" si="67"/>
        <v>5721944</v>
      </c>
      <c r="Z57" s="122">
        <f t="shared" si="67"/>
        <v>1968697</v>
      </c>
      <c r="AA57" s="129">
        <f t="shared" si="67"/>
        <v>7690641</v>
      </c>
      <c r="AB57" s="128">
        <f t="shared" si="67"/>
        <v>5721944</v>
      </c>
      <c r="AC57" s="122">
        <f t="shared" si="67"/>
        <v>1968697</v>
      </c>
      <c r="AD57" s="129">
        <f t="shared" si="67"/>
        <v>7690641</v>
      </c>
      <c r="AE57" s="128">
        <f t="shared" si="67"/>
        <v>5721944</v>
      </c>
      <c r="AF57" s="122">
        <f t="shared" si="67"/>
        <v>1968697</v>
      </c>
      <c r="AG57" s="129">
        <f t="shared" si="67"/>
        <v>7690641</v>
      </c>
      <c r="AH57" s="128">
        <f t="shared" si="67"/>
        <v>23501945</v>
      </c>
      <c r="AI57" s="122">
        <f t="shared" si="67"/>
        <v>23501945</v>
      </c>
      <c r="AJ57" s="130">
        <f t="shared" si="67"/>
        <v>23501945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+IF(MARZO!A58=0,"",MARZO!A58)</f>
        <v>1130111-1</v>
      </c>
      <c r="B58" s="646" t="str">
        <f>+CONCATENATE("Vigencia ",INSTRUCCIONES!$F$3)</f>
        <v>Vigencia 2017</v>
      </c>
      <c r="C58" s="671">
        <f>+ENERO!C58</f>
        <v>133639169</v>
      </c>
      <c r="D58" s="373">
        <f>MARZO!D58+ABRIL!P58</f>
        <v>0</v>
      </c>
      <c r="E58" s="373">
        <f>MARZO!E58+ABRIL!Q58</f>
        <v>0</v>
      </c>
      <c r="F58" s="373">
        <f>SUM(C58:E58)</f>
        <v>133639169</v>
      </c>
      <c r="G58" s="373">
        <f>MARZO!I58</f>
        <v>18172</v>
      </c>
      <c r="H58" s="374">
        <v>0</v>
      </c>
      <c r="I58" s="373">
        <f>SUM(G58:H58)</f>
        <v>18172</v>
      </c>
      <c r="J58" s="373">
        <f>MARZO!L58</f>
        <v>0</v>
      </c>
      <c r="K58" s="374">
        <v>0</v>
      </c>
      <c r="L58" s="373">
        <f>SUM(J58:K58)</f>
        <v>0</v>
      </c>
      <c r="M58" s="373">
        <f>F58-I58</f>
        <v>133620997</v>
      </c>
      <c r="N58" s="143">
        <f>F58-L58</f>
        <v>133639169</v>
      </c>
      <c r="O58" s="382"/>
      <c r="P58" s="372">
        <v>0</v>
      </c>
      <c r="Q58" s="375">
        <v>0</v>
      </c>
      <c r="R58" s="9"/>
      <c r="S58" s="705">
        <f>+IF(MARZO!S58=0,"",MARZO!S58)</f>
        <v>1010402</v>
      </c>
      <c r="T58" s="681" t="str">
        <f>+IF(MARZO!T58=0,"",MARZO!T58)</f>
        <v>Contribuciones - Otros</v>
      </c>
      <c r="U58" s="27">
        <f t="shared" ref="U58:AJ58" si="68">SUM(U59:U60)</f>
        <v>31192586</v>
      </c>
      <c r="V58" s="15">
        <f t="shared" si="68"/>
        <v>0</v>
      </c>
      <c r="W58" s="15">
        <f t="shared" si="68"/>
        <v>0</v>
      </c>
      <c r="X58" s="18">
        <f t="shared" si="68"/>
        <v>31192586</v>
      </c>
      <c r="Y58" s="19">
        <f t="shared" si="68"/>
        <v>5721944</v>
      </c>
      <c r="Z58" s="142">
        <f t="shared" si="68"/>
        <v>1968697</v>
      </c>
      <c r="AA58" s="18">
        <f t="shared" si="68"/>
        <v>7690641</v>
      </c>
      <c r="AB58" s="19">
        <f t="shared" si="68"/>
        <v>5721944</v>
      </c>
      <c r="AC58" s="142">
        <f t="shared" si="68"/>
        <v>1968697</v>
      </c>
      <c r="AD58" s="18">
        <f t="shared" si="68"/>
        <v>7690641</v>
      </c>
      <c r="AE58" s="19">
        <f t="shared" si="68"/>
        <v>5721944</v>
      </c>
      <c r="AF58" s="142">
        <f t="shared" si="68"/>
        <v>1968697</v>
      </c>
      <c r="AG58" s="18">
        <f t="shared" si="68"/>
        <v>7690641</v>
      </c>
      <c r="AH58" s="19">
        <f t="shared" si="68"/>
        <v>23501945</v>
      </c>
      <c r="AI58" s="15">
        <f t="shared" si="68"/>
        <v>23501945</v>
      </c>
      <c r="AJ58" s="16">
        <f t="shared" si="68"/>
        <v>23501945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+IF(MARZO!A59=0,"",MARZO!A59)</f>
        <v>1130111-2</v>
      </c>
      <c r="B59" s="646" t="str">
        <f>+IF(MARZO!B59=0,"",MARZO!B59)</f>
        <v>Vigencia Anterior</v>
      </c>
      <c r="C59" s="671">
        <f>+ENERO!C59</f>
        <v>0</v>
      </c>
      <c r="D59" s="373">
        <f>MARZO!D59+ABRIL!P59</f>
        <v>0</v>
      </c>
      <c r="E59" s="373">
        <f>MARZO!E59+ABRIL!Q59</f>
        <v>176960</v>
      </c>
      <c r="F59" s="373">
        <f>SUM(C59:E59)</f>
        <v>176960</v>
      </c>
      <c r="G59" s="373">
        <f>MARZO!I59</f>
        <v>176960</v>
      </c>
      <c r="H59" s="374">
        <v>0</v>
      </c>
      <c r="I59" s="373">
        <f>SUM(G59:H59)</f>
        <v>176960</v>
      </c>
      <c r="J59" s="373">
        <f>MARZO!L59</f>
        <v>176960</v>
      </c>
      <c r="K59" s="374">
        <v>0</v>
      </c>
      <c r="L59" s="373">
        <f>SUM(J59:K59)</f>
        <v>176960</v>
      </c>
      <c r="M59" s="373">
        <f>F59-I59</f>
        <v>0</v>
      </c>
      <c r="N59" s="143">
        <f>F59-L59</f>
        <v>0</v>
      </c>
      <c r="O59" s="382"/>
      <c r="P59" s="372">
        <v>0</v>
      </c>
      <c r="Q59" s="375">
        <v>176960</v>
      </c>
      <c r="R59" s="9"/>
      <c r="S59" s="706" t="str">
        <f>+IF(MARZO!S59=0,"",MARZO!S59)</f>
        <v>1010402-1</v>
      </c>
      <c r="T59" s="681" t="str">
        <f>+IF(MARZO!T59=0,"",MARZO!T59)</f>
        <v>S.E.N.A.</v>
      </c>
      <c r="U59" s="27">
        <f>+ENERO!U59</f>
        <v>18775492</v>
      </c>
      <c r="V59" s="15">
        <f>MARZO!V59+ABRIL!AL59</f>
        <v>0</v>
      </c>
      <c r="W59" s="15">
        <f>MARZO!W59+ABRIL!AM59</f>
        <v>0</v>
      </c>
      <c r="X59" s="18">
        <f>SUM(U59:W59)</f>
        <v>18775492</v>
      </c>
      <c r="Y59" s="19">
        <f>MARZO!AA59</f>
        <v>2288421</v>
      </c>
      <c r="Z59" s="374">
        <v>787659</v>
      </c>
      <c r="AA59" s="18">
        <f>SUM(Y59:Z59)</f>
        <v>3076080</v>
      </c>
      <c r="AB59" s="19">
        <f>MARZO!AD59</f>
        <v>2288421</v>
      </c>
      <c r="AC59" s="374">
        <v>787659</v>
      </c>
      <c r="AD59" s="18">
        <f>SUM(AB59:AC59)</f>
        <v>3076080</v>
      </c>
      <c r="AE59" s="19">
        <f>MARZO!AG59</f>
        <v>2288421</v>
      </c>
      <c r="AF59" s="374">
        <v>787659</v>
      </c>
      <c r="AG59" s="18">
        <f>SUM(AE59:AF59)</f>
        <v>3076080</v>
      </c>
      <c r="AH59" s="19">
        <f>X59-AA59</f>
        <v>15699412</v>
      </c>
      <c r="AI59" s="15">
        <f>X59-AD59</f>
        <v>15699412</v>
      </c>
      <c r="AJ59" s="16">
        <f>X59-AG59</f>
        <v>15699412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3">
        <f>+IF(MARZO!A60=0,"",MARZO!A60)</f>
        <v>1130112</v>
      </c>
      <c r="B60" s="645" t="str">
        <f>+IF(MARZO!B60=0,"",MARZO!B60)</f>
        <v>IPS PUBLICAS</v>
      </c>
      <c r="C60" s="43">
        <f t="shared" ref="C60:N60" si="69">SUM(C61:C62)</f>
        <v>45194994</v>
      </c>
      <c r="D60" s="44">
        <f t="shared" si="69"/>
        <v>0</v>
      </c>
      <c r="E60" s="44">
        <f t="shared" si="69"/>
        <v>95525</v>
      </c>
      <c r="F60" s="44">
        <f t="shared" si="69"/>
        <v>45290519</v>
      </c>
      <c r="G60" s="44">
        <f t="shared" si="69"/>
        <v>234093170</v>
      </c>
      <c r="H60" s="44">
        <f t="shared" si="69"/>
        <v>3304302</v>
      </c>
      <c r="I60" s="44">
        <f t="shared" si="69"/>
        <v>237397472</v>
      </c>
      <c r="J60" s="44">
        <f t="shared" si="69"/>
        <v>95525</v>
      </c>
      <c r="K60" s="44">
        <f t="shared" si="69"/>
        <v>109687</v>
      </c>
      <c r="L60" s="44">
        <f t="shared" si="69"/>
        <v>205212</v>
      </c>
      <c r="M60" s="44">
        <f t="shared" si="69"/>
        <v>-192106953</v>
      </c>
      <c r="N60" s="45">
        <f t="shared" si="69"/>
        <v>45085307</v>
      </c>
      <c r="P60" s="43">
        <f>SUM(P61:P62)</f>
        <v>0</v>
      </c>
      <c r="Q60" s="45">
        <f>SUM(Q61:Q62)</f>
        <v>0</v>
      </c>
      <c r="R60" s="9"/>
      <c r="S60" s="706" t="str">
        <f>+IF(MARZO!S60=0,"",MARZO!S60)</f>
        <v>1010402-2</v>
      </c>
      <c r="T60" s="681" t="str">
        <f>+IF(MARZO!T60=0,"",MARZO!T60)</f>
        <v>I.C.B.F.</v>
      </c>
      <c r="U60" s="27">
        <f>+ENERO!U60</f>
        <v>12417094</v>
      </c>
      <c r="V60" s="15">
        <f>MARZO!V60+ABRIL!AL60</f>
        <v>0</v>
      </c>
      <c r="W60" s="15">
        <f>MARZO!W60+ABRIL!AM60</f>
        <v>0</v>
      </c>
      <c r="X60" s="18">
        <f>SUM(U60:W60)</f>
        <v>12417094</v>
      </c>
      <c r="Y60" s="19">
        <f>MARZO!AA60</f>
        <v>3433523</v>
      </c>
      <c r="Z60" s="374">
        <v>1181038</v>
      </c>
      <c r="AA60" s="18">
        <f>SUM(Y60:Z60)</f>
        <v>4614561</v>
      </c>
      <c r="AB60" s="19">
        <f>MARZO!AD60</f>
        <v>3433523</v>
      </c>
      <c r="AC60" s="374">
        <v>1181038</v>
      </c>
      <c r="AD60" s="18">
        <f>SUM(AB60:AC60)</f>
        <v>4614561</v>
      </c>
      <c r="AE60" s="19">
        <f>MARZO!AG60</f>
        <v>3433523</v>
      </c>
      <c r="AF60" s="374">
        <v>1181038</v>
      </c>
      <c r="AG60" s="18">
        <f>SUM(AE60:AF60)</f>
        <v>4614561</v>
      </c>
      <c r="AH60" s="19">
        <f>X60-AA60</f>
        <v>7802533</v>
      </c>
      <c r="AI60" s="15">
        <f>X60-AD60</f>
        <v>7802533</v>
      </c>
      <c r="AJ60" s="16">
        <f>X60-AG60</f>
        <v>7802533</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+IF(MARZO!A61=0,"",MARZO!A61)</f>
        <v>1130112-1</v>
      </c>
      <c r="B61" s="646" t="str">
        <f>+CONCATENATE("Vigencia ",INSTRUCCIONES!$F$3)</f>
        <v>Vigencia 2017</v>
      </c>
      <c r="C61" s="671">
        <f>+ENERO!C61</f>
        <v>45194994</v>
      </c>
      <c r="D61" s="373">
        <f>MARZO!D61+ABRIL!P61</f>
        <v>0</v>
      </c>
      <c r="E61" s="373">
        <f>MARZO!E61+ABRIL!Q61</f>
        <v>0</v>
      </c>
      <c r="F61" s="373">
        <f>SUM(C61:E61)</f>
        <v>45194994</v>
      </c>
      <c r="G61" s="373">
        <f>MARZO!I61</f>
        <v>233997645</v>
      </c>
      <c r="H61" s="374">
        <v>3194615</v>
      </c>
      <c r="I61" s="373">
        <f>SUM(G61:H61)</f>
        <v>237192260</v>
      </c>
      <c r="J61" s="373">
        <f>MARZO!L61</f>
        <v>0</v>
      </c>
      <c r="K61" s="374">
        <v>0</v>
      </c>
      <c r="L61" s="373">
        <f>SUM(J61:K61)</f>
        <v>0</v>
      </c>
      <c r="M61" s="373">
        <f>F61-I61</f>
        <v>-191997266</v>
      </c>
      <c r="N61" s="143">
        <f>F61-L61</f>
        <v>45194994</v>
      </c>
      <c r="O61" s="382"/>
      <c r="P61" s="372">
        <v>0</v>
      </c>
      <c r="Q61" s="375">
        <v>0</v>
      </c>
      <c r="R61" s="9"/>
      <c r="S61" s="705">
        <f>+IF(MARZO!S61=0,"",MARZO!S61)</f>
        <v>1010499</v>
      </c>
      <c r="T61" s="681" t="str">
        <f>+IF(MARZO!T61=0,"",MARZO!T61)</f>
        <v>Vigencias Anteriores</v>
      </c>
      <c r="U61" s="27">
        <f>+ENERO!U61</f>
        <v>0</v>
      </c>
      <c r="V61" s="15">
        <f>MARZO!V61+ABRIL!AL61</f>
        <v>0</v>
      </c>
      <c r="W61" s="15">
        <f>MARZO!W61+ABRIL!AM61</f>
        <v>0</v>
      </c>
      <c r="X61" s="18">
        <f>SUM(U61:W61)</f>
        <v>0</v>
      </c>
      <c r="Y61" s="19">
        <f>MARZO!AA61</f>
        <v>0</v>
      </c>
      <c r="Z61" s="374">
        <v>0</v>
      </c>
      <c r="AA61" s="18">
        <f>SUM(Y61:Z61)</f>
        <v>0</v>
      </c>
      <c r="AB61" s="19">
        <f>MARZO!AD61</f>
        <v>0</v>
      </c>
      <c r="AC61" s="374">
        <v>0</v>
      </c>
      <c r="AD61" s="18">
        <f>SUM(AB61:AC61)</f>
        <v>0</v>
      </c>
      <c r="AE61" s="19">
        <f>MARZO!AG61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+IF(MARZO!A62=0,"",MARZO!A62)</f>
        <v>1130112-2</v>
      </c>
      <c r="B62" s="646" t="str">
        <f>+IF(MARZO!B62=0,"",MARZO!B62)</f>
        <v>Vigencia Anterior</v>
      </c>
      <c r="C62" s="671">
        <f>+ENERO!C62</f>
        <v>0</v>
      </c>
      <c r="D62" s="373">
        <f>MARZO!D62+ABRIL!P62</f>
        <v>0</v>
      </c>
      <c r="E62" s="373">
        <f>MARZO!E62+ABRIL!Q62</f>
        <v>95525</v>
      </c>
      <c r="F62" s="373">
        <f>SUM(C62:E62)</f>
        <v>95525</v>
      </c>
      <c r="G62" s="373">
        <f>MARZO!I62</f>
        <v>95525</v>
      </c>
      <c r="H62" s="374">
        <v>109687</v>
      </c>
      <c r="I62" s="373">
        <f>SUM(G62:H62)</f>
        <v>205212</v>
      </c>
      <c r="J62" s="373">
        <f>MARZO!L62</f>
        <v>95525</v>
      </c>
      <c r="K62" s="374">
        <v>109687</v>
      </c>
      <c r="L62" s="373">
        <f>SUM(J62:K62)</f>
        <v>205212</v>
      </c>
      <c r="M62" s="373">
        <f>F62-I62</f>
        <v>-109687</v>
      </c>
      <c r="N62" s="143">
        <f>F62-L62</f>
        <v>-109687</v>
      </c>
      <c r="O62" s="382"/>
      <c r="P62" s="372">
        <v>0</v>
      </c>
      <c r="Q62" s="375">
        <v>0</v>
      </c>
      <c r="R62" s="9"/>
      <c r="S62" s="366" t="str">
        <f>+IF(MARZO!S62=0,"",MARZO!S62)</f>
        <v/>
      </c>
      <c r="T62" s="695"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3">
        <f>+IF(MARZO!A63=0,"",MARZO!A63)</f>
        <v>1130113</v>
      </c>
      <c r="B63" s="645" t="str">
        <f>+IF(MARZO!B63=0,"",MARZO!B63)</f>
        <v>COMPAÑIAS DE SEGUROS  - ACCIDENTES DE TRANSITO (SOAT)</v>
      </c>
      <c r="C63" s="43">
        <f t="shared" ref="C63:N63" si="70">SUM(C64:C65)</f>
        <v>5110724757</v>
      </c>
      <c r="D63" s="44">
        <f t="shared" si="70"/>
        <v>0</v>
      </c>
      <c r="E63" s="44">
        <f t="shared" si="70"/>
        <v>482597321</v>
      </c>
      <c r="F63" s="44">
        <f t="shared" si="70"/>
        <v>5593322078</v>
      </c>
      <c r="G63" s="44">
        <f t="shared" si="70"/>
        <v>1179332757</v>
      </c>
      <c r="H63" s="44">
        <f t="shared" si="70"/>
        <v>201232557</v>
      </c>
      <c r="I63" s="44">
        <f t="shared" si="70"/>
        <v>1380565314</v>
      </c>
      <c r="J63" s="44">
        <f t="shared" si="70"/>
        <v>582995479</v>
      </c>
      <c r="K63" s="44">
        <f t="shared" si="70"/>
        <v>60672511</v>
      </c>
      <c r="L63" s="44">
        <f t="shared" si="70"/>
        <v>643667990</v>
      </c>
      <c r="M63" s="44">
        <f t="shared" si="70"/>
        <v>4212756764</v>
      </c>
      <c r="N63" s="45">
        <f t="shared" si="70"/>
        <v>4949654088</v>
      </c>
      <c r="P63" s="43">
        <f>SUM(P64:P65)</f>
        <v>0</v>
      </c>
      <c r="Q63" s="45">
        <f>SUM(Q64:Q65)</f>
        <v>181082252</v>
      </c>
      <c r="R63" s="9"/>
      <c r="S63" s="703">
        <f>+IF(MARZO!S63=0,"",MARZO!S63)</f>
        <v>1020010</v>
      </c>
      <c r="T63" s="679" t="str">
        <f>+IF(MARZO!T63=0,"",MARZO!T63)</f>
        <v>Gastos de Operación</v>
      </c>
      <c r="U63" s="132">
        <f t="shared" ref="U63:AJ63" si="71">U65+U83+U90+U104</f>
        <v>23745928633</v>
      </c>
      <c r="V63" s="122">
        <f t="shared" si="71"/>
        <v>-1171411971</v>
      </c>
      <c r="W63" s="122">
        <f t="shared" si="71"/>
        <v>2110995694</v>
      </c>
      <c r="X63" s="129">
        <f t="shared" si="71"/>
        <v>24685512356</v>
      </c>
      <c r="Y63" s="128">
        <f t="shared" si="71"/>
        <v>15651119335</v>
      </c>
      <c r="Z63" s="122">
        <f t="shared" si="71"/>
        <v>2110444448</v>
      </c>
      <c r="AA63" s="129">
        <f t="shared" si="71"/>
        <v>17761563783</v>
      </c>
      <c r="AB63" s="128">
        <f t="shared" si="71"/>
        <v>9001312915</v>
      </c>
      <c r="AC63" s="122">
        <f t="shared" si="71"/>
        <v>2994275800</v>
      </c>
      <c r="AD63" s="129">
        <f t="shared" si="71"/>
        <v>11995588715</v>
      </c>
      <c r="AE63" s="128">
        <f t="shared" si="71"/>
        <v>4505319388</v>
      </c>
      <c r="AF63" s="122">
        <f t="shared" si="71"/>
        <v>1772854923</v>
      </c>
      <c r="AG63" s="129">
        <f t="shared" si="71"/>
        <v>6278174311</v>
      </c>
      <c r="AH63" s="128">
        <f t="shared" si="71"/>
        <v>6923948573</v>
      </c>
      <c r="AI63" s="122">
        <f t="shared" si="71"/>
        <v>12689923641</v>
      </c>
      <c r="AJ63" s="130">
        <f t="shared" si="71"/>
        <v>18407338045</v>
      </c>
      <c r="AK63" s="9"/>
      <c r="AL63" s="128">
        <f>AL65+AL83+AL90+AL104</f>
        <v>-122300000</v>
      </c>
      <c r="AM63" s="130">
        <f>AM65+AM83+AM90+AM104</f>
        <v>1032455774</v>
      </c>
      <c r="AN63" s="9"/>
      <c r="AO63" s="294"/>
      <c r="AP63" s="294"/>
      <c r="AQ63" s="294"/>
      <c r="AR63" s="294"/>
      <c r="AS63" s="294"/>
      <c r="AT63" s="294"/>
      <c r="AU63" s="294"/>
      <c r="AV63" s="294"/>
      <c r="AW63" s="294"/>
      <c r="AX63" s="294"/>
      <c r="AY63" s="294"/>
      <c r="AZ63" s="294"/>
    </row>
    <row r="64" spans="1:70" s="422" customFormat="1" ht="24.95" customHeight="1">
      <c r="A64" s="611" t="str">
        <f>+IF(MARZO!A64=0,"",MARZO!A64)</f>
        <v>1130113-1</v>
      </c>
      <c r="B64" s="646" t="str">
        <f>+CONCATENATE("Vigencia ",INSTRUCCIONES!$F$3)</f>
        <v>Vigencia 2017</v>
      </c>
      <c r="C64" s="671">
        <f>+ENERO!C64</f>
        <v>5110724757</v>
      </c>
      <c r="D64" s="373">
        <f>MARZO!D64+ABRIL!P64</f>
        <v>0</v>
      </c>
      <c r="E64" s="373">
        <f>MARZO!E64+ABRIL!Q64</f>
        <v>0</v>
      </c>
      <c r="F64" s="373">
        <f>SUM(C64:E64)</f>
        <v>5110724757</v>
      </c>
      <c r="G64" s="373">
        <f>MARZO!I64</f>
        <v>596337278</v>
      </c>
      <c r="H64" s="374">
        <v>141220741</v>
      </c>
      <c r="I64" s="373">
        <f>SUM(G64:H64)</f>
        <v>737558019</v>
      </c>
      <c r="J64" s="373">
        <f>MARZO!L64</f>
        <v>0</v>
      </c>
      <c r="K64" s="374">
        <v>660695</v>
      </c>
      <c r="L64" s="373">
        <f>SUM(J64:K64)</f>
        <v>660695</v>
      </c>
      <c r="M64" s="373">
        <f>F64-I64</f>
        <v>4373166738</v>
      </c>
      <c r="N64" s="143">
        <f>F64-L64</f>
        <v>5110064062</v>
      </c>
      <c r="O64" s="382"/>
      <c r="P64" s="372">
        <v>0</v>
      </c>
      <c r="Q64" s="375">
        <v>0</v>
      </c>
      <c r="R64" s="9"/>
      <c r="S64" s="366" t="str">
        <f>+IF(MARZO!S64=0,"",MARZO!S64)</f>
        <v/>
      </c>
      <c r="T64" s="695"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+IF(MARZO!A65=0,"",MARZO!A65)</f>
        <v>1130113-2</v>
      </c>
      <c r="B65" s="646" t="str">
        <f>+IF(MARZO!B65=0,"",MARZO!B65)</f>
        <v>Vigencia Anterior</v>
      </c>
      <c r="C65" s="671">
        <f>+ENERO!C65</f>
        <v>0</v>
      </c>
      <c r="D65" s="373">
        <f>MARZO!D65+ABRIL!P65</f>
        <v>0</v>
      </c>
      <c r="E65" s="373">
        <f>MARZO!E65+ABRIL!Q65</f>
        <v>482597321</v>
      </c>
      <c r="F65" s="373">
        <f>SUM(C65:E65)</f>
        <v>482597321</v>
      </c>
      <c r="G65" s="373">
        <f>MARZO!I65</f>
        <v>582995479</v>
      </c>
      <c r="H65" s="374">
        <v>60011816</v>
      </c>
      <c r="I65" s="373">
        <f>SUM(G65:H65)</f>
        <v>643007295</v>
      </c>
      <c r="J65" s="373">
        <f>MARZO!L65</f>
        <v>582995479</v>
      </c>
      <c r="K65" s="374">
        <v>60011816</v>
      </c>
      <c r="L65" s="373">
        <f>SUM(J65:K65)</f>
        <v>643007295</v>
      </c>
      <c r="M65" s="373">
        <f>F65-I65</f>
        <v>-160409974</v>
      </c>
      <c r="N65" s="143">
        <f>F65-L65</f>
        <v>-160409974</v>
      </c>
      <c r="O65" s="382"/>
      <c r="P65" s="372">
        <v>0</v>
      </c>
      <c r="Q65" s="375">
        <v>181082252</v>
      </c>
      <c r="R65" s="9"/>
      <c r="S65" s="704">
        <f>+IF(MARZO!S65=0,"",MARZO!S65)</f>
        <v>1020100</v>
      </c>
      <c r="T65" s="680" t="str">
        <f>+IF(MARZO!T65=0,"",MARZO!T65)</f>
        <v>Servicios Personales Asociados a Nómina</v>
      </c>
      <c r="U65" s="132">
        <f t="shared" ref="U65:AJ65" si="72">SUM(U66:U69)+U81</f>
        <v>1210753694</v>
      </c>
      <c r="V65" s="122">
        <f t="shared" si="72"/>
        <v>0</v>
      </c>
      <c r="W65" s="122">
        <f t="shared" si="72"/>
        <v>32455774</v>
      </c>
      <c r="X65" s="129">
        <f t="shared" si="72"/>
        <v>1243209468</v>
      </c>
      <c r="Y65" s="128">
        <f t="shared" si="72"/>
        <v>275904328</v>
      </c>
      <c r="Z65" s="122">
        <f t="shared" si="72"/>
        <v>83462822</v>
      </c>
      <c r="AA65" s="129">
        <f t="shared" si="72"/>
        <v>359367150</v>
      </c>
      <c r="AB65" s="128">
        <f t="shared" si="72"/>
        <v>275904328</v>
      </c>
      <c r="AC65" s="122">
        <f t="shared" si="72"/>
        <v>83462822</v>
      </c>
      <c r="AD65" s="129">
        <f t="shared" si="72"/>
        <v>359367150</v>
      </c>
      <c r="AE65" s="128">
        <f t="shared" si="72"/>
        <v>275904328</v>
      </c>
      <c r="AF65" s="122">
        <f t="shared" si="72"/>
        <v>83462822</v>
      </c>
      <c r="AG65" s="129">
        <f t="shared" si="72"/>
        <v>359367150</v>
      </c>
      <c r="AH65" s="128">
        <f t="shared" si="72"/>
        <v>883842318</v>
      </c>
      <c r="AI65" s="122">
        <f t="shared" si="72"/>
        <v>883842318</v>
      </c>
      <c r="AJ65" s="130">
        <f t="shared" si="72"/>
        <v>883842318</v>
      </c>
      <c r="AK65" s="9"/>
      <c r="AL65" s="128">
        <f>SUM(AL66:AL69)+AL81</f>
        <v>0</v>
      </c>
      <c r="AM65" s="130">
        <f>SUM(AM66:AM69)+AM81</f>
        <v>32455774</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3">
        <f>+IF(MARZO!A66=0,"",MARZO!A66)</f>
        <v>1130114</v>
      </c>
      <c r="B66" s="645" t="str">
        <f>+IF(MARZO!B66=0,"",MARZO!B66)</f>
        <v xml:space="preserve">COMPAÑIAS DE SEGUROS  - PLANES DE SALUD  </v>
      </c>
      <c r="C66" s="43">
        <f t="shared" ref="C66:N66" si="73">SUM(C67:C68)</f>
        <v>0</v>
      </c>
      <c r="D66" s="44">
        <f t="shared" si="73"/>
        <v>0</v>
      </c>
      <c r="E66" s="44">
        <f t="shared" si="73"/>
        <v>7105339</v>
      </c>
      <c r="F66" s="44">
        <f t="shared" si="73"/>
        <v>7105339</v>
      </c>
      <c r="G66" s="44">
        <f t="shared" si="73"/>
        <v>188932341</v>
      </c>
      <c r="H66" s="44">
        <f t="shared" si="73"/>
        <v>38571162</v>
      </c>
      <c r="I66" s="44">
        <f t="shared" si="73"/>
        <v>227503503</v>
      </c>
      <c r="J66" s="44">
        <f t="shared" si="73"/>
        <v>7273894</v>
      </c>
      <c r="K66" s="44">
        <f t="shared" si="73"/>
        <v>7776012</v>
      </c>
      <c r="L66" s="44">
        <f t="shared" si="73"/>
        <v>15049906</v>
      </c>
      <c r="M66" s="44">
        <f t="shared" si="73"/>
        <v>-220398164</v>
      </c>
      <c r="N66" s="45">
        <f t="shared" si="73"/>
        <v>-7944567</v>
      </c>
      <c r="P66" s="43">
        <f>SUM(P67:P68)</f>
        <v>0</v>
      </c>
      <c r="Q66" s="45">
        <f>SUM(Q67:Q68)</f>
        <v>4140152</v>
      </c>
      <c r="R66" s="9"/>
      <c r="S66" s="705">
        <f>+IF(MARZO!S66=0,"",MARZO!S66)</f>
        <v>1020101</v>
      </c>
      <c r="T66" s="681" t="str">
        <f>+IF(MARZO!T66=0,"",MARZO!T66)</f>
        <v>Sueldos del Personal de nómina</v>
      </c>
      <c r="U66" s="27">
        <f>+ENERO!U66</f>
        <v>893219355</v>
      </c>
      <c r="V66" s="15">
        <f>MARZO!V66+ABRIL!AL66</f>
        <v>0</v>
      </c>
      <c r="W66" s="15">
        <f>MARZO!W66+ABRIL!AM66</f>
        <v>0</v>
      </c>
      <c r="X66" s="18">
        <f>SUM(U66:W66)</f>
        <v>893219355</v>
      </c>
      <c r="Y66" s="19">
        <f>MARZO!AA66</f>
        <v>194465233</v>
      </c>
      <c r="Z66" s="374">
        <v>63794834</v>
      </c>
      <c r="AA66" s="18">
        <f>SUM(Y66:Z66)</f>
        <v>258260067</v>
      </c>
      <c r="AB66" s="19">
        <f>MARZO!AD66</f>
        <v>194465233</v>
      </c>
      <c r="AC66" s="374">
        <v>63794834</v>
      </c>
      <c r="AD66" s="18">
        <f>SUM(AB66:AC66)</f>
        <v>258260067</v>
      </c>
      <c r="AE66" s="19">
        <f>MARZO!AG66</f>
        <v>194465233</v>
      </c>
      <c r="AF66" s="374">
        <v>63794834</v>
      </c>
      <c r="AG66" s="18">
        <f>SUM(AE66:AF66)</f>
        <v>258260067</v>
      </c>
      <c r="AH66" s="19">
        <f>X66-AA66</f>
        <v>634959288</v>
      </c>
      <c r="AI66" s="15">
        <f>X66-AD66</f>
        <v>634959288</v>
      </c>
      <c r="AJ66" s="16">
        <f>X66-AG66</f>
        <v>634959288</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+IF(MARZO!A67=0,"",MARZO!A67)</f>
        <v>1130114-1</v>
      </c>
      <c r="B67" s="646" t="str">
        <f>+CONCATENATE("Vigencia ",INSTRUCCIONES!$F$3)</f>
        <v>Vigencia 2017</v>
      </c>
      <c r="C67" s="671">
        <f>+ENERO!C67</f>
        <v>0</v>
      </c>
      <c r="D67" s="373">
        <f>MARZO!D67+ABRIL!P67</f>
        <v>0</v>
      </c>
      <c r="E67" s="373">
        <f>MARZO!E67+ABRIL!Q67</f>
        <v>0</v>
      </c>
      <c r="F67" s="373">
        <f>SUM(C67:E67)</f>
        <v>0</v>
      </c>
      <c r="G67" s="373">
        <f>MARZO!I67</f>
        <v>181658447</v>
      </c>
      <c r="H67" s="374">
        <v>30795150</v>
      </c>
      <c r="I67" s="373">
        <f>SUM(G67:H67)</f>
        <v>212453597</v>
      </c>
      <c r="J67" s="373">
        <f>MARZO!L67</f>
        <v>0</v>
      </c>
      <c r="K67" s="374">
        <v>0</v>
      </c>
      <c r="L67" s="373">
        <f>SUM(J67:K67)</f>
        <v>0</v>
      </c>
      <c r="M67" s="373">
        <f>F67-I67</f>
        <v>-212453597</v>
      </c>
      <c r="N67" s="143">
        <f>F67-L67</f>
        <v>0</v>
      </c>
      <c r="O67" s="382"/>
      <c r="P67" s="372">
        <v>0</v>
      </c>
      <c r="Q67" s="375">
        <v>0</v>
      </c>
      <c r="R67" s="9"/>
      <c r="S67" s="705">
        <f>+IF(MARZO!S67=0,"",MARZO!S67)</f>
        <v>1020102</v>
      </c>
      <c r="T67" s="681" t="str">
        <f>+IF(MARZO!T67=0,"",MARZO!T67)</f>
        <v>Horas Extras,Dominic.,Festivos y Rec. Nocturnos</v>
      </c>
      <c r="U67" s="27">
        <f>+ENERO!U67</f>
        <v>36988810</v>
      </c>
      <c r="V67" s="15">
        <f>MARZO!V67+ABRIL!AL67</f>
        <v>0</v>
      </c>
      <c r="W67" s="15">
        <f>MARZO!W67+ABRIL!AM67</f>
        <v>0</v>
      </c>
      <c r="X67" s="18">
        <f>SUM(U67:W67)</f>
        <v>36988810</v>
      </c>
      <c r="Y67" s="19">
        <f>MARZO!AA67</f>
        <v>19693894</v>
      </c>
      <c r="Z67" s="374">
        <v>6260264</v>
      </c>
      <c r="AA67" s="18">
        <f>SUM(Y67:Z67)</f>
        <v>25954158</v>
      </c>
      <c r="AB67" s="19">
        <f>MARZO!AD67</f>
        <v>19693894</v>
      </c>
      <c r="AC67" s="374">
        <v>6260264</v>
      </c>
      <c r="AD67" s="18">
        <f>SUM(AB67:AC67)</f>
        <v>25954158</v>
      </c>
      <c r="AE67" s="19">
        <f>MARZO!AG67</f>
        <v>19693894</v>
      </c>
      <c r="AF67" s="374">
        <v>6260264</v>
      </c>
      <c r="AG67" s="18">
        <f>SUM(AE67:AF67)</f>
        <v>25954158</v>
      </c>
      <c r="AH67" s="19">
        <f>X67-AA67</f>
        <v>11034652</v>
      </c>
      <c r="AI67" s="15">
        <f>X67-AD67</f>
        <v>11034652</v>
      </c>
      <c r="AJ67" s="16">
        <f>X67-AG67</f>
        <v>11034652</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+IF(MARZO!A68=0,"",MARZO!A68)</f>
        <v>1130114-2</v>
      </c>
      <c r="B68" s="646" t="str">
        <f>+IF(MARZO!B68=0,"",MARZO!B68)</f>
        <v>Vigencia Anterior</v>
      </c>
      <c r="C68" s="671">
        <f>+ENERO!C68</f>
        <v>0</v>
      </c>
      <c r="D68" s="373">
        <f>MARZO!D68+ABRIL!P68</f>
        <v>0</v>
      </c>
      <c r="E68" s="373">
        <f>MARZO!E68+ABRIL!Q68</f>
        <v>7105339</v>
      </c>
      <c r="F68" s="373">
        <f>SUM(C68:E68)</f>
        <v>7105339</v>
      </c>
      <c r="G68" s="373">
        <f>MARZO!I68</f>
        <v>7273894</v>
      </c>
      <c r="H68" s="374">
        <v>7776012</v>
      </c>
      <c r="I68" s="373">
        <f>SUM(G68:H68)</f>
        <v>15049906</v>
      </c>
      <c r="J68" s="373">
        <f>MARZO!L68</f>
        <v>7273894</v>
      </c>
      <c r="K68" s="374">
        <v>7776012</v>
      </c>
      <c r="L68" s="373">
        <f>SUM(J68:K68)</f>
        <v>15049906</v>
      </c>
      <c r="M68" s="373">
        <f>F68-I68</f>
        <v>-7944567</v>
      </c>
      <c r="N68" s="143">
        <f>F68-L68</f>
        <v>-7944567</v>
      </c>
      <c r="O68" s="382"/>
      <c r="P68" s="372">
        <v>0</v>
      </c>
      <c r="Q68" s="375">
        <v>4140152</v>
      </c>
      <c r="R68" s="9"/>
      <c r="S68" s="705">
        <f>+IF(MARZO!S68=0,"",MARZO!S68)</f>
        <v>1020103</v>
      </c>
      <c r="T68" s="681" t="str">
        <f>+IF(MARZO!T68=0,"",MARZO!T68)</f>
        <v>Prima Técnica</v>
      </c>
      <c r="U68" s="27">
        <f>+ENERO!U68</f>
        <v>0</v>
      </c>
      <c r="V68" s="15">
        <f>MARZO!V68+ABRIL!AL68</f>
        <v>0</v>
      </c>
      <c r="W68" s="15">
        <f>MARZO!W68+ABRIL!AM68</f>
        <v>0</v>
      </c>
      <c r="X68" s="18">
        <f>SUM(U68:W68)</f>
        <v>0</v>
      </c>
      <c r="Y68" s="19">
        <f>MARZO!AA68</f>
        <v>0</v>
      </c>
      <c r="Z68" s="374">
        <v>0</v>
      </c>
      <c r="AA68" s="18">
        <f>SUM(Y68:Z68)</f>
        <v>0</v>
      </c>
      <c r="AB68" s="19">
        <f>MARZO!AD68</f>
        <v>0</v>
      </c>
      <c r="AC68" s="374">
        <v>0</v>
      </c>
      <c r="AD68" s="18">
        <f>SUM(AB68:AC68)</f>
        <v>0</v>
      </c>
      <c r="AE68" s="19">
        <f>MARZO!AG68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3">
        <f>+IF(MARZO!A69=0,"",MARZO!A69)</f>
        <v>1130115</v>
      </c>
      <c r="B69" s="645" t="str">
        <f>+IF(MARZO!B69=0,"",MARZO!B69)</f>
        <v>ENTIDADES DE REGIMEN ESPECIAL (Magisterio, Fuerza Pca.)</v>
      </c>
      <c r="C69" s="43">
        <f t="shared" ref="C69:N69" si="74">SUM(C70:C71)</f>
        <v>1373481412</v>
      </c>
      <c r="D69" s="44">
        <f t="shared" si="74"/>
        <v>0</v>
      </c>
      <c r="E69" s="44">
        <f t="shared" si="74"/>
        <v>735031075</v>
      </c>
      <c r="F69" s="44">
        <f t="shared" si="74"/>
        <v>2108512487</v>
      </c>
      <c r="G69" s="44">
        <f t="shared" si="74"/>
        <v>2042184673</v>
      </c>
      <c r="H69" s="44">
        <f t="shared" si="74"/>
        <v>550937728</v>
      </c>
      <c r="I69" s="44">
        <f t="shared" si="74"/>
        <v>2593122401</v>
      </c>
      <c r="J69" s="44">
        <f t="shared" si="74"/>
        <v>1085639167</v>
      </c>
      <c r="K69" s="44">
        <f t="shared" si="74"/>
        <v>311991052</v>
      </c>
      <c r="L69" s="44">
        <f t="shared" si="74"/>
        <v>1397630219</v>
      </c>
      <c r="M69" s="44">
        <f t="shared" si="74"/>
        <v>-484609914</v>
      </c>
      <c r="N69" s="45">
        <f t="shared" si="74"/>
        <v>710882268</v>
      </c>
      <c r="P69" s="43">
        <f>SUM(P70:P71)</f>
        <v>0</v>
      </c>
      <c r="Q69" s="45">
        <f>SUM(Q70:Q71)</f>
        <v>313373492</v>
      </c>
      <c r="R69" s="9"/>
      <c r="S69" s="705">
        <f>+IF(MARZO!S69=0,"",MARZO!S69)</f>
        <v>1020104</v>
      </c>
      <c r="T69" s="681" t="str">
        <f>+IF(MARZO!T69=0,"",MARZO!T69)</f>
        <v>Otros</v>
      </c>
      <c r="U69" s="27">
        <f t="shared" ref="U69:AJ69" si="75">SUM(U70:U80)</f>
        <v>280545529</v>
      </c>
      <c r="V69" s="15">
        <f t="shared" si="75"/>
        <v>0</v>
      </c>
      <c r="W69" s="15">
        <f t="shared" si="75"/>
        <v>32455774</v>
      </c>
      <c r="X69" s="18">
        <f t="shared" si="75"/>
        <v>313001303</v>
      </c>
      <c r="Y69" s="19">
        <f t="shared" si="75"/>
        <v>61745201</v>
      </c>
      <c r="Z69" s="142">
        <f t="shared" si="75"/>
        <v>13407724</v>
      </c>
      <c r="AA69" s="18">
        <f t="shared" si="75"/>
        <v>75152925</v>
      </c>
      <c r="AB69" s="19">
        <f t="shared" si="75"/>
        <v>61745201</v>
      </c>
      <c r="AC69" s="142">
        <f t="shared" si="75"/>
        <v>13407724</v>
      </c>
      <c r="AD69" s="18">
        <f t="shared" si="75"/>
        <v>75152925</v>
      </c>
      <c r="AE69" s="19">
        <f t="shared" si="75"/>
        <v>61745201</v>
      </c>
      <c r="AF69" s="142">
        <f t="shared" si="75"/>
        <v>13407724</v>
      </c>
      <c r="AG69" s="18">
        <f t="shared" si="75"/>
        <v>75152925</v>
      </c>
      <c r="AH69" s="19">
        <f t="shared" si="75"/>
        <v>237848378</v>
      </c>
      <c r="AI69" s="15">
        <f t="shared" si="75"/>
        <v>237848378</v>
      </c>
      <c r="AJ69" s="16">
        <f t="shared" si="75"/>
        <v>237848378</v>
      </c>
      <c r="AK69" s="9"/>
      <c r="AL69" s="29">
        <f>SUM(AL70:AL80)</f>
        <v>0</v>
      </c>
      <c r="AM69" s="26">
        <f>SUM(AM70:AM80)</f>
        <v>32455774</v>
      </c>
      <c r="AN69" s="9"/>
      <c r="AO69" s="294"/>
      <c r="AP69" s="294"/>
      <c r="AQ69" s="294"/>
      <c r="AR69" s="294"/>
      <c r="AS69" s="294"/>
      <c r="AT69" s="294"/>
      <c r="AU69" s="294"/>
      <c r="AV69" s="294"/>
      <c r="AW69" s="294"/>
      <c r="AX69" s="294"/>
      <c r="AY69" s="294"/>
      <c r="AZ69" s="294"/>
    </row>
    <row r="70" spans="1:70" s="422" customFormat="1" ht="24.95" customHeight="1">
      <c r="A70" s="611" t="str">
        <f>+IF(MARZO!A70=0,"",MARZO!A70)</f>
        <v>1130115-1</v>
      </c>
      <c r="B70" s="646" t="str">
        <f>+CONCATENATE("Vigencia ",INSTRUCCIONES!$F$3)</f>
        <v>Vigencia 2017</v>
      </c>
      <c r="C70" s="671">
        <f>+ENERO!C70</f>
        <v>1373481412</v>
      </c>
      <c r="D70" s="373">
        <f>MARZO!D70+ABRIL!P70</f>
        <v>0</v>
      </c>
      <c r="E70" s="373">
        <f>MARZO!E70+ABRIL!Q70</f>
        <v>0</v>
      </c>
      <c r="F70" s="373">
        <f>SUM(C70:E70)</f>
        <v>1373481412</v>
      </c>
      <c r="G70" s="373">
        <f>MARZO!I70</f>
        <v>956578106</v>
      </c>
      <c r="H70" s="374">
        <v>238946676</v>
      </c>
      <c r="I70" s="373">
        <f>SUM(G70:H70)</f>
        <v>1195524782</v>
      </c>
      <c r="J70" s="373">
        <f>MARZO!L70</f>
        <v>32600</v>
      </c>
      <c r="K70" s="374">
        <v>0</v>
      </c>
      <c r="L70" s="373">
        <f>SUM(J70:K70)</f>
        <v>32600</v>
      </c>
      <c r="M70" s="373">
        <f>F70-I70</f>
        <v>177956630</v>
      </c>
      <c r="N70" s="143">
        <f>F70-L70</f>
        <v>1373448812</v>
      </c>
      <c r="O70" s="382"/>
      <c r="P70" s="372">
        <v>0</v>
      </c>
      <c r="Q70" s="375">
        <v>0</v>
      </c>
      <c r="R70" s="9"/>
      <c r="S70" s="706" t="str">
        <f>+IF(MARZO!S70=0,"",MARZO!S70)</f>
        <v>1020104-1</v>
      </c>
      <c r="T70" s="682" t="str">
        <f>+IF(MARZO!T70=0,"",MARZO!T70)</f>
        <v xml:space="preserve">Prima de Navidad </v>
      </c>
      <c r="U70" s="27">
        <f>+ENERO!U70</f>
        <v>72165521</v>
      </c>
      <c r="V70" s="15">
        <f>MARZO!V70+ABRIL!AL70</f>
        <v>0</v>
      </c>
      <c r="W70" s="15">
        <f>MARZO!W70+ABRIL!AM70</f>
        <v>0</v>
      </c>
      <c r="X70" s="18">
        <f t="shared" ref="X70:X81" si="76">SUM(U70:W70)</f>
        <v>72165521</v>
      </c>
      <c r="Y70" s="19">
        <f>MARZO!AA70</f>
        <v>0</v>
      </c>
      <c r="Z70" s="374">
        <v>0</v>
      </c>
      <c r="AA70" s="18">
        <f t="shared" ref="AA70:AA81" si="77">SUM(Y70:Z70)</f>
        <v>0</v>
      </c>
      <c r="AB70" s="19">
        <f>MARZO!AD70</f>
        <v>0</v>
      </c>
      <c r="AC70" s="374">
        <v>0</v>
      </c>
      <c r="AD70" s="18">
        <f t="shared" ref="AD70:AD81" si="78">SUM(AB70:AC70)</f>
        <v>0</v>
      </c>
      <c r="AE70" s="19">
        <f>MARZO!AG70</f>
        <v>0</v>
      </c>
      <c r="AF70" s="374">
        <v>0</v>
      </c>
      <c r="AG70" s="18">
        <f t="shared" ref="AG70:AG81" si="79">SUM(AE70:AF70)</f>
        <v>0</v>
      </c>
      <c r="AH70" s="19">
        <f t="shared" ref="AH70:AH81" si="80">X70-AA70</f>
        <v>72165521</v>
      </c>
      <c r="AI70" s="15">
        <f t="shared" ref="AI70:AI81" si="81">X70-AD70</f>
        <v>72165521</v>
      </c>
      <c r="AJ70" s="16">
        <f t="shared" ref="AJ70:AJ81" si="82">X70-AG70</f>
        <v>72165521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+IF(MARZO!A71=0,"",MARZO!A71)</f>
        <v>1130115-2</v>
      </c>
      <c r="B71" s="646" t="str">
        <f>+IF(MARZO!B71=0,"",MARZO!B71)</f>
        <v>Vigencia Anterior</v>
      </c>
      <c r="C71" s="671">
        <f>+ENERO!C71</f>
        <v>0</v>
      </c>
      <c r="D71" s="373">
        <f>MARZO!D71+ABRIL!P71</f>
        <v>0</v>
      </c>
      <c r="E71" s="373">
        <f>MARZO!E71+ABRIL!Q71</f>
        <v>735031075</v>
      </c>
      <c r="F71" s="373">
        <f>SUM(C71:E71)</f>
        <v>735031075</v>
      </c>
      <c r="G71" s="373">
        <f>MARZO!I71</f>
        <v>1085606567</v>
      </c>
      <c r="H71" s="374">
        <v>311991052</v>
      </c>
      <c r="I71" s="373">
        <f>SUM(G71:H71)</f>
        <v>1397597619</v>
      </c>
      <c r="J71" s="373">
        <f>MARZO!L71</f>
        <v>1085606567</v>
      </c>
      <c r="K71" s="374">
        <v>311991052</v>
      </c>
      <c r="L71" s="373">
        <f>SUM(J71:K71)</f>
        <v>1397597619</v>
      </c>
      <c r="M71" s="373">
        <f>F71-I71</f>
        <v>-662566544</v>
      </c>
      <c r="N71" s="143">
        <f>F71-L71</f>
        <v>-662566544</v>
      </c>
      <c r="O71" s="382"/>
      <c r="P71" s="372">
        <v>0</v>
      </c>
      <c r="Q71" s="375">
        <v>313373492</v>
      </c>
      <c r="R71" s="9"/>
      <c r="S71" s="706" t="str">
        <f>+IF(MARZO!S71=0,"",MARZO!S71)</f>
        <v>1020104-2</v>
      </c>
      <c r="T71" s="682" t="str">
        <f>+IF(MARZO!T71=0,"",MARZO!T71)</f>
        <v>Prima Vida Cara</v>
      </c>
      <c r="U71" s="27">
        <f>+ENERO!U71</f>
        <v>65329386</v>
      </c>
      <c r="V71" s="15">
        <f>MARZO!V71+ABRIL!AL71</f>
        <v>0</v>
      </c>
      <c r="W71" s="15">
        <f>MARZO!W71+ABRIL!AM71</f>
        <v>32455774</v>
      </c>
      <c r="X71" s="18">
        <f t="shared" si="76"/>
        <v>97785160</v>
      </c>
      <c r="Y71" s="19">
        <f>MARZO!AA71</f>
        <v>32455774</v>
      </c>
      <c r="Z71" s="374">
        <v>0</v>
      </c>
      <c r="AA71" s="18">
        <f t="shared" si="77"/>
        <v>32455774</v>
      </c>
      <c r="AB71" s="19">
        <f>MARZO!AD71</f>
        <v>32455774</v>
      </c>
      <c r="AC71" s="374">
        <v>0</v>
      </c>
      <c r="AD71" s="18">
        <f t="shared" si="78"/>
        <v>32455774</v>
      </c>
      <c r="AE71" s="19">
        <f>MARZO!AG71</f>
        <v>32455774</v>
      </c>
      <c r="AF71" s="374">
        <v>0</v>
      </c>
      <c r="AG71" s="18">
        <f t="shared" si="79"/>
        <v>32455774</v>
      </c>
      <c r="AH71" s="19">
        <f t="shared" si="80"/>
        <v>65329386</v>
      </c>
      <c r="AI71" s="15">
        <f t="shared" si="81"/>
        <v>65329386</v>
      </c>
      <c r="AJ71" s="16">
        <f t="shared" si="82"/>
        <v>65329386</v>
      </c>
      <c r="AK71" s="9"/>
      <c r="AL71" s="372">
        <v>0</v>
      </c>
      <c r="AM71" s="375">
        <v>32455774</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3">
        <f>+IF(MARZO!A72=0,"",MARZO!A72)</f>
        <v>1130116</v>
      </c>
      <c r="B72" s="645" t="str">
        <f>+IF(MARZO!B72=0,"",MARZO!B72)</f>
        <v>ADMINISTRADORAS DE RIESGOS PROFESIONALES</v>
      </c>
      <c r="C72" s="43">
        <f t="shared" ref="C72:N72" si="83">SUM(C73:C74)</f>
        <v>474083630</v>
      </c>
      <c r="D72" s="44">
        <f t="shared" si="83"/>
        <v>0</v>
      </c>
      <c r="E72" s="44">
        <f t="shared" si="83"/>
        <v>65744513</v>
      </c>
      <c r="F72" s="44">
        <f t="shared" si="83"/>
        <v>539828143</v>
      </c>
      <c r="G72" s="44">
        <f t="shared" si="83"/>
        <v>135269641</v>
      </c>
      <c r="H72" s="44">
        <f t="shared" si="83"/>
        <v>38850341</v>
      </c>
      <c r="I72" s="44">
        <f t="shared" si="83"/>
        <v>174119982</v>
      </c>
      <c r="J72" s="44">
        <f t="shared" si="83"/>
        <v>78192252</v>
      </c>
      <c r="K72" s="44">
        <f t="shared" si="83"/>
        <v>17357535</v>
      </c>
      <c r="L72" s="44">
        <f t="shared" si="83"/>
        <v>95549787</v>
      </c>
      <c r="M72" s="44">
        <f t="shared" si="83"/>
        <v>365708161</v>
      </c>
      <c r="N72" s="45">
        <f t="shared" si="83"/>
        <v>444278356</v>
      </c>
      <c r="P72" s="43">
        <f>SUM(P73:P74)</f>
        <v>0</v>
      </c>
      <c r="Q72" s="45">
        <f>SUM(Q73:Q74)</f>
        <v>16896209</v>
      </c>
      <c r="R72" s="9"/>
      <c r="S72" s="706" t="str">
        <f>+IF(MARZO!S72=0,"",MARZO!S72)</f>
        <v>1020104-3</v>
      </c>
      <c r="T72" s="682" t="str">
        <f>+IF(MARZO!T72=0,"",MARZO!T72)</f>
        <v>Prima de Vacaciones</v>
      </c>
      <c r="U72" s="27">
        <f>+ENERO!U72</f>
        <v>34829886</v>
      </c>
      <c r="V72" s="15">
        <f>MARZO!V72+ABRIL!AL72</f>
        <v>0</v>
      </c>
      <c r="W72" s="15">
        <f>MARZO!W72+ABRIL!AM72</f>
        <v>0</v>
      </c>
      <c r="X72" s="18">
        <f t="shared" si="76"/>
        <v>34829886</v>
      </c>
      <c r="Y72" s="19">
        <f>MARZO!AA72</f>
        <v>5079957</v>
      </c>
      <c r="Z72" s="374">
        <v>0</v>
      </c>
      <c r="AA72" s="18">
        <f t="shared" si="77"/>
        <v>5079957</v>
      </c>
      <c r="AB72" s="19">
        <f>MARZO!AD72</f>
        <v>5079957</v>
      </c>
      <c r="AC72" s="374">
        <v>0</v>
      </c>
      <c r="AD72" s="18">
        <f t="shared" si="78"/>
        <v>5079957</v>
      </c>
      <c r="AE72" s="19">
        <f>MARZO!AG72</f>
        <v>5079957</v>
      </c>
      <c r="AF72" s="374">
        <v>0</v>
      </c>
      <c r="AG72" s="18">
        <f t="shared" si="79"/>
        <v>5079957</v>
      </c>
      <c r="AH72" s="19">
        <f t="shared" si="80"/>
        <v>29749929</v>
      </c>
      <c r="AI72" s="15">
        <f t="shared" si="81"/>
        <v>29749929</v>
      </c>
      <c r="AJ72" s="16">
        <f t="shared" si="82"/>
        <v>29749929</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+IF(MARZO!A73=0,"",MARZO!A73)</f>
        <v>1130116-1</v>
      </c>
      <c r="B73" s="646" t="str">
        <f>+CONCATENATE("Vigencia ",INSTRUCCIONES!$F$3)</f>
        <v>Vigencia 2017</v>
      </c>
      <c r="C73" s="671">
        <f>+ENERO!C73</f>
        <v>474083630</v>
      </c>
      <c r="D73" s="373">
        <f>MARZO!D73+ABRIL!P73</f>
        <v>0</v>
      </c>
      <c r="E73" s="373">
        <f>MARZO!E73+ABRIL!Q73</f>
        <v>0</v>
      </c>
      <c r="F73" s="373">
        <f>SUM(C73:E73)</f>
        <v>474083630</v>
      </c>
      <c r="G73" s="373">
        <f>MARZO!I73</f>
        <v>57077389</v>
      </c>
      <c r="H73" s="374">
        <v>21492806</v>
      </c>
      <c r="I73" s="373">
        <f>SUM(G73:H73)</f>
        <v>78570195</v>
      </c>
      <c r="J73" s="373">
        <f>MARZO!L73</f>
        <v>0</v>
      </c>
      <c r="K73" s="374">
        <v>0</v>
      </c>
      <c r="L73" s="373">
        <f>SUM(J73:K73)</f>
        <v>0</v>
      </c>
      <c r="M73" s="373">
        <f>F73-I73</f>
        <v>395513435</v>
      </c>
      <c r="N73" s="143">
        <f>F73-L73</f>
        <v>474083630</v>
      </c>
      <c r="O73" s="382"/>
      <c r="P73" s="372">
        <v>0</v>
      </c>
      <c r="Q73" s="375">
        <v>0</v>
      </c>
      <c r="R73" s="9"/>
      <c r="S73" s="706" t="str">
        <f>+IF(MARZO!S73=0,"",MARZO!S73)</f>
        <v>1020104-4</v>
      </c>
      <c r="T73" s="682" t="str">
        <f>+IF(MARZO!T73=0,"",MARZO!T73)</f>
        <v>Prima Clima</v>
      </c>
      <c r="U73" s="27">
        <f>+ENERO!U73</f>
        <v>0</v>
      </c>
      <c r="V73" s="15">
        <f>MARZO!V73+ABRIL!AL73</f>
        <v>0</v>
      </c>
      <c r="W73" s="15">
        <f>MARZO!W73+ABRIL!AM73</f>
        <v>0</v>
      </c>
      <c r="X73" s="18">
        <f t="shared" si="76"/>
        <v>0</v>
      </c>
      <c r="Y73" s="19">
        <f>MARZO!AA73</f>
        <v>0</v>
      </c>
      <c r="Z73" s="374">
        <v>0</v>
      </c>
      <c r="AA73" s="18">
        <f t="shared" si="77"/>
        <v>0</v>
      </c>
      <c r="AB73" s="19">
        <f>MARZO!AD73</f>
        <v>0</v>
      </c>
      <c r="AC73" s="374">
        <v>0</v>
      </c>
      <c r="AD73" s="18">
        <f t="shared" si="78"/>
        <v>0</v>
      </c>
      <c r="AE73" s="19">
        <f>MARZO!AG73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+IF(MARZO!A74=0,"",MARZO!A74)</f>
        <v>1130116-2</v>
      </c>
      <c r="B74" s="646" t="str">
        <f>+IF(MARZO!B74=0,"",MARZO!B74)</f>
        <v>Vigencia Anterior</v>
      </c>
      <c r="C74" s="671">
        <f>+ENERO!C74</f>
        <v>0</v>
      </c>
      <c r="D74" s="373">
        <f>MARZO!D74+ABRIL!P74</f>
        <v>0</v>
      </c>
      <c r="E74" s="373">
        <f>MARZO!E74+ABRIL!Q74</f>
        <v>65744513</v>
      </c>
      <c r="F74" s="373">
        <f>SUM(C74:E74)</f>
        <v>65744513</v>
      </c>
      <c r="G74" s="373">
        <f>MARZO!I74</f>
        <v>78192252</v>
      </c>
      <c r="H74" s="374">
        <v>17357535</v>
      </c>
      <c r="I74" s="373">
        <f>SUM(G74:H74)</f>
        <v>95549787</v>
      </c>
      <c r="J74" s="373">
        <f>MARZO!L74</f>
        <v>78192252</v>
      </c>
      <c r="K74" s="374">
        <v>17357535</v>
      </c>
      <c r="L74" s="373">
        <f>SUM(J74:K74)</f>
        <v>95549787</v>
      </c>
      <c r="M74" s="373">
        <f>F74-I74</f>
        <v>-29805274</v>
      </c>
      <c r="N74" s="143">
        <f>F74-L74</f>
        <v>-29805274</v>
      </c>
      <c r="O74" s="382"/>
      <c r="P74" s="372">
        <v>0</v>
      </c>
      <c r="Q74" s="375">
        <v>16896209</v>
      </c>
      <c r="R74" s="9"/>
      <c r="S74" s="706" t="str">
        <f>+IF(MARZO!S74=0,"",MARZO!S74)</f>
        <v>1020104-5</v>
      </c>
      <c r="T74" s="682" t="str">
        <f>+IF(MARZO!T74=0,"",MARZO!T74)</f>
        <v>Prima de Servicios</v>
      </c>
      <c r="U74" s="27">
        <f>+ENERO!U74</f>
        <v>36082760</v>
      </c>
      <c r="V74" s="15">
        <f>MARZO!V74+ABRIL!AL74</f>
        <v>0</v>
      </c>
      <c r="W74" s="15">
        <f>MARZO!W74+ABRIL!AM74</f>
        <v>0</v>
      </c>
      <c r="X74" s="18">
        <f t="shared" si="76"/>
        <v>36082760</v>
      </c>
      <c r="Y74" s="19">
        <f>MARZO!AA74</f>
        <v>0</v>
      </c>
      <c r="Z74" s="374">
        <v>0</v>
      </c>
      <c r="AA74" s="18">
        <f t="shared" si="77"/>
        <v>0</v>
      </c>
      <c r="AB74" s="19">
        <f>MARZO!AD74</f>
        <v>0</v>
      </c>
      <c r="AC74" s="374">
        <v>0</v>
      </c>
      <c r="AD74" s="18">
        <f t="shared" si="78"/>
        <v>0</v>
      </c>
      <c r="AE74" s="19">
        <f>MARZO!AG74</f>
        <v>0</v>
      </c>
      <c r="AF74" s="374">
        <v>0</v>
      </c>
      <c r="AG74" s="18">
        <f t="shared" si="79"/>
        <v>0</v>
      </c>
      <c r="AH74" s="19">
        <f t="shared" si="80"/>
        <v>36082760</v>
      </c>
      <c r="AI74" s="15">
        <f t="shared" si="81"/>
        <v>36082760</v>
      </c>
      <c r="AJ74" s="16">
        <f t="shared" si="82"/>
        <v>36082760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3">
        <f>+IF(MARZO!A75=0,"",MARZO!A75)</f>
        <v>1130117</v>
      </c>
      <c r="B75" s="645" t="str">
        <f>+IF(MARZO!B75=0,"",MARZO!B75)</f>
        <v>CUOTAS DE RECUPERACION</v>
      </c>
      <c r="C75" s="43">
        <f t="shared" ref="C75:N75" si="84">SUM(C76:C77)</f>
        <v>52000000</v>
      </c>
      <c r="D75" s="44">
        <f t="shared" si="84"/>
        <v>0</v>
      </c>
      <c r="E75" s="44">
        <f t="shared" si="84"/>
        <v>602749</v>
      </c>
      <c r="F75" s="44">
        <f t="shared" si="84"/>
        <v>52602749</v>
      </c>
      <c r="G75" s="44">
        <f t="shared" si="84"/>
        <v>31178263</v>
      </c>
      <c r="H75" s="44">
        <f t="shared" si="84"/>
        <v>29300</v>
      </c>
      <c r="I75" s="44">
        <f t="shared" si="84"/>
        <v>31207563</v>
      </c>
      <c r="J75" s="44">
        <f t="shared" si="84"/>
        <v>1320049</v>
      </c>
      <c r="K75" s="44">
        <f t="shared" si="84"/>
        <v>29300</v>
      </c>
      <c r="L75" s="44">
        <f t="shared" si="84"/>
        <v>1349349</v>
      </c>
      <c r="M75" s="44">
        <f t="shared" si="84"/>
        <v>21395186</v>
      </c>
      <c r="N75" s="45">
        <f t="shared" si="84"/>
        <v>51253400</v>
      </c>
      <c r="P75" s="43">
        <f>SUM(P76:P77)</f>
        <v>0</v>
      </c>
      <c r="Q75" s="45">
        <f>SUM(Q76:Q77)</f>
        <v>602749</v>
      </c>
      <c r="R75" s="9"/>
      <c r="S75" s="706" t="str">
        <f>+IF(MARZO!S75=0,"",MARZO!S75)</f>
        <v>1020104-8</v>
      </c>
      <c r="T75" s="682" t="str">
        <f>+IF(MARZO!T75=0,"",MARZO!T75)</f>
        <v>Bonific. por Servicios Prestados</v>
      </c>
      <c r="U75" s="27">
        <f>+ENERO!U75</f>
        <v>17770724</v>
      </c>
      <c r="V75" s="15">
        <f>MARZO!V75+ABRIL!AL75</f>
        <v>0</v>
      </c>
      <c r="W75" s="15">
        <f>MARZO!W75+ABRIL!AM75</f>
        <v>0</v>
      </c>
      <c r="X75" s="18">
        <f t="shared" si="76"/>
        <v>17770724</v>
      </c>
      <c r="Y75" s="19">
        <f>MARZO!AA75</f>
        <v>2513191</v>
      </c>
      <c r="Z75" s="374">
        <v>5863590</v>
      </c>
      <c r="AA75" s="18">
        <f t="shared" si="77"/>
        <v>8376781</v>
      </c>
      <c r="AB75" s="19">
        <f>MARZO!AD75</f>
        <v>2513191</v>
      </c>
      <c r="AC75" s="374">
        <v>5863590</v>
      </c>
      <c r="AD75" s="18">
        <f t="shared" si="78"/>
        <v>8376781</v>
      </c>
      <c r="AE75" s="19">
        <f>MARZO!AG75</f>
        <v>2513191</v>
      </c>
      <c r="AF75" s="374">
        <v>5863590</v>
      </c>
      <c r="AG75" s="18">
        <f t="shared" si="79"/>
        <v>8376781</v>
      </c>
      <c r="AH75" s="19">
        <f t="shared" si="80"/>
        <v>9393943</v>
      </c>
      <c r="AI75" s="15">
        <f t="shared" si="81"/>
        <v>9393943</v>
      </c>
      <c r="AJ75" s="16">
        <f t="shared" si="82"/>
        <v>9393943</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+IF(MARZO!A76=0,"",MARZO!A76)</f>
        <v>1130117-1</v>
      </c>
      <c r="B76" s="646" t="str">
        <f>+CONCATENATE("Vigencia ",INSTRUCCIONES!$F$3)</f>
        <v>Vigencia 2017</v>
      </c>
      <c r="C76" s="671">
        <f>+ENERO!C76</f>
        <v>52000000</v>
      </c>
      <c r="D76" s="373">
        <f>MARZO!D76+ABRIL!P76</f>
        <v>0</v>
      </c>
      <c r="E76" s="373">
        <f>MARZO!E76+ABRIL!Q76</f>
        <v>0</v>
      </c>
      <c r="F76" s="373">
        <f t="shared" ref="F76:F83" si="85">SUM(C76:E76)</f>
        <v>52000000</v>
      </c>
      <c r="G76" s="373">
        <f>MARZO!I76</f>
        <v>30575514</v>
      </c>
      <c r="H76" s="374">
        <f>29300</f>
        <v>29300</v>
      </c>
      <c r="I76" s="373">
        <f t="shared" ref="I76:I83" si="86">SUM(G76:H76)</f>
        <v>30604814</v>
      </c>
      <c r="J76" s="373">
        <f>MARZO!L76</f>
        <v>717300</v>
      </c>
      <c r="K76" s="374">
        <v>29300</v>
      </c>
      <c r="L76" s="373">
        <f t="shared" ref="L76:L83" si="87">SUM(J76:K76)</f>
        <v>746600</v>
      </c>
      <c r="M76" s="373">
        <f t="shared" ref="M76:M83" si="88">F76-I76</f>
        <v>21395186</v>
      </c>
      <c r="N76" s="143">
        <f t="shared" ref="N76:N83" si="89">F76-L76</f>
        <v>51253400</v>
      </c>
      <c r="O76" s="382"/>
      <c r="P76" s="372">
        <v>0</v>
      </c>
      <c r="Q76" s="375">
        <v>0</v>
      </c>
      <c r="R76" s="9"/>
      <c r="S76" s="706" t="str">
        <f>+IF(MARZO!S76=0,"",MARZO!S76)</f>
        <v>1020104-9</v>
      </c>
      <c r="T76" s="682" t="str">
        <f>+IF(MARZO!T76=0,"",MARZO!T76)</f>
        <v>Auxilio de Transporte</v>
      </c>
      <c r="U76" s="27">
        <f>+ENERO!U76</f>
        <v>1703268</v>
      </c>
      <c r="V76" s="15">
        <f>MARZO!V76+ABRIL!AL76</f>
        <v>0</v>
      </c>
      <c r="W76" s="15">
        <f>MARZO!W76+ABRIL!AM76</f>
        <v>0</v>
      </c>
      <c r="X76" s="18">
        <f t="shared" si="76"/>
        <v>1703268</v>
      </c>
      <c r="Y76" s="19">
        <f>MARZO!AA76</f>
        <v>515438</v>
      </c>
      <c r="Z76" s="374">
        <v>207850</v>
      </c>
      <c r="AA76" s="18">
        <f t="shared" si="77"/>
        <v>723288</v>
      </c>
      <c r="AB76" s="19">
        <f>MARZO!AD76</f>
        <v>515438</v>
      </c>
      <c r="AC76" s="374">
        <v>207850</v>
      </c>
      <c r="AD76" s="18">
        <f t="shared" si="78"/>
        <v>723288</v>
      </c>
      <c r="AE76" s="19">
        <f>MARZO!AG76</f>
        <v>515438</v>
      </c>
      <c r="AF76" s="374">
        <v>207850</v>
      </c>
      <c r="AG76" s="18">
        <f t="shared" si="79"/>
        <v>723288</v>
      </c>
      <c r="AH76" s="19">
        <f t="shared" si="80"/>
        <v>979980</v>
      </c>
      <c r="AI76" s="15">
        <f t="shared" si="81"/>
        <v>979980</v>
      </c>
      <c r="AJ76" s="16">
        <f t="shared" si="82"/>
        <v>979980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+IF(MARZO!A77=0,"",MARZO!A77)</f>
        <v>1130117-2</v>
      </c>
      <c r="B77" s="646" t="str">
        <f>+IF(MARZO!B77=0,"",MARZO!B77)</f>
        <v>Vigencia Anterior</v>
      </c>
      <c r="C77" s="671">
        <f>+ENERO!C77</f>
        <v>0</v>
      </c>
      <c r="D77" s="373">
        <f>MARZO!D77+ABRIL!P77</f>
        <v>0</v>
      </c>
      <c r="E77" s="373">
        <f>MARZO!E77+ABRIL!Q77</f>
        <v>602749</v>
      </c>
      <c r="F77" s="373">
        <f t="shared" si="85"/>
        <v>602749</v>
      </c>
      <c r="G77" s="373">
        <f>MARZO!I77</f>
        <v>602749</v>
      </c>
      <c r="H77" s="374">
        <v>0</v>
      </c>
      <c r="I77" s="373">
        <f t="shared" si="86"/>
        <v>602749</v>
      </c>
      <c r="J77" s="373">
        <f>MARZO!L77</f>
        <v>602749</v>
      </c>
      <c r="K77" s="374">
        <v>0</v>
      </c>
      <c r="L77" s="373">
        <f t="shared" si="87"/>
        <v>602749</v>
      </c>
      <c r="M77" s="373">
        <f t="shared" si="88"/>
        <v>0</v>
      </c>
      <c r="N77" s="143">
        <f t="shared" si="89"/>
        <v>0</v>
      </c>
      <c r="O77" s="382"/>
      <c r="P77" s="372">
        <v>0</v>
      </c>
      <c r="Q77" s="375">
        <v>602749</v>
      </c>
      <c r="R77" s="9"/>
      <c r="S77" s="706" t="str">
        <f>+IF(MARZO!S77=0,"",MARZO!S77)</f>
        <v>1020104-10</v>
      </c>
      <c r="T77" s="682" t="str">
        <f>+IF(MARZO!T77=0,"",MARZO!T77)</f>
        <v>Subsidio de Alimentación</v>
      </c>
      <c r="U77" s="27">
        <f>+ENERO!U77</f>
        <v>1200000</v>
      </c>
      <c r="V77" s="15">
        <f>MARZO!V77+ABRIL!AL77</f>
        <v>0</v>
      </c>
      <c r="W77" s="15">
        <f>MARZO!W77+ABRIL!AM77</f>
        <v>0</v>
      </c>
      <c r="X77" s="18">
        <f t="shared" si="76"/>
        <v>1200000</v>
      </c>
      <c r="Y77" s="19">
        <f>MARZO!AA77</f>
        <v>305719</v>
      </c>
      <c r="Z77" s="374">
        <v>107268</v>
      </c>
      <c r="AA77" s="18">
        <f t="shared" si="77"/>
        <v>412987</v>
      </c>
      <c r="AB77" s="19">
        <f>MARZO!AD77</f>
        <v>305719</v>
      </c>
      <c r="AC77" s="374">
        <v>107268</v>
      </c>
      <c r="AD77" s="18">
        <f t="shared" si="78"/>
        <v>412987</v>
      </c>
      <c r="AE77" s="19">
        <f>MARZO!AG77</f>
        <v>305719</v>
      </c>
      <c r="AF77" s="374">
        <v>107268</v>
      </c>
      <c r="AG77" s="18">
        <f t="shared" si="79"/>
        <v>412987</v>
      </c>
      <c r="AH77" s="19">
        <f t="shared" si="80"/>
        <v>787013</v>
      </c>
      <c r="AI77" s="15">
        <f t="shared" si="81"/>
        <v>787013</v>
      </c>
      <c r="AJ77" s="16">
        <f t="shared" si="82"/>
        <v>787013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3">
        <f>+IF(MARZO!A78=0,"",MARZO!A78)</f>
        <v>1130118</v>
      </c>
      <c r="B78" s="645" t="str">
        <f>+IF(MARZO!B78=0,"",MARZO!B78)</f>
        <v>PARTICULARES   (Venta de Contado)</v>
      </c>
      <c r="C78" s="43">
        <f>SUM(C79:C80)</f>
        <v>435000000</v>
      </c>
      <c r="D78" s="44">
        <f>SUM(D79:D80)</f>
        <v>0</v>
      </c>
      <c r="E78" s="44">
        <f>SUM(E79:E80)</f>
        <v>1730200</v>
      </c>
      <c r="F78" s="44">
        <f t="shared" si="85"/>
        <v>436730200</v>
      </c>
      <c r="G78" s="44">
        <f>SUM(G79:G80)</f>
        <v>199151202</v>
      </c>
      <c r="H78" s="44">
        <f>SUM(H79:H80)</f>
        <v>63605377</v>
      </c>
      <c r="I78" s="44">
        <f t="shared" si="86"/>
        <v>262756579</v>
      </c>
      <c r="J78" s="44">
        <f>SUM(J79:J80)</f>
        <v>199151202</v>
      </c>
      <c r="K78" s="44">
        <f>SUM(K79:K80)</f>
        <v>63605377</v>
      </c>
      <c r="L78" s="44">
        <f t="shared" si="87"/>
        <v>262756579</v>
      </c>
      <c r="M78" s="44">
        <f t="shared" si="88"/>
        <v>173973621</v>
      </c>
      <c r="N78" s="45">
        <f t="shared" si="89"/>
        <v>173973621</v>
      </c>
      <c r="O78" s="382"/>
      <c r="P78" s="43">
        <f>SUM(P79:P80)</f>
        <v>0</v>
      </c>
      <c r="Q78" s="45">
        <f>SUM(Q79:Q80)</f>
        <v>794200</v>
      </c>
      <c r="R78" s="9"/>
      <c r="S78" s="706" t="str">
        <f>+IF(MARZO!S78=0,"",MARZO!S78)</f>
        <v>1020104-12</v>
      </c>
      <c r="T78" s="682" t="str">
        <f>+IF(MARZO!T78=0,"",MARZO!T78)</f>
        <v>Indemnizaciones por Vacaciones o Supresión de Cargos por Reestructuración</v>
      </c>
      <c r="U78" s="27">
        <f>+ENERO!U78</f>
        <v>0</v>
      </c>
      <c r="V78" s="15">
        <f>MARZO!V78+ABRIL!AL78</f>
        <v>0</v>
      </c>
      <c r="W78" s="15">
        <f>MARZO!W78+ABRIL!AM78</f>
        <v>0</v>
      </c>
      <c r="X78" s="18">
        <f t="shared" si="76"/>
        <v>0</v>
      </c>
      <c r="Y78" s="19">
        <f>MARZO!AA78</f>
        <v>0</v>
      </c>
      <c r="Z78" s="374">
        <v>0</v>
      </c>
      <c r="AA78" s="18">
        <f t="shared" si="77"/>
        <v>0</v>
      </c>
      <c r="AB78" s="19">
        <f>MARZO!AD78</f>
        <v>0</v>
      </c>
      <c r="AC78" s="374">
        <v>0</v>
      </c>
      <c r="AD78" s="18">
        <f t="shared" si="78"/>
        <v>0</v>
      </c>
      <c r="AE78" s="19">
        <f>MARZO!AG78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+IF(MARZO!A79=0,"",MARZO!A79)</f>
        <v>1130118-1</v>
      </c>
      <c r="B79" s="646" t="str">
        <f>+CONCATENATE("Vigencia ",INSTRUCCIONES!$F$3)</f>
        <v>Vigencia 2017</v>
      </c>
      <c r="C79" s="671">
        <f>+ENERO!C79</f>
        <v>435000000</v>
      </c>
      <c r="D79" s="373">
        <f>MARZO!D79+ABRIL!P79</f>
        <v>0</v>
      </c>
      <c r="E79" s="373">
        <f>MARZO!E79+ABRIL!Q79</f>
        <v>0</v>
      </c>
      <c r="F79" s="373">
        <f t="shared" si="85"/>
        <v>435000000</v>
      </c>
      <c r="G79" s="373">
        <f>MARZO!I79</f>
        <v>197392302</v>
      </c>
      <c r="H79" s="374">
        <v>63590877</v>
      </c>
      <c r="I79" s="373">
        <f t="shared" si="86"/>
        <v>260983179</v>
      </c>
      <c r="J79" s="373">
        <f>MARZO!L79</f>
        <v>197392302</v>
      </c>
      <c r="K79" s="374">
        <v>63590877</v>
      </c>
      <c r="L79" s="373">
        <f t="shared" si="87"/>
        <v>260983179</v>
      </c>
      <c r="M79" s="373">
        <f t="shared" si="88"/>
        <v>174016821</v>
      </c>
      <c r="N79" s="143">
        <f t="shared" si="89"/>
        <v>174016821</v>
      </c>
      <c r="P79" s="372">
        <v>0</v>
      </c>
      <c r="Q79" s="375">
        <v>0</v>
      </c>
      <c r="R79" s="9"/>
      <c r="S79" s="706" t="str">
        <f>+IF(MARZO!S79=0,"",MARZO!S79)</f>
        <v>1020104-13</v>
      </c>
      <c r="T79" s="682" t="str">
        <f>+IF(MARZO!T79=0,"",MARZO!T79)</f>
        <v>Bonificación Especial por Recreación</v>
      </c>
      <c r="U79" s="27">
        <f>+ENERO!U79</f>
        <v>2582164</v>
      </c>
      <c r="V79" s="15">
        <f>MARZO!V79+ABRIL!AL79</f>
        <v>0</v>
      </c>
      <c r="W79" s="15">
        <f>MARZO!W79+ABRIL!AM79</f>
        <v>0</v>
      </c>
      <c r="X79" s="18">
        <f t="shared" si="76"/>
        <v>2582164</v>
      </c>
      <c r="Y79" s="19">
        <f>MARZO!AA79</f>
        <v>674108</v>
      </c>
      <c r="Z79" s="374">
        <v>0</v>
      </c>
      <c r="AA79" s="18">
        <f t="shared" si="77"/>
        <v>674108</v>
      </c>
      <c r="AB79" s="19">
        <f>MARZO!AD79</f>
        <v>674108</v>
      </c>
      <c r="AC79" s="374">
        <v>0</v>
      </c>
      <c r="AD79" s="18">
        <f t="shared" si="78"/>
        <v>674108</v>
      </c>
      <c r="AE79" s="19">
        <f>MARZO!AG79</f>
        <v>674108</v>
      </c>
      <c r="AF79" s="374">
        <v>0</v>
      </c>
      <c r="AG79" s="18">
        <f t="shared" si="79"/>
        <v>674108</v>
      </c>
      <c r="AH79" s="19">
        <f t="shared" si="80"/>
        <v>1908056</v>
      </c>
      <c r="AI79" s="15">
        <f t="shared" si="81"/>
        <v>1908056</v>
      </c>
      <c r="AJ79" s="16">
        <f t="shared" si="82"/>
        <v>1908056</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+IF(MARZO!A80=0,"",MARZO!A80)</f>
        <v>1130118-2</v>
      </c>
      <c r="B80" s="646" t="str">
        <f>+IF(MARZO!B80=0,"",MARZO!B80)</f>
        <v>Vigencia Anterior</v>
      </c>
      <c r="C80" s="671">
        <f>+ENERO!C80</f>
        <v>0</v>
      </c>
      <c r="D80" s="373">
        <f>MARZO!D80+ABRIL!P80</f>
        <v>0</v>
      </c>
      <c r="E80" s="373">
        <f>MARZO!E80+ABRIL!Q80</f>
        <v>1730200</v>
      </c>
      <c r="F80" s="373">
        <f t="shared" si="85"/>
        <v>1730200</v>
      </c>
      <c r="G80" s="373">
        <f>MARZO!I80</f>
        <v>1758900</v>
      </c>
      <c r="H80" s="374">
        <v>14500</v>
      </c>
      <c r="I80" s="373">
        <f t="shared" si="86"/>
        <v>1773400</v>
      </c>
      <c r="J80" s="373">
        <f>MARZO!L80</f>
        <v>1758900</v>
      </c>
      <c r="K80" s="374">
        <v>14500</v>
      </c>
      <c r="L80" s="373">
        <f t="shared" si="87"/>
        <v>1773400</v>
      </c>
      <c r="M80" s="373">
        <f t="shared" si="88"/>
        <v>-43200</v>
      </c>
      <c r="N80" s="143">
        <f t="shared" si="89"/>
        <v>-43200</v>
      </c>
      <c r="O80" s="382"/>
      <c r="P80" s="372">
        <v>0</v>
      </c>
      <c r="Q80" s="375">
        <v>794200</v>
      </c>
      <c r="S80" s="706" t="str">
        <f>+IF(MARZO!S80=0,"",MARZO!S80)</f>
        <v>1020104-14</v>
      </c>
      <c r="T80" s="682" t="str">
        <f>+IF(MARZO!T80=0,"",MARZO!T80)</f>
        <v/>
      </c>
      <c r="U80" s="27">
        <f>+ENERO!U80</f>
        <v>48881820</v>
      </c>
      <c r="V80" s="15">
        <f>MARZO!V80+ABRIL!AL80</f>
        <v>0</v>
      </c>
      <c r="W80" s="15">
        <f>MARZO!W80+ABRIL!AM80</f>
        <v>0</v>
      </c>
      <c r="X80" s="18">
        <f t="shared" si="76"/>
        <v>48881820</v>
      </c>
      <c r="Y80" s="19">
        <f>MARZO!AA80</f>
        <v>20201014</v>
      </c>
      <c r="Z80" s="374">
        <v>7229016</v>
      </c>
      <c r="AA80" s="18">
        <f t="shared" si="77"/>
        <v>27430030</v>
      </c>
      <c r="AB80" s="19">
        <f>MARZO!AD80</f>
        <v>20201014</v>
      </c>
      <c r="AC80" s="374">
        <v>7229016</v>
      </c>
      <c r="AD80" s="18">
        <f t="shared" si="78"/>
        <v>27430030</v>
      </c>
      <c r="AE80" s="19">
        <f>MARZO!AG80</f>
        <v>20201014</v>
      </c>
      <c r="AF80" s="374">
        <v>7229016</v>
      </c>
      <c r="AG80" s="18">
        <f t="shared" si="79"/>
        <v>27430030</v>
      </c>
      <c r="AH80" s="19">
        <f t="shared" si="80"/>
        <v>21451790</v>
      </c>
      <c r="AI80" s="15">
        <f t="shared" si="81"/>
        <v>21451790</v>
      </c>
      <c r="AJ80" s="16">
        <f t="shared" si="82"/>
        <v>21451790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3">
        <f>+IF(MARZO!A81=0,"",MARZO!A81)</f>
        <v>1130119</v>
      </c>
      <c r="B81" s="649"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5">
        <f>+IF(MARZO!S81=0,"",MARZO!S81)</f>
        <v>1020199</v>
      </c>
      <c r="T81" s="681" t="str">
        <f>+IF(MARZO!T81=0,"",MARZO!T81)</f>
        <v>Vigencias Anteriores</v>
      </c>
      <c r="U81" s="27">
        <f>+ENERO!U81</f>
        <v>0</v>
      </c>
      <c r="V81" s="15">
        <f>MARZO!V81+ABRIL!AL81</f>
        <v>0</v>
      </c>
      <c r="W81" s="15">
        <f>MARZO!W81+ABRIL!AM81</f>
        <v>0</v>
      </c>
      <c r="X81" s="18">
        <f t="shared" si="76"/>
        <v>0</v>
      </c>
      <c r="Y81" s="19">
        <f>MARZO!AA81</f>
        <v>0</v>
      </c>
      <c r="Z81" s="374">
        <v>0</v>
      </c>
      <c r="AA81" s="18">
        <f t="shared" si="77"/>
        <v>0</v>
      </c>
      <c r="AB81" s="19">
        <f>MARZO!AD81</f>
        <v>0</v>
      </c>
      <c r="AC81" s="374">
        <v>0</v>
      </c>
      <c r="AD81" s="18">
        <f t="shared" si="78"/>
        <v>0</v>
      </c>
      <c r="AE81" s="19">
        <f>MARZO!AG81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+IF(MARZO!A82=0,"",MARZO!A82)</f>
        <v>1130119-1</v>
      </c>
      <c r="B82" s="646" t="str">
        <f>+CONCATENATE("Vigencia ",INSTRUCCIONES!$F$3)</f>
        <v>Vigencia 2017</v>
      </c>
      <c r="C82" s="671">
        <f>+ENERO!C82</f>
        <v>0</v>
      </c>
      <c r="D82" s="373">
        <f>MARZO!D82+ABRIL!P82</f>
        <v>0</v>
      </c>
      <c r="E82" s="373">
        <f>MARZO!E82+ABRIL!Q82</f>
        <v>0</v>
      </c>
      <c r="F82" s="373">
        <f t="shared" si="85"/>
        <v>0</v>
      </c>
      <c r="G82" s="373">
        <f>MARZO!I82</f>
        <v>0</v>
      </c>
      <c r="H82" s="374">
        <f>+H79-K79</f>
        <v>0</v>
      </c>
      <c r="I82" s="373">
        <f t="shared" si="86"/>
        <v>0</v>
      </c>
      <c r="J82" s="373">
        <f>MARZO!L82</f>
        <v>0</v>
      </c>
      <c r="K82" s="374">
        <v>0</v>
      </c>
      <c r="L82" s="373">
        <f t="shared" si="87"/>
        <v>0</v>
      </c>
      <c r="M82" s="373">
        <f t="shared" si="88"/>
        <v>0</v>
      </c>
      <c r="N82" s="143">
        <f t="shared" si="89"/>
        <v>0</v>
      </c>
      <c r="P82" s="372">
        <v>0</v>
      </c>
      <c r="Q82" s="375">
        <v>0</v>
      </c>
      <c r="R82" s="9"/>
      <c r="S82" s="366" t="str">
        <f>+IF(MARZO!S82=0,"",MARZO!S82)</f>
        <v/>
      </c>
      <c r="T82" s="695"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+IF(MARZO!A83=0,"",MARZO!A83)</f>
        <v>1130119-2</v>
      </c>
      <c r="B83" s="650" t="str">
        <f>+IF(MARZO!B83=0,"",MARZO!B83)</f>
        <v>Vigencia Anterior</v>
      </c>
      <c r="C83" s="769">
        <f>+ENERO!C83</f>
        <v>0</v>
      </c>
      <c r="D83" s="385">
        <f>MARZO!D83+ABRIL!P83</f>
        <v>0</v>
      </c>
      <c r="E83" s="385">
        <f>MARZO!E83+ABRIL!Q83</f>
        <v>0</v>
      </c>
      <c r="F83" s="385">
        <f t="shared" si="85"/>
        <v>0</v>
      </c>
      <c r="G83" s="385">
        <f>MARZO!I83</f>
        <v>0</v>
      </c>
      <c r="H83" s="388">
        <v>0</v>
      </c>
      <c r="I83" s="385">
        <f t="shared" si="86"/>
        <v>0</v>
      </c>
      <c r="J83" s="385">
        <f>MARZO!L83</f>
        <v>0</v>
      </c>
      <c r="K83" s="388">
        <v>0</v>
      </c>
      <c r="L83" s="385">
        <f t="shared" si="87"/>
        <v>0</v>
      </c>
      <c r="M83" s="385">
        <f t="shared" si="88"/>
        <v>0</v>
      </c>
      <c r="N83" s="386">
        <f t="shared" si="89"/>
        <v>0</v>
      </c>
      <c r="P83" s="372">
        <v>0</v>
      </c>
      <c r="Q83" s="375">
        <v>0</v>
      </c>
      <c r="R83" s="9"/>
      <c r="S83" s="704">
        <f>+IF(MARZO!S83=0,"",MARZO!S83)</f>
        <v>1020200</v>
      </c>
      <c r="T83" s="680" t="str">
        <f>+IF(MARZO!T83=0,"",MARZO!T83)</f>
        <v>Servicios Personales Indirectos</v>
      </c>
      <c r="U83" s="132">
        <f t="shared" ref="U83:AJ83" si="91">SUM(U84:U88)</f>
        <v>22232471701</v>
      </c>
      <c r="V83" s="122">
        <f t="shared" si="91"/>
        <v>-1092872051</v>
      </c>
      <c r="W83" s="122">
        <f t="shared" si="91"/>
        <v>2000000000</v>
      </c>
      <c r="X83" s="129">
        <f t="shared" si="91"/>
        <v>23139599650</v>
      </c>
      <c r="Y83" s="128">
        <f t="shared" si="91"/>
        <v>15306750695</v>
      </c>
      <c r="Z83" s="122">
        <f t="shared" si="91"/>
        <v>2005633443</v>
      </c>
      <c r="AA83" s="129">
        <f t="shared" si="91"/>
        <v>17312384138</v>
      </c>
      <c r="AB83" s="128">
        <f t="shared" si="91"/>
        <v>8656944275</v>
      </c>
      <c r="AC83" s="122">
        <f t="shared" si="91"/>
        <v>2889464795</v>
      </c>
      <c r="AD83" s="129">
        <f t="shared" si="91"/>
        <v>11546409070</v>
      </c>
      <c r="AE83" s="128">
        <f t="shared" si="91"/>
        <v>4160950748</v>
      </c>
      <c r="AF83" s="122">
        <f t="shared" si="91"/>
        <v>1668043918</v>
      </c>
      <c r="AG83" s="129">
        <f t="shared" si="91"/>
        <v>5828994666</v>
      </c>
      <c r="AH83" s="128">
        <f t="shared" si="91"/>
        <v>5827215512</v>
      </c>
      <c r="AI83" s="122">
        <f t="shared" si="91"/>
        <v>11593190580</v>
      </c>
      <c r="AJ83" s="130">
        <f t="shared" si="91"/>
        <v>17310604984</v>
      </c>
      <c r="AK83" s="9"/>
      <c r="AL83" s="128">
        <f>SUM(AL84:AL88)</f>
        <v>-122300000</v>
      </c>
      <c r="AM83" s="130">
        <f>SUM(AM84:AM88)</f>
        <v>1000000000</v>
      </c>
      <c r="AN83" s="9"/>
      <c r="AO83" s="294"/>
      <c r="AP83" s="294"/>
      <c r="AQ83" s="294"/>
      <c r="AR83" s="294"/>
      <c r="AS83" s="294"/>
      <c r="AT83" s="294"/>
      <c r="AU83" s="294"/>
      <c r="AV83" s="294"/>
      <c r="AW83" s="294"/>
      <c r="AX83" s="294"/>
      <c r="AY83" s="294"/>
      <c r="AZ83" s="294"/>
      <c r="BM83" s="9"/>
    </row>
    <row r="84" spans="1:70" s="382" customFormat="1" ht="24.95" customHeight="1" thickBot="1">
      <c r="A84" s="736" t="str">
        <f>+IF(MARZO!A84=0,"",MARZO!A84)</f>
        <v/>
      </c>
      <c r="B84" s="651" t="str">
        <f>+IF(MARZO!B84=0,"",MARZO!B84)</f>
        <v/>
      </c>
      <c r="C84" s="294"/>
      <c r="D84" s="294"/>
      <c r="E84" s="294"/>
      <c r="F84" s="294"/>
      <c r="G84" s="294"/>
      <c r="H84" s="294"/>
      <c r="I84" s="294"/>
      <c r="J84" s="294"/>
      <c r="K84" s="294"/>
      <c r="L84" s="294"/>
      <c r="M84" s="294"/>
      <c r="N84" s="463"/>
      <c r="O84" s="461"/>
      <c r="P84" s="467"/>
      <c r="Q84" s="391"/>
      <c r="R84" s="9"/>
      <c r="S84" s="705" t="str">
        <f>+IF(MARZO!S84=0,"",MARZO!S84)</f>
        <v>1020200-1</v>
      </c>
      <c r="T84" s="681" t="str">
        <f>+IF(MARZO!T84=0,"",MARZO!T84)</f>
        <v>Remuneración y Honorarios por Servicios Técnicos y Profesionales</v>
      </c>
      <c r="U84" s="27">
        <f>+ENERO!U84</f>
        <v>1000000000</v>
      </c>
      <c r="V84" s="15">
        <f>MARZO!V84+ABRIL!AL84</f>
        <v>1291000000</v>
      </c>
      <c r="W84" s="15">
        <f>MARZO!W84+ABRIL!AM84</f>
        <v>0</v>
      </c>
      <c r="X84" s="18">
        <f>SUM(U84:W84)</f>
        <v>2291000000</v>
      </c>
      <c r="Y84" s="19">
        <f>MARZO!AA84</f>
        <v>1355881800</v>
      </c>
      <c r="Z84" s="374">
        <v>872352258</v>
      </c>
      <c r="AA84" s="18">
        <f>SUM(Y84:Z84)</f>
        <v>2228234058</v>
      </c>
      <c r="AB84" s="19">
        <f>MARZO!AD84</f>
        <v>786112038</v>
      </c>
      <c r="AC84" s="374">
        <v>256254414</v>
      </c>
      <c r="AD84" s="18">
        <f>SUM(AB84:AC84)</f>
        <v>1042366452</v>
      </c>
      <c r="AE84" s="19">
        <f>MARZO!AG84</f>
        <v>429867128</v>
      </c>
      <c r="AF84" s="374">
        <v>245537264</v>
      </c>
      <c r="AG84" s="18">
        <f>SUM(AE84:AF84)</f>
        <v>675404392</v>
      </c>
      <c r="AH84" s="19">
        <f>X84-AA84</f>
        <v>62765942</v>
      </c>
      <c r="AI84" s="15">
        <f>X84-AD84</f>
        <v>1248633548</v>
      </c>
      <c r="AJ84" s="16">
        <f>X84-AG84</f>
        <v>1615595608</v>
      </c>
      <c r="AK84" s="9"/>
      <c r="AL84" s="372">
        <v>850000000</v>
      </c>
      <c r="AM84" s="375">
        <v>0</v>
      </c>
      <c r="AN84" s="9"/>
      <c r="AO84" s="294"/>
      <c r="AP84" s="294"/>
      <c r="AQ84" s="294"/>
      <c r="AR84" s="294"/>
      <c r="AS84" s="294"/>
      <c r="AT84" s="294"/>
      <c r="AU84" s="294"/>
      <c r="AV84" s="294"/>
      <c r="AW84" s="294"/>
      <c r="AX84" s="294"/>
      <c r="AY84" s="294"/>
      <c r="AZ84" s="294"/>
    </row>
    <row r="85" spans="1:70" s="382" customFormat="1" ht="24.95" customHeight="1">
      <c r="A85" s="737">
        <f>+IF(MARZO!A85=0,"",MARZO!A85)</f>
        <v>11302</v>
      </c>
      <c r="B85" s="652" t="str">
        <f>+IF(MARZO!B85=0,"",MARZO!B85)</f>
        <v>Otras Ventas de Servicios de Salud</v>
      </c>
      <c r="C85" s="617">
        <f t="shared" ref="C85:N85" si="92">SUM(C86:C92)</f>
        <v>0</v>
      </c>
      <c r="D85" s="615">
        <f t="shared" si="92"/>
        <v>0</v>
      </c>
      <c r="E85" s="615">
        <f t="shared" si="92"/>
        <v>0</v>
      </c>
      <c r="F85" s="615">
        <f t="shared" si="92"/>
        <v>0</v>
      </c>
      <c r="G85" s="615">
        <f t="shared" si="92"/>
        <v>0</v>
      </c>
      <c r="H85" s="615">
        <f t="shared" si="92"/>
        <v>0</v>
      </c>
      <c r="I85" s="615">
        <f t="shared" si="92"/>
        <v>0</v>
      </c>
      <c r="J85" s="615">
        <f t="shared" si="92"/>
        <v>0</v>
      </c>
      <c r="K85" s="615">
        <f t="shared" si="92"/>
        <v>0</v>
      </c>
      <c r="L85" s="615">
        <f t="shared" si="92"/>
        <v>0</v>
      </c>
      <c r="M85" s="615">
        <f t="shared" si="92"/>
        <v>0</v>
      </c>
      <c r="N85" s="616">
        <f t="shared" si="92"/>
        <v>0</v>
      </c>
      <c r="P85" s="43">
        <f>SUM(P86:P92)</f>
        <v>0</v>
      </c>
      <c r="Q85" s="45">
        <f>SUM(Q86:Q92)</f>
        <v>0</v>
      </c>
      <c r="R85" s="9"/>
      <c r="S85" s="705" t="str">
        <f>+IF(MARZO!S85=0,"",MARZO!S85)</f>
        <v>1020200-2</v>
      </c>
      <c r="T85" s="681" t="str">
        <f>+IF(MARZO!T85=0,"",MARZO!T85)</f>
        <v>Personal Supernumerario</v>
      </c>
      <c r="U85" s="27">
        <f>+ENERO!U85</f>
        <v>0</v>
      </c>
      <c r="V85" s="15">
        <f>MARZO!V85+ABRIL!AL85</f>
        <v>0</v>
      </c>
      <c r="W85" s="15">
        <f>MARZO!W85+ABRIL!AM85</f>
        <v>0</v>
      </c>
      <c r="X85" s="18">
        <f>SUM(U85:W85)</f>
        <v>0</v>
      </c>
      <c r="Y85" s="19">
        <f>MARZO!AA85</f>
        <v>0</v>
      </c>
      <c r="Z85" s="374">
        <v>0</v>
      </c>
      <c r="AA85" s="18">
        <f>SUM(Y85:Z85)</f>
        <v>0</v>
      </c>
      <c r="AB85" s="19">
        <f>MARZO!AD85</f>
        <v>0</v>
      </c>
      <c r="AC85" s="374">
        <v>0</v>
      </c>
      <c r="AD85" s="18">
        <f>SUM(AB85:AC85)</f>
        <v>0</v>
      </c>
      <c r="AE85" s="19">
        <f>MARZO!AG85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8">
        <f>+IF(MARZO!A86=0,"",MARZO!A86)</f>
        <v>1130201</v>
      </c>
      <c r="B86" s="626" t="str">
        <f>+IF(MARZO!B86=0,"",MARZO!B86)</f>
        <v/>
      </c>
      <c r="C86" s="669">
        <f>+ENERO!C86</f>
        <v>0</v>
      </c>
      <c r="D86" s="373">
        <f>MARZO!D86+ABRIL!P86</f>
        <v>0</v>
      </c>
      <c r="E86" s="373">
        <f>MARZO!E86+ABRIL!Q86</f>
        <v>0</v>
      </c>
      <c r="F86" s="373">
        <f t="shared" ref="F86:F92" si="93">SUM(C86:E86)</f>
        <v>0</v>
      </c>
      <c r="G86" s="373">
        <f>MARZO!I86</f>
        <v>0</v>
      </c>
      <c r="H86" s="374">
        <v>0</v>
      </c>
      <c r="I86" s="373">
        <f t="shared" ref="I86:I92" si="94">SUM(G86:H86)</f>
        <v>0</v>
      </c>
      <c r="J86" s="373">
        <f>MARZO!L86</f>
        <v>0</v>
      </c>
      <c r="K86" s="374">
        <v>0</v>
      </c>
      <c r="L86" s="373">
        <f t="shared" ref="L86:L92" si="95">SUM(J86:K86)</f>
        <v>0</v>
      </c>
      <c r="M86" s="373">
        <f t="shared" ref="M86:M92" si="96">F86-I86</f>
        <v>0</v>
      </c>
      <c r="N86" s="143">
        <f t="shared" ref="N86:N92" si="97">F86-L86</f>
        <v>0</v>
      </c>
      <c r="O86" s="382"/>
      <c r="P86" s="372">
        <v>0</v>
      </c>
      <c r="Q86" s="375">
        <v>0</v>
      </c>
      <c r="S86" s="705" t="str">
        <f>+IF(MARZO!S86=0,"",MARZO!S86)</f>
        <v>1020200-4</v>
      </c>
      <c r="T86" s="681" t="str">
        <f>+IF(MARZO!T86=0,"",MARZO!T86)</f>
        <v>Otros Honorarios</v>
      </c>
      <c r="U86" s="27">
        <f>+ENERO!U86</f>
        <v>19000000000</v>
      </c>
      <c r="V86" s="15">
        <f>MARZO!V86+ABRIL!AL86</f>
        <v>-2610459976</v>
      </c>
      <c r="W86" s="15">
        <f>MARZO!W86+ABRIL!AM86</f>
        <v>0</v>
      </c>
      <c r="X86" s="18">
        <f>SUM(U86:W86)</f>
        <v>16389540024</v>
      </c>
      <c r="Y86" s="19">
        <f>MARZO!AA86</f>
        <v>10491810146</v>
      </c>
      <c r="Z86" s="374">
        <v>150000000</v>
      </c>
      <c r="AA86" s="18">
        <f>SUM(Y86:Z86)</f>
        <v>10641810146</v>
      </c>
      <c r="AB86" s="19">
        <f>MARZO!AD86</f>
        <v>4411773488</v>
      </c>
      <c r="AC86" s="374">
        <v>1649929196</v>
      </c>
      <c r="AD86" s="18">
        <f>SUM(AB86:AC86)</f>
        <v>6061702684</v>
      </c>
      <c r="AE86" s="19">
        <f>MARZO!AG86</f>
        <v>272024871</v>
      </c>
      <c r="AF86" s="374">
        <v>439225469</v>
      </c>
      <c r="AG86" s="18">
        <f>SUM(AE86:AF86)</f>
        <v>711250340</v>
      </c>
      <c r="AH86" s="19">
        <f>X86-AA86</f>
        <v>5747729878</v>
      </c>
      <c r="AI86" s="15">
        <f>X86-AD86</f>
        <v>10327837340</v>
      </c>
      <c r="AJ86" s="16">
        <f>X86-AG86</f>
        <v>15678289684</v>
      </c>
      <c r="AL86" s="372">
        <v>-972300000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8">
        <f>+IF(MARZO!A87=0,"",MARZO!A87)</f>
        <v>1130202</v>
      </c>
      <c r="B87" s="626" t="str">
        <f>+IF(MARZO!B87=0,"",MARZO!B87)</f>
        <v/>
      </c>
      <c r="C87" s="669">
        <f>+ENERO!C87</f>
        <v>0</v>
      </c>
      <c r="D87" s="373">
        <f>MARZO!D87+ABRIL!P87</f>
        <v>0</v>
      </c>
      <c r="E87" s="373">
        <f>MARZO!E87+ABRIL!Q87</f>
        <v>0</v>
      </c>
      <c r="F87" s="373">
        <f t="shared" si="93"/>
        <v>0</v>
      </c>
      <c r="G87" s="373">
        <f>MARZO!I87</f>
        <v>0</v>
      </c>
      <c r="H87" s="374">
        <v>0</v>
      </c>
      <c r="I87" s="373">
        <f t="shared" si="94"/>
        <v>0</v>
      </c>
      <c r="J87" s="373">
        <f>MARZO!L87</f>
        <v>0</v>
      </c>
      <c r="K87" s="374">
        <v>0</v>
      </c>
      <c r="L87" s="373">
        <f t="shared" si="95"/>
        <v>0</v>
      </c>
      <c r="M87" s="373">
        <f t="shared" si="96"/>
        <v>0</v>
      </c>
      <c r="N87" s="143">
        <f t="shared" si="97"/>
        <v>0</v>
      </c>
      <c r="P87" s="372">
        <v>0</v>
      </c>
      <c r="Q87" s="375">
        <v>0</v>
      </c>
      <c r="R87" s="9"/>
      <c r="S87" s="705" t="str">
        <f>+IF(MARZO!S87=0,"",MARZO!S87)</f>
        <v/>
      </c>
      <c r="T87" s="681" t="str">
        <f>+IF(MARZO!T87=0,"",MARZO!T87)</f>
        <v/>
      </c>
      <c r="U87" s="27">
        <f>+ENERO!U87</f>
        <v>0</v>
      </c>
      <c r="V87" s="15">
        <f>MARZO!V87+ABRIL!AL87</f>
        <v>0</v>
      </c>
      <c r="W87" s="15">
        <f>MARZO!W87+ABRIL!AM87</f>
        <v>0</v>
      </c>
      <c r="X87" s="18">
        <f>SUM(U87:W87)</f>
        <v>0</v>
      </c>
      <c r="Y87" s="19">
        <f>MARZO!AA87</f>
        <v>0</v>
      </c>
      <c r="Z87" s="374">
        <v>0</v>
      </c>
      <c r="AA87" s="18">
        <f>SUM(Y87:Z87)</f>
        <v>0</v>
      </c>
      <c r="AB87" s="19">
        <f>MARZO!AD87</f>
        <v>0</v>
      </c>
      <c r="AC87" s="374">
        <v>0</v>
      </c>
      <c r="AD87" s="18">
        <f>SUM(AB87:AC87)</f>
        <v>0</v>
      </c>
      <c r="AE87" s="19">
        <f>MARZO!AG87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8">
        <f>+IF(MARZO!A88=0,"",MARZO!A88)</f>
        <v>1130203</v>
      </c>
      <c r="B88" s="627" t="str">
        <f>+IF(MARZO!B88=0,"",MARZO!B88)</f>
        <v>CONVENIOS CON LA NACION LIGADOS A LA VENTA DE SERVICIOS</v>
      </c>
      <c r="C88" s="669">
        <f>+ENERO!C88</f>
        <v>0</v>
      </c>
      <c r="D88" s="373">
        <f>MARZO!D88+ABRIL!P88</f>
        <v>0</v>
      </c>
      <c r="E88" s="373">
        <f>MARZO!E88+ABRIL!Q88</f>
        <v>0</v>
      </c>
      <c r="F88" s="373">
        <f t="shared" si="93"/>
        <v>0</v>
      </c>
      <c r="G88" s="373">
        <f>MARZO!I88</f>
        <v>0</v>
      </c>
      <c r="H88" s="374">
        <v>0</v>
      </c>
      <c r="I88" s="373">
        <f t="shared" si="94"/>
        <v>0</v>
      </c>
      <c r="J88" s="373">
        <f>MARZO!L88</f>
        <v>0</v>
      </c>
      <c r="K88" s="374">
        <v>0</v>
      </c>
      <c r="L88" s="373">
        <f t="shared" si="95"/>
        <v>0</v>
      </c>
      <c r="M88" s="373">
        <f t="shared" si="96"/>
        <v>0</v>
      </c>
      <c r="N88" s="143">
        <f t="shared" si="97"/>
        <v>0</v>
      </c>
      <c r="P88" s="372">
        <v>0</v>
      </c>
      <c r="Q88" s="375">
        <v>0</v>
      </c>
      <c r="R88" s="9"/>
      <c r="S88" s="705">
        <f>+IF(MARZO!S88=0,"",MARZO!S88)</f>
        <v>1020299</v>
      </c>
      <c r="T88" s="681" t="str">
        <f>+IF(MARZO!T88=0,"",MARZO!T88)</f>
        <v>Vigencias Anteriores</v>
      </c>
      <c r="U88" s="27">
        <f>+ENERO!U88</f>
        <v>2232471701</v>
      </c>
      <c r="V88" s="15">
        <f>MARZO!V88+ABRIL!AL88</f>
        <v>226587925</v>
      </c>
      <c r="W88" s="15">
        <f>MARZO!W88+ABRIL!AM88</f>
        <v>2000000000</v>
      </c>
      <c r="X88" s="18">
        <f>SUM(U88:W88)</f>
        <v>4459059626</v>
      </c>
      <c r="Y88" s="19">
        <f>MARZO!AA88</f>
        <v>3459058749</v>
      </c>
      <c r="Z88" s="374">
        <v>983281185</v>
      </c>
      <c r="AA88" s="18">
        <f>SUM(Y88:Z88)</f>
        <v>4442339934</v>
      </c>
      <c r="AB88" s="19">
        <f>MARZO!AD88</f>
        <v>3459058749</v>
      </c>
      <c r="AC88" s="374">
        <v>983281185</v>
      </c>
      <c r="AD88" s="18">
        <f>SUM(AB88:AC88)</f>
        <v>4442339934</v>
      </c>
      <c r="AE88" s="19">
        <f>MARZO!AG88</f>
        <v>3459058749</v>
      </c>
      <c r="AF88" s="374">
        <v>983281185</v>
      </c>
      <c r="AG88" s="18">
        <f>SUM(AE88:AF88)</f>
        <v>4442339934</v>
      </c>
      <c r="AH88" s="19">
        <f>X88-AA88</f>
        <v>16719692</v>
      </c>
      <c r="AI88" s="15">
        <f>X88-AD88</f>
        <v>16719692</v>
      </c>
      <c r="AJ88" s="16">
        <f>X88-AG88</f>
        <v>16719692</v>
      </c>
      <c r="AK88" s="9"/>
      <c r="AL88" s="372">
        <v>0</v>
      </c>
      <c r="AM88" s="375">
        <v>1000000000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8">
        <f>+IF(MARZO!A89=0,"",MARZO!A89)</f>
        <v>1130204</v>
      </c>
      <c r="B89" s="627" t="str">
        <f>+IF(MARZO!B89=0,"",MARZO!B89)</f>
        <v>CONVENIOS CON EL DEPARTAMENTO LIGADOS A LA VENTA SERVICIOS</v>
      </c>
      <c r="C89" s="669">
        <f>+ENERO!C89</f>
        <v>0</v>
      </c>
      <c r="D89" s="373">
        <f>MARZO!D89+ABRIL!P89</f>
        <v>0</v>
      </c>
      <c r="E89" s="373">
        <f>MARZO!E89+ABRIL!Q89</f>
        <v>0</v>
      </c>
      <c r="F89" s="373">
        <f t="shared" si="93"/>
        <v>0</v>
      </c>
      <c r="G89" s="373">
        <f>MARZO!I89</f>
        <v>0</v>
      </c>
      <c r="H89" s="374">
        <v>0</v>
      </c>
      <c r="I89" s="373">
        <f t="shared" si="94"/>
        <v>0</v>
      </c>
      <c r="J89" s="373">
        <f>MARZO!L89</f>
        <v>0</v>
      </c>
      <c r="K89" s="374">
        <v>0</v>
      </c>
      <c r="L89" s="373">
        <f t="shared" si="95"/>
        <v>0</v>
      </c>
      <c r="M89" s="373">
        <f t="shared" si="96"/>
        <v>0</v>
      </c>
      <c r="N89" s="143">
        <f t="shared" si="97"/>
        <v>0</v>
      </c>
      <c r="P89" s="372">
        <v>0</v>
      </c>
      <c r="Q89" s="375">
        <v>0</v>
      </c>
      <c r="R89" s="9"/>
      <c r="S89" s="366" t="str">
        <f>+IF(MARZO!S89=0,"",MARZO!S89)</f>
        <v/>
      </c>
      <c r="T89" s="695"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8">
        <f>+IF(MARZO!A90=0,"",MARZO!A90)</f>
        <v>1130205</v>
      </c>
      <c r="B90" s="627" t="str">
        <f>+IF(MARZO!B90=0,"",MARZO!B90)</f>
        <v>CONVENIOS CON EL MUNICIPIO LIGADOS A LA VENTA DE SERVICIOS</v>
      </c>
      <c r="C90" s="669">
        <f>+ENERO!C90</f>
        <v>0</v>
      </c>
      <c r="D90" s="373">
        <f>MARZO!D90+ABRIL!P90</f>
        <v>0</v>
      </c>
      <c r="E90" s="373">
        <f>MARZO!E90+ABRIL!Q90</f>
        <v>0</v>
      </c>
      <c r="F90" s="373">
        <f t="shared" si="93"/>
        <v>0</v>
      </c>
      <c r="G90" s="373">
        <f>MARZO!I90</f>
        <v>0</v>
      </c>
      <c r="H90" s="374">
        <v>0</v>
      </c>
      <c r="I90" s="373">
        <f t="shared" si="94"/>
        <v>0</v>
      </c>
      <c r="J90" s="373">
        <f>MARZO!L90</f>
        <v>0</v>
      </c>
      <c r="K90" s="374">
        <v>0</v>
      </c>
      <c r="L90" s="373">
        <f t="shared" si="95"/>
        <v>0</v>
      </c>
      <c r="M90" s="373">
        <f t="shared" si="96"/>
        <v>0</v>
      </c>
      <c r="N90" s="143">
        <f t="shared" si="97"/>
        <v>0</v>
      </c>
      <c r="O90" s="382"/>
      <c r="P90" s="372">
        <v>0</v>
      </c>
      <c r="Q90" s="375">
        <v>0</v>
      </c>
      <c r="R90" s="30"/>
      <c r="S90" s="704">
        <f>+IF(MARZO!S90=0,"",MARZO!S90)</f>
        <v>1020300</v>
      </c>
      <c r="T90" s="680" t="str">
        <f>+IF(MARZO!T90=0,"",MARZO!T90)</f>
        <v>Contribuciones Inherentes nómina al Sector Privado</v>
      </c>
      <c r="U90" s="132">
        <f t="shared" ref="U90:AJ90" si="98">U91+U96+U102</f>
        <v>259627762</v>
      </c>
      <c r="V90" s="122">
        <f t="shared" si="98"/>
        <v>-78539920</v>
      </c>
      <c r="W90" s="122">
        <f t="shared" si="98"/>
        <v>78539920</v>
      </c>
      <c r="X90" s="129">
        <f t="shared" si="98"/>
        <v>259627762</v>
      </c>
      <c r="Y90" s="128">
        <f t="shared" si="98"/>
        <v>57625043</v>
      </c>
      <c r="Z90" s="122">
        <f t="shared" si="98"/>
        <v>17549756</v>
      </c>
      <c r="AA90" s="129">
        <f t="shared" si="98"/>
        <v>75174799</v>
      </c>
      <c r="AB90" s="128">
        <f t="shared" si="98"/>
        <v>57625043</v>
      </c>
      <c r="AC90" s="122">
        <f t="shared" si="98"/>
        <v>17549756</v>
      </c>
      <c r="AD90" s="129">
        <f t="shared" si="98"/>
        <v>75174799</v>
      </c>
      <c r="AE90" s="128">
        <f t="shared" si="98"/>
        <v>57625043</v>
      </c>
      <c r="AF90" s="122">
        <f t="shared" si="98"/>
        <v>17549756</v>
      </c>
      <c r="AG90" s="129">
        <f t="shared" si="98"/>
        <v>75174799</v>
      </c>
      <c r="AH90" s="128">
        <f t="shared" si="98"/>
        <v>184452963</v>
      </c>
      <c r="AI90" s="122">
        <f t="shared" si="98"/>
        <v>184452963</v>
      </c>
      <c r="AJ90" s="130">
        <f t="shared" si="98"/>
        <v>184452963</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8">
        <f>+IF(MARZO!A91=0,"",MARZO!A91)</f>
        <v>1130206</v>
      </c>
      <c r="B91" s="627" t="str">
        <f>+IF(MARZO!B91=0,"",MARZO!B91)</f>
        <v>OTROS CONVENIOS LIGADOS A LA VENTA DE SERVICIOS</v>
      </c>
      <c r="C91" s="669">
        <f>+ENERO!C91</f>
        <v>0</v>
      </c>
      <c r="D91" s="373">
        <f>MARZO!D91+ABRIL!P91</f>
        <v>0</v>
      </c>
      <c r="E91" s="373">
        <f>MARZO!E91+ABRIL!Q91</f>
        <v>0</v>
      </c>
      <c r="F91" s="373">
        <f t="shared" si="93"/>
        <v>0</v>
      </c>
      <c r="G91" s="373">
        <f>MARZO!I91</f>
        <v>0</v>
      </c>
      <c r="H91" s="374">
        <v>0</v>
      </c>
      <c r="I91" s="373">
        <f t="shared" si="94"/>
        <v>0</v>
      </c>
      <c r="J91" s="373">
        <f>MARZO!L91</f>
        <v>0</v>
      </c>
      <c r="K91" s="374">
        <v>0</v>
      </c>
      <c r="L91" s="373">
        <f t="shared" si="95"/>
        <v>0</v>
      </c>
      <c r="M91" s="373">
        <f t="shared" si="96"/>
        <v>0</v>
      </c>
      <c r="N91" s="143">
        <f t="shared" si="97"/>
        <v>0</v>
      </c>
      <c r="O91" s="382"/>
      <c r="P91" s="372">
        <v>0</v>
      </c>
      <c r="Q91" s="375">
        <v>0</v>
      </c>
      <c r="R91" s="30"/>
      <c r="S91" s="705">
        <f>+IF(MARZO!S91=0,"",MARZO!S91)</f>
        <v>1020301</v>
      </c>
      <c r="T91" s="681" t="str">
        <f>+IF(MARZO!T91=0,"",MARZO!T91)</f>
        <v>Contribuciones - SGP - Aportes Patronales - Cuentas Maestras</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8">
        <f>+IF(MARZO!A92=0,"",MARZO!A92)</f>
        <v>1130207</v>
      </c>
      <c r="B92" s="628" t="str">
        <f>+IF(MARZO!B92=0,"",MARZO!B92)</f>
        <v>Vigencia Anterior</v>
      </c>
      <c r="C92" s="770">
        <f>+ENERO!C92</f>
        <v>0</v>
      </c>
      <c r="D92" s="385">
        <f>MARZO!D92+ABRIL!P92</f>
        <v>0</v>
      </c>
      <c r="E92" s="385">
        <f>MARZO!E92+ABRIL!Q92</f>
        <v>0</v>
      </c>
      <c r="F92" s="385">
        <f t="shared" si="93"/>
        <v>0</v>
      </c>
      <c r="G92" s="385">
        <f>MARZO!I92</f>
        <v>0</v>
      </c>
      <c r="H92" s="388">
        <v>0</v>
      </c>
      <c r="I92" s="385">
        <f t="shared" si="94"/>
        <v>0</v>
      </c>
      <c r="J92" s="385">
        <f>MARZO!L92</f>
        <v>0</v>
      </c>
      <c r="K92" s="388">
        <v>0</v>
      </c>
      <c r="L92" s="385">
        <f t="shared" si="95"/>
        <v>0</v>
      </c>
      <c r="M92" s="385">
        <f t="shared" si="96"/>
        <v>0</v>
      </c>
      <c r="N92" s="386">
        <f t="shared" si="97"/>
        <v>0</v>
      </c>
      <c r="O92" s="382"/>
      <c r="P92" s="372">
        <v>0</v>
      </c>
      <c r="Q92" s="375">
        <v>0</v>
      </c>
      <c r="R92" s="30"/>
      <c r="S92" s="706" t="str">
        <f>+IF(MARZO!S92=0,"",MARZO!S92)</f>
        <v>1020301-1</v>
      </c>
      <c r="T92" s="682" t="str">
        <f>+IF(MARZO!T92=0,"",MARZO!T92)</f>
        <v>E.P.S. - Aportes cuentas maestras</v>
      </c>
      <c r="U92" s="27">
        <f>+ENERO!U92</f>
        <v>0</v>
      </c>
      <c r="V92" s="15">
        <f>MARZO!V92+ABRIL!AL92</f>
        <v>0</v>
      </c>
      <c r="W92" s="15">
        <f>MARZO!W92+ABRIL!AM92</f>
        <v>0</v>
      </c>
      <c r="X92" s="18">
        <f>SUM(U92:W92)</f>
        <v>0</v>
      </c>
      <c r="Y92" s="19">
        <f>MARZO!AA92</f>
        <v>0</v>
      </c>
      <c r="Z92" s="374">
        <v>0</v>
      </c>
      <c r="AA92" s="18">
        <f>SUM(Y92:Z92)</f>
        <v>0</v>
      </c>
      <c r="AB92" s="19">
        <f>MARZO!AD92</f>
        <v>0</v>
      </c>
      <c r="AC92" s="374">
        <v>0</v>
      </c>
      <c r="AD92" s="18">
        <f>SUM(AB92:AC92)</f>
        <v>0</v>
      </c>
      <c r="AE92" s="19">
        <f>MARZO!AG92</f>
        <v>0</v>
      </c>
      <c r="AF92" s="374">
        <v>0</v>
      </c>
      <c r="AG92" s="18">
        <f>SUM(AE92:AF92)</f>
        <v>0</v>
      </c>
      <c r="AH92" s="19">
        <f>X92-AA92</f>
        <v>0</v>
      </c>
      <c r="AI92" s="15">
        <f>X92-AD92</f>
        <v>0</v>
      </c>
      <c r="AJ92" s="16">
        <f>X92-AG92</f>
        <v>0</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6" t="str">
        <f>+IF(MARZO!A93=0,"",MARZO!A93)</f>
        <v/>
      </c>
      <c r="B93" s="651" t="str">
        <f>+IF(MARZO!B93=0,"",MARZO!B93)</f>
        <v/>
      </c>
      <c r="C93" s="294"/>
      <c r="D93" s="294"/>
      <c r="E93" s="294"/>
      <c r="F93" s="294"/>
      <c r="G93" s="294"/>
      <c r="H93" s="294"/>
      <c r="I93" s="294"/>
      <c r="J93" s="294"/>
      <c r="K93" s="294"/>
      <c r="L93" s="294"/>
      <c r="M93" s="294"/>
      <c r="N93" s="463"/>
      <c r="P93" s="467"/>
      <c r="Q93" s="391"/>
      <c r="R93" s="30"/>
      <c r="S93" s="706" t="str">
        <f>+IF(MARZO!S93=0,"",MARZO!S93)</f>
        <v>1020301-2</v>
      </c>
      <c r="T93" s="682" t="str">
        <f>+IF(MARZO!T93=0,"",MARZO!T93)</f>
        <v>Fondos pensionales - Aportes cuentas maestras</v>
      </c>
      <c r="U93" s="27">
        <f>+ENERO!U93</f>
        <v>0</v>
      </c>
      <c r="V93" s="15">
        <f>MARZO!V93+ABRIL!AL93</f>
        <v>0</v>
      </c>
      <c r="W93" s="15">
        <f>MARZO!W93+ABRIL!AM93</f>
        <v>0</v>
      </c>
      <c r="X93" s="18">
        <f>SUM(U93:W93)</f>
        <v>0</v>
      </c>
      <c r="Y93" s="19">
        <f>MARZO!AA93</f>
        <v>0</v>
      </c>
      <c r="Z93" s="374">
        <v>0</v>
      </c>
      <c r="AA93" s="18">
        <f>SUM(Y93:Z93)</f>
        <v>0</v>
      </c>
      <c r="AB93" s="19">
        <f>MARZO!AD93</f>
        <v>0</v>
      </c>
      <c r="AC93" s="374">
        <v>0</v>
      </c>
      <c r="AD93" s="18">
        <f>SUM(AB93:AC93)</f>
        <v>0</v>
      </c>
      <c r="AE93" s="19">
        <f>MARZO!AG93</f>
        <v>0</v>
      </c>
      <c r="AF93" s="374">
        <v>0</v>
      </c>
      <c r="AG93" s="18">
        <f>SUM(AE93:AF93)</f>
        <v>0</v>
      </c>
      <c r="AH93" s="19">
        <f>X93-AA93</f>
        <v>0</v>
      </c>
      <c r="AI93" s="15">
        <f>X93-AD93</f>
        <v>0</v>
      </c>
      <c r="AJ93" s="16">
        <f>X93-AG93</f>
        <v>0</v>
      </c>
      <c r="AK93" s="9"/>
      <c r="AL93" s="372">
        <v>0</v>
      </c>
      <c r="AM93" s="375">
        <v>0</v>
      </c>
      <c r="AN93" s="30"/>
      <c r="AO93" s="460"/>
      <c r="AP93" s="460"/>
      <c r="AQ93" s="460"/>
      <c r="AR93" s="460"/>
      <c r="AS93" s="460"/>
      <c r="AT93" s="460"/>
      <c r="AU93" s="460"/>
      <c r="AV93" s="460"/>
      <c r="AW93" s="460"/>
      <c r="AX93" s="460"/>
      <c r="AY93" s="460"/>
      <c r="AZ93" s="460"/>
      <c r="BL93" s="30"/>
    </row>
    <row r="94" spans="1:70" s="461" customFormat="1" ht="39" customHeight="1">
      <c r="A94" s="739">
        <f>+IF(MARZO!A94=0,"",MARZO!A94)</f>
        <v>11303</v>
      </c>
      <c r="B94" s="618" t="str">
        <f>+IF(MARZO!B94=0,"",MARZO!B94)</f>
        <v>Aportes (No ligados a la venta de servicios de salud)</v>
      </c>
      <c r="C94" s="617">
        <f>SUM(C95:C102)</f>
        <v>0</v>
      </c>
      <c r="D94" s="615">
        <f t="shared" ref="D94:N94" si="100">SUM(D95:D102)</f>
        <v>0</v>
      </c>
      <c r="E94" s="615">
        <f t="shared" si="100"/>
        <v>51666127</v>
      </c>
      <c r="F94" s="615">
        <f t="shared" si="100"/>
        <v>51666127</v>
      </c>
      <c r="G94" s="615">
        <f t="shared" si="100"/>
        <v>51666127</v>
      </c>
      <c r="H94" s="615">
        <f t="shared" si="100"/>
        <v>0</v>
      </c>
      <c r="I94" s="615">
        <f t="shared" si="100"/>
        <v>51666127</v>
      </c>
      <c r="J94" s="615">
        <f t="shared" si="100"/>
        <v>51666127</v>
      </c>
      <c r="K94" s="615">
        <f t="shared" si="100"/>
        <v>0</v>
      </c>
      <c r="L94" s="615">
        <f t="shared" si="100"/>
        <v>51666127</v>
      </c>
      <c r="M94" s="615">
        <f t="shared" si="100"/>
        <v>0</v>
      </c>
      <c r="N94" s="616">
        <f t="shared" si="100"/>
        <v>0</v>
      </c>
      <c r="O94" s="382"/>
      <c r="P94" s="43">
        <f>SUM(P95:P102)</f>
        <v>0</v>
      </c>
      <c r="Q94" s="45">
        <f>SUM(Q95:Q102)</f>
        <v>51666127</v>
      </c>
      <c r="R94" s="30"/>
      <c r="S94" s="706" t="str">
        <f>+IF(MARZO!S94=0,"",MARZO!S94)</f>
        <v>1020301-3</v>
      </c>
      <c r="T94" s="682" t="str">
        <f>+IF(MARZO!T94=0,"",MARZO!T94)</f>
        <v>Fondos de cesantías - Aportes cuentas maestras</v>
      </c>
      <c r="U94" s="27">
        <f>+ENERO!U94</f>
        <v>0</v>
      </c>
      <c r="V94" s="15">
        <f>MARZO!V94+ABRIL!AL94</f>
        <v>0</v>
      </c>
      <c r="W94" s="15">
        <f>MARZO!W94+ABRIL!AM94</f>
        <v>0</v>
      </c>
      <c r="X94" s="18">
        <f>SUM(U94:W94)</f>
        <v>0</v>
      </c>
      <c r="Y94" s="19">
        <f>MARZO!AA94</f>
        <v>0</v>
      </c>
      <c r="Z94" s="374">
        <v>0</v>
      </c>
      <c r="AA94" s="18">
        <f>SUM(Y94:Z94)</f>
        <v>0</v>
      </c>
      <c r="AB94" s="19">
        <f>MARZO!AD94</f>
        <v>0</v>
      </c>
      <c r="AC94" s="374">
        <v>0</v>
      </c>
      <c r="AD94" s="18">
        <f>SUM(AB94:AC94)</f>
        <v>0</v>
      </c>
      <c r="AE94" s="19">
        <f>MARZO!AG94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0" t="str">
        <f>+IF(MARZO!A95=0,"",MARZO!A95)</f>
        <v>11303-1</v>
      </c>
      <c r="B95" s="619" t="str">
        <f>+IF(MARZO!B95=0,"",MARZO!B95)</f>
        <v>CONVENIOS CON LA NACION NO LIGADOS A LA VENTA DE SERVICIOS</v>
      </c>
      <c r="C95" s="669">
        <f>+ENERO!C95</f>
        <v>0</v>
      </c>
      <c r="D95" s="373">
        <f>MARZO!D95+ABRIL!P95</f>
        <v>0</v>
      </c>
      <c r="E95" s="373">
        <f>MARZO!E95+ABRIL!Q95</f>
        <v>0</v>
      </c>
      <c r="F95" s="373">
        <f t="shared" ref="F95:F102" si="101">SUM(C95:E95)</f>
        <v>0</v>
      </c>
      <c r="G95" s="373">
        <f>MARZO!I95</f>
        <v>0</v>
      </c>
      <c r="H95" s="374">
        <v>0</v>
      </c>
      <c r="I95" s="373">
        <f t="shared" ref="I95:I102" si="102">SUM(G95:H95)</f>
        <v>0</v>
      </c>
      <c r="J95" s="373">
        <f>MARZO!L95</f>
        <v>0</v>
      </c>
      <c r="K95" s="374">
        <v>0</v>
      </c>
      <c r="L95" s="373">
        <f t="shared" ref="L95:L102" si="103">SUM(J95:K95)</f>
        <v>0</v>
      </c>
      <c r="M95" s="373">
        <f t="shared" ref="M95:M102" si="104">F95-I95</f>
        <v>0</v>
      </c>
      <c r="N95" s="143">
        <f t="shared" ref="N95:N102" si="105">F95-L95</f>
        <v>0</v>
      </c>
      <c r="O95" s="382"/>
      <c r="P95" s="372">
        <v>0</v>
      </c>
      <c r="Q95" s="375">
        <v>0</v>
      </c>
      <c r="R95" s="30"/>
      <c r="S95" s="706" t="str">
        <f>+IF(MARZO!S95=0,"",MARZO!S95)</f>
        <v>1020301-4</v>
      </c>
      <c r="T95" s="682" t="str">
        <f>+IF(MARZO!T95=0,"",MARZO!T95)</f>
        <v>Riesgos laborales - Aportes cuentas maestras</v>
      </c>
      <c r="U95" s="27">
        <f>+ENERO!U95</f>
        <v>0</v>
      </c>
      <c r="V95" s="15">
        <f>MARZO!V95+ABRIL!AL95</f>
        <v>0</v>
      </c>
      <c r="W95" s="15">
        <f>MARZO!W95+ABRIL!AM95</f>
        <v>0</v>
      </c>
      <c r="X95" s="18">
        <f>SUM(U95:W95)</f>
        <v>0</v>
      </c>
      <c r="Y95" s="19">
        <f>MARZO!AA95</f>
        <v>0</v>
      </c>
      <c r="Z95" s="374">
        <v>0</v>
      </c>
      <c r="AA95" s="18">
        <f>SUM(Y95:Z95)</f>
        <v>0</v>
      </c>
      <c r="AB95" s="19">
        <f>MARZO!AD95</f>
        <v>0</v>
      </c>
      <c r="AC95" s="374">
        <v>0</v>
      </c>
      <c r="AD95" s="18">
        <f>SUM(AB95:AC95)</f>
        <v>0</v>
      </c>
      <c r="AE95" s="19">
        <f>MARZO!AG95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0" t="str">
        <f>+IF(MARZO!A96=0,"",MARZO!A96)</f>
        <v>11303-2</v>
      </c>
      <c r="B96" s="619" t="str">
        <f>+IF(MARZO!B96=0,"",MARZO!B96)</f>
        <v>CONVENIOS CON EL DEPARTAMENTO NO LIGADOS A LA VENTA SERVICIOS</v>
      </c>
      <c r="C96" s="669">
        <f>+ENERO!C96</f>
        <v>0</v>
      </c>
      <c r="D96" s="373">
        <f>MARZO!D96+ABRIL!P96</f>
        <v>0</v>
      </c>
      <c r="E96" s="373">
        <f>MARZO!E96+ABRIL!Q96</f>
        <v>0</v>
      </c>
      <c r="F96" s="373">
        <f t="shared" si="101"/>
        <v>0</v>
      </c>
      <c r="G96" s="373">
        <f>MARZO!I96</f>
        <v>0</v>
      </c>
      <c r="H96" s="374">
        <v>0</v>
      </c>
      <c r="I96" s="373">
        <f t="shared" si="102"/>
        <v>0</v>
      </c>
      <c r="J96" s="373">
        <f>MARZO!L96</f>
        <v>0</v>
      </c>
      <c r="K96" s="374">
        <v>0</v>
      </c>
      <c r="L96" s="373">
        <f t="shared" si="103"/>
        <v>0</v>
      </c>
      <c r="M96" s="373">
        <f t="shared" si="104"/>
        <v>0</v>
      </c>
      <c r="N96" s="143">
        <f t="shared" si="105"/>
        <v>0</v>
      </c>
      <c r="O96" s="382"/>
      <c r="P96" s="372">
        <v>0</v>
      </c>
      <c r="Q96" s="375">
        <v>0</v>
      </c>
      <c r="S96" s="705">
        <f>+IF(MARZO!S96=0,"",MARZO!S96)</f>
        <v>1020302</v>
      </c>
      <c r="T96" s="681" t="str">
        <f>+IF(MARZO!T96=0,"",MARZO!T96)</f>
        <v>Contribuciones - Otros</v>
      </c>
      <c r="U96" s="27">
        <f t="shared" ref="U96:AJ96" si="106">SUM(U97:U101)</f>
        <v>259627762</v>
      </c>
      <c r="V96" s="15">
        <f t="shared" si="106"/>
        <v>0</v>
      </c>
      <c r="W96" s="15">
        <f t="shared" si="106"/>
        <v>0</v>
      </c>
      <c r="X96" s="18">
        <f t="shared" si="106"/>
        <v>259627762</v>
      </c>
      <c r="Y96" s="19">
        <f t="shared" si="106"/>
        <v>57625043</v>
      </c>
      <c r="Z96" s="142">
        <f t="shared" si="106"/>
        <v>17549756</v>
      </c>
      <c r="AA96" s="18">
        <f t="shared" si="106"/>
        <v>75174799</v>
      </c>
      <c r="AB96" s="19">
        <f t="shared" si="106"/>
        <v>57625043</v>
      </c>
      <c r="AC96" s="142">
        <f t="shared" si="106"/>
        <v>17549756</v>
      </c>
      <c r="AD96" s="18">
        <f t="shared" si="106"/>
        <v>75174799</v>
      </c>
      <c r="AE96" s="19">
        <f t="shared" si="106"/>
        <v>57625043</v>
      </c>
      <c r="AF96" s="142">
        <f t="shared" si="106"/>
        <v>17549756</v>
      </c>
      <c r="AG96" s="18">
        <f t="shared" si="106"/>
        <v>75174799</v>
      </c>
      <c r="AH96" s="19">
        <f t="shared" si="106"/>
        <v>184452963</v>
      </c>
      <c r="AI96" s="15">
        <f t="shared" si="106"/>
        <v>184452963</v>
      </c>
      <c r="AJ96" s="16">
        <f t="shared" si="106"/>
        <v>184452963</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0" t="str">
        <f>+IF(MARZO!A97=0,"",MARZO!A97)</f>
        <v>11303-3</v>
      </c>
      <c r="B97" s="619" t="str">
        <f>+IF(MARZO!B97=0,"",MARZO!B97)</f>
        <v>CONVENIOS CON EL MUNICIPIO NO LIGADOS A LA VENTA DE SERVICIOS</v>
      </c>
      <c r="C97" s="669">
        <f>+ENERO!C97</f>
        <v>0</v>
      </c>
      <c r="D97" s="373">
        <f>MARZO!D97+ABRIL!P97</f>
        <v>0</v>
      </c>
      <c r="E97" s="373">
        <f>MARZO!E97+ABRIL!Q97</f>
        <v>0</v>
      </c>
      <c r="F97" s="373">
        <f t="shared" si="101"/>
        <v>0</v>
      </c>
      <c r="G97" s="373">
        <f>MARZO!I97</f>
        <v>0</v>
      </c>
      <c r="H97" s="374">
        <v>0</v>
      </c>
      <c r="I97" s="373">
        <f t="shared" si="102"/>
        <v>0</v>
      </c>
      <c r="J97" s="373">
        <f>MARZO!L97</f>
        <v>0</v>
      </c>
      <c r="K97" s="374">
        <v>0</v>
      </c>
      <c r="L97" s="373">
        <f t="shared" si="103"/>
        <v>0</v>
      </c>
      <c r="M97" s="373">
        <f t="shared" si="104"/>
        <v>0</v>
      </c>
      <c r="N97" s="143">
        <f t="shared" si="105"/>
        <v>0</v>
      </c>
      <c r="O97" s="382"/>
      <c r="P97" s="372">
        <v>0</v>
      </c>
      <c r="Q97" s="375">
        <v>0</v>
      </c>
      <c r="R97" s="30"/>
      <c r="S97" s="706" t="str">
        <f>+IF(MARZO!S97=0,"",MARZO!S97)</f>
        <v>1020302-1</v>
      </c>
      <c r="T97" s="682" t="str">
        <f>+IF(MARZO!T97=0,"",MARZO!T97)</f>
        <v>Aportes a E.P.S.- Con sit. Fondos</v>
      </c>
      <c r="U97" s="27">
        <f>+ENERO!U97</f>
        <v>52772649</v>
      </c>
      <c r="V97" s="15">
        <f>MARZO!V97+ABRIL!AL97</f>
        <v>0</v>
      </c>
      <c r="W97" s="15">
        <f>MARZO!W97+ABRIL!AM97</f>
        <v>0</v>
      </c>
      <c r="X97" s="18">
        <f t="shared" ref="X97:X102" si="107">SUM(U97:W97)</f>
        <v>52772649</v>
      </c>
      <c r="Y97" s="19">
        <f>MARZO!AA97</f>
        <v>18585177</v>
      </c>
      <c r="Z97" s="374">
        <v>6237730</v>
      </c>
      <c r="AA97" s="18">
        <f t="shared" ref="AA97:AA102" si="108">SUM(Y97:Z97)</f>
        <v>24822907</v>
      </c>
      <c r="AB97" s="19">
        <f>MARZO!AD97</f>
        <v>18585177</v>
      </c>
      <c r="AC97" s="374">
        <v>6237730</v>
      </c>
      <c r="AD97" s="18">
        <f t="shared" ref="AD97:AD102" si="109">SUM(AB97:AC97)</f>
        <v>24822907</v>
      </c>
      <c r="AE97" s="19">
        <f>MARZO!AG97</f>
        <v>18585177</v>
      </c>
      <c r="AF97" s="374">
        <v>6237730</v>
      </c>
      <c r="AG97" s="18">
        <f t="shared" ref="AG97:AG102" si="110">SUM(AE97:AF97)</f>
        <v>24822907</v>
      </c>
      <c r="AH97" s="19">
        <f t="shared" ref="AH97:AH102" si="111">X97-AA97</f>
        <v>27949742</v>
      </c>
      <c r="AI97" s="15">
        <f t="shared" ref="AI97:AI102" si="112">X97-AD97</f>
        <v>27949742</v>
      </c>
      <c r="AJ97" s="16">
        <f t="shared" ref="AJ97:AJ102" si="113">X97-AG97</f>
        <v>27949742</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0" t="str">
        <f>+IF(MARZO!A98=0,"",MARZO!A98)</f>
        <v>11303-4</v>
      </c>
      <c r="B98" s="619" t="str">
        <f>+IF(MARZO!B98=0,"",MARZO!B98)</f>
        <v>OTROS CONVENIOS NO LIGADOS A LA VENTA DE SERVICIOS</v>
      </c>
      <c r="C98" s="669">
        <f>+ENERO!C98</f>
        <v>0</v>
      </c>
      <c r="D98" s="373">
        <f>MARZO!D98+ABRIL!P98</f>
        <v>0</v>
      </c>
      <c r="E98" s="373">
        <f>MARZO!E98+ABRIL!Q98</f>
        <v>0</v>
      </c>
      <c r="F98" s="373">
        <f t="shared" si="101"/>
        <v>0</v>
      </c>
      <c r="G98" s="373">
        <f>MARZO!I98</f>
        <v>0</v>
      </c>
      <c r="H98" s="374">
        <v>0</v>
      </c>
      <c r="I98" s="373">
        <f t="shared" si="102"/>
        <v>0</v>
      </c>
      <c r="J98" s="373">
        <f>MARZO!L98</f>
        <v>0</v>
      </c>
      <c r="K98" s="374">
        <v>0</v>
      </c>
      <c r="L98" s="373">
        <f t="shared" si="103"/>
        <v>0</v>
      </c>
      <c r="M98" s="373">
        <f t="shared" si="104"/>
        <v>0</v>
      </c>
      <c r="N98" s="143">
        <f t="shared" si="105"/>
        <v>0</v>
      </c>
      <c r="O98" s="382"/>
      <c r="P98" s="372">
        <v>0</v>
      </c>
      <c r="Q98" s="375">
        <v>0</v>
      </c>
      <c r="R98" s="30"/>
      <c r="S98" s="706" t="str">
        <f>+IF(MARZO!S98=0,"",MARZO!S98)</f>
        <v>1020302-2</v>
      </c>
      <c r="T98" s="682" t="str">
        <f>+IF(MARZO!T98=0,"",MARZO!T98)</f>
        <v>Aportes Fondos Pensionales - Con Sit. Fondos</v>
      </c>
      <c r="U98" s="27">
        <f>+ENERO!U98</f>
        <v>103712246</v>
      </c>
      <c r="V98" s="15">
        <f>MARZO!V98+ABRIL!AL98</f>
        <v>0</v>
      </c>
      <c r="W98" s="15">
        <f>MARZO!W98+ABRIL!AM98</f>
        <v>0</v>
      </c>
      <c r="X98" s="18">
        <f t="shared" si="107"/>
        <v>103712246</v>
      </c>
      <c r="Y98" s="19">
        <f>MARZO!AA98</f>
        <v>25667453</v>
      </c>
      <c r="Z98" s="374">
        <v>8175116</v>
      </c>
      <c r="AA98" s="18">
        <f t="shared" si="108"/>
        <v>33842569</v>
      </c>
      <c r="AB98" s="19">
        <f>MARZO!AD98</f>
        <v>25667453</v>
      </c>
      <c r="AC98" s="374">
        <v>8175116</v>
      </c>
      <c r="AD98" s="18">
        <f t="shared" si="109"/>
        <v>33842569</v>
      </c>
      <c r="AE98" s="19">
        <f>MARZO!AG98</f>
        <v>25667453</v>
      </c>
      <c r="AF98" s="374">
        <v>8175116</v>
      </c>
      <c r="AG98" s="18">
        <f t="shared" si="110"/>
        <v>33842569</v>
      </c>
      <c r="AH98" s="19">
        <f t="shared" si="111"/>
        <v>69869677</v>
      </c>
      <c r="AI98" s="15">
        <f t="shared" si="112"/>
        <v>69869677</v>
      </c>
      <c r="AJ98" s="16">
        <f t="shared" si="113"/>
        <v>69869677</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0" t="str">
        <f>+IF(MARZO!A99=0,"",MARZO!A99)</f>
        <v>11303-5</v>
      </c>
      <c r="B99" s="619" t="str">
        <f>+IF(MARZO!B99=0,"",MARZO!B99)</f>
        <v>APORTES PATRONALES - MUNICIPIO / DEPARTAMENTO</v>
      </c>
      <c r="C99" s="669">
        <f>+ENERO!C99</f>
        <v>0</v>
      </c>
      <c r="D99" s="373">
        <f>MARZO!D99+ABRIL!P99</f>
        <v>0</v>
      </c>
      <c r="E99" s="373">
        <f>MARZO!E99+ABRIL!Q99</f>
        <v>0</v>
      </c>
      <c r="F99" s="373">
        <f t="shared" si="101"/>
        <v>0</v>
      </c>
      <c r="G99" s="373">
        <f>MARZO!I99</f>
        <v>0</v>
      </c>
      <c r="H99" s="670">
        <v>0</v>
      </c>
      <c r="I99" s="373">
        <f t="shared" si="102"/>
        <v>0</v>
      </c>
      <c r="J99" s="373">
        <f>MARZO!L99</f>
        <v>0</v>
      </c>
      <c r="K99" s="670">
        <v>0</v>
      </c>
      <c r="L99" s="373">
        <f t="shared" si="103"/>
        <v>0</v>
      </c>
      <c r="M99" s="373">
        <f t="shared" si="104"/>
        <v>0</v>
      </c>
      <c r="N99" s="143">
        <f t="shared" si="105"/>
        <v>0</v>
      </c>
      <c r="O99" s="382"/>
      <c r="P99" s="671">
        <v>0</v>
      </c>
      <c r="Q99" s="672">
        <v>0</v>
      </c>
      <c r="R99" s="30"/>
      <c r="S99" s="706" t="str">
        <f>+IF(MARZO!S99=0,"",MARZO!S99)</f>
        <v>1020302-3</v>
      </c>
      <c r="T99" s="682" t="str">
        <f>+IF(MARZO!T99=0,"",MARZO!T99)</f>
        <v xml:space="preserve">Aportes a Fondos de Cesantia - Con Sit. de Fondos </v>
      </c>
      <c r="U99" s="27">
        <f>+ENERO!U99</f>
        <v>72193404</v>
      </c>
      <c r="V99" s="15">
        <f>MARZO!V99+ABRIL!AL99</f>
        <v>0</v>
      </c>
      <c r="W99" s="15">
        <f>MARZO!W99+ABRIL!AM99</f>
        <v>0</v>
      </c>
      <c r="X99" s="18">
        <f t="shared" si="107"/>
        <v>72193404</v>
      </c>
      <c r="Y99" s="19">
        <f>MARZO!AA99</f>
        <v>0</v>
      </c>
      <c r="Z99" s="374">
        <v>0</v>
      </c>
      <c r="AA99" s="18">
        <f t="shared" si="108"/>
        <v>0</v>
      </c>
      <c r="AB99" s="19">
        <f>MARZO!AD99</f>
        <v>0</v>
      </c>
      <c r="AC99" s="374">
        <v>0</v>
      </c>
      <c r="AD99" s="18">
        <f t="shared" si="109"/>
        <v>0</v>
      </c>
      <c r="AE99" s="19">
        <f>MARZO!AG99</f>
        <v>0</v>
      </c>
      <c r="AF99" s="374">
        <v>0</v>
      </c>
      <c r="AG99" s="18">
        <f t="shared" si="110"/>
        <v>0</v>
      </c>
      <c r="AH99" s="19">
        <f t="shared" si="111"/>
        <v>72193404</v>
      </c>
      <c r="AI99" s="15">
        <f t="shared" si="112"/>
        <v>72193404</v>
      </c>
      <c r="AJ99" s="16">
        <f t="shared" si="113"/>
        <v>72193404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0" t="str">
        <f>+IF(MARZO!A100=0,"",MARZO!A100)</f>
        <v>11303-6</v>
      </c>
      <c r="B100" s="619" t="str">
        <f>+IF(MARZO!B100=0,"",MARZO!B100)</f>
        <v>RECURSOS PARA PROGRAMA DE SANEAMIENTO FINANCIERO</v>
      </c>
      <c r="C100" s="669">
        <f>+ENERO!C100</f>
        <v>0</v>
      </c>
      <c r="D100" s="373">
        <f>MARZO!D100+ABRIL!P100</f>
        <v>0</v>
      </c>
      <c r="E100" s="373">
        <f>MARZO!E100+ABRIL!Q100</f>
        <v>0</v>
      </c>
      <c r="F100" s="373">
        <f t="shared" si="101"/>
        <v>0</v>
      </c>
      <c r="G100" s="373">
        <f>MARZO!I100</f>
        <v>0</v>
      </c>
      <c r="H100" s="374">
        <v>0</v>
      </c>
      <c r="I100" s="373">
        <f t="shared" si="102"/>
        <v>0</v>
      </c>
      <c r="J100" s="373">
        <f>MARZO!L100</f>
        <v>0</v>
      </c>
      <c r="K100" s="374">
        <v>0</v>
      </c>
      <c r="L100" s="373">
        <f t="shared" si="103"/>
        <v>0</v>
      </c>
      <c r="M100" s="373">
        <f t="shared" si="104"/>
        <v>0</v>
      </c>
      <c r="N100" s="143">
        <f t="shared" si="105"/>
        <v>0</v>
      </c>
      <c r="P100" s="372">
        <v>0</v>
      </c>
      <c r="Q100" s="375">
        <v>0</v>
      </c>
      <c r="R100" s="9"/>
      <c r="S100" s="706" t="str">
        <f>+IF(MARZO!S100=0,"",MARZO!S100)</f>
        <v>1020302-4</v>
      </c>
      <c r="T100" s="682" t="str">
        <f>+IF(MARZO!T100=0,"",MARZO!T100)</f>
        <v>Aporte a ARL. - Con Sit. de Fondos</v>
      </c>
      <c r="U100" s="27">
        <f>+ENERO!U100</f>
        <v>20885552</v>
      </c>
      <c r="V100" s="15">
        <f>MARZO!V100+ABRIL!AL100</f>
        <v>0</v>
      </c>
      <c r="W100" s="15">
        <f>MARZO!W100+ABRIL!AM100</f>
        <v>0</v>
      </c>
      <c r="X100" s="18">
        <f t="shared" si="107"/>
        <v>20885552</v>
      </c>
      <c r="Y100" s="19">
        <f>MARZO!AA100</f>
        <v>4703406</v>
      </c>
      <c r="Z100" s="374">
        <v>1742006</v>
      </c>
      <c r="AA100" s="18">
        <f t="shared" si="108"/>
        <v>6445412</v>
      </c>
      <c r="AB100" s="19">
        <f>MARZO!AD100</f>
        <v>4703406</v>
      </c>
      <c r="AC100" s="374">
        <v>1742006</v>
      </c>
      <c r="AD100" s="18">
        <f t="shared" si="109"/>
        <v>6445412</v>
      </c>
      <c r="AE100" s="19">
        <f>MARZO!AG100</f>
        <v>4703406</v>
      </c>
      <c r="AF100" s="374">
        <v>1742006</v>
      </c>
      <c r="AG100" s="18">
        <f t="shared" si="110"/>
        <v>6445412</v>
      </c>
      <c r="AH100" s="19">
        <f t="shared" si="111"/>
        <v>14440140</v>
      </c>
      <c r="AI100" s="15">
        <f t="shared" si="112"/>
        <v>14440140</v>
      </c>
      <c r="AJ100" s="16">
        <f t="shared" si="113"/>
        <v>14440140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0" t="str">
        <f>+IF(MARZO!A101=0,"",MARZO!A101)</f>
        <v>11303-7</v>
      </c>
      <c r="B101" s="619" t="str">
        <f>+IF(MARZO!B101=0,"",MARZO!B101)</f>
        <v/>
      </c>
      <c r="C101" s="669">
        <f>+ENERO!C101</f>
        <v>0</v>
      </c>
      <c r="D101" s="373">
        <f>MARZO!D101+ABRIL!P101</f>
        <v>0</v>
      </c>
      <c r="E101" s="373">
        <f>MARZO!E101+ABRIL!Q101</f>
        <v>0</v>
      </c>
      <c r="F101" s="373">
        <f t="shared" si="101"/>
        <v>0</v>
      </c>
      <c r="G101" s="373">
        <f>MARZO!I101</f>
        <v>0</v>
      </c>
      <c r="H101" s="374">
        <v>0</v>
      </c>
      <c r="I101" s="373">
        <f t="shared" si="102"/>
        <v>0</v>
      </c>
      <c r="J101" s="373">
        <f>MARZO!L101</f>
        <v>0</v>
      </c>
      <c r="K101" s="374">
        <v>0</v>
      </c>
      <c r="L101" s="373">
        <f t="shared" si="103"/>
        <v>0</v>
      </c>
      <c r="M101" s="373">
        <f t="shared" si="104"/>
        <v>0</v>
      </c>
      <c r="N101" s="143">
        <f t="shared" si="105"/>
        <v>0</v>
      </c>
      <c r="P101" s="372">
        <v>0</v>
      </c>
      <c r="Q101" s="375">
        <v>0</v>
      </c>
      <c r="R101" s="9"/>
      <c r="S101" s="706" t="str">
        <f>+IF(MARZO!S101=0,"",MARZO!S101)</f>
        <v>1020302-5</v>
      </c>
      <c r="T101" s="682" t="str">
        <f>+IF(MARZO!T101=0,"",MARZO!T101)</f>
        <v>Aporte a Caja Compensación Familiar</v>
      </c>
      <c r="U101" s="27">
        <f>+ENERO!U101</f>
        <v>10063911</v>
      </c>
      <c r="V101" s="15">
        <f>MARZO!V101+ABRIL!AL101</f>
        <v>0</v>
      </c>
      <c r="W101" s="15">
        <f>MARZO!W101+ABRIL!AM101</f>
        <v>0</v>
      </c>
      <c r="X101" s="18">
        <f t="shared" si="107"/>
        <v>10063911</v>
      </c>
      <c r="Y101" s="19">
        <f>MARZO!AA101</f>
        <v>8669007</v>
      </c>
      <c r="Z101" s="374">
        <v>1394904</v>
      </c>
      <c r="AA101" s="18">
        <f t="shared" si="108"/>
        <v>10063911</v>
      </c>
      <c r="AB101" s="19">
        <f>MARZO!AD101</f>
        <v>8669007</v>
      </c>
      <c r="AC101" s="374">
        <v>1394904</v>
      </c>
      <c r="AD101" s="18">
        <f t="shared" si="109"/>
        <v>10063911</v>
      </c>
      <c r="AE101" s="19">
        <f>MARZO!AG101</f>
        <v>8669007</v>
      </c>
      <c r="AF101" s="374">
        <v>1394904</v>
      </c>
      <c r="AG101" s="18">
        <f t="shared" si="110"/>
        <v>10063911</v>
      </c>
      <c r="AH101" s="19">
        <f t="shared" si="111"/>
        <v>0</v>
      </c>
      <c r="AI101" s="15">
        <f t="shared" si="112"/>
        <v>0</v>
      </c>
      <c r="AJ101" s="16">
        <f t="shared" si="113"/>
        <v>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tr">
        <f>+IF(MARZO!A102=0,"",MARZO!A102)</f>
        <v>11303-8</v>
      </c>
      <c r="B102" s="628" t="str">
        <f>+IF(MARZO!B102=0,"",MARZO!B102)</f>
        <v>Vigencia Anterior</v>
      </c>
      <c r="C102" s="770">
        <f>+ENERO!C102</f>
        <v>0</v>
      </c>
      <c r="D102" s="385">
        <f>MARZO!D102+ABRIL!P102</f>
        <v>0</v>
      </c>
      <c r="E102" s="385">
        <f>MARZO!E102+ABRIL!Q102</f>
        <v>51666127</v>
      </c>
      <c r="F102" s="385">
        <f t="shared" si="101"/>
        <v>51666127</v>
      </c>
      <c r="G102" s="385">
        <f>MARZO!I102</f>
        <v>51666127</v>
      </c>
      <c r="H102" s="388">
        <v>0</v>
      </c>
      <c r="I102" s="385">
        <f t="shared" si="102"/>
        <v>51666127</v>
      </c>
      <c r="J102" s="385">
        <f>MARZO!L102</f>
        <v>51666127</v>
      </c>
      <c r="K102" s="388">
        <v>0</v>
      </c>
      <c r="L102" s="385">
        <f t="shared" si="103"/>
        <v>51666127</v>
      </c>
      <c r="M102" s="385">
        <f t="shared" si="104"/>
        <v>0</v>
      </c>
      <c r="N102" s="386">
        <f t="shared" si="105"/>
        <v>0</v>
      </c>
      <c r="P102" s="372">
        <v>0</v>
      </c>
      <c r="Q102" s="375">
        <v>51666127</v>
      </c>
      <c r="R102" s="9"/>
      <c r="S102" s="705">
        <f>+IF(MARZO!S102=0,"",MARZO!S102)</f>
        <v>1020399</v>
      </c>
      <c r="T102" s="681" t="str">
        <f>+IF(MARZO!T102=0,"",MARZO!T102)</f>
        <v>Vigencias Anteriores</v>
      </c>
      <c r="U102" s="27">
        <f>+ENERO!U102</f>
        <v>0</v>
      </c>
      <c r="V102" s="15">
        <f>MARZO!V102+ABRIL!AL102</f>
        <v>-78539920</v>
      </c>
      <c r="W102" s="15">
        <f>MARZO!W102+ABRIL!AM102</f>
        <v>78539920</v>
      </c>
      <c r="X102" s="18">
        <f t="shared" si="107"/>
        <v>0</v>
      </c>
      <c r="Y102" s="19">
        <f>MARZO!AA102</f>
        <v>0</v>
      </c>
      <c r="Z102" s="374">
        <v>0</v>
      </c>
      <c r="AA102" s="18">
        <f t="shared" si="108"/>
        <v>0</v>
      </c>
      <c r="AB102" s="19">
        <f>MARZO!AD102</f>
        <v>0</v>
      </c>
      <c r="AC102" s="374">
        <v>0</v>
      </c>
      <c r="AD102" s="18">
        <f t="shared" si="109"/>
        <v>0</v>
      </c>
      <c r="AE102" s="19">
        <f>MARZO!AG102</f>
        <v>0</v>
      </c>
      <c r="AF102" s="374">
        <v>0</v>
      </c>
      <c r="AG102" s="18">
        <f t="shared" si="110"/>
        <v>0</v>
      </c>
      <c r="AH102" s="19">
        <f t="shared" si="111"/>
        <v>0</v>
      </c>
      <c r="AI102" s="15">
        <f t="shared" si="112"/>
        <v>0</v>
      </c>
      <c r="AJ102" s="16">
        <f t="shared" si="113"/>
        <v>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1" t="str">
        <f>+IF(MARZO!A103=0,"",MARZO!A103)</f>
        <v/>
      </c>
      <c r="B103" s="653" t="str">
        <f>+IF(MARZO!B103=0,"",MARZO!B103)</f>
        <v/>
      </c>
      <c r="C103" s="480"/>
      <c r="D103" s="480"/>
      <c r="E103" s="480"/>
      <c r="F103" s="480"/>
      <c r="G103" s="480"/>
      <c r="H103" s="480"/>
      <c r="I103" s="480"/>
      <c r="J103" s="480"/>
      <c r="K103" s="480"/>
      <c r="L103" s="480"/>
      <c r="M103" s="480"/>
      <c r="N103" s="481"/>
      <c r="P103" s="482"/>
      <c r="Q103" s="481"/>
      <c r="R103" s="9"/>
      <c r="S103" s="366" t="str">
        <f>+IF(MARZO!S103=0,"",MARZO!S103)</f>
        <v/>
      </c>
      <c r="T103" s="695"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39">
        <f>+IF(MARZO!A104=0,"",MARZO!A104)</f>
        <v>11304</v>
      </c>
      <c r="B104" s="618" t="str">
        <f>+IF(MARZO!B104=0,"",MARZO!B104)</f>
        <v>Otros ingresos corrientes</v>
      </c>
      <c r="C104" s="617">
        <f>SUM(C105:C111)</f>
        <v>667440000</v>
      </c>
      <c r="D104" s="615">
        <f t="shared" ref="D104:N104" si="114">SUM(D105:D111)</f>
        <v>0</v>
      </c>
      <c r="E104" s="615">
        <f t="shared" si="114"/>
        <v>10022226</v>
      </c>
      <c r="F104" s="615">
        <f t="shared" si="114"/>
        <v>677462226</v>
      </c>
      <c r="G104" s="615">
        <f t="shared" si="114"/>
        <v>788292348</v>
      </c>
      <c r="H104" s="615">
        <f t="shared" si="114"/>
        <v>167990778</v>
      </c>
      <c r="I104" s="615">
        <f t="shared" si="114"/>
        <v>956283126</v>
      </c>
      <c r="J104" s="615">
        <f t="shared" si="114"/>
        <v>108557427</v>
      </c>
      <c r="K104" s="615">
        <f t="shared" si="114"/>
        <v>57065071</v>
      </c>
      <c r="L104" s="615">
        <f t="shared" si="114"/>
        <v>165622498</v>
      </c>
      <c r="M104" s="615">
        <f t="shared" si="114"/>
        <v>-278820900</v>
      </c>
      <c r="N104" s="616">
        <f t="shared" si="114"/>
        <v>511839728</v>
      </c>
      <c r="P104" s="43">
        <f>SUM(P105:P111)</f>
        <v>0</v>
      </c>
      <c r="Q104" s="45">
        <f>SUM(Q105:Q111)</f>
        <v>10022226</v>
      </c>
      <c r="R104" s="9"/>
      <c r="S104" s="704">
        <f>+IF(MARZO!S104=0,"",MARZO!S104)</f>
        <v>1020400</v>
      </c>
      <c r="T104" s="680" t="str">
        <f>+IF(MARZO!T104=0,"",MARZO!T104)</f>
        <v>Contribuciones Inherentes nómina del Sector Publico</v>
      </c>
      <c r="U104" s="132">
        <f t="shared" ref="U104:AJ104" si="115">U105+U108</f>
        <v>43075476</v>
      </c>
      <c r="V104" s="122">
        <f t="shared" si="115"/>
        <v>0</v>
      </c>
      <c r="W104" s="122">
        <f t="shared" si="115"/>
        <v>0</v>
      </c>
      <c r="X104" s="129">
        <f t="shared" si="115"/>
        <v>43075476</v>
      </c>
      <c r="Y104" s="128">
        <f t="shared" si="115"/>
        <v>10839269</v>
      </c>
      <c r="Z104" s="122">
        <f t="shared" si="115"/>
        <v>3798427</v>
      </c>
      <c r="AA104" s="129">
        <f t="shared" si="115"/>
        <v>14637696</v>
      </c>
      <c r="AB104" s="128">
        <f t="shared" si="115"/>
        <v>10839269</v>
      </c>
      <c r="AC104" s="122">
        <f t="shared" si="115"/>
        <v>3798427</v>
      </c>
      <c r="AD104" s="129">
        <f t="shared" si="115"/>
        <v>14637696</v>
      </c>
      <c r="AE104" s="128">
        <f t="shared" si="115"/>
        <v>10839269</v>
      </c>
      <c r="AF104" s="122">
        <f t="shared" si="115"/>
        <v>3798427</v>
      </c>
      <c r="AG104" s="129">
        <f t="shared" si="115"/>
        <v>14637696</v>
      </c>
      <c r="AH104" s="128">
        <f t="shared" si="115"/>
        <v>28437780</v>
      </c>
      <c r="AI104" s="122">
        <f t="shared" si="115"/>
        <v>28437780</v>
      </c>
      <c r="AJ104" s="130">
        <f t="shared" si="115"/>
        <v>28437780</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0" t="str">
        <f>+IF(MARZO!A105=0,"",MARZO!A105)</f>
        <v>11304-1</v>
      </c>
      <c r="B105" s="619" t="str">
        <f>+IF(MARZO!B105=0,"",MARZO!B105)</f>
        <v>ARRENDAMIENTO Y ALQUILER DE BIENES MUEBLES E INMUEBLES</v>
      </c>
      <c r="C105" s="669">
        <f>+ENERO!C105</f>
        <v>667440000</v>
      </c>
      <c r="D105" s="373">
        <f>MARZO!D105+ABRIL!P105</f>
        <v>0</v>
      </c>
      <c r="E105" s="373">
        <f>MARZO!E105+ABRIL!Q105</f>
        <v>0</v>
      </c>
      <c r="F105" s="373">
        <f t="shared" ref="F105:F111" si="116">SUM(C105:E105)</f>
        <v>667440000</v>
      </c>
      <c r="G105" s="373">
        <f>MARZO!I105</f>
        <v>768411824</v>
      </c>
      <c r="H105" s="374">
        <v>110925707</v>
      </c>
      <c r="I105" s="373">
        <f t="shared" ref="I105:I111" si="117">SUM(G105:H105)</f>
        <v>879337531</v>
      </c>
      <c r="J105" s="373">
        <f>MARZO!L105</f>
        <v>88676903</v>
      </c>
      <c r="K105" s="374">
        <v>0</v>
      </c>
      <c r="L105" s="373">
        <f t="shared" ref="L105:L111" si="118">SUM(J105:K105)</f>
        <v>88676903</v>
      </c>
      <c r="M105" s="373">
        <f t="shared" ref="M105:M111" si="119">F105-I105</f>
        <v>-211897531</v>
      </c>
      <c r="N105" s="143">
        <f t="shared" ref="N105:N111" si="120">F105-L105</f>
        <v>578763097</v>
      </c>
      <c r="P105" s="372">
        <v>0</v>
      </c>
      <c r="Q105" s="375">
        <v>0</v>
      </c>
      <c r="R105" s="9"/>
      <c r="S105" s="705">
        <f>+IF(MARZO!S105=0,"",MARZO!S105)</f>
        <v>1020402</v>
      </c>
      <c r="T105" s="681" t="str">
        <f>+IF(MARZO!T105=0,"",MARZO!T105)</f>
        <v>Contribuciones - Otros</v>
      </c>
      <c r="U105" s="27">
        <f t="shared" ref="U105:AJ105" si="121">SUM(U106:U107)</f>
        <v>43075476</v>
      </c>
      <c r="V105" s="15">
        <f t="shared" si="121"/>
        <v>0</v>
      </c>
      <c r="W105" s="15">
        <f t="shared" si="121"/>
        <v>0</v>
      </c>
      <c r="X105" s="18">
        <f t="shared" si="121"/>
        <v>43075476</v>
      </c>
      <c r="Y105" s="19">
        <f t="shared" si="121"/>
        <v>10839269</v>
      </c>
      <c r="Z105" s="142">
        <f t="shared" si="121"/>
        <v>3798427</v>
      </c>
      <c r="AA105" s="18">
        <f t="shared" si="121"/>
        <v>14637696</v>
      </c>
      <c r="AB105" s="19">
        <f t="shared" si="121"/>
        <v>10839269</v>
      </c>
      <c r="AC105" s="142">
        <f t="shared" si="121"/>
        <v>3798427</v>
      </c>
      <c r="AD105" s="18">
        <f t="shared" si="121"/>
        <v>14637696</v>
      </c>
      <c r="AE105" s="19">
        <f t="shared" si="121"/>
        <v>10839269</v>
      </c>
      <c r="AF105" s="142">
        <f t="shared" si="121"/>
        <v>3798427</v>
      </c>
      <c r="AG105" s="18">
        <f t="shared" si="121"/>
        <v>14637696</v>
      </c>
      <c r="AH105" s="19">
        <f t="shared" si="121"/>
        <v>28437780</v>
      </c>
      <c r="AI105" s="15">
        <f t="shared" si="121"/>
        <v>28437780</v>
      </c>
      <c r="AJ105" s="16">
        <f t="shared" si="121"/>
        <v>28437780</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0" t="str">
        <f>+IF(MARZO!A106=0,"",MARZO!A106)</f>
        <v>11304-2</v>
      </c>
      <c r="B106" s="620" t="str">
        <f>+IF(MARZO!B106=0,"",MARZO!B106)</f>
        <v>COMERCIALIZACIÓN DE MERCANCÍAS</v>
      </c>
      <c r="C106" s="669">
        <f>+ENERO!C106</f>
        <v>0</v>
      </c>
      <c r="D106" s="373">
        <f>MARZO!D106+ABRIL!P106</f>
        <v>0</v>
      </c>
      <c r="E106" s="373">
        <f>MARZO!E106+ABRIL!Q106</f>
        <v>0</v>
      </c>
      <c r="F106" s="373">
        <f t="shared" si="116"/>
        <v>0</v>
      </c>
      <c r="G106" s="373">
        <f>MARZO!I106</f>
        <v>0</v>
      </c>
      <c r="H106" s="374">
        <v>0</v>
      </c>
      <c r="I106" s="373">
        <f t="shared" si="117"/>
        <v>0</v>
      </c>
      <c r="J106" s="373">
        <f>MARZO!L106</f>
        <v>0</v>
      </c>
      <c r="K106" s="374">
        <v>0</v>
      </c>
      <c r="L106" s="373">
        <f t="shared" si="118"/>
        <v>0</v>
      </c>
      <c r="M106" s="373">
        <f t="shared" si="119"/>
        <v>0</v>
      </c>
      <c r="N106" s="143">
        <f t="shared" si="120"/>
        <v>0</v>
      </c>
      <c r="P106" s="372">
        <v>0</v>
      </c>
      <c r="Q106" s="375">
        <v>0</v>
      </c>
      <c r="R106" s="9"/>
      <c r="S106" s="706" t="str">
        <f>+IF(MARZO!S106=0,"",MARZO!S106)</f>
        <v>1020402-1</v>
      </c>
      <c r="T106" s="681" t="str">
        <f>+IF(MARZO!T106=0,"",MARZO!T106)</f>
        <v>S.E.N.A.</v>
      </c>
      <c r="U106" s="27">
        <f>+ENERO!U106</f>
        <v>25928061</v>
      </c>
      <c r="V106" s="15">
        <f>MARZO!V106+ABRIL!AL106</f>
        <v>0</v>
      </c>
      <c r="W106" s="15">
        <f>MARZO!W106+ABRIL!AM106</f>
        <v>0</v>
      </c>
      <c r="X106" s="18">
        <f>SUM(U106:W106)</f>
        <v>25928061</v>
      </c>
      <c r="Y106" s="19">
        <f>MARZO!AA106</f>
        <v>4335999</v>
      </c>
      <c r="Z106" s="374">
        <v>1687865</v>
      </c>
      <c r="AA106" s="18">
        <f>SUM(Y106:Z106)</f>
        <v>6023864</v>
      </c>
      <c r="AB106" s="19">
        <f>MARZO!AD106</f>
        <v>4335999</v>
      </c>
      <c r="AC106" s="374">
        <v>1687865</v>
      </c>
      <c r="AD106" s="18">
        <f>SUM(AB106:AC106)</f>
        <v>6023864</v>
      </c>
      <c r="AE106" s="19">
        <f>MARZO!AG106</f>
        <v>4335999</v>
      </c>
      <c r="AF106" s="374">
        <v>1687865</v>
      </c>
      <c r="AG106" s="18">
        <f>SUM(AE106:AF106)</f>
        <v>6023864</v>
      </c>
      <c r="AH106" s="19">
        <f>X106-AA106</f>
        <v>19904197</v>
      </c>
      <c r="AI106" s="15">
        <f>X106-AD106</f>
        <v>19904197</v>
      </c>
      <c r="AJ106" s="16">
        <f>X106-AG106</f>
        <v>19904197</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0" t="str">
        <f>+IF(MARZO!A107=0,"",MARZO!A107)</f>
        <v>11304-3</v>
      </c>
      <c r="B107" s="619" t="str">
        <f>+IF(MARZO!B107=0,"",MARZO!B107)</f>
        <v>Bienestar Social</v>
      </c>
      <c r="C107" s="669">
        <f>+ENERO!C107</f>
        <v>0</v>
      </c>
      <c r="D107" s="373">
        <f>MARZO!D107+ABRIL!P107</f>
        <v>0</v>
      </c>
      <c r="E107" s="373">
        <f>MARZO!E107+ABRIL!Q107</f>
        <v>0</v>
      </c>
      <c r="F107" s="373">
        <f t="shared" si="116"/>
        <v>0</v>
      </c>
      <c r="G107" s="373">
        <f>MARZO!I107</f>
        <v>445983</v>
      </c>
      <c r="H107" s="374">
        <v>0</v>
      </c>
      <c r="I107" s="373">
        <f t="shared" si="117"/>
        <v>445983</v>
      </c>
      <c r="J107" s="373">
        <f>MARZO!L107</f>
        <v>445983</v>
      </c>
      <c r="K107" s="374">
        <v>0</v>
      </c>
      <c r="L107" s="373">
        <f t="shared" si="118"/>
        <v>445983</v>
      </c>
      <c r="M107" s="373">
        <f t="shared" si="119"/>
        <v>-445983</v>
      </c>
      <c r="N107" s="143">
        <f t="shared" si="120"/>
        <v>-445983</v>
      </c>
      <c r="P107" s="372">
        <v>0</v>
      </c>
      <c r="Q107" s="375">
        <v>0</v>
      </c>
      <c r="R107" s="9"/>
      <c r="S107" s="706" t="str">
        <f>+IF(MARZO!S107=0,"",MARZO!S107)</f>
        <v>1020402-2</v>
      </c>
      <c r="T107" s="681" t="str">
        <f>+IF(MARZO!T107=0,"",MARZO!T107)</f>
        <v>I.C.B.F.</v>
      </c>
      <c r="U107" s="27">
        <f>+ENERO!U107</f>
        <v>17147415</v>
      </c>
      <c r="V107" s="15">
        <f>MARZO!V107+ABRIL!AL107</f>
        <v>0</v>
      </c>
      <c r="W107" s="15">
        <f>MARZO!W107+ABRIL!AM107</f>
        <v>0</v>
      </c>
      <c r="X107" s="18">
        <f>SUM(U107:W107)</f>
        <v>17147415</v>
      </c>
      <c r="Y107" s="19">
        <f>MARZO!AA107</f>
        <v>6503270</v>
      </c>
      <c r="Z107" s="374">
        <v>2110562</v>
      </c>
      <c r="AA107" s="18">
        <f>SUM(Y107:Z107)</f>
        <v>8613832</v>
      </c>
      <c r="AB107" s="19">
        <f>MARZO!AD107</f>
        <v>6503270</v>
      </c>
      <c r="AC107" s="374">
        <v>2110562</v>
      </c>
      <c r="AD107" s="18">
        <f>SUM(AB107:AC107)</f>
        <v>8613832</v>
      </c>
      <c r="AE107" s="19">
        <f>MARZO!AG107</f>
        <v>6503270</v>
      </c>
      <c r="AF107" s="374">
        <v>2110562</v>
      </c>
      <c r="AG107" s="18">
        <f>SUM(AE107:AF107)</f>
        <v>8613832</v>
      </c>
      <c r="AH107" s="19">
        <f>X107-AA107</f>
        <v>8533583</v>
      </c>
      <c r="AI107" s="15">
        <f>X107-AD107</f>
        <v>8533583</v>
      </c>
      <c r="AJ107" s="16">
        <f>X107-AG107</f>
        <v>8533583</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0" t="str">
        <f>+IF(MARZO!A108=0,"",MARZO!A108)</f>
        <v>11304-4</v>
      </c>
      <c r="B108" s="619" t="str">
        <f>+IF(MARZO!B108=0,"",MARZO!B108)</f>
        <v>Fondo de la Vivienda</v>
      </c>
      <c r="C108" s="669">
        <f>+ENERO!C108</f>
        <v>0</v>
      </c>
      <c r="D108" s="373">
        <f>MARZO!D108+ABRIL!P108</f>
        <v>0</v>
      </c>
      <c r="E108" s="373">
        <f>MARZO!E108+ABRIL!Q108</f>
        <v>0</v>
      </c>
      <c r="F108" s="373">
        <f t="shared" si="116"/>
        <v>0</v>
      </c>
      <c r="G108" s="373">
        <f>MARZO!I108</f>
        <v>8100937</v>
      </c>
      <c r="H108" s="374">
        <v>1891880</v>
      </c>
      <c r="I108" s="373">
        <f t="shared" si="117"/>
        <v>9992817</v>
      </c>
      <c r="J108" s="373">
        <f>MARZO!L108</f>
        <v>8100937</v>
      </c>
      <c r="K108" s="374">
        <v>1891880</v>
      </c>
      <c r="L108" s="373">
        <f t="shared" si="118"/>
        <v>9992817</v>
      </c>
      <c r="M108" s="373">
        <f t="shared" si="119"/>
        <v>-9992817</v>
      </c>
      <c r="N108" s="143">
        <f t="shared" si="120"/>
        <v>-9992817</v>
      </c>
      <c r="P108" s="372">
        <v>0</v>
      </c>
      <c r="Q108" s="375">
        <v>0</v>
      </c>
      <c r="R108" s="9"/>
      <c r="S108" s="705">
        <f>+IF(MARZO!S108=0,"",MARZO!S108)</f>
        <v>1020499</v>
      </c>
      <c r="T108" s="681" t="str">
        <f>+IF(MARZO!T108=0,"",MARZO!T108)</f>
        <v>Vigencias Anteriores</v>
      </c>
      <c r="U108" s="27">
        <f>+ENERO!U108</f>
        <v>0</v>
      </c>
      <c r="V108" s="15">
        <f>MARZO!V108+ABRIL!AL108</f>
        <v>0</v>
      </c>
      <c r="W108" s="15">
        <f>MARZO!W108+ABRIL!AM108</f>
        <v>0</v>
      </c>
      <c r="X108" s="18">
        <f>SUM(U108:W108)</f>
        <v>0</v>
      </c>
      <c r="Y108" s="19">
        <f>MARZO!AA108</f>
        <v>0</v>
      </c>
      <c r="Z108" s="374">
        <v>0</v>
      </c>
      <c r="AA108" s="18">
        <f>SUM(Y108:Z108)</f>
        <v>0</v>
      </c>
      <c r="AB108" s="19">
        <f>MARZO!AD108</f>
        <v>0</v>
      </c>
      <c r="AC108" s="374">
        <v>0</v>
      </c>
      <c r="AD108" s="18">
        <f>SUM(AB108:AC108)</f>
        <v>0</v>
      </c>
      <c r="AE108" s="19">
        <f>MARZO!AG108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0" t="str">
        <f>+IF(MARZO!A109=0,"",MARZO!A109)</f>
        <v>11304-5</v>
      </c>
      <c r="B109" s="619" t="str">
        <f>+IF(MARZO!B109=0,"",MARZO!B109)</f>
        <v xml:space="preserve">Aprovechamientos </v>
      </c>
      <c r="C109" s="669">
        <f>+ENERO!C109</f>
        <v>0</v>
      </c>
      <c r="D109" s="373">
        <f>MARZO!D109+ABRIL!P109</f>
        <v>0</v>
      </c>
      <c r="E109" s="373">
        <f>MARZO!E109+ABRIL!Q109</f>
        <v>0</v>
      </c>
      <c r="F109" s="373">
        <f t="shared" si="116"/>
        <v>0</v>
      </c>
      <c r="G109" s="373">
        <f>MARZO!I109</f>
        <v>0</v>
      </c>
      <c r="H109" s="374">
        <v>0</v>
      </c>
      <c r="I109" s="373">
        <f t="shared" si="117"/>
        <v>0</v>
      </c>
      <c r="J109" s="373">
        <f>MARZO!L109</f>
        <v>0</v>
      </c>
      <c r="K109" s="374">
        <v>0</v>
      </c>
      <c r="L109" s="373">
        <f t="shared" si="118"/>
        <v>0</v>
      </c>
      <c r="M109" s="373">
        <f t="shared" si="119"/>
        <v>0</v>
      </c>
      <c r="N109" s="143">
        <f t="shared" si="120"/>
        <v>0</v>
      </c>
      <c r="P109" s="372">
        <v>0</v>
      </c>
      <c r="Q109" s="375">
        <v>0</v>
      </c>
      <c r="R109" s="9"/>
      <c r="S109" s="366" t="str">
        <f>+IF(MARZO!S109=0,"",MARZO!S109)</f>
        <v/>
      </c>
      <c r="T109" s="695"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0" t="str">
        <f>+IF(MARZO!A110=0,"",MARZO!A110)</f>
        <v>11304-6</v>
      </c>
      <c r="B110" s="619" t="str">
        <f>+IF(MARZO!B110=0,"",MARZO!B110)</f>
        <v>Otros</v>
      </c>
      <c r="C110" s="669">
        <f>+ENERO!C110</f>
        <v>0</v>
      </c>
      <c r="D110" s="373">
        <f>MARZO!D110+ABRIL!P110</f>
        <v>0</v>
      </c>
      <c r="E110" s="373">
        <f>MARZO!E110+ABRIL!Q110</f>
        <v>10022226</v>
      </c>
      <c r="F110" s="373">
        <f t="shared" si="116"/>
        <v>10022226</v>
      </c>
      <c r="G110" s="373">
        <f>MARZO!I110</f>
        <v>11333604</v>
      </c>
      <c r="H110" s="374">
        <v>55173191</v>
      </c>
      <c r="I110" s="373">
        <f t="shared" si="117"/>
        <v>66506795</v>
      </c>
      <c r="J110" s="373">
        <f>MARZO!L110</f>
        <v>11333604</v>
      </c>
      <c r="K110" s="374">
        <v>55173191</v>
      </c>
      <c r="L110" s="373">
        <f t="shared" si="118"/>
        <v>66506795</v>
      </c>
      <c r="M110" s="373">
        <f t="shared" si="119"/>
        <v>-56484569</v>
      </c>
      <c r="N110" s="143">
        <f t="shared" si="120"/>
        <v>-56484569</v>
      </c>
      <c r="P110" s="372">
        <v>0</v>
      </c>
      <c r="Q110" s="375">
        <v>10022226</v>
      </c>
      <c r="R110" s="9"/>
      <c r="S110" s="703">
        <f>+IF(MARZO!S110=0,"",MARZO!S110)</f>
        <v>2000000</v>
      </c>
      <c r="T110" s="685" t="str">
        <f>+IF(MARZO!T110=0,"",MARZO!T110)</f>
        <v>GASTOS GENERALES</v>
      </c>
      <c r="U110" s="470">
        <f t="shared" ref="U110:AJ110" si="122">U112+U145</f>
        <v>7574161274</v>
      </c>
      <c r="V110" s="471">
        <f t="shared" si="122"/>
        <v>389680328</v>
      </c>
      <c r="W110" s="471">
        <f t="shared" si="122"/>
        <v>3086156707</v>
      </c>
      <c r="X110" s="472">
        <f t="shared" si="122"/>
        <v>11049998309</v>
      </c>
      <c r="Y110" s="379">
        <f t="shared" si="122"/>
        <v>6217237796</v>
      </c>
      <c r="Z110" s="471">
        <f t="shared" si="122"/>
        <v>354848212</v>
      </c>
      <c r="AA110" s="472">
        <f t="shared" si="122"/>
        <v>6572086008</v>
      </c>
      <c r="AB110" s="379">
        <f t="shared" si="122"/>
        <v>2655869391</v>
      </c>
      <c r="AC110" s="471">
        <f t="shared" si="122"/>
        <v>669260846</v>
      </c>
      <c r="AD110" s="472">
        <f t="shared" si="122"/>
        <v>3325130237</v>
      </c>
      <c r="AE110" s="379">
        <f t="shared" si="122"/>
        <v>1546434843</v>
      </c>
      <c r="AF110" s="471">
        <f t="shared" si="122"/>
        <v>316546024</v>
      </c>
      <c r="AG110" s="472">
        <f t="shared" si="122"/>
        <v>1862980867</v>
      </c>
      <c r="AH110" s="379">
        <f t="shared" si="122"/>
        <v>4477912301</v>
      </c>
      <c r="AI110" s="471">
        <f t="shared" si="122"/>
        <v>7724868072</v>
      </c>
      <c r="AJ110" s="380">
        <f t="shared" si="122"/>
        <v>9187017442</v>
      </c>
      <c r="AK110" s="10"/>
      <c r="AL110" s="128">
        <f>AL112+AL145</f>
        <v>-100100000</v>
      </c>
      <c r="AM110" s="130">
        <f>AM112+AM145</f>
        <v>2100000000</v>
      </c>
      <c r="AN110" s="9"/>
      <c r="AO110" s="294"/>
      <c r="AP110" s="294"/>
      <c r="AQ110" s="294"/>
      <c r="AR110" s="294"/>
      <c r="AS110" s="294"/>
      <c r="AT110" s="294"/>
      <c r="AU110" s="294"/>
      <c r="AV110" s="294"/>
      <c r="AW110" s="294"/>
      <c r="AX110" s="294"/>
      <c r="AY110" s="294"/>
      <c r="AZ110" s="294"/>
    </row>
    <row r="111" spans="1:70" s="382" customFormat="1" ht="24.95" customHeight="1" thickBot="1">
      <c r="A111" s="740" t="str">
        <f>+IF(MARZO!A111=0,"",MARZO!A111)</f>
        <v>11304-7</v>
      </c>
      <c r="B111" s="654" t="str">
        <f>+IF(MARZO!B111=0,"",MARZO!B111)</f>
        <v>Vigencia Anterior</v>
      </c>
      <c r="C111" s="770">
        <f>+ENERO!C111</f>
        <v>0</v>
      </c>
      <c r="D111" s="385">
        <f>MARZO!D111+ABRIL!P111</f>
        <v>0</v>
      </c>
      <c r="E111" s="385">
        <f>MARZO!E111+ABRIL!Q111</f>
        <v>0</v>
      </c>
      <c r="F111" s="385">
        <f t="shared" si="116"/>
        <v>0</v>
      </c>
      <c r="G111" s="385">
        <f>MARZO!I111</f>
        <v>0</v>
      </c>
      <c r="H111" s="388">
        <v>0</v>
      </c>
      <c r="I111" s="385">
        <f t="shared" si="117"/>
        <v>0</v>
      </c>
      <c r="J111" s="385">
        <f>MARZO!L111</f>
        <v>0</v>
      </c>
      <c r="K111" s="388">
        <v>0</v>
      </c>
      <c r="L111" s="385">
        <f t="shared" si="118"/>
        <v>0</v>
      </c>
      <c r="M111" s="385">
        <f t="shared" si="119"/>
        <v>0</v>
      </c>
      <c r="N111" s="386">
        <f t="shared" si="120"/>
        <v>0</v>
      </c>
      <c r="P111" s="372">
        <v>0</v>
      </c>
      <c r="Q111" s="375">
        <v>0</v>
      </c>
      <c r="R111" s="9"/>
      <c r="S111" s="366" t="str">
        <f>+IF(MARZO!S111=0,"",MARZO!S111)</f>
        <v/>
      </c>
      <c r="T111" s="695" t="str">
        <f>+IF(MARZO!T111=0,"",MARZO!T111)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1" t="str">
        <f>+IF(MARZO!A112=0,"",MARZO!A112)</f>
        <v/>
      </c>
      <c r="B112" s="653" t="str">
        <f>+IF(MARZO!B112=0,"",MARZO!B112)</f>
        <v/>
      </c>
      <c r="C112" s="480"/>
      <c r="D112" s="480"/>
      <c r="E112" s="480"/>
      <c r="F112" s="480"/>
      <c r="G112" s="480"/>
      <c r="H112" s="480"/>
      <c r="I112" s="480"/>
      <c r="J112" s="480"/>
      <c r="K112" s="480"/>
      <c r="L112" s="480"/>
      <c r="M112" s="480"/>
      <c r="N112" s="481"/>
      <c r="P112" s="482"/>
      <c r="Q112" s="481"/>
      <c r="R112" s="9"/>
      <c r="S112" s="703">
        <f>+IF(MARZO!S112=0,"",MARZO!S112)</f>
        <v>2010000</v>
      </c>
      <c r="T112" s="679" t="str">
        <f>+IF(MARZO!T112=0,"",MARZO!T112)</f>
        <v>Gastos de Administración</v>
      </c>
      <c r="U112" s="132">
        <f t="shared" ref="U112:AJ112" si="123">U114+U123+U141</f>
        <v>4915028612</v>
      </c>
      <c r="V112" s="122">
        <f t="shared" si="123"/>
        <v>605627907</v>
      </c>
      <c r="W112" s="122">
        <f t="shared" si="123"/>
        <v>1436156707</v>
      </c>
      <c r="X112" s="129">
        <f t="shared" si="123"/>
        <v>6956813226</v>
      </c>
      <c r="Y112" s="128">
        <f t="shared" si="123"/>
        <v>5068458043</v>
      </c>
      <c r="Z112" s="122">
        <f t="shared" si="123"/>
        <v>123452295</v>
      </c>
      <c r="AA112" s="129">
        <f t="shared" si="123"/>
        <v>5191910338</v>
      </c>
      <c r="AB112" s="128">
        <f t="shared" si="123"/>
        <v>2088627505</v>
      </c>
      <c r="AC112" s="122">
        <f t="shared" si="123"/>
        <v>430850162</v>
      </c>
      <c r="AD112" s="129">
        <f t="shared" si="123"/>
        <v>2519477667</v>
      </c>
      <c r="AE112" s="128">
        <f t="shared" si="123"/>
        <v>1179683547</v>
      </c>
      <c r="AF112" s="122">
        <f t="shared" si="123"/>
        <v>272447206</v>
      </c>
      <c r="AG112" s="129">
        <f t="shared" si="123"/>
        <v>1452130753</v>
      </c>
      <c r="AH112" s="128">
        <f t="shared" si="123"/>
        <v>1764902888</v>
      </c>
      <c r="AI112" s="122">
        <f t="shared" si="123"/>
        <v>4437335559</v>
      </c>
      <c r="AJ112" s="130">
        <f t="shared" si="123"/>
        <v>5504682473</v>
      </c>
      <c r="AK112" s="9"/>
      <c r="AL112" s="128">
        <f>AL114+AL123+AL141</f>
        <v>-100100000</v>
      </c>
      <c r="AM112" s="130">
        <f>AM114+AM123+AM141</f>
        <v>600000000</v>
      </c>
      <c r="AN112" s="9"/>
      <c r="AO112" s="294"/>
      <c r="AP112" s="294"/>
      <c r="AQ112" s="294"/>
      <c r="AR112" s="294"/>
      <c r="AS112" s="294"/>
      <c r="AT112" s="294"/>
      <c r="AU112" s="294"/>
      <c r="AV112" s="294"/>
      <c r="AW112" s="294"/>
      <c r="AX112" s="294"/>
      <c r="AY112" s="294"/>
      <c r="AZ112" s="294"/>
    </row>
    <row r="113" spans="1:52" s="382" customFormat="1" ht="24.95" customHeight="1" thickBot="1">
      <c r="A113" s="730">
        <f>+IF(MARZO!A113=0,"",MARZO!A113)</f>
        <v>2000</v>
      </c>
      <c r="B113" s="640" t="str">
        <f>+IF(MARZO!B113=0,"",MARZO!B113)</f>
        <v>INGRESOS DE CAPITAL</v>
      </c>
      <c r="C113" s="623">
        <f>SUM(C115:C124)</f>
        <v>9052927194</v>
      </c>
      <c r="D113" s="624">
        <f>SUM(D115:D124)</f>
        <v>0</v>
      </c>
      <c r="E113" s="624">
        <f t="shared" ref="E113:N113" si="124">SUM(E115:E124)</f>
        <v>1411839</v>
      </c>
      <c r="F113" s="624">
        <f t="shared" si="124"/>
        <v>9054339033</v>
      </c>
      <c r="G113" s="624">
        <f t="shared" si="124"/>
        <v>1541328</v>
      </c>
      <c r="H113" s="624">
        <f t="shared" si="124"/>
        <v>57746</v>
      </c>
      <c r="I113" s="624">
        <f t="shared" si="124"/>
        <v>1599074</v>
      </c>
      <c r="J113" s="624">
        <f t="shared" si="124"/>
        <v>1541328</v>
      </c>
      <c r="K113" s="624">
        <f t="shared" si="124"/>
        <v>57746</v>
      </c>
      <c r="L113" s="624">
        <f t="shared" si="124"/>
        <v>1599074</v>
      </c>
      <c r="M113" s="624">
        <f t="shared" si="124"/>
        <v>9052739959</v>
      </c>
      <c r="N113" s="625">
        <f t="shared" si="124"/>
        <v>9052739959</v>
      </c>
      <c r="O113" s="461"/>
      <c r="P113" s="174">
        <f>SUM(P115:P124)</f>
        <v>0</v>
      </c>
      <c r="Q113" s="175">
        <f>SUM(Q115:Q124)</f>
        <v>0</v>
      </c>
      <c r="R113" s="9"/>
      <c r="S113" s="366" t="str">
        <f>+IF(MARZO!S113=0,"",MARZO!S113)</f>
        <v/>
      </c>
      <c r="T113" s="695" t="str">
        <f>+IF(MARZO!T113=0,"",MARZO!T113)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1" t="str">
        <f>+IF(MARZO!A114=0,"",MARZO!A114)</f>
        <v/>
      </c>
      <c r="B114" s="653" t="str">
        <f>+IF(MARZO!B114=0,"",MARZO!B114)</f>
        <v/>
      </c>
      <c r="C114" s="480"/>
      <c r="D114" s="480"/>
      <c r="E114" s="480"/>
      <c r="F114" s="480"/>
      <c r="G114" s="480"/>
      <c r="H114" s="480"/>
      <c r="I114" s="480"/>
      <c r="J114" s="480"/>
      <c r="K114" s="480"/>
      <c r="L114" s="480"/>
      <c r="M114" s="480"/>
      <c r="N114" s="481"/>
      <c r="P114" s="482"/>
      <c r="Q114" s="481"/>
      <c r="R114" s="9"/>
      <c r="S114" s="704">
        <f>+IF(MARZO!S114=0,"",MARZO!S114)</f>
        <v>2010100</v>
      </c>
      <c r="T114" s="680" t="str">
        <f>+IF(MARZO!T114=0,"",MARZO!T114)</f>
        <v>Adquisición de bienes</v>
      </c>
      <c r="U114" s="132">
        <f t="shared" ref="U114:AJ114" si="125">SUM(U115:U121)</f>
        <v>256200000</v>
      </c>
      <c r="V114" s="122">
        <f t="shared" si="125"/>
        <v>-7200430</v>
      </c>
      <c r="W114" s="122">
        <f t="shared" si="125"/>
        <v>280000000</v>
      </c>
      <c r="X114" s="129">
        <f t="shared" si="125"/>
        <v>528999570</v>
      </c>
      <c r="Y114" s="128">
        <f t="shared" si="125"/>
        <v>259167825</v>
      </c>
      <c r="Z114" s="122">
        <f t="shared" si="125"/>
        <v>19854672</v>
      </c>
      <c r="AA114" s="129">
        <f t="shared" si="125"/>
        <v>279022497</v>
      </c>
      <c r="AB114" s="128">
        <f t="shared" si="125"/>
        <v>188738958</v>
      </c>
      <c r="AC114" s="122">
        <f t="shared" si="125"/>
        <v>19797076</v>
      </c>
      <c r="AD114" s="129">
        <f t="shared" si="125"/>
        <v>208536034</v>
      </c>
      <c r="AE114" s="128">
        <f t="shared" si="125"/>
        <v>106411705</v>
      </c>
      <c r="AF114" s="122">
        <f t="shared" si="125"/>
        <v>60181606</v>
      </c>
      <c r="AG114" s="129">
        <f t="shared" si="125"/>
        <v>166593311</v>
      </c>
      <c r="AH114" s="128">
        <f t="shared" si="125"/>
        <v>249977073</v>
      </c>
      <c r="AI114" s="122">
        <f t="shared" si="125"/>
        <v>320463536</v>
      </c>
      <c r="AJ114" s="130">
        <f t="shared" si="125"/>
        <v>362406259</v>
      </c>
      <c r="AK114" s="9"/>
      <c r="AL114" s="128">
        <f>SUM(AL115:AL121)</f>
        <v>0</v>
      </c>
      <c r="AM114" s="130">
        <f>SUM(AM115:AM121)</f>
        <v>100000000</v>
      </c>
      <c r="AN114" s="9"/>
      <c r="AO114" s="294"/>
      <c r="AP114" s="294"/>
      <c r="AQ114" s="294"/>
      <c r="AR114" s="294"/>
      <c r="AS114" s="294"/>
      <c r="AT114" s="294"/>
      <c r="AU114" s="294"/>
      <c r="AV114" s="294"/>
      <c r="AW114" s="294"/>
      <c r="AX114" s="294"/>
      <c r="AY114" s="294"/>
      <c r="AZ114" s="294"/>
    </row>
    <row r="115" spans="1:52" s="382" customFormat="1" ht="24.95" customHeight="1">
      <c r="A115" s="742">
        <f>+IF(MARZO!A115=0,"",MARZO!A115)</f>
        <v>2100</v>
      </c>
      <c r="B115" s="626" t="str">
        <f>+IF(MARZO!B115=0,"",MARZO!B115)</f>
        <v>CREDITO INTERNO</v>
      </c>
      <c r="C115" s="671">
        <f>+ENERO!C115</f>
        <v>0</v>
      </c>
      <c r="D115" s="464">
        <f>MARZO!D115+ABRIL!P115</f>
        <v>0</v>
      </c>
      <c r="E115" s="464">
        <f>MARZO!E115+ABRIL!Q115</f>
        <v>0</v>
      </c>
      <c r="F115" s="468">
        <f t="shared" ref="F115:F124" si="126">SUM(C115:E115)</f>
        <v>0</v>
      </c>
      <c r="G115" s="466">
        <f>MARZO!I115</f>
        <v>0</v>
      </c>
      <c r="H115" s="374">
        <v>0</v>
      </c>
      <c r="I115" s="468">
        <f t="shared" ref="I115:I124" si="127">SUM(G115:H115)</f>
        <v>0</v>
      </c>
      <c r="J115" s="466">
        <f>MARZO!L115</f>
        <v>0</v>
      </c>
      <c r="K115" s="374">
        <v>0</v>
      </c>
      <c r="L115" s="465">
        <f t="shared" ref="L115:L124" si="128">SUM(J115:K115)</f>
        <v>0</v>
      </c>
      <c r="M115" s="469">
        <f t="shared" ref="M115:M124" si="129">F115-I115</f>
        <v>0</v>
      </c>
      <c r="N115" s="465">
        <f t="shared" ref="N115:N124" si="130">F115-L115</f>
        <v>0</v>
      </c>
      <c r="O115" s="461"/>
      <c r="P115" s="372">
        <v>0</v>
      </c>
      <c r="Q115" s="375">
        <v>0</v>
      </c>
      <c r="R115" s="9"/>
      <c r="S115" s="705" t="str">
        <f>+IF(MARZO!S115=0,"",MARZO!S115)</f>
        <v>2010100-1</v>
      </c>
      <c r="T115" s="681" t="str">
        <f>+IF(MARZO!T115=0,"",MARZO!T115)</f>
        <v>Compra de Equipos</v>
      </c>
      <c r="U115" s="27">
        <f>+ENERO!U115</f>
        <v>175000000</v>
      </c>
      <c r="V115" s="15">
        <f>MARZO!V115+ABRIL!AL115</f>
        <v>0</v>
      </c>
      <c r="W115" s="15">
        <f>MARZO!W115+ABRIL!AM115</f>
        <v>0</v>
      </c>
      <c r="X115" s="18">
        <f t="shared" ref="X115:X121" si="131">SUM(U115:W115)</f>
        <v>175000000</v>
      </c>
      <c r="Y115" s="19">
        <f>MARZO!AA115</f>
        <v>47516470</v>
      </c>
      <c r="Z115" s="374">
        <v>0</v>
      </c>
      <c r="AA115" s="18">
        <f t="shared" ref="AA115:AA121" si="132">SUM(Y115:Z115)</f>
        <v>47516470</v>
      </c>
      <c r="AB115" s="19">
        <f>MARZO!AD115</f>
        <v>42482770</v>
      </c>
      <c r="AC115" s="374">
        <v>0</v>
      </c>
      <c r="AD115" s="18">
        <f t="shared" ref="AD115:AD121" si="133">SUM(AB115:AC115)</f>
        <v>42482770</v>
      </c>
      <c r="AE115" s="19">
        <f>MARZO!AG115</f>
        <v>3116317</v>
      </c>
      <c r="AF115" s="374">
        <v>39135490</v>
      </c>
      <c r="AG115" s="18">
        <f t="shared" ref="AG115:AG121" si="134">SUM(AE115:AF115)</f>
        <v>42251807</v>
      </c>
      <c r="AH115" s="19">
        <f t="shared" ref="AH115:AH121" si="135">X115-AA115</f>
        <v>127483530</v>
      </c>
      <c r="AI115" s="15">
        <f t="shared" ref="AI115:AI121" si="136">X115-AD115</f>
        <v>132517230</v>
      </c>
      <c r="AJ115" s="16">
        <f t="shared" ref="AJ115:AJ121" si="137">X115-AG115</f>
        <v>132748193</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2" t="str">
        <f>+IF(MARZO!A116=0,"",MARZO!A116)</f>
        <v>2100-1</v>
      </c>
      <c r="B116" s="627" t="str">
        <f>+IF(MARZO!B116=0,"",MARZO!B116)</f>
        <v>Vigencia Anterior</v>
      </c>
      <c r="C116" s="671">
        <f>+ENERO!C116</f>
        <v>0</v>
      </c>
      <c r="D116" s="464">
        <f>MARZO!D116+ABRIL!P116</f>
        <v>0</v>
      </c>
      <c r="E116" s="464">
        <f>MARZO!E116+ABRIL!Q116</f>
        <v>0</v>
      </c>
      <c r="F116" s="468">
        <f t="shared" si="126"/>
        <v>0</v>
      </c>
      <c r="G116" s="466">
        <f>MARZO!I116</f>
        <v>0</v>
      </c>
      <c r="H116" s="374">
        <v>0</v>
      </c>
      <c r="I116" s="468">
        <f t="shared" si="127"/>
        <v>0</v>
      </c>
      <c r="J116" s="466">
        <f>MARZO!L116</f>
        <v>0</v>
      </c>
      <c r="K116" s="374">
        <v>0</v>
      </c>
      <c r="L116" s="465">
        <f t="shared" si="128"/>
        <v>0</v>
      </c>
      <c r="M116" s="469">
        <f t="shared" si="129"/>
        <v>0</v>
      </c>
      <c r="N116" s="465">
        <f t="shared" si="130"/>
        <v>0</v>
      </c>
      <c r="O116" s="461"/>
      <c r="P116" s="372">
        <v>0</v>
      </c>
      <c r="Q116" s="375">
        <v>0</v>
      </c>
      <c r="R116" s="9"/>
      <c r="S116" s="705" t="str">
        <f>+IF(MARZO!S116=0,"",MARZO!S116)</f>
        <v>2010100-2</v>
      </c>
      <c r="T116" s="681" t="str">
        <f>+IF(MARZO!T116=0,"",MARZO!T116)</f>
        <v>Materiales</v>
      </c>
      <c r="U116" s="27">
        <f>+ENERO!U116</f>
        <v>76200000</v>
      </c>
      <c r="V116" s="15">
        <f>MARZO!V116+ABRIL!AL116</f>
        <v>0</v>
      </c>
      <c r="W116" s="15">
        <f>MARZO!W116+ABRIL!AM116</f>
        <v>80000000</v>
      </c>
      <c r="X116" s="18">
        <f t="shared" si="131"/>
        <v>156200000</v>
      </c>
      <c r="Y116" s="19">
        <f>MARZO!AA116</f>
        <v>118776640</v>
      </c>
      <c r="Z116" s="374">
        <v>1496823</v>
      </c>
      <c r="AA116" s="18">
        <f t="shared" si="132"/>
        <v>120273463</v>
      </c>
      <c r="AB116" s="19">
        <f>MARZO!AD116</f>
        <v>53381473</v>
      </c>
      <c r="AC116" s="374">
        <v>1439227</v>
      </c>
      <c r="AD116" s="18">
        <f t="shared" si="133"/>
        <v>54820700</v>
      </c>
      <c r="AE116" s="19">
        <f>MARZO!AG116</f>
        <v>10420673</v>
      </c>
      <c r="AF116" s="374">
        <v>2886267</v>
      </c>
      <c r="AG116" s="18">
        <f t="shared" si="134"/>
        <v>13306940</v>
      </c>
      <c r="AH116" s="19">
        <f t="shared" si="135"/>
        <v>35926537</v>
      </c>
      <c r="AI116" s="15">
        <f t="shared" si="136"/>
        <v>101379300</v>
      </c>
      <c r="AJ116" s="16">
        <f t="shared" si="137"/>
        <v>142893060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2">
        <f>+IF(MARZO!A117=0,"",MARZO!A117)</f>
        <v>2200</v>
      </c>
      <c r="B117" s="626" t="str">
        <f>+IF(MARZO!B117=0,"",MARZO!B117)</f>
        <v>CREDITO EXTERNO</v>
      </c>
      <c r="C117" s="671">
        <f>+ENERO!C117</f>
        <v>0</v>
      </c>
      <c r="D117" s="464">
        <f>MARZO!D117+ABRIL!P117</f>
        <v>0</v>
      </c>
      <c r="E117" s="464">
        <f>MARZO!E117+ABRIL!Q117</f>
        <v>0</v>
      </c>
      <c r="F117" s="468">
        <f t="shared" si="126"/>
        <v>0</v>
      </c>
      <c r="G117" s="466">
        <f>MARZO!I117</f>
        <v>0</v>
      </c>
      <c r="H117" s="374">
        <v>0</v>
      </c>
      <c r="I117" s="468">
        <f t="shared" si="127"/>
        <v>0</v>
      </c>
      <c r="J117" s="466">
        <f>MARZO!L117</f>
        <v>0</v>
      </c>
      <c r="K117" s="374">
        <v>0</v>
      </c>
      <c r="L117" s="465">
        <f t="shared" si="128"/>
        <v>0</v>
      </c>
      <c r="M117" s="469">
        <f t="shared" si="129"/>
        <v>0</v>
      </c>
      <c r="N117" s="465">
        <f t="shared" si="130"/>
        <v>0</v>
      </c>
      <c r="O117" s="461"/>
      <c r="P117" s="372">
        <v>0</v>
      </c>
      <c r="Q117" s="375">
        <v>0</v>
      </c>
      <c r="R117" s="9"/>
      <c r="S117" s="705" t="str">
        <f>+IF(MARZO!S117=0,"",MARZO!S117)</f>
        <v>2010100-3</v>
      </c>
      <c r="T117" s="681" t="str">
        <f>+IF(MARZO!T117=0,"",MARZO!T117)</f>
        <v>Salud Ocupacional</v>
      </c>
      <c r="U117" s="27">
        <f>+ENERO!U117</f>
        <v>5000000</v>
      </c>
      <c r="V117" s="15">
        <f>MARZO!V117+ABRIL!AL117</f>
        <v>0</v>
      </c>
      <c r="W117" s="15">
        <f>MARZO!W117+ABRIL!AM117</f>
        <v>0</v>
      </c>
      <c r="X117" s="18">
        <f t="shared" si="131"/>
        <v>5000000</v>
      </c>
      <c r="Y117" s="19">
        <f>MARZO!AA117</f>
        <v>75145</v>
      </c>
      <c r="Z117" s="374">
        <v>198000</v>
      </c>
      <c r="AA117" s="18">
        <f t="shared" si="132"/>
        <v>273145</v>
      </c>
      <c r="AB117" s="19">
        <f>MARZO!AD117</f>
        <v>75145</v>
      </c>
      <c r="AC117" s="374">
        <v>198000</v>
      </c>
      <c r="AD117" s="18">
        <f t="shared" si="133"/>
        <v>273145</v>
      </c>
      <c r="AE117" s="19">
        <f>MARZO!AG117</f>
        <v>75145</v>
      </c>
      <c r="AF117" s="374">
        <v>0</v>
      </c>
      <c r="AG117" s="18">
        <f t="shared" si="134"/>
        <v>75145</v>
      </c>
      <c r="AH117" s="19">
        <f t="shared" si="135"/>
        <v>4726855</v>
      </c>
      <c r="AI117" s="15">
        <f t="shared" si="136"/>
        <v>4726855</v>
      </c>
      <c r="AJ117" s="16">
        <f t="shared" si="137"/>
        <v>4924855</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3" t="str">
        <f>+IF(MARZO!A118=0,"",MARZO!A118)</f>
        <v>2200-1</v>
      </c>
      <c r="B118" s="627" t="str">
        <f>+IF(MARZO!B118=0,"",MARZO!B118)</f>
        <v>Vigencia Anterior</v>
      </c>
      <c r="C118" s="671">
        <f>+ENERO!C118</f>
        <v>0</v>
      </c>
      <c r="D118" s="464">
        <f>MARZO!D118+ABRIL!P118</f>
        <v>0</v>
      </c>
      <c r="E118" s="464">
        <f>MARZO!E118+ABRIL!Q118</f>
        <v>0</v>
      </c>
      <c r="F118" s="468">
        <f t="shared" si="126"/>
        <v>0</v>
      </c>
      <c r="G118" s="466">
        <f>MARZO!I118</f>
        <v>0</v>
      </c>
      <c r="H118" s="374">
        <v>0</v>
      </c>
      <c r="I118" s="468">
        <f t="shared" si="127"/>
        <v>0</v>
      </c>
      <c r="J118" s="466">
        <f>MARZO!L118</f>
        <v>0</v>
      </c>
      <c r="K118" s="374">
        <v>0</v>
      </c>
      <c r="L118" s="465">
        <f t="shared" si="128"/>
        <v>0</v>
      </c>
      <c r="M118" s="469">
        <f t="shared" si="129"/>
        <v>0</v>
      </c>
      <c r="N118" s="465">
        <f t="shared" si="130"/>
        <v>0</v>
      </c>
      <c r="O118" s="461"/>
      <c r="P118" s="372">
        <v>0</v>
      </c>
      <c r="Q118" s="375">
        <v>0</v>
      </c>
      <c r="R118" s="9"/>
      <c r="S118" s="705" t="str">
        <f>+IF(MARZO!S118=0,"",MARZO!S118)</f>
        <v>2010100-4</v>
      </c>
      <c r="T118" s="681" t="str">
        <f>+IF(MARZO!T118=0,"",MARZO!T118)</f>
        <v/>
      </c>
      <c r="U118" s="27">
        <f>+ENERO!U118</f>
        <v>0</v>
      </c>
      <c r="V118" s="15">
        <f>MARZO!V118+ABRIL!AL118</f>
        <v>0</v>
      </c>
      <c r="W118" s="15">
        <f>MARZO!W118+ABRIL!AM118</f>
        <v>0</v>
      </c>
      <c r="X118" s="18">
        <f t="shared" si="131"/>
        <v>0</v>
      </c>
      <c r="Y118" s="19">
        <f>MARZO!AA118</f>
        <v>0</v>
      </c>
      <c r="Z118" s="374">
        <v>0</v>
      </c>
      <c r="AA118" s="18">
        <f t="shared" si="132"/>
        <v>0</v>
      </c>
      <c r="AB118" s="19">
        <f>MARZO!AD118</f>
        <v>0</v>
      </c>
      <c r="AC118" s="374">
        <v>0</v>
      </c>
      <c r="AD118" s="18">
        <f t="shared" si="133"/>
        <v>0</v>
      </c>
      <c r="AE118" s="19">
        <f>MARZO!AG118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2">
        <f>+IF(MARZO!A119=0,"",MARZO!A119)</f>
        <v>2300</v>
      </c>
      <c r="B119" s="626" t="str">
        <f>+IF(MARZO!B119=0,"",MARZO!B119)</f>
        <v>RENDIMIENTOS FINANCIEROS</v>
      </c>
      <c r="C119" s="671">
        <f>+ENERO!C119</f>
        <v>0</v>
      </c>
      <c r="D119" s="464">
        <f>MARZO!D119+ABRIL!P119</f>
        <v>0</v>
      </c>
      <c r="E119" s="464">
        <f>MARZO!E119+ABRIL!Q119</f>
        <v>1411839</v>
      </c>
      <c r="F119" s="468">
        <f t="shared" si="126"/>
        <v>1411839</v>
      </c>
      <c r="G119" s="219">
        <f>MARZO!I119</f>
        <v>1541328</v>
      </c>
      <c r="H119" s="374">
        <v>57746</v>
      </c>
      <c r="I119" s="473">
        <f t="shared" si="127"/>
        <v>1599074</v>
      </c>
      <c r="J119" s="219">
        <f>MARZO!L119</f>
        <v>1541328</v>
      </c>
      <c r="K119" s="374">
        <v>57746</v>
      </c>
      <c r="L119" s="143">
        <f t="shared" si="128"/>
        <v>1599074</v>
      </c>
      <c r="M119" s="438">
        <f t="shared" si="129"/>
        <v>-187235</v>
      </c>
      <c r="N119" s="143">
        <f t="shared" si="130"/>
        <v>-187235</v>
      </c>
      <c r="O119" s="461"/>
      <c r="P119" s="372">
        <v>0</v>
      </c>
      <c r="Q119" s="375">
        <v>0</v>
      </c>
      <c r="R119" s="9"/>
      <c r="S119" s="705" t="str">
        <f>+IF(MARZO!S119=0,"",MARZO!S119)</f>
        <v>2010100-5</v>
      </c>
      <c r="T119" s="681" t="str">
        <f>+IF(MARZO!T119=0,"",MARZO!T119)</f>
        <v/>
      </c>
      <c r="U119" s="27">
        <f>+ENERO!U119</f>
        <v>0</v>
      </c>
      <c r="V119" s="15">
        <f>MARZO!V119+ABRIL!AL119</f>
        <v>0</v>
      </c>
      <c r="W119" s="15">
        <f>MARZO!W119+ABRIL!AM119</f>
        <v>0</v>
      </c>
      <c r="X119" s="18">
        <f t="shared" si="131"/>
        <v>0</v>
      </c>
      <c r="Y119" s="19">
        <f>MARZO!AA119</f>
        <v>0</v>
      </c>
      <c r="Z119" s="374">
        <v>0</v>
      </c>
      <c r="AA119" s="18">
        <f t="shared" si="132"/>
        <v>0</v>
      </c>
      <c r="AB119" s="19">
        <f>MARZO!AD119</f>
        <v>0</v>
      </c>
      <c r="AC119" s="374">
        <v>0</v>
      </c>
      <c r="AD119" s="18">
        <f t="shared" si="133"/>
        <v>0</v>
      </c>
      <c r="AE119" s="19">
        <f>MARZO!AG119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4">
        <f>+IF(MARZO!A120=0,"",MARZO!A120)</f>
        <v>2400</v>
      </c>
      <c r="B120" s="627" t="str">
        <f>+IF(MARZO!B120=0,"",MARZO!B120)</f>
        <v>VENTA DE ACTIVOS</v>
      </c>
      <c r="C120" s="671">
        <f>+ENERO!C120</f>
        <v>0</v>
      </c>
      <c r="D120" s="464">
        <f>MARZO!D120+ABRIL!P120</f>
        <v>0</v>
      </c>
      <c r="E120" s="464">
        <f>MARZO!E120+ABRIL!Q120</f>
        <v>0</v>
      </c>
      <c r="F120" s="468">
        <f t="shared" si="126"/>
        <v>0</v>
      </c>
      <c r="G120" s="219">
        <f>MARZO!I120</f>
        <v>0</v>
      </c>
      <c r="H120" s="374">
        <v>0</v>
      </c>
      <c r="I120" s="473">
        <f t="shared" si="127"/>
        <v>0</v>
      </c>
      <c r="J120" s="219">
        <f>MARZO!L120</f>
        <v>0</v>
      </c>
      <c r="K120" s="374">
        <v>0</v>
      </c>
      <c r="L120" s="143">
        <f t="shared" si="128"/>
        <v>0</v>
      </c>
      <c r="M120" s="438">
        <f t="shared" si="129"/>
        <v>0</v>
      </c>
      <c r="N120" s="143">
        <f t="shared" si="130"/>
        <v>0</v>
      </c>
      <c r="P120" s="372">
        <v>0</v>
      </c>
      <c r="Q120" s="375">
        <v>0</v>
      </c>
      <c r="R120" s="9"/>
      <c r="S120" s="705" t="str">
        <f>+IF(MARZO!S120=0,"",MARZO!S120)</f>
        <v>2010100-6</v>
      </c>
      <c r="T120" s="681" t="str">
        <f>+IF(MARZO!T120=0,"",MARZO!T120)</f>
        <v/>
      </c>
      <c r="U120" s="27">
        <f>+ENERO!U120</f>
        <v>0</v>
      </c>
      <c r="V120" s="15">
        <f>MARZO!V120+ABRIL!AL120</f>
        <v>0</v>
      </c>
      <c r="W120" s="15">
        <f>MARZO!W120+ABRIL!AM120</f>
        <v>0</v>
      </c>
      <c r="X120" s="18">
        <f t="shared" si="131"/>
        <v>0</v>
      </c>
      <c r="Y120" s="19">
        <f>MARZO!AA120</f>
        <v>0</v>
      </c>
      <c r="Z120" s="374">
        <v>0</v>
      </c>
      <c r="AA120" s="18">
        <f t="shared" si="132"/>
        <v>0</v>
      </c>
      <c r="AB120" s="19">
        <f>MARZO!AD120</f>
        <v>0</v>
      </c>
      <c r="AC120" s="374">
        <v>0</v>
      </c>
      <c r="AD120" s="18">
        <f t="shared" si="133"/>
        <v>0</v>
      </c>
      <c r="AE120" s="19">
        <f>MARZO!AG120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4">
        <f>+IF(MARZO!A121=0,"",MARZO!A121)</f>
        <v>2500</v>
      </c>
      <c r="B121" s="627" t="str">
        <f>+IF(MARZO!B121=0,"",MARZO!B121)</f>
        <v>DONACIONES</v>
      </c>
      <c r="C121" s="671">
        <f>+ENERO!C121</f>
        <v>0</v>
      </c>
      <c r="D121" s="464">
        <f>MARZO!D121+ABRIL!P121</f>
        <v>0</v>
      </c>
      <c r="E121" s="464">
        <f>MARZO!E121+ABRIL!Q121</f>
        <v>0</v>
      </c>
      <c r="F121" s="468">
        <f t="shared" si="126"/>
        <v>0</v>
      </c>
      <c r="G121" s="219">
        <f>MARZO!I121</f>
        <v>0</v>
      </c>
      <c r="H121" s="374">
        <v>0</v>
      </c>
      <c r="I121" s="473">
        <f t="shared" si="127"/>
        <v>0</v>
      </c>
      <c r="J121" s="219">
        <f>MARZO!L121</f>
        <v>0</v>
      </c>
      <c r="K121" s="374">
        <v>0</v>
      </c>
      <c r="L121" s="143">
        <f t="shared" si="128"/>
        <v>0</v>
      </c>
      <c r="M121" s="438">
        <f t="shared" si="129"/>
        <v>0</v>
      </c>
      <c r="N121" s="143">
        <f t="shared" si="130"/>
        <v>0</v>
      </c>
      <c r="P121" s="372">
        <v>0</v>
      </c>
      <c r="Q121" s="375">
        <v>0</v>
      </c>
      <c r="R121" s="9"/>
      <c r="S121" s="705">
        <f>+IF(MARZO!S121=0,"",MARZO!S121)</f>
        <v>2010199</v>
      </c>
      <c r="T121" s="681" t="str">
        <f>+IF(MARZO!T121=0,"",MARZO!T121)</f>
        <v>Vigencias Anteriores</v>
      </c>
      <c r="U121" s="27">
        <f>+ENERO!U121</f>
        <v>0</v>
      </c>
      <c r="V121" s="15">
        <f>MARZO!V121+ABRIL!AL121</f>
        <v>-7200430</v>
      </c>
      <c r="W121" s="15">
        <f>MARZO!W121+ABRIL!AM121</f>
        <v>200000000</v>
      </c>
      <c r="X121" s="18">
        <f t="shared" si="131"/>
        <v>192799570</v>
      </c>
      <c r="Y121" s="19">
        <f>MARZO!AA121</f>
        <v>92799570</v>
      </c>
      <c r="Z121" s="374">
        <v>18159849</v>
      </c>
      <c r="AA121" s="18">
        <f t="shared" si="132"/>
        <v>110959419</v>
      </c>
      <c r="AB121" s="19">
        <f>MARZO!AD121</f>
        <v>92799570</v>
      </c>
      <c r="AC121" s="374">
        <v>18159849</v>
      </c>
      <c r="AD121" s="18">
        <f t="shared" si="133"/>
        <v>110959419</v>
      </c>
      <c r="AE121" s="19">
        <f>MARZO!AG121</f>
        <v>92799570</v>
      </c>
      <c r="AF121" s="374">
        <v>18159849</v>
      </c>
      <c r="AG121" s="18">
        <f t="shared" si="134"/>
        <v>110959419</v>
      </c>
      <c r="AH121" s="19">
        <f t="shared" si="135"/>
        <v>81840151</v>
      </c>
      <c r="AI121" s="15">
        <f t="shared" si="136"/>
        <v>81840151</v>
      </c>
      <c r="AJ121" s="16">
        <f t="shared" si="137"/>
        <v>81840151</v>
      </c>
      <c r="AK121" s="9"/>
      <c r="AL121" s="372">
        <v>0</v>
      </c>
      <c r="AM121" s="375">
        <v>100000000</v>
      </c>
      <c r="AN121" s="9"/>
      <c r="AO121" s="294"/>
      <c r="AP121" s="294"/>
      <c r="AQ121" s="294"/>
      <c r="AR121" s="294"/>
      <c r="AS121" s="294"/>
      <c r="AT121" s="294"/>
      <c r="AU121" s="294"/>
      <c r="AV121" s="294"/>
      <c r="AW121" s="294"/>
      <c r="AX121" s="294"/>
      <c r="AY121" s="294"/>
      <c r="AZ121" s="294"/>
    </row>
    <row r="122" spans="1:52" s="382" customFormat="1" ht="24.95" customHeight="1">
      <c r="A122" s="744">
        <f>+IF(MARZO!A122=0,"",MARZO!A122)</f>
        <v>2600</v>
      </c>
      <c r="B122" s="627" t="str">
        <f>+IF(MARZO!B122=0,"",MARZO!B122)</f>
        <v>RECUPERACIÓN DE CARTERA (AÑO 2015 Y ANTERIORES)</v>
      </c>
      <c r="C122" s="671">
        <f>+ENERO!C122</f>
        <v>9052927194</v>
      </c>
      <c r="D122" s="464">
        <f>MARZO!D122+ABRIL!P122</f>
        <v>0</v>
      </c>
      <c r="E122" s="464">
        <f>MARZO!E122+ABRIL!Q122</f>
        <v>0</v>
      </c>
      <c r="F122" s="468">
        <f t="shared" si="126"/>
        <v>9052927194</v>
      </c>
      <c r="G122" s="219">
        <f>MARZO!I122</f>
        <v>0</v>
      </c>
      <c r="H122" s="374">
        <v>0</v>
      </c>
      <c r="I122" s="473">
        <f t="shared" si="127"/>
        <v>0</v>
      </c>
      <c r="J122" s="219">
        <f>MARZO!L122</f>
        <v>0</v>
      </c>
      <c r="K122" s="374">
        <v>0</v>
      </c>
      <c r="L122" s="143">
        <f t="shared" si="128"/>
        <v>0</v>
      </c>
      <c r="M122" s="438">
        <f t="shared" si="129"/>
        <v>9052927194</v>
      </c>
      <c r="N122" s="143">
        <f t="shared" si="130"/>
        <v>9052927194</v>
      </c>
      <c r="P122" s="372">
        <v>0</v>
      </c>
      <c r="Q122" s="375">
        <v>0</v>
      </c>
      <c r="R122" s="9"/>
      <c r="S122" s="366" t="str">
        <f>+IF(MARZO!S122=0,"",MARZO!S122)</f>
        <v/>
      </c>
      <c r="T122" s="695"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5">
        <f>+IF(MARZO!A123=0,"",MARZO!A123)</f>
        <v>2700</v>
      </c>
      <c r="B123" s="627" t="str">
        <f>+IF(MARZO!B123=0,"",MARZO!B123)</f>
        <v>OTROS INGRESOS DE CAPITAL</v>
      </c>
      <c r="C123" s="671">
        <f>+ENERO!C123</f>
        <v>0</v>
      </c>
      <c r="D123" s="464">
        <f>MARZO!D123+ABRIL!P123</f>
        <v>0</v>
      </c>
      <c r="E123" s="464">
        <f>MARZO!E123+ABRIL!Q123</f>
        <v>0</v>
      </c>
      <c r="F123" s="468">
        <f t="shared" si="126"/>
        <v>0</v>
      </c>
      <c r="G123" s="219">
        <f>MARZO!I123</f>
        <v>0</v>
      </c>
      <c r="H123" s="374">
        <v>0</v>
      </c>
      <c r="I123" s="473">
        <f t="shared" si="127"/>
        <v>0</v>
      </c>
      <c r="J123" s="219">
        <f>MARZO!L123</f>
        <v>0</v>
      </c>
      <c r="K123" s="374">
        <v>0</v>
      </c>
      <c r="L123" s="143">
        <f t="shared" si="128"/>
        <v>0</v>
      </c>
      <c r="M123" s="438">
        <f t="shared" si="129"/>
        <v>0</v>
      </c>
      <c r="N123" s="143">
        <f t="shared" si="130"/>
        <v>0</v>
      </c>
      <c r="P123" s="372">
        <v>0</v>
      </c>
      <c r="Q123" s="375">
        <v>0</v>
      </c>
      <c r="R123" s="9"/>
      <c r="S123" s="704">
        <f>+IF(MARZO!S123=0,"",MARZO!S123)</f>
        <v>2010200</v>
      </c>
      <c r="T123" s="680" t="str">
        <f>+IF(MARZO!T123=0,"",MARZO!T123)</f>
        <v>Adquisición de Servicios</v>
      </c>
      <c r="U123" s="132">
        <f t="shared" ref="U123:AJ123" si="138">SUM(U124:U139)</f>
        <v>4658828612</v>
      </c>
      <c r="V123" s="122">
        <f t="shared" si="138"/>
        <v>612828337</v>
      </c>
      <c r="W123" s="122">
        <f t="shared" si="138"/>
        <v>1156156707</v>
      </c>
      <c r="X123" s="129">
        <f t="shared" si="138"/>
        <v>6427813656</v>
      </c>
      <c r="Y123" s="128">
        <f t="shared" si="138"/>
        <v>4809290218</v>
      </c>
      <c r="Z123" s="122">
        <f t="shared" si="138"/>
        <v>103597623</v>
      </c>
      <c r="AA123" s="129">
        <f t="shared" si="138"/>
        <v>4912887841</v>
      </c>
      <c r="AB123" s="128">
        <f t="shared" si="138"/>
        <v>1899888547</v>
      </c>
      <c r="AC123" s="122">
        <f t="shared" si="138"/>
        <v>411053086</v>
      </c>
      <c r="AD123" s="129">
        <f t="shared" si="138"/>
        <v>2310941633</v>
      </c>
      <c r="AE123" s="128">
        <f t="shared" si="138"/>
        <v>1073271842</v>
      </c>
      <c r="AF123" s="122">
        <f t="shared" si="138"/>
        <v>212265600</v>
      </c>
      <c r="AG123" s="129">
        <f t="shared" si="138"/>
        <v>1285537442</v>
      </c>
      <c r="AH123" s="128">
        <f t="shared" si="138"/>
        <v>1514925815</v>
      </c>
      <c r="AI123" s="122">
        <f t="shared" si="138"/>
        <v>4116872023</v>
      </c>
      <c r="AJ123" s="130">
        <f t="shared" si="138"/>
        <v>5142276214</v>
      </c>
      <c r="AK123" s="9"/>
      <c r="AL123" s="128">
        <f>SUM(AL124:AL139)</f>
        <v>-100100000</v>
      </c>
      <c r="AM123" s="130">
        <f>SUM(AM124:AM139)</f>
        <v>500000000</v>
      </c>
      <c r="AN123" s="9"/>
      <c r="AO123" s="294"/>
      <c r="AP123" s="294"/>
      <c r="AQ123" s="294"/>
      <c r="AR123" s="294"/>
      <c r="AS123" s="294"/>
      <c r="AT123" s="294"/>
      <c r="AU123" s="294"/>
      <c r="AV123" s="294"/>
      <c r="AW123" s="294"/>
      <c r="AX123" s="294"/>
      <c r="AY123" s="294"/>
      <c r="AZ123" s="294"/>
    </row>
    <row r="124" spans="1:52" s="382" customFormat="1" ht="24.95" customHeight="1" thickBot="1">
      <c r="A124" s="746">
        <f>+IF(MARZO!A124=0,"",MARZO!A124)</f>
        <v>2800</v>
      </c>
      <c r="B124" s="655" t="str">
        <f>+IF(MARZO!B124=0,"",MARZO!B124)</f>
        <v/>
      </c>
      <c r="C124" s="769">
        <f>+ENERO!C124</f>
        <v>0</v>
      </c>
      <c r="D124" s="462">
        <f>MARZO!D124+ABRIL!P124</f>
        <v>0</v>
      </c>
      <c r="E124" s="462">
        <f>MARZO!E124+ABRIL!Q124</f>
        <v>0</v>
      </c>
      <c r="F124" s="474">
        <f t="shared" si="126"/>
        <v>0</v>
      </c>
      <c r="G124" s="387">
        <f>MARZO!I124</f>
        <v>0</v>
      </c>
      <c r="H124" s="388">
        <v>0</v>
      </c>
      <c r="I124" s="475">
        <f t="shared" si="127"/>
        <v>0</v>
      </c>
      <c r="J124" s="387">
        <f>MARZO!L124</f>
        <v>0</v>
      </c>
      <c r="K124" s="388">
        <v>0</v>
      </c>
      <c r="L124" s="386">
        <f t="shared" si="128"/>
        <v>0</v>
      </c>
      <c r="M124" s="476">
        <f t="shared" si="129"/>
        <v>0</v>
      </c>
      <c r="N124" s="386">
        <f t="shared" si="130"/>
        <v>0</v>
      </c>
      <c r="P124" s="384">
        <v>0</v>
      </c>
      <c r="Q124" s="389">
        <v>0</v>
      </c>
      <c r="R124" s="9"/>
      <c r="S124" s="705" t="str">
        <f>+IF(MARZO!S124=0,"",MARZO!S124)</f>
        <v>2010200-1</v>
      </c>
      <c r="T124" s="681" t="str">
        <f>+IF(MARZO!T124=0,"",MARZO!T124)</f>
        <v>Seguros</v>
      </c>
      <c r="U124" s="27">
        <f>+ENERO!U124</f>
        <v>350000000</v>
      </c>
      <c r="V124" s="15">
        <f>MARZO!V124+ABRIL!AL124</f>
        <v>21162371</v>
      </c>
      <c r="W124" s="15">
        <f>MARZO!W124+ABRIL!AM124</f>
        <v>0</v>
      </c>
      <c r="X124" s="18">
        <f t="shared" ref="X124:X139" si="139">SUM(U124:W124)</f>
        <v>371162371</v>
      </c>
      <c r="Y124" s="19">
        <f>MARZO!AA124</f>
        <v>371162371</v>
      </c>
      <c r="Z124" s="374">
        <v>0</v>
      </c>
      <c r="AA124" s="18">
        <f t="shared" ref="AA124:AA139" si="140">SUM(Y124:Z124)</f>
        <v>371162371</v>
      </c>
      <c r="AB124" s="19">
        <f>MARZO!AD124</f>
        <v>371127514</v>
      </c>
      <c r="AC124" s="374">
        <v>0</v>
      </c>
      <c r="AD124" s="18">
        <f t="shared" ref="AD124:AD139" si="141">SUM(AB124:AC124)</f>
        <v>371127514</v>
      </c>
      <c r="AE124" s="19">
        <f>MARZO!AG124</f>
        <v>252695334</v>
      </c>
      <c r="AF124" s="374">
        <v>17136854</v>
      </c>
      <c r="AG124" s="18">
        <f t="shared" ref="AG124:AG139" si="142">SUM(AE124:AF124)</f>
        <v>269832188</v>
      </c>
      <c r="AH124" s="19">
        <f t="shared" ref="AH124:AH139" si="143">X124-AA124</f>
        <v>0</v>
      </c>
      <c r="AI124" s="15">
        <f t="shared" ref="AI124:AI139" si="144">X124-AD124</f>
        <v>34857</v>
      </c>
      <c r="AJ124" s="16">
        <f t="shared" ref="AJ124:AJ139" si="145">X124-AG124</f>
        <v>101330183</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tr">
        <f>+IF(MARZO!S125=0,"",MARZO!S125)</f>
        <v>2010200-2</v>
      </c>
      <c r="T125" s="681" t="str">
        <f>+IF(MARZO!T125=0,"",MARZO!T125)</f>
        <v>Impresos y Publicaciones</v>
      </c>
      <c r="U125" s="27">
        <f>+ENERO!U125</f>
        <v>60000000</v>
      </c>
      <c r="V125" s="15">
        <f>MARZO!V125+ABRIL!AL125</f>
        <v>0</v>
      </c>
      <c r="W125" s="15">
        <f>MARZO!W125+ABRIL!AM125</f>
        <v>0</v>
      </c>
      <c r="X125" s="18">
        <f t="shared" si="139"/>
        <v>60000000</v>
      </c>
      <c r="Y125" s="19">
        <f>MARZO!AA125</f>
        <v>44895000</v>
      </c>
      <c r="Z125" s="374">
        <v>3760000</v>
      </c>
      <c r="AA125" s="18">
        <f t="shared" si="140"/>
        <v>48655000</v>
      </c>
      <c r="AB125" s="19">
        <f>MARZO!AD125</f>
        <v>13755000</v>
      </c>
      <c r="AC125" s="374">
        <v>5545000</v>
      </c>
      <c r="AD125" s="18">
        <f t="shared" si="141"/>
        <v>19300000</v>
      </c>
      <c r="AE125" s="19">
        <f>MARZO!AG125</f>
        <v>0</v>
      </c>
      <c r="AF125" s="374">
        <v>9710000</v>
      </c>
      <c r="AG125" s="18">
        <f t="shared" si="142"/>
        <v>9710000</v>
      </c>
      <c r="AH125" s="19">
        <f t="shared" si="143"/>
        <v>11345000</v>
      </c>
      <c r="AI125" s="15">
        <f t="shared" si="144"/>
        <v>40700000</v>
      </c>
      <c r="AJ125" s="16">
        <f t="shared" si="145"/>
        <v>50290000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5" t="s">
        <v>246</v>
      </c>
      <c r="B126" s="656"/>
      <c r="C126" s="477">
        <f t="shared" ref="C126:N126" si="146">C8-C128</f>
        <v>41169250887</v>
      </c>
      <c r="D126" s="477">
        <f t="shared" si="146"/>
        <v>0</v>
      </c>
      <c r="E126" s="477">
        <f t="shared" si="146"/>
        <v>628763987</v>
      </c>
      <c r="F126" s="477">
        <f t="shared" si="146"/>
        <v>41798014874</v>
      </c>
      <c r="G126" s="477">
        <f t="shared" si="146"/>
        <v>11461082011</v>
      </c>
      <c r="H126" s="477">
        <f t="shared" si="146"/>
        <v>3633641011</v>
      </c>
      <c r="I126" s="477">
        <f t="shared" si="146"/>
        <v>15094723022</v>
      </c>
      <c r="J126" s="477">
        <f t="shared" si="146"/>
        <v>929482079</v>
      </c>
      <c r="K126" s="477">
        <f t="shared" si="146"/>
        <v>321453689</v>
      </c>
      <c r="L126" s="477">
        <f t="shared" si="146"/>
        <v>1250935768</v>
      </c>
      <c r="M126" s="477">
        <f t="shared" si="146"/>
        <v>35756219046</v>
      </c>
      <c r="N126" s="613">
        <f t="shared" si="146"/>
        <v>40547079106</v>
      </c>
      <c r="P126" s="478">
        <f>P8-P128</f>
        <v>0</v>
      </c>
      <c r="Q126" s="479">
        <f>Q8-Q128</f>
        <v>10022226</v>
      </c>
      <c r="R126" s="9"/>
      <c r="S126" s="705" t="str">
        <f>+IF(MARZO!S126=0,"",MARZO!S126)</f>
        <v>2010200-3</v>
      </c>
      <c r="T126" s="681" t="str">
        <f>+IF(MARZO!T126=0,"",MARZO!T126)</f>
        <v xml:space="preserve">Servicios Públicos </v>
      </c>
      <c r="U126" s="27">
        <f>+ENERO!U126</f>
        <v>904500000</v>
      </c>
      <c r="V126" s="15">
        <f>MARZO!V126+ABRIL!AL126</f>
        <v>0</v>
      </c>
      <c r="W126" s="15">
        <f>MARZO!W126+ABRIL!AM126</f>
        <v>0</v>
      </c>
      <c r="X126" s="18">
        <f t="shared" si="139"/>
        <v>904500000</v>
      </c>
      <c r="Y126" s="19">
        <f>MARZO!AA126</f>
        <v>297209761</v>
      </c>
      <c r="Z126" s="374">
        <v>88388198</v>
      </c>
      <c r="AA126" s="18">
        <f t="shared" si="140"/>
        <v>385597959</v>
      </c>
      <c r="AB126" s="19">
        <f>MARZO!AD126</f>
        <v>297166814</v>
      </c>
      <c r="AC126" s="374">
        <v>88388198</v>
      </c>
      <c r="AD126" s="18">
        <f t="shared" si="141"/>
        <v>385555012</v>
      </c>
      <c r="AE126" s="19">
        <f>MARZO!AG126</f>
        <v>257838142</v>
      </c>
      <c r="AF126" s="374">
        <v>100346147</v>
      </c>
      <c r="AG126" s="18">
        <f t="shared" si="142"/>
        <v>358184289</v>
      </c>
      <c r="AH126" s="19">
        <f t="shared" si="143"/>
        <v>518902041</v>
      </c>
      <c r="AI126" s="15">
        <f t="shared" si="144"/>
        <v>518944988</v>
      </c>
      <c r="AJ126" s="16">
        <f t="shared" si="145"/>
        <v>546315711</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68"/>
      <c r="B127" s="653"/>
      <c r="C127" s="480"/>
      <c r="D127" s="480"/>
      <c r="E127" s="480"/>
      <c r="F127" s="480"/>
      <c r="G127" s="480"/>
      <c r="H127" s="480"/>
      <c r="I127" s="480"/>
      <c r="J127" s="480"/>
      <c r="K127" s="480"/>
      <c r="L127" s="480"/>
      <c r="M127" s="480"/>
      <c r="N127" s="481"/>
      <c r="P127" s="482"/>
      <c r="Q127" s="481"/>
      <c r="R127" s="9"/>
      <c r="S127" s="705" t="str">
        <f>+IF(MARZO!S127=0,"",MARZO!S127)</f>
        <v>2010200-4</v>
      </c>
      <c r="T127" s="681" t="str">
        <f>+IF(MARZO!T127=0,"",MARZO!T127)</f>
        <v>Comunicaciones y Transportes</v>
      </c>
      <c r="U127" s="27">
        <f>+ENERO!U127</f>
        <v>35257108</v>
      </c>
      <c r="V127" s="15">
        <f>MARZO!V127+ABRIL!AL127</f>
        <v>0</v>
      </c>
      <c r="W127" s="15">
        <f>MARZO!W127+ABRIL!AM127</f>
        <v>0</v>
      </c>
      <c r="X127" s="18">
        <f t="shared" si="139"/>
        <v>35257108</v>
      </c>
      <c r="Y127" s="19">
        <f>MARZO!AA127</f>
        <v>23235872</v>
      </c>
      <c r="Z127" s="374">
        <v>2797299</v>
      </c>
      <c r="AA127" s="18">
        <f t="shared" si="140"/>
        <v>26033171</v>
      </c>
      <c r="AB127" s="19">
        <f>MARZO!AD127</f>
        <v>4054054</v>
      </c>
      <c r="AC127" s="374">
        <v>2797299</v>
      </c>
      <c r="AD127" s="18">
        <f t="shared" si="141"/>
        <v>6851353</v>
      </c>
      <c r="AE127" s="19">
        <f>MARZO!AG127</f>
        <v>4054054</v>
      </c>
      <c r="AF127" s="374">
        <v>1764313</v>
      </c>
      <c r="AG127" s="18">
        <f t="shared" si="142"/>
        <v>5818367</v>
      </c>
      <c r="AH127" s="19">
        <f t="shared" si="143"/>
        <v>9223937</v>
      </c>
      <c r="AI127" s="15">
        <f t="shared" si="144"/>
        <v>28405755</v>
      </c>
      <c r="AJ127" s="16">
        <f t="shared" si="145"/>
        <v>29438741</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6" t="s">
        <v>249</v>
      </c>
      <c r="B128" s="657"/>
      <c r="C128" s="483">
        <f>SUMIF($B8:$B$122,$B$24,C8:C122)+C122</f>
        <v>9052927194</v>
      </c>
      <c r="D128" s="483">
        <f>SUMIF($B8:$B$122,$B$24,D8:D122)+D122</f>
        <v>0</v>
      </c>
      <c r="E128" s="483">
        <f>SUMIF($B8:$B$122,$B$24,E8:E122)+E122</f>
        <v>7584548614</v>
      </c>
      <c r="F128" s="483">
        <f>SUMIF($B8:$B$122,$B$24,F8:F122)+F122</f>
        <v>16637475808</v>
      </c>
      <c r="G128" s="483">
        <f>SUMIF($B8:$B$122,$B$24,G8:G122)+G122</f>
        <v>9549222736</v>
      </c>
      <c r="H128" s="483">
        <f>SUMIF($B8:$B$122,$B$24,H8:H122)+H122</f>
        <v>2334578415</v>
      </c>
      <c r="I128" s="483">
        <f>SUMIF($B8:$B$122,$B$24,I8:I122)+I122</f>
        <v>11883801151</v>
      </c>
      <c r="J128" s="483">
        <f>SUMIF($B8:$B$122,$B$24,J8:J122)+J1212</f>
        <v>9549222736</v>
      </c>
      <c r="K128" s="483">
        <f>SUMIF($B8:$B$122,$B$24,K8:K122)+K122</f>
        <v>2334578415</v>
      </c>
      <c r="L128" s="483">
        <f>SUMIF($B8:$B$122,$B$24,L8:L122)+L122</f>
        <v>11883801151</v>
      </c>
      <c r="M128" s="483">
        <f>SUMIF($B8:$B$122,$B$24,M8:M122)+M12</f>
        <v>-4299252537</v>
      </c>
      <c r="N128" s="614">
        <f>SUMIF($B8:$B$122,$B$24,N8:N122)+N122</f>
        <v>4753674657</v>
      </c>
      <c r="O128" s="461"/>
      <c r="P128" s="483">
        <f>SUMIF($B8:$B$122,$B$24,P8:P122)+P122</f>
        <v>0</v>
      </c>
      <c r="Q128" s="484">
        <f>SUMIF($B8:$B$122,$B$24,Q8:Q122)+Q122</f>
        <v>3971934935</v>
      </c>
      <c r="R128" s="9"/>
      <c r="S128" s="705" t="str">
        <f>+IF(MARZO!S128=0,"",MARZO!S128)</f>
        <v>2010200-5</v>
      </c>
      <c r="T128" s="681" t="str">
        <f>+IF(MARZO!T128=0,"",MARZO!T128)</f>
        <v>Viáticos y Gastos de Viaje</v>
      </c>
      <c r="U128" s="27">
        <f>+ENERO!U128</f>
        <v>12609000</v>
      </c>
      <c r="V128" s="15">
        <f>MARZO!V128+ABRIL!AL128</f>
        <v>0</v>
      </c>
      <c r="W128" s="15">
        <f>MARZO!W128+ABRIL!AM128</f>
        <v>0</v>
      </c>
      <c r="X128" s="18">
        <f t="shared" si="139"/>
        <v>12609000</v>
      </c>
      <c r="Y128" s="19">
        <f>MARZO!AA128</f>
        <v>1403874</v>
      </c>
      <c r="Z128" s="374">
        <v>301000</v>
      </c>
      <c r="AA128" s="18">
        <f t="shared" si="140"/>
        <v>1704874</v>
      </c>
      <c r="AB128" s="19">
        <f>MARZO!AD128</f>
        <v>1403874</v>
      </c>
      <c r="AC128" s="374">
        <v>301000</v>
      </c>
      <c r="AD128" s="18">
        <f t="shared" si="141"/>
        <v>1704874</v>
      </c>
      <c r="AE128" s="19">
        <f>MARZO!AG128</f>
        <v>1403874</v>
      </c>
      <c r="AF128" s="374">
        <v>301000</v>
      </c>
      <c r="AG128" s="18">
        <f t="shared" si="142"/>
        <v>1704874</v>
      </c>
      <c r="AH128" s="19">
        <f t="shared" si="143"/>
        <v>10904126</v>
      </c>
      <c r="AI128" s="15">
        <f t="shared" si="144"/>
        <v>10904126</v>
      </c>
      <c r="AJ128" s="16">
        <f t="shared" si="145"/>
        <v>10904126</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68"/>
      <c r="B129" s="653"/>
      <c r="C129" s="480"/>
      <c r="D129" s="480"/>
      <c r="E129" s="480"/>
      <c r="F129" s="480"/>
      <c r="G129" s="480"/>
      <c r="H129" s="480"/>
      <c r="I129" s="480"/>
      <c r="J129" s="480"/>
      <c r="K129" s="480"/>
      <c r="L129" s="480"/>
      <c r="M129" s="480"/>
      <c r="N129" s="481"/>
      <c r="P129" s="482"/>
      <c r="Q129" s="481"/>
      <c r="R129" s="9"/>
      <c r="S129" s="705" t="str">
        <f>+IF(MARZO!S129=0,"",MARZO!S129)</f>
        <v>2010200-6</v>
      </c>
      <c r="T129" s="681" t="str">
        <f>+IF(MARZO!T129=0,"",MARZO!T129)</f>
        <v>Arrendamientos</v>
      </c>
      <c r="U129" s="27">
        <f>+ENERO!U129</f>
        <v>1100000000</v>
      </c>
      <c r="V129" s="15">
        <f>MARZO!V129+ABRIL!AL129</f>
        <v>1164817483</v>
      </c>
      <c r="W129" s="15">
        <f>MARZO!W129+ABRIL!AM129</f>
        <v>10000000</v>
      </c>
      <c r="X129" s="18">
        <f t="shared" si="139"/>
        <v>2274817483</v>
      </c>
      <c r="Y129" s="19">
        <f>MARZO!AA129</f>
        <v>2267642104</v>
      </c>
      <c r="Z129" s="374">
        <v>1464996</v>
      </c>
      <c r="AA129" s="18">
        <f t="shared" si="140"/>
        <v>2269107100</v>
      </c>
      <c r="AB129" s="19">
        <f>MARZO!AD129</f>
        <v>613305027</v>
      </c>
      <c r="AC129" s="374">
        <v>199044437</v>
      </c>
      <c r="AD129" s="18">
        <f t="shared" si="141"/>
        <v>812349464</v>
      </c>
      <c r="AE129" s="19">
        <f>MARZO!AG129</f>
        <v>310763955</v>
      </c>
      <c r="AF129" s="374">
        <v>40357600</v>
      </c>
      <c r="AG129" s="18">
        <f t="shared" si="142"/>
        <v>351121555</v>
      </c>
      <c r="AH129" s="19">
        <f t="shared" si="143"/>
        <v>5710383</v>
      </c>
      <c r="AI129" s="15">
        <f t="shared" si="144"/>
        <v>1462468019</v>
      </c>
      <c r="AJ129" s="16">
        <f t="shared" si="145"/>
        <v>1923695928</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7" t="s">
        <v>252</v>
      </c>
      <c r="B130" s="658"/>
      <c r="C130" s="485">
        <f t="shared" ref="C130:N130" si="147">C128+C126</f>
        <v>50222178081</v>
      </c>
      <c r="D130" s="486">
        <f t="shared" si="147"/>
        <v>0</v>
      </c>
      <c r="E130" s="486">
        <f t="shared" si="147"/>
        <v>8213312601</v>
      </c>
      <c r="F130" s="487">
        <f t="shared" si="147"/>
        <v>58435490682</v>
      </c>
      <c r="G130" s="485">
        <f t="shared" si="147"/>
        <v>21010304747</v>
      </c>
      <c r="H130" s="486">
        <f t="shared" si="147"/>
        <v>5968219426</v>
      </c>
      <c r="I130" s="487">
        <f t="shared" si="147"/>
        <v>26978524173</v>
      </c>
      <c r="J130" s="485">
        <f t="shared" si="147"/>
        <v>10478704815</v>
      </c>
      <c r="K130" s="486">
        <f t="shared" si="147"/>
        <v>2656032104</v>
      </c>
      <c r="L130" s="487">
        <f t="shared" si="147"/>
        <v>13134736919</v>
      </c>
      <c r="M130" s="485">
        <f t="shared" si="147"/>
        <v>31456966509</v>
      </c>
      <c r="N130" s="487">
        <f t="shared" si="147"/>
        <v>45300753763</v>
      </c>
      <c r="P130" s="478">
        <f>P128+P126</f>
        <v>0</v>
      </c>
      <c r="Q130" s="479">
        <f>Q128+Q126</f>
        <v>3981957161</v>
      </c>
      <c r="R130" s="9"/>
      <c r="S130" s="705" t="str">
        <f>+IF(MARZO!S130=0,"",MARZO!S130)</f>
        <v>2010200-7</v>
      </c>
      <c r="T130" s="681" t="str">
        <f>+IF(MARZO!T130=0,"",MARZO!T130)</f>
        <v>Vigilancia y Aseo</v>
      </c>
      <c r="U130" s="27">
        <f>+ENERO!U130</f>
        <v>2121073970</v>
      </c>
      <c r="V130" s="15">
        <f>MARZO!V130+ABRIL!AL130</f>
        <v>-4025517</v>
      </c>
      <c r="W130" s="15">
        <f>MARZO!W130+ABRIL!AM130</f>
        <v>0</v>
      </c>
      <c r="X130" s="18">
        <f t="shared" si="139"/>
        <v>2117048453</v>
      </c>
      <c r="Y130" s="19">
        <f>MARZO!AA130</f>
        <v>1643658862</v>
      </c>
      <c r="Z130" s="374">
        <v>1125312</v>
      </c>
      <c r="AA130" s="18">
        <f t="shared" si="140"/>
        <v>1644784174</v>
      </c>
      <c r="AB130" s="19">
        <f>MARZO!AD130</f>
        <v>438993890</v>
      </c>
      <c r="AC130" s="374">
        <v>112524334</v>
      </c>
      <c r="AD130" s="18">
        <f t="shared" si="141"/>
        <v>551518224</v>
      </c>
      <c r="AE130" s="19">
        <f>MARZO!AG130</f>
        <v>87797045</v>
      </c>
      <c r="AF130" s="374">
        <v>42217204</v>
      </c>
      <c r="AG130" s="18">
        <f t="shared" si="142"/>
        <v>130014249</v>
      </c>
      <c r="AH130" s="19">
        <f t="shared" si="143"/>
        <v>472264279</v>
      </c>
      <c r="AI130" s="15">
        <f t="shared" si="144"/>
        <v>1565530229</v>
      </c>
      <c r="AJ130" s="16">
        <f t="shared" si="145"/>
        <v>1987034204</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2"/>
      <c r="B131" s="660"/>
      <c r="N131" s="9"/>
      <c r="R131" s="9"/>
      <c r="S131" s="705" t="str">
        <f>+IF(MARZO!S131=0,"",MARZO!S131)</f>
        <v>2010200-8</v>
      </c>
      <c r="T131" s="681" t="str">
        <f>+IF(MARZO!T131=0,"",MARZO!T131)</f>
        <v>Bienestar Social</v>
      </c>
      <c r="U131" s="27">
        <f>+ENERO!U131</f>
        <v>45388534</v>
      </c>
      <c r="V131" s="15">
        <f>MARZO!V131+ABRIL!AL131</f>
        <v>0</v>
      </c>
      <c r="W131" s="15">
        <f>MARZO!W131+ABRIL!AM131</f>
        <v>26156707</v>
      </c>
      <c r="X131" s="18">
        <f t="shared" si="139"/>
        <v>71545241</v>
      </c>
      <c r="Y131" s="19">
        <f>MARZO!AA131</f>
        <v>7406800</v>
      </c>
      <c r="Z131" s="374">
        <v>5622200</v>
      </c>
      <c r="AA131" s="18">
        <f t="shared" si="140"/>
        <v>13029000</v>
      </c>
      <c r="AB131" s="19">
        <f>MARZO!AD131</f>
        <v>7406800</v>
      </c>
      <c r="AC131" s="374">
        <v>2314200</v>
      </c>
      <c r="AD131" s="18">
        <f t="shared" si="141"/>
        <v>9721000</v>
      </c>
      <c r="AE131" s="19">
        <f>MARZO!AG131</f>
        <v>6178400</v>
      </c>
      <c r="AF131" s="374">
        <v>428400</v>
      </c>
      <c r="AG131" s="18">
        <f t="shared" si="142"/>
        <v>6606800</v>
      </c>
      <c r="AH131" s="19">
        <f t="shared" si="143"/>
        <v>58516241</v>
      </c>
      <c r="AI131" s="15">
        <f t="shared" si="144"/>
        <v>61824241</v>
      </c>
      <c r="AJ131" s="16">
        <f t="shared" si="145"/>
        <v>64938441</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2"/>
      <c r="B132" s="660"/>
      <c r="N132" s="9"/>
      <c r="R132" s="9"/>
      <c r="S132" s="705" t="str">
        <f>+IF(MARZO!S132=0,"",MARZO!S132)</f>
        <v>2010200-9</v>
      </c>
      <c r="T132" s="681" t="str">
        <f>+IF(MARZO!T132=0,"",MARZO!T132)</f>
        <v>Capacitación, estimulos, incentivos, programa de calidad</v>
      </c>
      <c r="U132" s="27">
        <f>+ENERO!U132</f>
        <v>15000000</v>
      </c>
      <c r="V132" s="15">
        <f>MARZO!V132+ABRIL!AL132</f>
        <v>0</v>
      </c>
      <c r="W132" s="15">
        <f>MARZO!W132+ABRIL!AM132</f>
        <v>0</v>
      </c>
      <c r="X132" s="18">
        <f t="shared" si="139"/>
        <v>15000000</v>
      </c>
      <c r="Y132" s="19">
        <f>MARZO!AA132</f>
        <v>0</v>
      </c>
      <c r="Z132" s="374">
        <v>0</v>
      </c>
      <c r="AA132" s="18">
        <f t="shared" si="140"/>
        <v>0</v>
      </c>
      <c r="AB132" s="19">
        <f>MARZO!AD132</f>
        <v>0</v>
      </c>
      <c r="AC132" s="374">
        <v>0</v>
      </c>
      <c r="AD132" s="18">
        <f t="shared" si="141"/>
        <v>0</v>
      </c>
      <c r="AE132" s="19">
        <f>MARZO!AG132</f>
        <v>0</v>
      </c>
      <c r="AF132" s="374">
        <v>0</v>
      </c>
      <c r="AG132" s="18">
        <f t="shared" si="142"/>
        <v>0</v>
      </c>
      <c r="AH132" s="19">
        <f t="shared" si="143"/>
        <v>15000000</v>
      </c>
      <c r="AI132" s="15">
        <f t="shared" si="144"/>
        <v>15000000</v>
      </c>
      <c r="AJ132" s="16">
        <f t="shared" si="145"/>
        <v>15000000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2"/>
      <c r="B133" s="660"/>
      <c r="N133" s="9"/>
      <c r="R133" s="9"/>
      <c r="S133" s="705" t="str">
        <f>+IF(MARZO!S133=0,"",MARZO!S133)</f>
        <v>2010200-10</v>
      </c>
      <c r="T133" s="681" t="str">
        <f>+IF(MARZO!T133=0,"",MARZO!T133)</f>
        <v>Pagos otras IPS</v>
      </c>
      <c r="U133" s="27">
        <f>+ENERO!U133</f>
        <v>5000000</v>
      </c>
      <c r="V133" s="15">
        <f>MARZO!V133+ABRIL!AL133</f>
        <v>0</v>
      </c>
      <c r="W133" s="15">
        <f>MARZO!W133+ABRIL!AM133</f>
        <v>0</v>
      </c>
      <c r="X133" s="18">
        <f t="shared" si="139"/>
        <v>5000000</v>
      </c>
      <c r="Y133" s="19">
        <f>MARZO!AA133</f>
        <v>0</v>
      </c>
      <c r="Z133" s="374">
        <v>0</v>
      </c>
      <c r="AA133" s="18">
        <f t="shared" si="140"/>
        <v>0</v>
      </c>
      <c r="AB133" s="19">
        <f>MARZO!AD133</f>
        <v>0</v>
      </c>
      <c r="AC133" s="374">
        <v>0</v>
      </c>
      <c r="AD133" s="18">
        <f t="shared" si="141"/>
        <v>0</v>
      </c>
      <c r="AE133" s="19">
        <f>MARZO!AG133</f>
        <v>0</v>
      </c>
      <c r="AF133" s="374">
        <v>0</v>
      </c>
      <c r="AG133" s="18">
        <f t="shared" si="142"/>
        <v>0</v>
      </c>
      <c r="AH133" s="19">
        <f t="shared" si="143"/>
        <v>5000000</v>
      </c>
      <c r="AI133" s="15">
        <f t="shared" si="144"/>
        <v>5000000</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2"/>
      <c r="B134" s="660"/>
      <c r="N134" s="9"/>
      <c r="R134" s="9"/>
      <c r="S134" s="705" t="str">
        <f>+IF(MARZO!S134=0,"",MARZO!S134)</f>
        <v>2010200-11</v>
      </c>
      <c r="T134" s="681" t="str">
        <f>+IF(MARZO!T134=0,"",MARZO!T134)</f>
        <v>Gastos financieros</v>
      </c>
      <c r="U134" s="27">
        <f>+ENERO!U134</f>
        <v>10000000</v>
      </c>
      <c r="V134" s="15">
        <f>MARZO!V134+ABRIL!AL134</f>
        <v>0</v>
      </c>
      <c r="W134" s="15">
        <f>MARZO!W134+ABRIL!AM134</f>
        <v>0</v>
      </c>
      <c r="X134" s="18">
        <f t="shared" si="139"/>
        <v>10000000</v>
      </c>
      <c r="Y134" s="19">
        <f>MARZO!AA134</f>
        <v>1701574</v>
      </c>
      <c r="Z134" s="374">
        <v>138618</v>
      </c>
      <c r="AA134" s="18">
        <f t="shared" si="140"/>
        <v>1840192</v>
      </c>
      <c r="AB134" s="19">
        <f>MARZO!AD134</f>
        <v>1701574</v>
      </c>
      <c r="AC134" s="374">
        <v>138618</v>
      </c>
      <c r="AD134" s="18">
        <f t="shared" si="141"/>
        <v>1840192</v>
      </c>
      <c r="AE134" s="19">
        <f>MARZO!AG134</f>
        <v>1567038</v>
      </c>
      <c r="AF134" s="374">
        <v>4082</v>
      </c>
      <c r="AG134" s="18">
        <f t="shared" si="142"/>
        <v>1571120</v>
      </c>
      <c r="AH134" s="19">
        <f t="shared" si="143"/>
        <v>8159808</v>
      </c>
      <c r="AI134" s="15">
        <f t="shared" si="144"/>
        <v>8159808</v>
      </c>
      <c r="AJ134" s="16">
        <f t="shared" si="145"/>
        <v>8428880</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2"/>
      <c r="B135" s="660"/>
      <c r="N135" s="9"/>
      <c r="R135" s="9"/>
      <c r="S135" s="705" t="str">
        <f>+IF(MARZO!S135=0,"",MARZO!S135)</f>
        <v>2010200-12</v>
      </c>
      <c r="T135" s="681" t="str">
        <f>+IF(MARZO!T135=0,"",MARZO!T135)</f>
        <v/>
      </c>
      <c r="U135" s="27">
        <f>+ENERO!U135</f>
        <v>0</v>
      </c>
      <c r="V135" s="15">
        <f>MARZO!V135+ABRIL!AL135</f>
        <v>0</v>
      </c>
      <c r="W135" s="15">
        <f>MARZO!W135+ABRIL!AM135</f>
        <v>0</v>
      </c>
      <c r="X135" s="18">
        <f t="shared" si="139"/>
        <v>0</v>
      </c>
      <c r="Y135" s="19">
        <f>MARZO!AA135</f>
        <v>0</v>
      </c>
      <c r="Z135" s="374">
        <v>0</v>
      </c>
      <c r="AA135" s="18">
        <f t="shared" si="140"/>
        <v>0</v>
      </c>
      <c r="AB135" s="19">
        <f>MARZO!AD135</f>
        <v>0</v>
      </c>
      <c r="AC135" s="374">
        <v>0</v>
      </c>
      <c r="AD135" s="18">
        <f t="shared" si="141"/>
        <v>0</v>
      </c>
      <c r="AE135" s="19">
        <f>MARZO!AG135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2"/>
      <c r="B136" s="660"/>
      <c r="N136" s="9"/>
      <c r="R136" s="9"/>
      <c r="S136" s="705" t="str">
        <f>+IF(MARZO!S136=0,"",MARZO!S136)</f>
        <v>2010200-13</v>
      </c>
      <c r="T136" s="681" t="str">
        <f>+IF(MARZO!T136=0,"",MARZO!T136)</f>
        <v/>
      </c>
      <c r="U136" s="27">
        <f>+ENERO!U136</f>
        <v>0</v>
      </c>
      <c r="V136" s="15">
        <f>MARZO!V136+ABRIL!AL136</f>
        <v>0</v>
      </c>
      <c r="W136" s="15">
        <f>MARZO!W136+ABRIL!AM136</f>
        <v>0</v>
      </c>
      <c r="X136" s="18">
        <f t="shared" si="139"/>
        <v>0</v>
      </c>
      <c r="Y136" s="19">
        <f>MARZO!AA136</f>
        <v>0</v>
      </c>
      <c r="Z136" s="374">
        <v>0</v>
      </c>
      <c r="AA136" s="18">
        <f t="shared" si="140"/>
        <v>0</v>
      </c>
      <c r="AB136" s="19">
        <f>MARZO!AD136</f>
        <v>0</v>
      </c>
      <c r="AC136" s="374">
        <v>0</v>
      </c>
      <c r="AD136" s="18">
        <f t="shared" si="141"/>
        <v>0</v>
      </c>
      <c r="AE136" s="19">
        <f>MARZO!AG136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2"/>
      <c r="B137" s="660"/>
      <c r="N137" s="9"/>
      <c r="R137" s="9"/>
      <c r="S137" s="705" t="str">
        <f>+IF(MARZO!S137=0,"",MARZO!S137)</f>
        <v>2010020-14</v>
      </c>
      <c r="T137" s="681" t="str">
        <f>+IF(MARZO!T137=0,"",MARZO!T137)</f>
        <v/>
      </c>
      <c r="U137" s="27">
        <f>+ENERO!U137</f>
        <v>0</v>
      </c>
      <c r="V137" s="15">
        <f>MARZO!V137+ABRIL!AL137</f>
        <v>0</v>
      </c>
      <c r="W137" s="15">
        <f>MARZO!W137+ABRIL!AM137</f>
        <v>0</v>
      </c>
      <c r="X137" s="18">
        <f t="shared" si="139"/>
        <v>0</v>
      </c>
      <c r="Y137" s="19">
        <f>MARZO!AA137</f>
        <v>0</v>
      </c>
      <c r="Z137" s="374">
        <v>0</v>
      </c>
      <c r="AA137" s="18">
        <f t="shared" si="140"/>
        <v>0</v>
      </c>
      <c r="AB137" s="19">
        <f>MARZO!AD137</f>
        <v>0</v>
      </c>
      <c r="AC137" s="374">
        <v>0</v>
      </c>
      <c r="AD137" s="18">
        <f t="shared" si="141"/>
        <v>0</v>
      </c>
      <c r="AE137" s="19">
        <f>MARZO!AG137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2"/>
      <c r="B138" s="660"/>
      <c r="N138" s="9"/>
      <c r="R138" s="9"/>
      <c r="S138" s="705" t="str">
        <f>+IF(MARZO!S138=0,"",MARZO!S138)</f>
        <v>2010200-15</v>
      </c>
      <c r="T138" s="681" t="str">
        <f>+IF(MARZO!T138=0,"",MARZO!T138)</f>
        <v/>
      </c>
      <c r="U138" s="27">
        <f>+ENERO!U138</f>
        <v>0</v>
      </c>
      <c r="V138" s="15">
        <f>MARZO!V138+ABRIL!AL138</f>
        <v>0</v>
      </c>
      <c r="W138" s="15">
        <f>MARZO!W138+ABRIL!AM138</f>
        <v>0</v>
      </c>
      <c r="X138" s="18">
        <f t="shared" si="139"/>
        <v>0</v>
      </c>
      <c r="Y138" s="19">
        <f>MARZO!AA138</f>
        <v>0</v>
      </c>
      <c r="Z138" s="374">
        <v>0</v>
      </c>
      <c r="AA138" s="18">
        <f t="shared" si="140"/>
        <v>0</v>
      </c>
      <c r="AB138" s="19">
        <f>MARZO!AD138</f>
        <v>0</v>
      </c>
      <c r="AC138" s="374">
        <v>0</v>
      </c>
      <c r="AD138" s="18">
        <f t="shared" si="141"/>
        <v>0</v>
      </c>
      <c r="AE138" s="19">
        <f>MARZO!AG138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2"/>
      <c r="B139" s="660"/>
      <c r="N139" s="9"/>
      <c r="R139" s="9"/>
      <c r="S139" s="705">
        <f>+IF(MARZO!S139=0,"",MARZO!S139)</f>
        <v>2010299</v>
      </c>
      <c r="T139" s="681" t="str">
        <f>+IF(MARZO!T139=0,"",MARZO!T139)</f>
        <v>Vigencias Anteriores</v>
      </c>
      <c r="U139" s="27">
        <f>+ENERO!U139</f>
        <v>0</v>
      </c>
      <c r="V139" s="15">
        <f>MARZO!V139+ABRIL!AL139</f>
        <v>-569126000</v>
      </c>
      <c r="W139" s="15">
        <f>MARZO!W139+ABRIL!AM139</f>
        <v>1120000000</v>
      </c>
      <c r="X139" s="18">
        <f t="shared" si="139"/>
        <v>550874000</v>
      </c>
      <c r="Y139" s="19">
        <f>MARZO!AA139</f>
        <v>150974000</v>
      </c>
      <c r="Z139" s="374">
        <v>0</v>
      </c>
      <c r="AA139" s="18">
        <f t="shared" si="140"/>
        <v>150974000</v>
      </c>
      <c r="AB139" s="19">
        <f>MARZO!AD139</f>
        <v>150974000</v>
      </c>
      <c r="AC139" s="374">
        <v>0</v>
      </c>
      <c r="AD139" s="18">
        <f t="shared" si="141"/>
        <v>150974000</v>
      </c>
      <c r="AE139" s="19">
        <f>MARZO!AG139</f>
        <v>150974000</v>
      </c>
      <c r="AF139" s="374">
        <v>0</v>
      </c>
      <c r="AG139" s="18">
        <f t="shared" si="142"/>
        <v>150974000</v>
      </c>
      <c r="AH139" s="19">
        <f t="shared" si="143"/>
        <v>399900000</v>
      </c>
      <c r="AI139" s="15">
        <f t="shared" si="144"/>
        <v>399900000</v>
      </c>
      <c r="AJ139" s="16">
        <f t="shared" si="145"/>
        <v>399900000</v>
      </c>
      <c r="AK139" s="9"/>
      <c r="AL139" s="372">
        <v>-100100000</v>
      </c>
      <c r="AM139" s="375">
        <v>500000000</v>
      </c>
      <c r="AN139" s="9"/>
      <c r="AO139" s="294"/>
      <c r="AP139" s="294"/>
      <c r="AQ139" s="294"/>
    </row>
    <row r="140" spans="1:52" s="382" customFormat="1" ht="24.95" customHeight="1">
      <c r="A140" s="752"/>
      <c r="B140" s="660"/>
      <c r="N140" s="9"/>
      <c r="R140" s="9"/>
      <c r="S140" s="366" t="str">
        <f>+IF(MARZO!S140=0,"",MARZO!S140)</f>
        <v/>
      </c>
      <c r="T140" s="695"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2"/>
      <c r="B141" s="660"/>
      <c r="N141" s="9"/>
      <c r="R141" s="9"/>
      <c r="S141" s="704">
        <f>+IF(MARZO!S141=0,"",MARZO!S141)</f>
        <v>2010300</v>
      </c>
      <c r="T141" s="680" t="str">
        <f>+IF(MARZO!T141=0,"",MARZO!T141)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c r="A142" s="752"/>
      <c r="B142" s="660"/>
      <c r="N142" s="9"/>
      <c r="R142" s="9"/>
      <c r="S142" s="705" t="str">
        <f>+IF(MARZO!S142=0,"",MARZO!S142)</f>
        <v>2010300-1</v>
      </c>
      <c r="T142" s="681" t="str">
        <f>+IF(MARZO!T142=0,"",MARZO!T142)</f>
        <v>Impuestos (Predial, Vehiculos, Otros)</v>
      </c>
      <c r="U142" s="27">
        <f>+ENERO!U142</f>
        <v>0</v>
      </c>
      <c r="V142" s="15">
        <f>MARZO!V142+ABRIL!AL142</f>
        <v>0</v>
      </c>
      <c r="W142" s="15">
        <f>MARZO!W142+ABRIL!AM142</f>
        <v>0</v>
      </c>
      <c r="X142" s="18">
        <f>SUM(U142:W142)</f>
        <v>0</v>
      </c>
      <c r="Y142" s="19">
        <f>MARZO!AA142</f>
        <v>0</v>
      </c>
      <c r="Z142" s="374">
        <v>0</v>
      </c>
      <c r="AA142" s="18">
        <f>SUM(Y142:Z142)</f>
        <v>0</v>
      </c>
      <c r="AB142" s="19">
        <f>MARZO!AD142</f>
        <v>0</v>
      </c>
      <c r="AC142" s="374">
        <v>0</v>
      </c>
      <c r="AD142" s="18">
        <f>SUM(AB142:AC142)</f>
        <v>0</v>
      </c>
      <c r="AE142" s="19">
        <f>MARZO!AG142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2"/>
      <c r="B143" s="660"/>
      <c r="N143" s="9"/>
      <c r="R143" s="9"/>
      <c r="S143" s="705">
        <f>+IF(MARZO!S143=0,"",MARZO!S143)</f>
        <v>2010399</v>
      </c>
      <c r="T143" s="681" t="str">
        <f>+IF(MARZO!T143=0,"",MARZO!T143)</f>
        <v>Vigencias Anteriores</v>
      </c>
      <c r="U143" s="27">
        <f>+ENERO!U143</f>
        <v>0</v>
      </c>
      <c r="V143" s="15">
        <f>MARZO!V143+ABRIL!AL143</f>
        <v>0</v>
      </c>
      <c r="W143" s="15">
        <f>MARZO!W143+ABRIL!AM143</f>
        <v>0</v>
      </c>
      <c r="X143" s="18">
        <f>SUM(U143:W143)</f>
        <v>0</v>
      </c>
      <c r="Y143" s="19">
        <f>MARZO!AA143</f>
        <v>0</v>
      </c>
      <c r="Z143" s="374">
        <v>0</v>
      </c>
      <c r="AA143" s="18">
        <f>SUM(Y143:Z143)</f>
        <v>0</v>
      </c>
      <c r="AB143" s="19">
        <f>MARZO!AD143</f>
        <v>0</v>
      </c>
      <c r="AC143" s="374">
        <v>0</v>
      </c>
      <c r="AD143" s="18">
        <f>SUM(AB143:AC143)</f>
        <v>0</v>
      </c>
      <c r="AE143" s="19">
        <f>MARZO!AG143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2"/>
      <c r="B144" s="660"/>
      <c r="N144" s="9"/>
      <c r="R144" s="9"/>
      <c r="S144" s="366" t="str">
        <f>+IF(MARZO!S144=0,"",MARZO!S144)</f>
        <v/>
      </c>
      <c r="T144" s="695"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2"/>
      <c r="B145" s="660"/>
      <c r="N145" s="9"/>
      <c r="R145" s="9"/>
      <c r="S145" s="703">
        <f>+IF(MARZO!S145=0,"",MARZO!S145)</f>
        <v>2020010</v>
      </c>
      <c r="T145" s="679" t="str">
        <f>+IF(MARZO!T145=0,"",MARZO!T145)</f>
        <v>Gastos de Operación</v>
      </c>
      <c r="U145" s="132">
        <f t="shared" ref="U145:AJ145" si="149">U147+U155</f>
        <v>2659132662</v>
      </c>
      <c r="V145" s="122">
        <f t="shared" si="149"/>
        <v>-215947579</v>
      </c>
      <c r="W145" s="122">
        <f t="shared" si="149"/>
        <v>1650000000</v>
      </c>
      <c r="X145" s="129">
        <f t="shared" si="149"/>
        <v>4093185083</v>
      </c>
      <c r="Y145" s="128">
        <f t="shared" si="149"/>
        <v>1148779753</v>
      </c>
      <c r="Z145" s="122">
        <f t="shared" si="149"/>
        <v>231395917</v>
      </c>
      <c r="AA145" s="129">
        <f t="shared" si="149"/>
        <v>1380175670</v>
      </c>
      <c r="AB145" s="128">
        <f t="shared" si="149"/>
        <v>567241886</v>
      </c>
      <c r="AC145" s="122">
        <f t="shared" si="149"/>
        <v>238410684</v>
      </c>
      <c r="AD145" s="129">
        <f t="shared" si="149"/>
        <v>805652570</v>
      </c>
      <c r="AE145" s="128">
        <f t="shared" si="149"/>
        <v>366751296</v>
      </c>
      <c r="AF145" s="122">
        <f t="shared" si="149"/>
        <v>44098818</v>
      </c>
      <c r="AG145" s="129">
        <f t="shared" si="149"/>
        <v>410850114</v>
      </c>
      <c r="AH145" s="128">
        <f t="shared" si="149"/>
        <v>2713009413</v>
      </c>
      <c r="AI145" s="122">
        <f t="shared" si="149"/>
        <v>3287532513</v>
      </c>
      <c r="AJ145" s="130">
        <f t="shared" si="149"/>
        <v>3682334969</v>
      </c>
      <c r="AK145" s="10"/>
      <c r="AL145" s="128">
        <f>AL147+AL155</f>
        <v>0</v>
      </c>
      <c r="AM145" s="130">
        <f>AM147+AM155</f>
        <v>1500000000</v>
      </c>
      <c r="AN145" s="9"/>
    </row>
    <row r="146" spans="1:40" s="382" customFormat="1" ht="24.95" customHeight="1">
      <c r="A146" s="752"/>
      <c r="B146" s="660"/>
      <c r="N146" s="9"/>
      <c r="R146" s="9"/>
      <c r="S146" s="706" t="str">
        <f>+IF(MARZO!S146=0,"",MARZO!S146)</f>
        <v/>
      </c>
      <c r="T146" s="682"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2"/>
      <c r="B147" s="660"/>
      <c r="N147" s="9"/>
      <c r="R147" s="9"/>
      <c r="S147" s="704">
        <f>+IF(MARZO!S147=0,"",MARZO!S147)</f>
        <v>2020100</v>
      </c>
      <c r="T147" s="680" t="str">
        <f>+IF(MARZO!T147=0,"",MARZO!T147)</f>
        <v>Adquisición de bienes</v>
      </c>
      <c r="U147" s="132">
        <f t="shared" ref="U147:AJ147" si="150">SUM(U148:U149)+U153</f>
        <v>1878602056</v>
      </c>
      <c r="V147" s="122">
        <f t="shared" si="150"/>
        <v>-196947579</v>
      </c>
      <c r="W147" s="122">
        <f t="shared" si="150"/>
        <v>550000000</v>
      </c>
      <c r="X147" s="129">
        <f t="shared" si="150"/>
        <v>2231654477</v>
      </c>
      <c r="Y147" s="128">
        <f t="shared" si="150"/>
        <v>439045081</v>
      </c>
      <c r="Z147" s="122">
        <f t="shared" si="150"/>
        <v>207272855</v>
      </c>
      <c r="AA147" s="129">
        <f t="shared" si="150"/>
        <v>646317936</v>
      </c>
      <c r="AB147" s="128">
        <f t="shared" si="150"/>
        <v>378208706</v>
      </c>
      <c r="AC147" s="122">
        <f t="shared" si="150"/>
        <v>112800405</v>
      </c>
      <c r="AD147" s="129">
        <f t="shared" si="150"/>
        <v>491009111</v>
      </c>
      <c r="AE147" s="128">
        <f t="shared" si="150"/>
        <v>231011642</v>
      </c>
      <c r="AF147" s="122">
        <f t="shared" si="150"/>
        <v>26256723</v>
      </c>
      <c r="AG147" s="129">
        <f t="shared" si="150"/>
        <v>257268365</v>
      </c>
      <c r="AH147" s="128">
        <f t="shared" si="150"/>
        <v>1585336541</v>
      </c>
      <c r="AI147" s="122">
        <f t="shared" si="150"/>
        <v>1740645366</v>
      </c>
      <c r="AJ147" s="130">
        <f t="shared" si="150"/>
        <v>1974386112</v>
      </c>
      <c r="AK147" s="9"/>
      <c r="AL147" s="128">
        <f>SUM(AL148:AL149)+AL153</f>
        <v>0</v>
      </c>
      <c r="AM147" s="130">
        <f>SUM(AM148:AM149)+AM153</f>
        <v>500000000</v>
      </c>
      <c r="AN147" s="9"/>
    </row>
    <row r="148" spans="1:40" s="382" customFormat="1" ht="24.95" customHeight="1">
      <c r="A148" s="752"/>
      <c r="B148" s="660"/>
      <c r="N148" s="9"/>
      <c r="R148" s="9"/>
      <c r="S148" s="705">
        <f>+IF(MARZO!S148=0,"",MARZO!S148)</f>
        <v>2020101</v>
      </c>
      <c r="T148" s="681" t="str">
        <f>+IF(MARZO!T148=0,"",MARZO!T148)</f>
        <v>Mantenimiento Hospitalario</v>
      </c>
      <c r="U148" s="27">
        <f>+ENERO!U148</f>
        <v>780530606</v>
      </c>
      <c r="V148" s="15">
        <f>MARZO!V148+ABRIL!AL148</f>
        <v>0</v>
      </c>
      <c r="W148" s="15">
        <f>MARZO!W148+ABRIL!AM148</f>
        <v>0</v>
      </c>
      <c r="X148" s="18">
        <f>SUM(U148:W148)</f>
        <v>780530606</v>
      </c>
      <c r="Y148" s="19">
        <f>MARZO!AA148</f>
        <v>40171827</v>
      </c>
      <c r="Z148" s="374">
        <v>125976515</v>
      </c>
      <c r="AA148" s="18">
        <f>SUM(Y148:Z148)</f>
        <v>166148342</v>
      </c>
      <c r="AB148" s="19">
        <f>MARZO!AD148</f>
        <v>26102923</v>
      </c>
      <c r="AC148" s="374">
        <v>12504585</v>
      </c>
      <c r="AD148" s="18">
        <f>SUM(AB148:AC148)</f>
        <v>38607508</v>
      </c>
      <c r="AE148" s="19">
        <f>MARZO!AG148</f>
        <v>4845730</v>
      </c>
      <c r="AF148" s="374">
        <v>2438803</v>
      </c>
      <c r="AG148" s="18">
        <f>SUM(AE148:AF148)</f>
        <v>7284533</v>
      </c>
      <c r="AH148" s="19">
        <f>X148-AA148</f>
        <v>614382264</v>
      </c>
      <c r="AI148" s="15">
        <f>X148-AD148</f>
        <v>741923098</v>
      </c>
      <c r="AJ148" s="16">
        <f>X148-AG148</f>
        <v>773246073</v>
      </c>
      <c r="AK148" s="9"/>
      <c r="AL148" s="372">
        <v>0</v>
      </c>
      <c r="AM148" s="375">
        <v>0</v>
      </c>
      <c r="AN148" s="9"/>
    </row>
    <row r="149" spans="1:40" s="382" customFormat="1" ht="24.95" customHeight="1">
      <c r="A149" s="752"/>
      <c r="B149" s="660"/>
      <c r="N149" s="9"/>
      <c r="R149" s="9"/>
      <c r="S149" s="705">
        <f>+IF(MARZO!S149=0,"",MARZO!S149)</f>
        <v>2020102</v>
      </c>
      <c r="T149" s="681" t="str">
        <f>+IF(MARZO!T149=0,"",MARZO!T149)</f>
        <v>Otros</v>
      </c>
      <c r="U149" s="27">
        <f t="shared" ref="U149:AJ149" si="151">SUM(U150:U152)</f>
        <v>1098071450</v>
      </c>
      <c r="V149" s="15">
        <f t="shared" si="151"/>
        <v>-364218476</v>
      </c>
      <c r="W149" s="15">
        <f t="shared" si="151"/>
        <v>0</v>
      </c>
      <c r="X149" s="18">
        <f t="shared" si="151"/>
        <v>733852974</v>
      </c>
      <c r="Y149" s="19">
        <f t="shared" si="151"/>
        <v>194451794</v>
      </c>
      <c r="Z149" s="142">
        <f t="shared" si="151"/>
        <v>76305987</v>
      </c>
      <c r="AA149" s="18">
        <f t="shared" si="151"/>
        <v>270757781</v>
      </c>
      <c r="AB149" s="19">
        <f t="shared" si="151"/>
        <v>147684323</v>
      </c>
      <c r="AC149" s="142">
        <f t="shared" si="151"/>
        <v>95305467</v>
      </c>
      <c r="AD149" s="18">
        <f t="shared" si="151"/>
        <v>242989790</v>
      </c>
      <c r="AE149" s="19">
        <f t="shared" si="151"/>
        <v>21744452</v>
      </c>
      <c r="AF149" s="142">
        <f t="shared" si="151"/>
        <v>18827567</v>
      </c>
      <c r="AG149" s="18">
        <f t="shared" si="151"/>
        <v>40572019</v>
      </c>
      <c r="AH149" s="19">
        <f t="shared" si="151"/>
        <v>463095193</v>
      </c>
      <c r="AI149" s="15">
        <f t="shared" si="151"/>
        <v>490863184</v>
      </c>
      <c r="AJ149" s="16">
        <f t="shared" si="151"/>
        <v>693280955</v>
      </c>
      <c r="AK149" s="9"/>
      <c r="AL149" s="29">
        <f>SUM(AL150:AL152)</f>
        <v>0</v>
      </c>
      <c r="AM149" s="26">
        <f>SUM(AM150:AM152)</f>
        <v>0</v>
      </c>
      <c r="AN149" s="9"/>
    </row>
    <row r="150" spans="1:40" s="382" customFormat="1" ht="24.95" customHeight="1">
      <c r="A150" s="752"/>
      <c r="B150" s="660"/>
      <c r="N150" s="9"/>
      <c r="R150" s="9"/>
      <c r="S150" s="706" t="str">
        <f>+IF(MARZO!S150=0,"",MARZO!S150)</f>
        <v>2020102-1</v>
      </c>
      <c r="T150" s="681" t="str">
        <f>+IF(MARZO!T150=0,"",MARZO!T150)</f>
        <v>Compra de Equipo e Instr. Mco. y Laborat.</v>
      </c>
      <c r="U150" s="27">
        <f>+ENERO!U150</f>
        <v>514625084</v>
      </c>
      <c r="V150" s="15">
        <f>MARZO!V150+ABRIL!AL150</f>
        <v>-339050000</v>
      </c>
      <c r="W150" s="15">
        <f>MARZO!W150+ABRIL!AM150</f>
        <v>0</v>
      </c>
      <c r="X150" s="18">
        <f>SUM(U150:W150)</f>
        <v>175575084</v>
      </c>
      <c r="Y150" s="19">
        <f>MARZO!AA150</f>
        <v>10123049</v>
      </c>
      <c r="Z150" s="374">
        <v>8462340</v>
      </c>
      <c r="AA150" s="18">
        <f>SUM(Y150:Z150)</f>
        <v>18585389</v>
      </c>
      <c r="AB150" s="19">
        <f>MARZO!AD150</f>
        <v>6011407</v>
      </c>
      <c r="AC150" s="374">
        <v>4982551</v>
      </c>
      <c r="AD150" s="18">
        <f>SUM(AB150:AC150)</f>
        <v>10993958</v>
      </c>
      <c r="AE150" s="19">
        <f>MARZO!AG150</f>
        <v>0</v>
      </c>
      <c r="AF150" s="374">
        <v>10184958</v>
      </c>
      <c r="AG150" s="18">
        <f>SUM(AE150:AF150)</f>
        <v>10184958</v>
      </c>
      <c r="AH150" s="19">
        <f>X150-AA150</f>
        <v>156989695</v>
      </c>
      <c r="AI150" s="15">
        <f>X150-AD150</f>
        <v>164581126</v>
      </c>
      <c r="AJ150" s="16">
        <f>X150-AG150</f>
        <v>165390126</v>
      </c>
      <c r="AK150" s="9"/>
      <c r="AL150" s="372">
        <v>0</v>
      </c>
      <c r="AM150" s="375">
        <v>0</v>
      </c>
      <c r="AN150" s="9"/>
    </row>
    <row r="151" spans="1:40" s="382" customFormat="1" ht="24.95" customHeight="1">
      <c r="A151" s="752"/>
      <c r="B151" s="660"/>
      <c r="N151" s="9"/>
      <c r="R151" s="9"/>
      <c r="S151" s="706" t="str">
        <f>+IF(MARZO!S151=0,"",MARZO!S151)</f>
        <v>2020102-2</v>
      </c>
      <c r="T151" s="681" t="str">
        <f>+IF(MARZO!T151=0,"",MARZO!T151)</f>
        <v>Materiales</v>
      </c>
      <c r="U151" s="27">
        <f>+ENERO!U151</f>
        <v>583446366</v>
      </c>
      <c r="V151" s="15">
        <f>MARZO!V151+ABRIL!AL151</f>
        <v>-25168476</v>
      </c>
      <c r="W151" s="15">
        <f>MARZO!W151+ABRIL!AM151</f>
        <v>0</v>
      </c>
      <c r="X151" s="18">
        <f>SUM(U151:W151)</f>
        <v>558277890</v>
      </c>
      <c r="Y151" s="19">
        <f>MARZO!AA151</f>
        <v>184328745</v>
      </c>
      <c r="Z151" s="374">
        <v>67843647</v>
      </c>
      <c r="AA151" s="18">
        <f>SUM(Y151:Z151)</f>
        <v>252172392</v>
      </c>
      <c r="AB151" s="19">
        <f>MARZO!AD151</f>
        <v>141672916</v>
      </c>
      <c r="AC151" s="374">
        <v>90322916</v>
      </c>
      <c r="AD151" s="18">
        <f>SUM(AB151:AC151)</f>
        <v>231995832</v>
      </c>
      <c r="AE151" s="19">
        <f>MARZO!AG151</f>
        <v>21744452</v>
      </c>
      <c r="AF151" s="374">
        <v>8642609</v>
      </c>
      <c r="AG151" s="18">
        <f>SUM(AE151:AF151)</f>
        <v>30387061</v>
      </c>
      <c r="AH151" s="19">
        <f>X151-AA151</f>
        <v>306105498</v>
      </c>
      <c r="AI151" s="15">
        <f>X151-AD151</f>
        <v>326282058</v>
      </c>
      <c r="AJ151" s="16">
        <f>X151-AG151</f>
        <v>527890829</v>
      </c>
      <c r="AK151" s="9"/>
      <c r="AL151" s="372">
        <v>0</v>
      </c>
      <c r="AM151" s="375">
        <v>0</v>
      </c>
      <c r="AN151" s="9"/>
    </row>
    <row r="152" spans="1:40" s="382" customFormat="1" ht="24.95" customHeight="1">
      <c r="A152" s="752"/>
      <c r="B152" s="660"/>
      <c r="N152" s="9"/>
      <c r="R152" s="9"/>
      <c r="S152" s="706" t="str">
        <f>+IF(MARZO!S152=0,"",MARZO!S152)</f>
        <v>2020102-3</v>
      </c>
      <c r="T152" s="682" t="str">
        <f>+IF(MARZO!T152=0,"",MARZO!T152)</f>
        <v/>
      </c>
      <c r="U152" s="27">
        <f>+ENERO!U152</f>
        <v>0</v>
      </c>
      <c r="V152" s="15">
        <f>MARZO!V152+ABRIL!AL152</f>
        <v>0</v>
      </c>
      <c r="W152" s="15">
        <f>MARZO!W152+ABRIL!AM152</f>
        <v>0</v>
      </c>
      <c r="X152" s="18">
        <f>SUM(U152:W152)</f>
        <v>0</v>
      </c>
      <c r="Y152" s="19">
        <f>MARZO!AA152</f>
        <v>0</v>
      </c>
      <c r="Z152" s="374">
        <v>0</v>
      </c>
      <c r="AA152" s="18">
        <f>SUM(Y152:Z152)</f>
        <v>0</v>
      </c>
      <c r="AB152" s="19">
        <f>MARZO!AD152</f>
        <v>0</v>
      </c>
      <c r="AC152" s="374">
        <v>0</v>
      </c>
      <c r="AD152" s="18">
        <f>SUM(AB152:AC152)</f>
        <v>0</v>
      </c>
      <c r="AE152" s="19">
        <f>MARZO!AG152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2"/>
      <c r="B153" s="660"/>
      <c r="N153" s="9"/>
      <c r="R153" s="9"/>
      <c r="S153" s="705">
        <f>+IF(MARZO!S153=0,"",MARZO!S153)</f>
        <v>2020199</v>
      </c>
      <c r="T153" s="681" t="str">
        <f>+IF(MARZO!T153=0,"",MARZO!T153)</f>
        <v>Vigencias Anteriores</v>
      </c>
      <c r="U153" s="27">
        <f>+ENERO!U153</f>
        <v>0</v>
      </c>
      <c r="V153" s="15">
        <f>MARZO!V153+ABRIL!AL153</f>
        <v>167270897</v>
      </c>
      <c r="W153" s="15">
        <f>MARZO!W153+ABRIL!AM153</f>
        <v>550000000</v>
      </c>
      <c r="X153" s="18">
        <f>SUM(U153:W153)</f>
        <v>717270897</v>
      </c>
      <c r="Y153" s="19">
        <f>MARZO!AA153</f>
        <v>204421460</v>
      </c>
      <c r="Z153" s="374">
        <v>4990353</v>
      </c>
      <c r="AA153" s="18">
        <f>SUM(Y153:Z153)</f>
        <v>209411813</v>
      </c>
      <c r="AB153" s="19">
        <f>MARZO!AD153</f>
        <v>204421460</v>
      </c>
      <c r="AC153" s="374">
        <v>4990353</v>
      </c>
      <c r="AD153" s="18">
        <f>SUM(AB153:AC153)</f>
        <v>209411813</v>
      </c>
      <c r="AE153" s="19">
        <f>MARZO!AG153</f>
        <v>204421460</v>
      </c>
      <c r="AF153" s="374">
        <v>4990353</v>
      </c>
      <c r="AG153" s="18">
        <f>SUM(AE153:AF153)</f>
        <v>209411813</v>
      </c>
      <c r="AH153" s="19">
        <f>X153-AA153</f>
        <v>507859084</v>
      </c>
      <c r="AI153" s="15">
        <f>X153-AD153</f>
        <v>507859084</v>
      </c>
      <c r="AJ153" s="16">
        <f>X153-AG153</f>
        <v>507859084</v>
      </c>
      <c r="AK153" s="9"/>
      <c r="AL153" s="372">
        <v>0</v>
      </c>
      <c r="AM153" s="672">
        <v>500000000</v>
      </c>
      <c r="AN153" s="9"/>
    </row>
    <row r="154" spans="1:40" s="382" customFormat="1" ht="24.95" customHeight="1">
      <c r="A154" s="752"/>
      <c r="B154" s="660"/>
      <c r="N154" s="9"/>
      <c r="R154" s="9"/>
      <c r="S154" s="366" t="str">
        <f>+IF(MARZO!S154=0,"",MARZO!S154)</f>
        <v/>
      </c>
      <c r="T154" s="695"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2"/>
      <c r="B155" s="660"/>
      <c r="N155" s="9"/>
      <c r="R155" s="9"/>
      <c r="S155" s="704">
        <f>+IF(MARZO!S155=0,"",MARZO!S155)</f>
        <v>2020200</v>
      </c>
      <c r="T155" s="680" t="str">
        <f>+IF(MARZO!T155=0,"",MARZO!T155)</f>
        <v>Adquisición de Servicios</v>
      </c>
      <c r="U155" s="132">
        <f t="shared" ref="U155:AJ155" si="152">SUM(U156:U157)+U168</f>
        <v>780530606</v>
      </c>
      <c r="V155" s="122">
        <f t="shared" si="152"/>
        <v>-19000000</v>
      </c>
      <c r="W155" s="122">
        <f t="shared" si="152"/>
        <v>1100000000</v>
      </c>
      <c r="X155" s="129">
        <f t="shared" si="152"/>
        <v>1861530606</v>
      </c>
      <c r="Y155" s="128">
        <f t="shared" si="152"/>
        <v>709734672</v>
      </c>
      <c r="Z155" s="122">
        <f t="shared" si="152"/>
        <v>24123062</v>
      </c>
      <c r="AA155" s="129">
        <f t="shared" si="152"/>
        <v>733857734</v>
      </c>
      <c r="AB155" s="128">
        <f t="shared" si="152"/>
        <v>189033180</v>
      </c>
      <c r="AC155" s="122">
        <f t="shared" si="152"/>
        <v>125610279</v>
      </c>
      <c r="AD155" s="129">
        <f t="shared" si="152"/>
        <v>314643459</v>
      </c>
      <c r="AE155" s="128">
        <f t="shared" si="152"/>
        <v>135739654</v>
      </c>
      <c r="AF155" s="122">
        <f t="shared" si="152"/>
        <v>17842095</v>
      </c>
      <c r="AG155" s="129">
        <f t="shared" si="152"/>
        <v>153581749</v>
      </c>
      <c r="AH155" s="128">
        <f t="shared" si="152"/>
        <v>1127672872</v>
      </c>
      <c r="AI155" s="122">
        <f t="shared" si="152"/>
        <v>1546887147</v>
      </c>
      <c r="AJ155" s="130">
        <f t="shared" si="152"/>
        <v>1707948857</v>
      </c>
      <c r="AK155" s="9"/>
      <c r="AL155" s="128">
        <f>SUM(AL156:AL157)+AL168</f>
        <v>0</v>
      </c>
      <c r="AM155" s="130">
        <f>SUM(AM156:AM157)+AM168</f>
        <v>1000000000</v>
      </c>
      <c r="AN155" s="9"/>
    </row>
    <row r="156" spans="1:40" s="382" customFormat="1" ht="24.95" customHeight="1">
      <c r="A156" s="752"/>
      <c r="B156" s="660"/>
      <c r="N156" s="9"/>
      <c r="P156" s="9"/>
      <c r="Q156" s="9"/>
      <c r="R156" s="9"/>
      <c r="S156" s="705">
        <f>+IF(MARZO!S156=0,"",MARZO!S156)</f>
        <v>2020201</v>
      </c>
      <c r="T156" s="681" t="str">
        <f>+IF(MARZO!T156=0,"",MARZO!T156)</f>
        <v>Mantenimiento Hospitalario</v>
      </c>
      <c r="U156" s="27">
        <f>+ENERO!U156</f>
        <v>780530606</v>
      </c>
      <c r="V156" s="15">
        <f>MARZO!V156+ABRIL!AL156</f>
        <v>0</v>
      </c>
      <c r="W156" s="15">
        <f>MARZO!W156+ABRIL!AM156</f>
        <v>0</v>
      </c>
      <c r="X156" s="18">
        <f>SUM(U156:W156)</f>
        <v>780530606</v>
      </c>
      <c r="Y156" s="19">
        <f>MARZO!AA156</f>
        <v>628734672</v>
      </c>
      <c r="Z156" s="374">
        <v>8033512</v>
      </c>
      <c r="AA156" s="18">
        <f>SUM(Y156:Z156)</f>
        <v>636768184</v>
      </c>
      <c r="AB156" s="19">
        <f>MARZO!AD156</f>
        <v>108033180</v>
      </c>
      <c r="AC156" s="374">
        <v>109520729</v>
      </c>
      <c r="AD156" s="18">
        <f>SUM(AB156:AC156)</f>
        <v>217553909</v>
      </c>
      <c r="AE156" s="19">
        <f>MARZO!AG156</f>
        <v>54739654</v>
      </c>
      <c r="AF156" s="374">
        <v>1752545</v>
      </c>
      <c r="AG156" s="18">
        <f>SUM(AE156:AF156)</f>
        <v>56492199</v>
      </c>
      <c r="AH156" s="19">
        <f>X156-AA156</f>
        <v>143762422</v>
      </c>
      <c r="AI156" s="15">
        <f>X156-AD156</f>
        <v>562976697</v>
      </c>
      <c r="AJ156" s="16">
        <f>X156-AG156</f>
        <v>724038407</v>
      </c>
      <c r="AK156" s="9"/>
      <c r="AL156" s="372">
        <v>0</v>
      </c>
      <c r="AM156" s="375">
        <v>0</v>
      </c>
      <c r="AN156" s="9"/>
    </row>
    <row r="157" spans="1:40" s="382" customFormat="1" ht="24.95" customHeight="1">
      <c r="A157" s="752"/>
      <c r="B157" s="660"/>
      <c r="N157" s="9"/>
      <c r="P157" s="9"/>
      <c r="Q157" s="9"/>
      <c r="R157" s="9"/>
      <c r="S157" s="705">
        <f>+IF(MARZO!S157=0,"",MARZO!S157)</f>
        <v>2020202</v>
      </c>
      <c r="T157" s="681" t="str">
        <f>+IF(MARZO!T157=0,"",MARZO!T157)</f>
        <v>Otros</v>
      </c>
      <c r="U157" s="27">
        <f t="shared" ref="U157:AJ157" si="153">SUM(U158:U167)</f>
        <v>0</v>
      </c>
      <c r="V157" s="15">
        <f t="shared" si="153"/>
        <v>0</v>
      </c>
      <c r="W157" s="15">
        <f t="shared" si="153"/>
        <v>0</v>
      </c>
      <c r="X157" s="18">
        <f t="shared" si="153"/>
        <v>0</v>
      </c>
      <c r="Y157" s="19">
        <f t="shared" si="153"/>
        <v>0</v>
      </c>
      <c r="Z157" s="142">
        <f t="shared" si="153"/>
        <v>0</v>
      </c>
      <c r="AA157" s="18">
        <f t="shared" si="153"/>
        <v>0</v>
      </c>
      <c r="AB157" s="19">
        <f t="shared" si="153"/>
        <v>0</v>
      </c>
      <c r="AC157" s="142">
        <f t="shared" si="153"/>
        <v>0</v>
      </c>
      <c r="AD157" s="18">
        <f t="shared" si="153"/>
        <v>0</v>
      </c>
      <c r="AE157" s="19">
        <f t="shared" si="153"/>
        <v>0</v>
      </c>
      <c r="AF157" s="142">
        <f t="shared" si="153"/>
        <v>0</v>
      </c>
      <c r="AG157" s="18">
        <f t="shared" si="153"/>
        <v>0</v>
      </c>
      <c r="AH157" s="19">
        <f t="shared" si="153"/>
        <v>0</v>
      </c>
      <c r="AI157" s="15">
        <f t="shared" si="153"/>
        <v>0</v>
      </c>
      <c r="AJ157" s="16">
        <f t="shared" si="153"/>
        <v>0</v>
      </c>
      <c r="AK157" s="10"/>
      <c r="AL157" s="16">
        <f>SUM(AL158:AL167)</f>
        <v>0</v>
      </c>
      <c r="AM157" s="16">
        <f>SUM(AM158:AM167)</f>
        <v>0</v>
      </c>
      <c r="AN157" s="9"/>
    </row>
    <row r="158" spans="1:40" s="382" customFormat="1" ht="24.95" customHeight="1">
      <c r="A158" s="752"/>
      <c r="B158" s="660"/>
      <c r="N158" s="9"/>
      <c r="P158" s="9"/>
      <c r="Q158" s="9"/>
      <c r="R158" s="9"/>
      <c r="S158" s="706" t="str">
        <f>+IF(MARZO!S158=0,"",MARZO!S158)</f>
        <v>2020202-1</v>
      </c>
      <c r="T158" s="682" t="str">
        <f>+IF(MARZO!T158=0,"",MARZO!T158)</f>
        <v>Seguros</v>
      </c>
      <c r="U158" s="27">
        <f>+ENERO!U158</f>
        <v>0</v>
      </c>
      <c r="V158" s="15">
        <f>MARZO!V158+ABRIL!AL158</f>
        <v>0</v>
      </c>
      <c r="W158" s="15">
        <f>MARZO!W158+ABRIL!AM158</f>
        <v>0</v>
      </c>
      <c r="X158" s="18">
        <f t="shared" ref="X158:X168" si="154">SUM(U158:W158)</f>
        <v>0</v>
      </c>
      <c r="Y158" s="19">
        <f>MARZO!AA158</f>
        <v>0</v>
      </c>
      <c r="Z158" s="374">
        <v>0</v>
      </c>
      <c r="AA158" s="18">
        <f t="shared" ref="AA158:AA168" si="155">SUM(Y158:Z158)</f>
        <v>0</v>
      </c>
      <c r="AB158" s="19">
        <f>MARZO!AD158</f>
        <v>0</v>
      </c>
      <c r="AC158" s="374">
        <v>0</v>
      </c>
      <c r="AD158" s="18">
        <f t="shared" ref="AD158:AD168" si="156">SUM(AB158:AC158)</f>
        <v>0</v>
      </c>
      <c r="AE158" s="19">
        <f>MARZO!AG158</f>
        <v>0</v>
      </c>
      <c r="AF158" s="374">
        <v>0</v>
      </c>
      <c r="AG158" s="18">
        <f t="shared" ref="AG158:AG168" si="157">SUM(AE158:AF158)</f>
        <v>0</v>
      </c>
      <c r="AH158" s="19">
        <f t="shared" ref="AH158:AH168" si="158">X158-AA158</f>
        <v>0</v>
      </c>
      <c r="AI158" s="15">
        <f t="shared" ref="AI158:AI168" si="159">X158-AD158</f>
        <v>0</v>
      </c>
      <c r="AJ158" s="16">
        <f t="shared" ref="AJ158:AJ168" si="160">X158-AG158</f>
        <v>0</v>
      </c>
      <c r="AK158" s="9"/>
      <c r="AL158" s="372">
        <v>0</v>
      </c>
      <c r="AM158" s="375">
        <v>0</v>
      </c>
      <c r="AN158" s="9"/>
    </row>
    <row r="159" spans="1:40" s="382" customFormat="1" ht="24.95" customHeight="1">
      <c r="A159" s="752"/>
      <c r="B159" s="660"/>
      <c r="N159" s="9"/>
      <c r="P159" s="9"/>
      <c r="Q159" s="9"/>
      <c r="R159" s="9"/>
      <c r="S159" s="706" t="str">
        <f>+IF(MARZO!S159=0,"",MARZO!S159)</f>
        <v>2020202-2</v>
      </c>
      <c r="T159" s="682" t="str">
        <f>+IF(MARZO!T159=0,"",MARZO!T159)</f>
        <v>Impresos y Publicaciones</v>
      </c>
      <c r="U159" s="27">
        <f>+ENERO!U159</f>
        <v>0</v>
      </c>
      <c r="V159" s="15">
        <f>MARZO!V159+ABRIL!AL159</f>
        <v>0</v>
      </c>
      <c r="W159" s="15">
        <f>MARZO!W159+ABRIL!AM159</f>
        <v>0</v>
      </c>
      <c r="X159" s="18">
        <f t="shared" si="154"/>
        <v>0</v>
      </c>
      <c r="Y159" s="19">
        <f>MARZO!AA159</f>
        <v>0</v>
      </c>
      <c r="Z159" s="374">
        <v>0</v>
      </c>
      <c r="AA159" s="18">
        <f t="shared" si="155"/>
        <v>0</v>
      </c>
      <c r="AB159" s="19">
        <f>MARZO!AD159</f>
        <v>0</v>
      </c>
      <c r="AC159" s="374">
        <v>0</v>
      </c>
      <c r="AD159" s="18">
        <f t="shared" si="156"/>
        <v>0</v>
      </c>
      <c r="AE159" s="19">
        <f>MARZO!AG159</f>
        <v>0</v>
      </c>
      <c r="AF159" s="374">
        <v>0</v>
      </c>
      <c r="AG159" s="18">
        <f t="shared" si="157"/>
        <v>0</v>
      </c>
      <c r="AH159" s="19">
        <f t="shared" si="158"/>
        <v>0</v>
      </c>
      <c r="AI159" s="15">
        <f t="shared" si="159"/>
        <v>0</v>
      </c>
      <c r="AJ159" s="16">
        <f t="shared" si="160"/>
        <v>0</v>
      </c>
      <c r="AK159" s="9"/>
      <c r="AL159" s="372">
        <v>0</v>
      </c>
      <c r="AM159" s="375">
        <v>0</v>
      </c>
      <c r="AN159" s="9"/>
    </row>
    <row r="160" spans="1:40" s="382" customFormat="1" ht="24.95" customHeight="1">
      <c r="A160" s="752"/>
      <c r="B160" s="660"/>
      <c r="N160" s="9"/>
      <c r="P160" s="9"/>
      <c r="Q160" s="9"/>
      <c r="R160" s="9"/>
      <c r="S160" s="706" t="str">
        <f>+IF(MARZO!S160=0,"",MARZO!S160)</f>
        <v>2020202-3</v>
      </c>
      <c r="T160" s="682" t="str">
        <f>+IF(MARZO!T160=0,"",MARZO!T160)</f>
        <v>Pago a otras IPS</v>
      </c>
      <c r="U160" s="27">
        <f>+ENERO!U160</f>
        <v>0</v>
      </c>
      <c r="V160" s="15">
        <f>MARZO!V160+ABRIL!AL160</f>
        <v>0</v>
      </c>
      <c r="W160" s="15">
        <f>MARZO!W160+ABRIL!AM160</f>
        <v>0</v>
      </c>
      <c r="X160" s="18">
        <f t="shared" si="154"/>
        <v>0</v>
      </c>
      <c r="Y160" s="19">
        <f>MARZO!AA160</f>
        <v>0</v>
      </c>
      <c r="Z160" s="374">
        <v>0</v>
      </c>
      <c r="AA160" s="18">
        <f t="shared" si="155"/>
        <v>0</v>
      </c>
      <c r="AB160" s="19">
        <f>MARZO!AD160</f>
        <v>0</v>
      </c>
      <c r="AC160" s="374">
        <v>0</v>
      </c>
      <c r="AD160" s="18">
        <f t="shared" si="156"/>
        <v>0</v>
      </c>
      <c r="AE160" s="19">
        <f>MARZO!AG160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2"/>
      <c r="B161" s="660"/>
      <c r="N161" s="9"/>
      <c r="P161" s="9"/>
      <c r="Q161" s="9"/>
      <c r="R161" s="9"/>
      <c r="S161" s="706" t="str">
        <f>+IF(MARZO!S161=0,"",MARZO!S161)</f>
        <v>2020202-4</v>
      </c>
      <c r="T161" s="682" t="str">
        <f>+IF(MARZO!T161=0,"",MARZO!T161)</f>
        <v>Comunicaciones y Transportes</v>
      </c>
      <c r="U161" s="27">
        <f>+ENERO!U161</f>
        <v>0</v>
      </c>
      <c r="V161" s="15">
        <f>MARZO!V161+ABRIL!AL161</f>
        <v>0</v>
      </c>
      <c r="W161" s="15">
        <f>MARZO!W161+ABRIL!AM161</f>
        <v>0</v>
      </c>
      <c r="X161" s="18">
        <f t="shared" si="154"/>
        <v>0</v>
      </c>
      <c r="Y161" s="19">
        <f>MARZO!AA161</f>
        <v>0</v>
      </c>
      <c r="Z161" s="374">
        <v>0</v>
      </c>
      <c r="AA161" s="18">
        <f t="shared" si="155"/>
        <v>0</v>
      </c>
      <c r="AB161" s="19">
        <f>MARZO!AD161</f>
        <v>0</v>
      </c>
      <c r="AC161" s="374">
        <v>0</v>
      </c>
      <c r="AD161" s="18">
        <f t="shared" si="156"/>
        <v>0</v>
      </c>
      <c r="AE161" s="19">
        <f>MARZO!AG161</f>
        <v>0</v>
      </c>
      <c r="AF161" s="374">
        <v>0</v>
      </c>
      <c r="AG161" s="18">
        <f t="shared" si="157"/>
        <v>0</v>
      </c>
      <c r="AH161" s="19">
        <f t="shared" si="158"/>
        <v>0</v>
      </c>
      <c r="AI161" s="15">
        <f t="shared" si="159"/>
        <v>0</v>
      </c>
      <c r="AJ161" s="16">
        <f t="shared" si="160"/>
        <v>0</v>
      </c>
      <c r="AK161" s="9"/>
      <c r="AL161" s="372">
        <v>0</v>
      </c>
      <c r="AM161" s="375">
        <v>0</v>
      </c>
      <c r="AN161" s="9"/>
    </row>
    <row r="162" spans="1:40" s="382" customFormat="1" ht="24.95" customHeight="1">
      <c r="A162" s="752"/>
      <c r="B162" s="660"/>
      <c r="N162" s="9"/>
      <c r="P162" s="9"/>
      <c r="Q162" s="9"/>
      <c r="R162" s="9"/>
      <c r="S162" s="706" t="str">
        <f>+IF(MARZO!S162=0,"",MARZO!S162)</f>
        <v>2020202-5</v>
      </c>
      <c r="T162" s="682" t="str">
        <f>+IF(MARZO!T162=0,"",MARZO!T162)</f>
        <v>Viáticos y Gastos de Viaje</v>
      </c>
      <c r="U162" s="27">
        <f>+ENERO!U162</f>
        <v>0</v>
      </c>
      <c r="V162" s="15">
        <f>MARZO!V162+ABRIL!AL162</f>
        <v>0</v>
      </c>
      <c r="W162" s="15">
        <f>MARZO!W162+ABRIL!AM162</f>
        <v>0</v>
      </c>
      <c r="X162" s="18">
        <f t="shared" si="154"/>
        <v>0</v>
      </c>
      <c r="Y162" s="19">
        <f>MARZO!AA162</f>
        <v>0</v>
      </c>
      <c r="Z162" s="374">
        <v>0</v>
      </c>
      <c r="AA162" s="18">
        <f t="shared" si="155"/>
        <v>0</v>
      </c>
      <c r="AB162" s="19">
        <f>MARZO!AD162</f>
        <v>0</v>
      </c>
      <c r="AC162" s="374">
        <v>0</v>
      </c>
      <c r="AD162" s="18">
        <f t="shared" si="156"/>
        <v>0</v>
      </c>
      <c r="AE162" s="19">
        <f>MARZO!AG162</f>
        <v>0</v>
      </c>
      <c r="AF162" s="374">
        <v>0</v>
      </c>
      <c r="AG162" s="18">
        <f t="shared" si="157"/>
        <v>0</v>
      </c>
      <c r="AH162" s="19">
        <f t="shared" si="158"/>
        <v>0</v>
      </c>
      <c r="AI162" s="15">
        <f t="shared" si="159"/>
        <v>0</v>
      </c>
      <c r="AJ162" s="16">
        <f t="shared" si="160"/>
        <v>0</v>
      </c>
      <c r="AK162" s="9"/>
      <c r="AL162" s="372">
        <v>0</v>
      </c>
      <c r="AM162" s="375">
        <v>0</v>
      </c>
      <c r="AN162" s="9"/>
    </row>
    <row r="163" spans="1:40" s="382" customFormat="1" ht="24.95" customHeight="1">
      <c r="A163" s="752"/>
      <c r="B163" s="660"/>
      <c r="N163" s="9"/>
      <c r="P163" s="9"/>
      <c r="Q163" s="9"/>
      <c r="R163" s="9"/>
      <c r="S163" s="706" t="str">
        <f>+IF(MARZO!S163=0,"",MARZO!S163)</f>
        <v>2020202-6</v>
      </c>
      <c r="T163" s="682" t="str">
        <f>+IF(MARZO!T163=0,"",MARZO!T163)</f>
        <v>Plan Integral de Manejo de Residuos Sólidos Hospitalarios</v>
      </c>
      <c r="U163" s="27">
        <f>+ENERO!U163</f>
        <v>0</v>
      </c>
      <c r="V163" s="15">
        <f>MARZO!V163+ABRIL!AL163</f>
        <v>0</v>
      </c>
      <c r="W163" s="15">
        <f>MARZO!W163+ABRIL!AM163</f>
        <v>0</v>
      </c>
      <c r="X163" s="18">
        <f t="shared" si="154"/>
        <v>0</v>
      </c>
      <c r="Y163" s="19">
        <f>MARZO!AA163</f>
        <v>0</v>
      </c>
      <c r="Z163" s="374">
        <v>0</v>
      </c>
      <c r="AA163" s="18">
        <f t="shared" si="155"/>
        <v>0</v>
      </c>
      <c r="AB163" s="19">
        <f>MARZO!AD163</f>
        <v>0</v>
      </c>
      <c r="AC163" s="374">
        <v>0</v>
      </c>
      <c r="AD163" s="18">
        <f t="shared" si="156"/>
        <v>0</v>
      </c>
      <c r="AE163" s="19">
        <f>MARZO!AG163</f>
        <v>0</v>
      </c>
      <c r="AF163" s="374">
        <v>0</v>
      </c>
      <c r="AG163" s="18">
        <f t="shared" si="157"/>
        <v>0</v>
      </c>
      <c r="AH163" s="19">
        <f t="shared" si="158"/>
        <v>0</v>
      </c>
      <c r="AI163" s="15">
        <f t="shared" si="159"/>
        <v>0</v>
      </c>
      <c r="AJ163" s="16">
        <f t="shared" si="160"/>
        <v>0</v>
      </c>
      <c r="AK163" s="9"/>
      <c r="AL163" s="372">
        <v>0</v>
      </c>
      <c r="AM163" s="375">
        <v>0</v>
      </c>
      <c r="AN163" s="9"/>
    </row>
    <row r="164" spans="1:40" s="382" customFormat="1" ht="24.95" customHeight="1">
      <c r="A164" s="752"/>
      <c r="B164" s="660"/>
      <c r="N164" s="9"/>
      <c r="P164" s="9"/>
      <c r="Q164" s="9"/>
      <c r="R164" s="9"/>
      <c r="S164" s="706" t="str">
        <f>+IF(MARZO!S164=0,"",MARZO!S164)</f>
        <v>2020202-7</v>
      </c>
      <c r="T164" s="682" t="str">
        <f>+IF(MARZO!T164=0,"",MARZO!T164)</f>
        <v>Servicios de Laboratorio contratados con terceros</v>
      </c>
      <c r="U164" s="27">
        <f>+ENERO!U164</f>
        <v>0</v>
      </c>
      <c r="V164" s="15">
        <f>MARZO!V164+ABRIL!AL164</f>
        <v>0</v>
      </c>
      <c r="W164" s="15">
        <f>MARZO!W164+ABRIL!AM164</f>
        <v>0</v>
      </c>
      <c r="X164" s="18">
        <f t="shared" si="154"/>
        <v>0</v>
      </c>
      <c r="Y164" s="19">
        <f>MARZO!AA164</f>
        <v>0</v>
      </c>
      <c r="Z164" s="374">
        <v>0</v>
      </c>
      <c r="AA164" s="18">
        <f t="shared" si="155"/>
        <v>0</v>
      </c>
      <c r="AB164" s="19">
        <f>MARZO!AD164</f>
        <v>0</v>
      </c>
      <c r="AC164" s="374">
        <v>0</v>
      </c>
      <c r="AD164" s="18">
        <f t="shared" si="156"/>
        <v>0</v>
      </c>
      <c r="AE164" s="19">
        <f>MARZO!AG164</f>
        <v>0</v>
      </c>
      <c r="AF164" s="374">
        <v>0</v>
      </c>
      <c r="AG164" s="18">
        <f t="shared" si="157"/>
        <v>0</v>
      </c>
      <c r="AH164" s="19">
        <f t="shared" si="158"/>
        <v>0</v>
      </c>
      <c r="AI164" s="15">
        <f t="shared" si="159"/>
        <v>0</v>
      </c>
      <c r="AJ164" s="16">
        <f t="shared" si="160"/>
        <v>0</v>
      </c>
      <c r="AK164" s="9"/>
      <c r="AL164" s="372">
        <v>0</v>
      </c>
      <c r="AM164" s="375">
        <v>0</v>
      </c>
      <c r="AN164" s="9"/>
    </row>
    <row r="165" spans="1:40" s="382" customFormat="1" ht="24.95" customHeight="1">
      <c r="A165" s="752"/>
      <c r="B165" s="660"/>
      <c r="N165" s="9"/>
      <c r="P165" s="9"/>
      <c r="Q165" s="9"/>
      <c r="R165" s="9"/>
      <c r="S165" s="706" t="str">
        <f>+IF(MARZO!S165=0,"",MARZO!S165)</f>
        <v>2020202-8</v>
      </c>
      <c r="T165" s="682" t="str">
        <f>+IF(MARZO!T165=0,"",MARZO!T165)</f>
        <v>Servicios de Rayos X e Imaginología contratado con terceros</v>
      </c>
      <c r="U165" s="27">
        <f>+ENERO!U165</f>
        <v>0</v>
      </c>
      <c r="V165" s="15">
        <f>MARZO!V165+ABRIL!AL165</f>
        <v>0</v>
      </c>
      <c r="W165" s="15">
        <f>MARZO!W165+ABRIL!AM165</f>
        <v>0</v>
      </c>
      <c r="X165" s="18">
        <f t="shared" si="154"/>
        <v>0</v>
      </c>
      <c r="Y165" s="19">
        <f>MARZO!AA165</f>
        <v>0</v>
      </c>
      <c r="Z165" s="374">
        <v>0</v>
      </c>
      <c r="AA165" s="18">
        <f t="shared" si="155"/>
        <v>0</v>
      </c>
      <c r="AB165" s="19">
        <f>MARZO!AD165</f>
        <v>0</v>
      </c>
      <c r="AC165" s="374">
        <v>0</v>
      </c>
      <c r="AD165" s="18">
        <f t="shared" si="156"/>
        <v>0</v>
      </c>
      <c r="AE165" s="19">
        <f>MARZO!AG165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c r="A166" s="752"/>
      <c r="B166" s="660"/>
      <c r="N166" s="9"/>
      <c r="P166" s="9"/>
      <c r="Q166" s="9"/>
      <c r="R166" s="9"/>
      <c r="S166" s="706" t="str">
        <f>+IF(MARZO!S166=0,"",MARZO!S166)</f>
        <v>2020202-9</v>
      </c>
      <c r="T166" s="682" t="str">
        <f>+IF(MARZO!T166=0,"",MARZO!T166)</f>
        <v>Arrendamientos</v>
      </c>
      <c r="U166" s="27">
        <f>+ENERO!U166</f>
        <v>0</v>
      </c>
      <c r="V166" s="15">
        <f>MARZO!V166+ABRIL!AL166</f>
        <v>0</v>
      </c>
      <c r="W166" s="15">
        <f>MARZO!W166+ABRIL!AM166</f>
        <v>0</v>
      </c>
      <c r="X166" s="18">
        <f t="shared" si="154"/>
        <v>0</v>
      </c>
      <c r="Y166" s="19">
        <f>MARZO!AA166</f>
        <v>0</v>
      </c>
      <c r="Z166" s="374">
        <v>0</v>
      </c>
      <c r="AA166" s="18">
        <f t="shared" si="155"/>
        <v>0</v>
      </c>
      <c r="AB166" s="19">
        <f>MARZO!AD166</f>
        <v>0</v>
      </c>
      <c r="AC166" s="374">
        <v>0</v>
      </c>
      <c r="AD166" s="18">
        <f t="shared" si="156"/>
        <v>0</v>
      </c>
      <c r="AE166" s="19">
        <f>MARZO!AG166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c r="A167" s="752"/>
      <c r="B167" s="660"/>
      <c r="N167" s="9"/>
      <c r="P167" s="9"/>
      <c r="Q167" s="9"/>
      <c r="R167" s="9"/>
      <c r="S167" s="706" t="str">
        <f>+IF(MARZO!S167=0,"",MARZO!S167)</f>
        <v>2020202-10</v>
      </c>
      <c r="T167" s="682" t="str">
        <f>+IF(MARZO!T167=0,"",MARZO!T167)</f>
        <v>Servicios Públicos</v>
      </c>
      <c r="U167" s="27">
        <f>+ENERO!U167</f>
        <v>0</v>
      </c>
      <c r="V167" s="15">
        <f>MARZO!V167+ABRIL!AL167</f>
        <v>0</v>
      </c>
      <c r="W167" s="15">
        <f>MARZO!W167+ABRIL!AM167</f>
        <v>0</v>
      </c>
      <c r="X167" s="18">
        <f>SUM(U167:W167)</f>
        <v>0</v>
      </c>
      <c r="Y167" s="19">
        <f>MARZO!AA167</f>
        <v>0</v>
      </c>
      <c r="Z167" s="374">
        <v>0</v>
      </c>
      <c r="AA167" s="18">
        <f>SUM(Y167:Z167)</f>
        <v>0</v>
      </c>
      <c r="AB167" s="19">
        <f>MARZO!AD167</f>
        <v>0</v>
      </c>
      <c r="AC167" s="374">
        <v>0</v>
      </c>
      <c r="AD167" s="18">
        <f>SUM(AB167:AC167)</f>
        <v>0</v>
      </c>
      <c r="AE167" s="19">
        <f>MARZO!AG167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2"/>
      <c r="B168" s="660"/>
      <c r="N168" s="9"/>
      <c r="P168" s="9"/>
      <c r="Q168" s="9"/>
      <c r="R168" s="9"/>
      <c r="S168" s="705">
        <f>+IF(MARZO!S168=0,"",MARZO!S168)</f>
        <v>2020299</v>
      </c>
      <c r="T168" s="681" t="str">
        <f>+IF(MARZO!T168=0,"",MARZO!T168)</f>
        <v>Vigencias Anteriores</v>
      </c>
      <c r="U168" s="27">
        <f>+ENERO!U168</f>
        <v>0</v>
      </c>
      <c r="V168" s="15">
        <f>MARZO!V168+ABRIL!AL168</f>
        <v>-19000000</v>
      </c>
      <c r="W168" s="15">
        <f>MARZO!W168+ABRIL!AM168</f>
        <v>1100000000</v>
      </c>
      <c r="X168" s="18">
        <f t="shared" si="154"/>
        <v>1081000000</v>
      </c>
      <c r="Y168" s="19">
        <f>MARZO!AA168</f>
        <v>81000000</v>
      </c>
      <c r="Z168" s="374">
        <v>16089550</v>
      </c>
      <c r="AA168" s="18">
        <f t="shared" si="155"/>
        <v>97089550</v>
      </c>
      <c r="AB168" s="19">
        <f>MARZO!AD168</f>
        <v>81000000</v>
      </c>
      <c r="AC168" s="374">
        <v>16089550</v>
      </c>
      <c r="AD168" s="18">
        <f t="shared" si="156"/>
        <v>97089550</v>
      </c>
      <c r="AE168" s="19">
        <f>MARZO!AG168</f>
        <v>81000000</v>
      </c>
      <c r="AF168" s="374">
        <v>16089550</v>
      </c>
      <c r="AG168" s="18">
        <f t="shared" si="157"/>
        <v>97089550</v>
      </c>
      <c r="AH168" s="19">
        <f t="shared" si="158"/>
        <v>983910450</v>
      </c>
      <c r="AI168" s="15">
        <f t="shared" si="159"/>
        <v>983910450</v>
      </c>
      <c r="AJ168" s="16">
        <f t="shared" si="160"/>
        <v>983910450</v>
      </c>
      <c r="AK168" s="9"/>
      <c r="AL168" s="372">
        <v>0</v>
      </c>
      <c r="AM168" s="375">
        <v>1000000000</v>
      </c>
      <c r="AN168" s="9"/>
    </row>
    <row r="169" spans="1:40" s="382" customFormat="1" ht="24.95" customHeight="1">
      <c r="A169" s="752"/>
      <c r="B169" s="660"/>
      <c r="N169" s="9"/>
      <c r="P169" s="9"/>
      <c r="Q169" s="9"/>
      <c r="R169" s="9"/>
      <c r="S169" s="366" t="str">
        <f>+IF(MARZO!S169=0,"",MARZO!S169)</f>
        <v/>
      </c>
      <c r="T169" s="695"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2"/>
      <c r="B170" s="660"/>
      <c r="N170" s="9"/>
      <c r="P170" s="9"/>
      <c r="Q170" s="9"/>
      <c r="R170" s="9"/>
      <c r="S170" s="703">
        <f>+IF(MARZO!S170=0,"",MARZO!S170)</f>
        <v>3000000</v>
      </c>
      <c r="T170" s="685" t="str">
        <f>+IF(MARZO!T170=0,"",MARZO!T170)</f>
        <v>TRANSFERENCIAS CORRIENTES</v>
      </c>
      <c r="U170" s="470">
        <f t="shared" ref="U170:AJ170" si="161">U172+U176+U185</f>
        <v>139736565</v>
      </c>
      <c r="V170" s="471">
        <f t="shared" si="161"/>
        <v>0</v>
      </c>
      <c r="W170" s="471">
        <f t="shared" si="161"/>
        <v>22950868</v>
      </c>
      <c r="X170" s="472">
        <f t="shared" si="161"/>
        <v>162687433</v>
      </c>
      <c r="Y170" s="379">
        <f t="shared" si="161"/>
        <v>87224498</v>
      </c>
      <c r="Z170" s="471">
        <f t="shared" si="161"/>
        <v>2084780</v>
      </c>
      <c r="AA170" s="472">
        <f t="shared" si="161"/>
        <v>89309278</v>
      </c>
      <c r="AB170" s="379">
        <f t="shared" si="161"/>
        <v>86929411</v>
      </c>
      <c r="AC170" s="471">
        <f t="shared" si="161"/>
        <v>2084780</v>
      </c>
      <c r="AD170" s="472">
        <f t="shared" si="161"/>
        <v>89014191</v>
      </c>
      <c r="AE170" s="379">
        <f t="shared" si="161"/>
        <v>33464427</v>
      </c>
      <c r="AF170" s="471">
        <f t="shared" si="161"/>
        <v>1895754</v>
      </c>
      <c r="AG170" s="472">
        <f t="shared" si="161"/>
        <v>35360181</v>
      </c>
      <c r="AH170" s="379">
        <f t="shared" si="161"/>
        <v>73378155</v>
      </c>
      <c r="AI170" s="471">
        <f t="shared" si="161"/>
        <v>73673242</v>
      </c>
      <c r="AJ170" s="380">
        <f t="shared" si="161"/>
        <v>127327252</v>
      </c>
      <c r="AK170" s="9"/>
      <c r="AL170" s="128">
        <f>AL172+AL176+AL185</f>
        <v>0</v>
      </c>
      <c r="AM170" s="130">
        <f>AM172+AM176+AM185</f>
        <v>0</v>
      </c>
      <c r="AN170" s="9"/>
    </row>
    <row r="171" spans="1:40" s="382" customFormat="1" ht="24.95" customHeight="1">
      <c r="A171" s="752"/>
      <c r="B171" s="660"/>
      <c r="N171" s="9"/>
      <c r="P171" s="9"/>
      <c r="Q171" s="9"/>
      <c r="R171" s="9"/>
      <c r="S171" s="366" t="str">
        <f>+IF(MARZO!S171=0,"",MARZO!S171)</f>
        <v/>
      </c>
      <c r="T171" s="695"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2"/>
      <c r="B172" s="660"/>
      <c r="N172" s="9"/>
      <c r="P172" s="9"/>
      <c r="Q172" s="9"/>
      <c r="R172" s="9"/>
      <c r="S172" s="704">
        <f>+IF(MARZO!S172=0,"",MARZO!S172)</f>
        <v>3100000</v>
      </c>
      <c r="T172" s="680" t="str">
        <f>+IF(MARZO!T172=0,"",MARZO!T172)</f>
        <v>Transferencias al Sector Público</v>
      </c>
      <c r="U172" s="132">
        <f t="shared" ref="U172:AJ172" si="162">SUM(U173:U174)</f>
        <v>39651901</v>
      </c>
      <c r="V172" s="122">
        <f t="shared" si="162"/>
        <v>0</v>
      </c>
      <c r="W172" s="122">
        <f t="shared" si="162"/>
        <v>20000000</v>
      </c>
      <c r="X172" s="129">
        <f t="shared" si="162"/>
        <v>59651901</v>
      </c>
      <c r="Y172" s="128">
        <f t="shared" si="162"/>
        <v>58397761</v>
      </c>
      <c r="Z172" s="122">
        <f t="shared" si="162"/>
        <v>568933</v>
      </c>
      <c r="AA172" s="129">
        <f t="shared" si="162"/>
        <v>58966694</v>
      </c>
      <c r="AB172" s="128">
        <f t="shared" si="162"/>
        <v>58397761</v>
      </c>
      <c r="AC172" s="122">
        <f t="shared" si="162"/>
        <v>568933</v>
      </c>
      <c r="AD172" s="129">
        <f t="shared" si="162"/>
        <v>58966694</v>
      </c>
      <c r="AE172" s="128">
        <f t="shared" si="162"/>
        <v>14599440</v>
      </c>
      <c r="AF172" s="122">
        <f t="shared" si="162"/>
        <v>568933</v>
      </c>
      <c r="AG172" s="129">
        <f t="shared" si="162"/>
        <v>15168373</v>
      </c>
      <c r="AH172" s="128">
        <f t="shared" si="162"/>
        <v>685207</v>
      </c>
      <c r="AI172" s="122">
        <f t="shared" si="162"/>
        <v>685207</v>
      </c>
      <c r="AJ172" s="130">
        <f t="shared" si="162"/>
        <v>44483528</v>
      </c>
      <c r="AK172" s="9"/>
      <c r="AL172" s="128">
        <f>SUM(AL173:AL174)</f>
        <v>0</v>
      </c>
      <c r="AM172" s="130">
        <f>SUM(AM173:AM174)</f>
        <v>0</v>
      </c>
      <c r="AN172" s="9"/>
    </row>
    <row r="173" spans="1:40" s="382" customFormat="1" ht="24.95" customHeight="1">
      <c r="A173" s="752"/>
      <c r="B173" s="660"/>
      <c r="N173" s="9"/>
      <c r="P173" s="9"/>
      <c r="Q173" s="9"/>
      <c r="R173" s="9"/>
      <c r="S173" s="705">
        <f>+IF(MARZO!S173=0,"",MARZO!S173)</f>
        <v>3100003</v>
      </c>
      <c r="T173" s="681" t="str">
        <f>+IF(MARZO!T173=0,"",MARZO!T173)</f>
        <v>Entidades Públicas (Contraloria, Supersalud,…)</v>
      </c>
      <c r="U173" s="27">
        <f>+ENERO!U173</f>
        <v>39651901</v>
      </c>
      <c r="V173" s="15">
        <f>MARZO!V173+ABRIL!AL173</f>
        <v>-657430</v>
      </c>
      <c r="W173" s="15">
        <f>MARZO!W173+ABRIL!AM173</f>
        <v>20000000</v>
      </c>
      <c r="X173" s="18">
        <f>SUM(U173:W173)</f>
        <v>58994471</v>
      </c>
      <c r="Y173" s="19">
        <f>MARZO!AA173</f>
        <v>58397761</v>
      </c>
      <c r="Z173" s="374">
        <v>568933</v>
      </c>
      <c r="AA173" s="18">
        <f>SUM(Y173:Z173)</f>
        <v>58966694</v>
      </c>
      <c r="AB173" s="19">
        <f>MARZO!AD173</f>
        <v>58397761</v>
      </c>
      <c r="AC173" s="374">
        <v>568933</v>
      </c>
      <c r="AD173" s="18">
        <f>SUM(AB173:AC173)</f>
        <v>58966694</v>
      </c>
      <c r="AE173" s="19">
        <f>MARZO!AG173</f>
        <v>14599440</v>
      </c>
      <c r="AF173" s="374">
        <v>568933</v>
      </c>
      <c r="AG173" s="18">
        <f>SUM(AE173:AF173)</f>
        <v>15168373</v>
      </c>
      <c r="AH173" s="19">
        <f>X173-AA173</f>
        <v>27777</v>
      </c>
      <c r="AI173" s="15">
        <f>X173-AD173</f>
        <v>27777</v>
      </c>
      <c r="AJ173" s="16">
        <f>X173-AG173</f>
        <v>43826098</v>
      </c>
      <c r="AK173" s="9"/>
      <c r="AL173" s="372">
        <v>0</v>
      </c>
      <c r="AM173" s="375">
        <v>0</v>
      </c>
      <c r="AN173" s="9"/>
    </row>
    <row r="174" spans="1:40" s="382" customFormat="1" ht="24.95" customHeight="1">
      <c r="A174" s="752"/>
      <c r="B174" s="660"/>
      <c r="N174" s="9"/>
      <c r="P174" s="9"/>
      <c r="Q174" s="9"/>
      <c r="R174" s="9"/>
      <c r="S174" s="705">
        <f>+IF(MARZO!S174=0,"",MARZO!S174)</f>
        <v>3199999</v>
      </c>
      <c r="T174" s="681" t="str">
        <f>+IF(MARZO!T174=0,"",MARZO!T174)</f>
        <v>Vigencias Anteriores</v>
      </c>
      <c r="U174" s="27">
        <f>+ENERO!U174</f>
        <v>0</v>
      </c>
      <c r="V174" s="15">
        <f>MARZO!V174+ABRIL!AL174</f>
        <v>657430</v>
      </c>
      <c r="W174" s="15">
        <f>MARZO!W174+ABRIL!AM174</f>
        <v>0</v>
      </c>
      <c r="X174" s="18">
        <f>SUM(U174:W174)</f>
        <v>657430</v>
      </c>
      <c r="Y174" s="19">
        <f>MARZO!AA174</f>
        <v>0</v>
      </c>
      <c r="Z174" s="374">
        <v>0</v>
      </c>
      <c r="AA174" s="18">
        <f>SUM(Y174:Z174)</f>
        <v>0</v>
      </c>
      <c r="AB174" s="19">
        <f>MARZO!AD174</f>
        <v>0</v>
      </c>
      <c r="AC174" s="374">
        <v>0</v>
      </c>
      <c r="AD174" s="18">
        <f>SUM(AB174:AC174)</f>
        <v>0</v>
      </c>
      <c r="AE174" s="19">
        <f>MARZO!AG174</f>
        <v>0</v>
      </c>
      <c r="AF174" s="374">
        <v>0</v>
      </c>
      <c r="AG174" s="18">
        <f>SUM(AE174:AF174)</f>
        <v>0</v>
      </c>
      <c r="AH174" s="19">
        <f>X174-AA174</f>
        <v>657430</v>
      </c>
      <c r="AI174" s="15">
        <f>X174-AD174</f>
        <v>657430</v>
      </c>
      <c r="AJ174" s="16">
        <f>X174-AG174</f>
        <v>657430</v>
      </c>
      <c r="AK174" s="9"/>
      <c r="AL174" s="372">
        <v>0</v>
      </c>
      <c r="AM174" s="375">
        <v>0</v>
      </c>
      <c r="AN174" s="9"/>
    </row>
    <row r="175" spans="1:40" s="382" customFormat="1" ht="24.95" customHeight="1">
      <c r="A175" s="752"/>
      <c r="B175" s="660"/>
      <c r="N175" s="9"/>
      <c r="P175" s="9"/>
      <c r="Q175" s="9"/>
      <c r="R175" s="9"/>
      <c r="S175" s="366" t="str">
        <f>+IF(MARZO!S175=0,"",MARZO!S175)</f>
        <v/>
      </c>
      <c r="T175" s="695"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2"/>
      <c r="B176" s="660"/>
      <c r="N176" s="9"/>
      <c r="P176" s="9"/>
      <c r="Q176" s="9"/>
      <c r="R176" s="9"/>
      <c r="S176" s="704">
        <f>+IF(MARZO!S176=0,"",MARZO!S176)</f>
        <v>320000</v>
      </c>
      <c r="T176" s="680" t="str">
        <f>+IF(MARZO!T176=0,"",MARZO!T176)</f>
        <v>Transf. Previsión y Seguridad Social</v>
      </c>
      <c r="U176" s="132">
        <f t="shared" ref="U176:AJ176" si="163">SUM(U177:U183)</f>
        <v>50084664</v>
      </c>
      <c r="V176" s="122">
        <f t="shared" si="163"/>
        <v>0</v>
      </c>
      <c r="W176" s="122">
        <f t="shared" si="163"/>
        <v>0</v>
      </c>
      <c r="X176" s="129">
        <f t="shared" si="163"/>
        <v>50084664</v>
      </c>
      <c r="Y176" s="128">
        <f t="shared" si="163"/>
        <v>16577115</v>
      </c>
      <c r="Z176" s="122">
        <f t="shared" si="163"/>
        <v>1515847</v>
      </c>
      <c r="AA176" s="129">
        <f t="shared" si="163"/>
        <v>18092962</v>
      </c>
      <c r="AB176" s="128">
        <f t="shared" si="163"/>
        <v>16577115</v>
      </c>
      <c r="AC176" s="122">
        <f t="shared" si="163"/>
        <v>1515847</v>
      </c>
      <c r="AD176" s="129">
        <f t="shared" si="163"/>
        <v>18092962</v>
      </c>
      <c r="AE176" s="128">
        <f t="shared" si="163"/>
        <v>16209206</v>
      </c>
      <c r="AF176" s="122">
        <f t="shared" si="163"/>
        <v>1326821</v>
      </c>
      <c r="AG176" s="129">
        <f t="shared" si="163"/>
        <v>17536027</v>
      </c>
      <c r="AH176" s="128">
        <f t="shared" si="163"/>
        <v>31991702</v>
      </c>
      <c r="AI176" s="122">
        <f t="shared" si="163"/>
        <v>31991702</v>
      </c>
      <c r="AJ176" s="130">
        <f t="shared" si="163"/>
        <v>32548637</v>
      </c>
      <c r="AK176" s="9"/>
      <c r="AL176" s="128">
        <f>SUM(AL177:AL183)</f>
        <v>0</v>
      </c>
      <c r="AM176" s="130">
        <f>SUM(AM177:AM183)</f>
        <v>0</v>
      </c>
      <c r="AN176" s="9"/>
    </row>
    <row r="177" spans="1:40" s="382" customFormat="1" ht="24.95" customHeight="1">
      <c r="A177" s="752"/>
      <c r="B177" s="660"/>
      <c r="N177" s="9"/>
      <c r="P177" s="9"/>
      <c r="Q177" s="9"/>
      <c r="R177" s="9"/>
      <c r="S177" s="705">
        <f>+IF(MARZO!S177=0,"",MARZO!S177)</f>
        <v>3200100</v>
      </c>
      <c r="T177" s="681" t="str">
        <f>+IF(MARZO!T177=0,"",MARZO!T177)</f>
        <v>Pensiones y Jubilaciones (Pago Directo)</v>
      </c>
      <c r="U177" s="27">
        <f>+ENERO!U177</f>
        <v>18619412</v>
      </c>
      <c r="V177" s="15">
        <f>MARZO!V177+ABRIL!AL177</f>
        <v>0</v>
      </c>
      <c r="W177" s="15">
        <f>MARZO!W177+ABRIL!AM177</f>
        <v>0</v>
      </c>
      <c r="X177" s="18">
        <f t="shared" ref="X177:X183" si="164">SUM(U177:W177)</f>
        <v>18619412</v>
      </c>
      <c r="Y177" s="19">
        <f>MARZO!AA177</f>
        <v>3980463</v>
      </c>
      <c r="Z177" s="374">
        <v>1326821</v>
      </c>
      <c r="AA177" s="18">
        <f t="shared" ref="AA177:AA183" si="165">SUM(Y177:Z177)</f>
        <v>5307284</v>
      </c>
      <c r="AB177" s="19">
        <f>MARZO!AD177</f>
        <v>3980463</v>
      </c>
      <c r="AC177" s="374">
        <v>1326821</v>
      </c>
      <c r="AD177" s="18">
        <f t="shared" ref="AD177:AD183" si="166">SUM(AB177:AC177)</f>
        <v>5307284</v>
      </c>
      <c r="AE177" s="19">
        <f>MARZO!AG177</f>
        <v>3980463</v>
      </c>
      <c r="AF177" s="374">
        <v>1326821</v>
      </c>
      <c r="AG177" s="18">
        <f t="shared" ref="AG177:AG183" si="167">SUM(AE177:AF177)</f>
        <v>5307284</v>
      </c>
      <c r="AH177" s="19">
        <f t="shared" ref="AH177:AH183" si="168">X177-AA177</f>
        <v>13312128</v>
      </c>
      <c r="AI177" s="15">
        <f t="shared" ref="AI177:AI183" si="169">X177-AD177</f>
        <v>13312128</v>
      </c>
      <c r="AJ177" s="16">
        <f t="shared" ref="AJ177:AJ183" si="170">X177-AG177</f>
        <v>13312128</v>
      </c>
      <c r="AK177" s="9"/>
      <c r="AL177" s="372">
        <v>0</v>
      </c>
      <c r="AM177" s="375">
        <v>0</v>
      </c>
      <c r="AN177" s="9"/>
    </row>
    <row r="178" spans="1:40" s="382" customFormat="1" ht="24.95" customHeight="1">
      <c r="A178" s="752"/>
      <c r="B178" s="660"/>
      <c r="N178" s="9"/>
      <c r="P178" s="9"/>
      <c r="Q178" s="9"/>
      <c r="R178" s="9"/>
      <c r="S178" s="705">
        <f>+IF(MARZO!S178=0,"",MARZO!S178)</f>
        <v>3200200</v>
      </c>
      <c r="T178" s="681" t="str">
        <f>+IF(MARZO!T178=0,"",MARZO!T178)</f>
        <v>Cesantías Pago Directo (Pago Directo)</v>
      </c>
      <c r="U178" s="27">
        <f>+ENERO!U178</f>
        <v>14936566</v>
      </c>
      <c r="V178" s="15">
        <f>MARZO!V178+ABRIL!AL178</f>
        <v>0</v>
      </c>
      <c r="W178" s="15">
        <f>MARZO!W178+ABRIL!AM178</f>
        <v>0</v>
      </c>
      <c r="X178" s="18">
        <f t="shared" si="164"/>
        <v>14936566</v>
      </c>
      <c r="Y178" s="19">
        <f>MARZO!AA178</f>
        <v>331170</v>
      </c>
      <c r="Z178" s="374">
        <v>0</v>
      </c>
      <c r="AA178" s="18">
        <f t="shared" si="165"/>
        <v>331170</v>
      </c>
      <c r="AB178" s="19">
        <f>MARZO!AD178</f>
        <v>331170</v>
      </c>
      <c r="AC178" s="374">
        <v>0</v>
      </c>
      <c r="AD178" s="18">
        <f t="shared" si="166"/>
        <v>331170</v>
      </c>
      <c r="AE178" s="19">
        <f>MARZO!AG178</f>
        <v>0</v>
      </c>
      <c r="AF178" s="374">
        <v>0</v>
      </c>
      <c r="AG178" s="18">
        <f t="shared" si="167"/>
        <v>0</v>
      </c>
      <c r="AH178" s="19">
        <f t="shared" si="168"/>
        <v>14605396</v>
      </c>
      <c r="AI178" s="15">
        <f t="shared" si="169"/>
        <v>14605396</v>
      </c>
      <c r="AJ178" s="16">
        <f t="shared" si="170"/>
        <v>14936566</v>
      </c>
      <c r="AK178" s="9"/>
      <c r="AL178" s="372">
        <v>0</v>
      </c>
      <c r="AM178" s="375">
        <v>0</v>
      </c>
      <c r="AN178" s="9"/>
    </row>
    <row r="179" spans="1:40" s="382" customFormat="1" ht="24.95" customHeight="1">
      <c r="A179" s="752"/>
      <c r="B179" s="660"/>
      <c r="N179" s="9"/>
      <c r="P179" s="9"/>
      <c r="Q179" s="9"/>
      <c r="R179" s="9"/>
      <c r="S179" s="705">
        <f>+IF(MARZO!S179=0,"",MARZO!S179)</f>
        <v>3200300</v>
      </c>
      <c r="T179" s="681" t="str">
        <f>+IF(MARZO!T179=0,"",MARZO!T179)</f>
        <v>Bonos, Cuotas de Bonos y cuotas partes jubilatorias</v>
      </c>
      <c r="U179" s="27">
        <f>+ENERO!U179</f>
        <v>0</v>
      </c>
      <c r="V179" s="15">
        <f>MARZO!V179+ABRIL!AL179</f>
        <v>4000000</v>
      </c>
      <c r="W179" s="15">
        <f>MARZO!W179+ABRIL!AM179</f>
        <v>0</v>
      </c>
      <c r="X179" s="18">
        <f t="shared" si="164"/>
        <v>4000000</v>
      </c>
      <c r="Y179" s="19">
        <f>MARZO!AA179</f>
        <v>699521</v>
      </c>
      <c r="Z179" s="374">
        <v>189026</v>
      </c>
      <c r="AA179" s="18">
        <f t="shared" si="165"/>
        <v>888547</v>
      </c>
      <c r="AB179" s="19">
        <f>MARZO!AD179</f>
        <v>699521</v>
      </c>
      <c r="AC179" s="374">
        <v>189026</v>
      </c>
      <c r="AD179" s="18">
        <f t="shared" si="166"/>
        <v>888547</v>
      </c>
      <c r="AE179" s="19">
        <f>MARZO!AG179</f>
        <v>699521</v>
      </c>
      <c r="AF179" s="374">
        <v>0</v>
      </c>
      <c r="AG179" s="18">
        <f t="shared" si="167"/>
        <v>699521</v>
      </c>
      <c r="AH179" s="19">
        <f t="shared" si="168"/>
        <v>3111453</v>
      </c>
      <c r="AI179" s="15">
        <f t="shared" si="169"/>
        <v>3111453</v>
      </c>
      <c r="AJ179" s="16">
        <f t="shared" si="170"/>
        <v>3300479</v>
      </c>
      <c r="AK179" s="9"/>
      <c r="AL179" s="372">
        <v>0</v>
      </c>
      <c r="AM179" s="375">
        <v>0</v>
      </c>
      <c r="AN179" s="9"/>
    </row>
    <row r="180" spans="1:40" s="382" customFormat="1" ht="24.95" customHeight="1">
      <c r="A180" s="752"/>
      <c r="B180" s="660"/>
      <c r="N180" s="9"/>
      <c r="P180" s="9"/>
      <c r="Q180" s="9"/>
      <c r="R180" s="9"/>
      <c r="S180" s="705">
        <f>+IF(MARZO!S180=0,"",MARZO!S180)</f>
        <v>3200400</v>
      </c>
      <c r="T180" s="681" t="str">
        <f>+IF(MARZO!T180=0,"",MARZO!T180)</f>
        <v>Intereses a las cesantias</v>
      </c>
      <c r="U180" s="27">
        <f>+ENERO!U180</f>
        <v>16528686</v>
      </c>
      <c r="V180" s="15">
        <f>MARZO!V180+ABRIL!AL180</f>
        <v>-4000000</v>
      </c>
      <c r="W180" s="15">
        <f>MARZO!W180+ABRIL!AM180</f>
        <v>0</v>
      </c>
      <c r="X180" s="18">
        <f t="shared" si="164"/>
        <v>12528686</v>
      </c>
      <c r="Y180" s="19">
        <f>MARZO!AA180</f>
        <v>11565961</v>
      </c>
      <c r="Z180" s="374">
        <v>0</v>
      </c>
      <c r="AA180" s="18">
        <f t="shared" si="165"/>
        <v>11565961</v>
      </c>
      <c r="AB180" s="19">
        <f>MARZO!AD180</f>
        <v>11565961</v>
      </c>
      <c r="AC180" s="374">
        <v>0</v>
      </c>
      <c r="AD180" s="18">
        <f t="shared" si="166"/>
        <v>11565961</v>
      </c>
      <c r="AE180" s="19">
        <f>MARZO!AG180</f>
        <v>11529222</v>
      </c>
      <c r="AF180" s="374">
        <v>0</v>
      </c>
      <c r="AG180" s="18">
        <f t="shared" si="167"/>
        <v>11529222</v>
      </c>
      <c r="AH180" s="19">
        <f t="shared" si="168"/>
        <v>962725</v>
      </c>
      <c r="AI180" s="15">
        <f t="shared" si="169"/>
        <v>962725</v>
      </c>
      <c r="AJ180" s="16">
        <f t="shared" si="170"/>
        <v>999464</v>
      </c>
      <c r="AK180" s="9"/>
      <c r="AL180" s="372">
        <v>0</v>
      </c>
      <c r="AM180" s="375">
        <v>0</v>
      </c>
      <c r="AN180" s="9"/>
    </row>
    <row r="181" spans="1:40" s="382" customFormat="1" ht="24.95" customHeight="1">
      <c r="A181" s="752"/>
      <c r="B181" s="660"/>
      <c r="N181" s="9"/>
      <c r="P181" s="9"/>
      <c r="Q181" s="9"/>
      <c r="R181" s="9"/>
      <c r="S181" s="705" t="str">
        <f>+IF(MARZO!S181=0,"",MARZO!S181)</f>
        <v/>
      </c>
      <c r="T181" s="681" t="str">
        <f>+IF(MARZO!T181=0,"",MARZO!T181)</f>
        <v/>
      </c>
      <c r="U181" s="27">
        <f>+ENERO!U181</f>
        <v>0</v>
      </c>
      <c r="V181" s="15">
        <f>MARZO!V181+ABRIL!AL181</f>
        <v>0</v>
      </c>
      <c r="W181" s="15">
        <f>MARZO!W181+ABRIL!AM181</f>
        <v>0</v>
      </c>
      <c r="X181" s="18">
        <f t="shared" si="164"/>
        <v>0</v>
      </c>
      <c r="Y181" s="19">
        <f>MARZO!AA181</f>
        <v>0</v>
      </c>
      <c r="Z181" s="374">
        <v>0</v>
      </c>
      <c r="AA181" s="18">
        <f t="shared" si="165"/>
        <v>0</v>
      </c>
      <c r="AB181" s="19">
        <f>MARZO!AD181</f>
        <v>0</v>
      </c>
      <c r="AC181" s="374">
        <v>0</v>
      </c>
      <c r="AD181" s="18">
        <f t="shared" si="166"/>
        <v>0</v>
      </c>
      <c r="AE181" s="19">
        <f>MARZO!AG181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2"/>
      <c r="B182" s="660"/>
      <c r="N182" s="9"/>
      <c r="P182" s="9"/>
      <c r="Q182" s="9"/>
      <c r="R182" s="9"/>
      <c r="S182" s="705" t="str">
        <f>+IF(MARZO!S182=0,"",MARZO!S182)</f>
        <v/>
      </c>
      <c r="T182" s="681" t="str">
        <f>+IF(MARZO!T182=0,"",MARZO!T182)</f>
        <v/>
      </c>
      <c r="U182" s="27">
        <f>+ENERO!U182</f>
        <v>0</v>
      </c>
      <c r="V182" s="15">
        <f>MARZO!V182+ABRIL!AL182</f>
        <v>0</v>
      </c>
      <c r="W182" s="15">
        <f>MARZO!W182+ABRIL!AM182</f>
        <v>0</v>
      </c>
      <c r="X182" s="18">
        <f t="shared" si="164"/>
        <v>0</v>
      </c>
      <c r="Y182" s="19">
        <f>MARZO!AA182</f>
        <v>0</v>
      </c>
      <c r="Z182" s="374">
        <v>0</v>
      </c>
      <c r="AA182" s="18">
        <f t="shared" si="165"/>
        <v>0</v>
      </c>
      <c r="AB182" s="19">
        <f>MARZO!AD182</f>
        <v>0</v>
      </c>
      <c r="AC182" s="374">
        <v>0</v>
      </c>
      <c r="AD182" s="18">
        <f t="shared" si="166"/>
        <v>0</v>
      </c>
      <c r="AE182" s="19">
        <f>MARZO!AG182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2"/>
      <c r="B183" s="660"/>
      <c r="N183" s="9"/>
      <c r="P183" s="9"/>
      <c r="Q183" s="9"/>
      <c r="R183" s="9"/>
      <c r="S183" s="705">
        <f>+IF(MARZO!S183=0,"",MARZO!S183)</f>
        <v>3299999</v>
      </c>
      <c r="T183" s="681" t="str">
        <f>+IF(MARZO!T183=0,"",MARZO!T183)</f>
        <v>Vigencias Anteriores</v>
      </c>
      <c r="U183" s="27">
        <f>+ENERO!U183</f>
        <v>0</v>
      </c>
      <c r="V183" s="15">
        <f>MARZO!V183+ABRIL!AL183</f>
        <v>0</v>
      </c>
      <c r="W183" s="15">
        <f>MARZO!W183+ABRIL!AM183</f>
        <v>0</v>
      </c>
      <c r="X183" s="18">
        <f t="shared" si="164"/>
        <v>0</v>
      </c>
      <c r="Y183" s="19">
        <f>MARZO!AA183</f>
        <v>0</v>
      </c>
      <c r="Z183" s="374">
        <v>0</v>
      </c>
      <c r="AA183" s="18">
        <f t="shared" si="165"/>
        <v>0</v>
      </c>
      <c r="AB183" s="19">
        <f>MARZO!AD183</f>
        <v>0</v>
      </c>
      <c r="AC183" s="374">
        <v>0</v>
      </c>
      <c r="AD183" s="18">
        <f t="shared" si="166"/>
        <v>0</v>
      </c>
      <c r="AE183" s="19">
        <f>MARZO!AG183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2"/>
      <c r="B184" s="660"/>
      <c r="N184" s="9"/>
      <c r="P184" s="9"/>
      <c r="Q184" s="9"/>
      <c r="R184" s="9"/>
      <c r="S184" s="366" t="str">
        <f>+IF(MARZO!S184=0,"",MARZO!S184)</f>
        <v/>
      </c>
      <c r="T184" s="695"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2"/>
      <c r="B185" s="660"/>
      <c r="N185" s="9"/>
      <c r="P185" s="9"/>
      <c r="Q185" s="9"/>
      <c r="R185" s="9"/>
      <c r="S185" s="704">
        <f>+IF(MARZO!S185=0,"",MARZO!S185)</f>
        <v>3300000</v>
      </c>
      <c r="T185" s="680" t="str">
        <f>+IF(MARZO!T185=0,"",MARZO!T185)</f>
        <v>Otras Transferencias</v>
      </c>
      <c r="U185" s="132">
        <f t="shared" ref="U185:AJ185" si="171">U186+U187+U191</f>
        <v>50000000</v>
      </c>
      <c r="V185" s="122">
        <f t="shared" si="171"/>
        <v>0</v>
      </c>
      <c r="W185" s="122">
        <f t="shared" si="171"/>
        <v>2950868</v>
      </c>
      <c r="X185" s="129">
        <f t="shared" si="171"/>
        <v>52950868</v>
      </c>
      <c r="Y185" s="128">
        <f t="shared" si="171"/>
        <v>12249622</v>
      </c>
      <c r="Z185" s="122">
        <f t="shared" si="171"/>
        <v>0</v>
      </c>
      <c r="AA185" s="129">
        <f t="shared" si="171"/>
        <v>12249622</v>
      </c>
      <c r="AB185" s="128">
        <f t="shared" si="171"/>
        <v>11954535</v>
      </c>
      <c r="AC185" s="122">
        <f t="shared" si="171"/>
        <v>0</v>
      </c>
      <c r="AD185" s="129">
        <f t="shared" si="171"/>
        <v>11954535</v>
      </c>
      <c r="AE185" s="128">
        <f t="shared" si="171"/>
        <v>2655781</v>
      </c>
      <c r="AF185" s="122">
        <f t="shared" si="171"/>
        <v>0</v>
      </c>
      <c r="AG185" s="129">
        <f t="shared" si="171"/>
        <v>2655781</v>
      </c>
      <c r="AH185" s="128">
        <f t="shared" si="171"/>
        <v>40701246</v>
      </c>
      <c r="AI185" s="122">
        <f t="shared" si="171"/>
        <v>40996333</v>
      </c>
      <c r="AJ185" s="130">
        <f t="shared" si="171"/>
        <v>50295087</v>
      </c>
      <c r="AK185" s="9"/>
      <c r="AL185" s="128">
        <f>AL186+AL187+AL191</f>
        <v>0</v>
      </c>
      <c r="AM185" s="130">
        <f>AM186+AM187+AM191</f>
        <v>0</v>
      </c>
      <c r="AN185" s="9"/>
    </row>
    <row r="186" spans="1:40" s="382" customFormat="1" ht="24.95" customHeight="1">
      <c r="A186" s="752"/>
      <c r="B186" s="660"/>
      <c r="N186" s="9"/>
      <c r="P186" s="9"/>
      <c r="Q186" s="9"/>
      <c r="R186" s="9"/>
      <c r="S186" s="705">
        <f>+IF(MARZO!S186=0,"",MARZO!S186)</f>
        <v>3300100</v>
      </c>
      <c r="T186" s="681" t="str">
        <f>+IF(MARZO!T186=0,"",MARZO!T186)</f>
        <v>Sentencias y Conciliaciones</v>
      </c>
      <c r="U186" s="27">
        <f>+ENERO!U186</f>
        <v>50000000</v>
      </c>
      <c r="V186" s="15">
        <f>MARZO!V186+ABRIL!AL186</f>
        <v>-3093668</v>
      </c>
      <c r="W186" s="15">
        <f>MARZO!W186+ABRIL!AM186</f>
        <v>0</v>
      </c>
      <c r="X186" s="18">
        <f>SUM(U186:W186)</f>
        <v>46906332</v>
      </c>
      <c r="Y186" s="19">
        <f>MARZO!AA186</f>
        <v>6205086</v>
      </c>
      <c r="Z186" s="374">
        <v>0</v>
      </c>
      <c r="AA186" s="18">
        <f>SUM(Y186:Z186)</f>
        <v>6205086</v>
      </c>
      <c r="AB186" s="19">
        <f>MARZO!AD186</f>
        <v>6205086</v>
      </c>
      <c r="AC186" s="374">
        <v>0</v>
      </c>
      <c r="AD186" s="18">
        <f>SUM(AB186:AC186)</f>
        <v>6205086</v>
      </c>
      <c r="AE186" s="19">
        <f>MARZO!AG186</f>
        <v>0</v>
      </c>
      <c r="AF186" s="374">
        <v>0</v>
      </c>
      <c r="AG186" s="18">
        <f>SUM(AE186:AF186)</f>
        <v>0</v>
      </c>
      <c r="AH186" s="19">
        <f>X186-AA186</f>
        <v>40701246</v>
      </c>
      <c r="AI186" s="15">
        <f>X186-AD186</f>
        <v>40701246</v>
      </c>
      <c r="AJ186" s="16">
        <f>X186-AG186</f>
        <v>46906332</v>
      </c>
      <c r="AK186" s="9"/>
      <c r="AL186" s="372">
        <v>0</v>
      </c>
      <c r="AM186" s="375">
        <v>0</v>
      </c>
      <c r="AN186" s="9"/>
    </row>
    <row r="187" spans="1:40" s="382" customFormat="1" ht="24.95" customHeight="1">
      <c r="A187" s="752"/>
      <c r="B187" s="660"/>
      <c r="N187" s="9"/>
      <c r="P187" s="9"/>
      <c r="Q187" s="9"/>
      <c r="R187" s="9"/>
      <c r="S187" s="705">
        <f>+IF(MARZO!S187=0,"",MARZO!S187)</f>
        <v>3300200</v>
      </c>
      <c r="T187" s="681" t="str">
        <f>+IF(MARZO!T187=0,"",MARZO!T187)</f>
        <v>Destinatarios de otras transferencias</v>
      </c>
      <c r="U187" s="27">
        <f t="shared" ref="U187:AM187" si="172">SUM(U188:U190)</f>
        <v>0</v>
      </c>
      <c r="V187" s="15">
        <f t="shared" si="172"/>
        <v>3093668</v>
      </c>
      <c r="W187" s="15">
        <f t="shared" si="172"/>
        <v>2950868</v>
      </c>
      <c r="X187" s="18">
        <f t="shared" si="172"/>
        <v>6044536</v>
      </c>
      <c r="Y187" s="19">
        <f t="shared" si="172"/>
        <v>6044536</v>
      </c>
      <c r="Z187" s="142">
        <f t="shared" si="172"/>
        <v>0</v>
      </c>
      <c r="AA187" s="18">
        <f t="shared" si="172"/>
        <v>6044536</v>
      </c>
      <c r="AB187" s="19">
        <f t="shared" si="172"/>
        <v>5749449</v>
      </c>
      <c r="AC187" s="142">
        <f t="shared" si="172"/>
        <v>0</v>
      </c>
      <c r="AD187" s="18">
        <f t="shared" si="172"/>
        <v>5749449</v>
      </c>
      <c r="AE187" s="19">
        <f t="shared" si="172"/>
        <v>2655781</v>
      </c>
      <c r="AF187" s="142">
        <f t="shared" si="172"/>
        <v>0</v>
      </c>
      <c r="AG187" s="18">
        <f t="shared" si="172"/>
        <v>2655781</v>
      </c>
      <c r="AH187" s="19">
        <f t="shared" si="172"/>
        <v>0</v>
      </c>
      <c r="AI187" s="15">
        <f t="shared" si="172"/>
        <v>295087</v>
      </c>
      <c r="AJ187" s="16">
        <f t="shared" si="172"/>
        <v>3388755</v>
      </c>
      <c r="AK187" s="9"/>
      <c r="AL187" s="16">
        <f t="shared" si="172"/>
        <v>0</v>
      </c>
      <c r="AM187" s="16">
        <f t="shared" si="172"/>
        <v>0</v>
      </c>
      <c r="AN187" s="9"/>
    </row>
    <row r="188" spans="1:40" s="382" customFormat="1" ht="24.95" customHeight="1">
      <c r="A188" s="752"/>
      <c r="B188" s="661"/>
      <c r="N188" s="9"/>
      <c r="P188" s="9"/>
      <c r="Q188" s="9"/>
      <c r="R188" s="9"/>
      <c r="S188" s="706" t="str">
        <f>+IF(MARZO!S188=0,"",MARZO!S188)</f>
        <v>3300200-1</v>
      </c>
      <c r="T188" s="681" t="str">
        <f>+IF(MARZO!T188=0,"",MARZO!T188)</f>
        <v>COHAN</v>
      </c>
      <c r="U188" s="27">
        <f>+ENERO!U188</f>
        <v>0</v>
      </c>
      <c r="V188" s="15">
        <f>MARZO!V188+ABRIL!AL188</f>
        <v>3093668</v>
      </c>
      <c r="W188" s="15">
        <f>MARZO!W188+ABRIL!AM188</f>
        <v>0</v>
      </c>
      <c r="X188" s="18">
        <f>SUM(U188:W188)</f>
        <v>3093668</v>
      </c>
      <c r="Y188" s="19">
        <f>MARZO!AA188</f>
        <v>3093668</v>
      </c>
      <c r="Z188" s="374">
        <v>0</v>
      </c>
      <c r="AA188" s="18">
        <f>SUM(Y188:Z188)</f>
        <v>3093668</v>
      </c>
      <c r="AB188" s="19">
        <f>MARZO!AD188</f>
        <v>3093668</v>
      </c>
      <c r="AC188" s="374">
        <v>0</v>
      </c>
      <c r="AD188" s="18">
        <f>SUM(AB188:AC188)</f>
        <v>3093668</v>
      </c>
      <c r="AE188" s="19">
        <f>MARZO!AG188</f>
        <v>0</v>
      </c>
      <c r="AF188" s="374">
        <v>0</v>
      </c>
      <c r="AG188" s="18">
        <f>SUM(AE188:AF188)</f>
        <v>0</v>
      </c>
      <c r="AH188" s="19">
        <f>X188-AA188</f>
        <v>0</v>
      </c>
      <c r="AI188" s="15">
        <f>X188-AD188</f>
        <v>0</v>
      </c>
      <c r="AJ188" s="16">
        <f>X188-AG188</f>
        <v>3093668</v>
      </c>
      <c r="AK188" s="9"/>
      <c r="AL188" s="372">
        <v>0</v>
      </c>
      <c r="AM188" s="375">
        <v>0</v>
      </c>
      <c r="AN188" s="9"/>
    </row>
    <row r="189" spans="1:40" s="382" customFormat="1" ht="24.95" customHeight="1">
      <c r="A189" s="752"/>
      <c r="B189" s="661"/>
      <c r="N189" s="9"/>
      <c r="P189" s="9"/>
      <c r="Q189" s="9"/>
      <c r="R189" s="9"/>
      <c r="S189" s="706" t="str">
        <f>+IF(MARZO!S189=0,"",MARZO!S189)</f>
        <v>3300200-2</v>
      </c>
      <c r="T189" s="681" t="str">
        <f>+IF(MARZO!T189=0,"",MARZO!T189)</f>
        <v>AESA</v>
      </c>
      <c r="U189" s="27">
        <f>+ENERO!U189</f>
        <v>0</v>
      </c>
      <c r="V189" s="15">
        <f>MARZO!V189+ABRIL!AL189</f>
        <v>0</v>
      </c>
      <c r="W189" s="15">
        <f>MARZO!W189+ABRIL!AM189</f>
        <v>2950868</v>
      </c>
      <c r="X189" s="18">
        <f>SUM(U189:W189)</f>
        <v>2950868</v>
      </c>
      <c r="Y189" s="19">
        <f>MARZO!AA189</f>
        <v>2950868</v>
      </c>
      <c r="Z189" s="374">
        <v>0</v>
      </c>
      <c r="AA189" s="18">
        <f>SUM(Y189:Z189)</f>
        <v>2950868</v>
      </c>
      <c r="AB189" s="19">
        <f>MARZO!AD189</f>
        <v>2655781</v>
      </c>
      <c r="AC189" s="374">
        <v>0</v>
      </c>
      <c r="AD189" s="18">
        <f>SUM(AB189:AC189)</f>
        <v>2655781</v>
      </c>
      <c r="AE189" s="19">
        <f>MARZO!AG189</f>
        <v>2655781</v>
      </c>
      <c r="AF189" s="374">
        <v>0</v>
      </c>
      <c r="AG189" s="18">
        <f>SUM(AE189:AF189)</f>
        <v>2655781</v>
      </c>
      <c r="AH189" s="19">
        <f>X189-AA189</f>
        <v>0</v>
      </c>
      <c r="AI189" s="15">
        <f>X189-AD189</f>
        <v>295087</v>
      </c>
      <c r="AJ189" s="16">
        <f>X189-AG189</f>
        <v>295087</v>
      </c>
      <c r="AK189" s="9"/>
      <c r="AL189" s="372">
        <v>0</v>
      </c>
      <c r="AM189" s="375">
        <v>0</v>
      </c>
      <c r="AN189" s="9"/>
    </row>
    <row r="190" spans="1:40" s="382" customFormat="1" ht="24.95" customHeight="1">
      <c r="A190" s="752"/>
      <c r="B190" s="661"/>
      <c r="N190" s="9"/>
      <c r="P190" s="9"/>
      <c r="Q190" s="9"/>
      <c r="R190" s="9"/>
      <c r="S190" s="706" t="str">
        <f>+IF(MARZO!S190=0,"",MARZO!S190)</f>
        <v>3300200-3</v>
      </c>
      <c r="T190" s="681" t="str">
        <f>+IF(MARZO!T190=0,"",MARZO!T190)</f>
        <v xml:space="preserve">OTRAS </v>
      </c>
      <c r="U190" s="27">
        <f>+ENERO!U190</f>
        <v>0</v>
      </c>
      <c r="V190" s="15">
        <f>MARZO!V190+ABRIL!AL190</f>
        <v>0</v>
      </c>
      <c r="W190" s="15">
        <f>MARZO!W190+ABRIL!AM190</f>
        <v>0</v>
      </c>
      <c r="X190" s="18">
        <f>SUM(U190:W190)</f>
        <v>0</v>
      </c>
      <c r="Y190" s="19">
        <f>MARZO!AA190</f>
        <v>0</v>
      </c>
      <c r="Z190" s="374">
        <v>0</v>
      </c>
      <c r="AA190" s="18">
        <f>SUM(Y190:Z190)</f>
        <v>0</v>
      </c>
      <c r="AB190" s="19">
        <f>MARZO!AD190</f>
        <v>0</v>
      </c>
      <c r="AC190" s="374">
        <v>0</v>
      </c>
      <c r="AD190" s="18">
        <f>SUM(AB190:AC190)</f>
        <v>0</v>
      </c>
      <c r="AE190" s="19">
        <f>MARZO!AG190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2"/>
      <c r="B191" s="661"/>
      <c r="N191" s="9"/>
      <c r="P191" s="9"/>
      <c r="Q191" s="9"/>
      <c r="R191" s="9"/>
      <c r="S191" s="705">
        <f>+IF(MARZO!S191=0,"",MARZO!S191)</f>
        <v>3399999</v>
      </c>
      <c r="T191" s="681" t="str">
        <f>+IF(MARZO!T191=0,"",MARZO!T191)</f>
        <v>Vigencias Anteriores</v>
      </c>
      <c r="U191" s="27">
        <f>+ENERO!U191</f>
        <v>0</v>
      </c>
      <c r="V191" s="15">
        <f>MARZO!V191+ABRIL!AL191</f>
        <v>0</v>
      </c>
      <c r="W191" s="15">
        <f>MARZO!W191+ABRIL!AM191</f>
        <v>0</v>
      </c>
      <c r="X191" s="18">
        <f>SUM(U191:W191)</f>
        <v>0</v>
      </c>
      <c r="Y191" s="19">
        <f>MARZO!AA191</f>
        <v>0</v>
      </c>
      <c r="Z191" s="374">
        <v>0</v>
      </c>
      <c r="AA191" s="18">
        <f>SUM(Y191:Z191)</f>
        <v>0</v>
      </c>
      <c r="AB191" s="19">
        <f>MARZO!AD191</f>
        <v>0</v>
      </c>
      <c r="AC191" s="374">
        <v>0</v>
      </c>
      <c r="AD191" s="18">
        <f>SUM(AB191:AC191)</f>
        <v>0</v>
      </c>
      <c r="AE191" s="19">
        <f>MARZO!AG191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2"/>
      <c r="B192" s="661"/>
      <c r="N192" s="9"/>
      <c r="P192" s="9"/>
      <c r="Q192" s="9"/>
      <c r="R192" s="9"/>
      <c r="S192" s="805"/>
      <c r="T192" s="806"/>
      <c r="U192" s="188"/>
      <c r="V192" s="807"/>
      <c r="W192" s="807"/>
      <c r="X192" s="807"/>
      <c r="Y192" s="807"/>
      <c r="Z192" s="808"/>
      <c r="AA192" s="807"/>
      <c r="AB192" s="807"/>
      <c r="AC192" s="808"/>
      <c r="AD192" s="807"/>
      <c r="AE192" s="807"/>
      <c r="AF192" s="808"/>
      <c r="AG192" s="807"/>
      <c r="AH192" s="807"/>
      <c r="AI192" s="807"/>
      <c r="AJ192" s="173"/>
      <c r="AK192" s="9"/>
      <c r="AL192" s="809"/>
      <c r="AM192" s="810"/>
      <c r="AN192" s="9"/>
    </row>
    <row r="193" spans="1:40" s="382" customFormat="1" ht="39" customHeight="1">
      <c r="A193" s="752"/>
      <c r="B193" s="661"/>
      <c r="N193" s="9"/>
      <c r="P193" s="9"/>
      <c r="Q193" s="9"/>
      <c r="R193" s="9"/>
      <c r="S193" s="493" t="s">
        <v>325</v>
      </c>
      <c r="T193" s="689" t="s">
        <v>581</v>
      </c>
      <c r="U193" s="470">
        <f>U195+U209</f>
        <v>14750406346</v>
      </c>
      <c r="V193" s="471">
        <f t="shared" ref="V193:AJ193" si="173">V195+V209</f>
        <v>99588299</v>
      </c>
      <c r="W193" s="471">
        <f t="shared" si="173"/>
        <v>1815318807</v>
      </c>
      <c r="X193" s="380">
        <f t="shared" si="173"/>
        <v>16665313452</v>
      </c>
      <c r="Y193" s="379">
        <f t="shared" si="173"/>
        <v>6844592506</v>
      </c>
      <c r="Z193" s="494">
        <f t="shared" si="173"/>
        <v>971803877</v>
      </c>
      <c r="AA193" s="380">
        <f t="shared" si="173"/>
        <v>7816396383</v>
      </c>
      <c r="AB193" s="470">
        <f t="shared" si="173"/>
        <v>4812481585</v>
      </c>
      <c r="AC193" s="494">
        <f t="shared" si="173"/>
        <v>1335851593</v>
      </c>
      <c r="AD193" s="472">
        <f t="shared" si="173"/>
        <v>6148333178</v>
      </c>
      <c r="AE193" s="379">
        <f t="shared" si="173"/>
        <v>2241875700</v>
      </c>
      <c r="AF193" s="494">
        <f t="shared" si="173"/>
        <v>489738626</v>
      </c>
      <c r="AG193" s="380">
        <f t="shared" si="173"/>
        <v>2731614326</v>
      </c>
      <c r="AH193" s="379">
        <f t="shared" si="173"/>
        <v>8848917069</v>
      </c>
      <c r="AI193" s="471">
        <f t="shared" si="173"/>
        <v>10516980274</v>
      </c>
      <c r="AJ193" s="380">
        <f t="shared" si="173"/>
        <v>13933699126</v>
      </c>
      <c r="AK193" s="9"/>
      <c r="AL193" s="379">
        <f t="shared" ref="AL193:AM193" si="174">AL195+AL209</f>
        <v>100100000</v>
      </c>
      <c r="AM193" s="380">
        <f t="shared" si="174"/>
        <v>330291034</v>
      </c>
      <c r="AN193" s="9"/>
    </row>
    <row r="194" spans="1:40" s="382" customFormat="1" ht="24.95" customHeight="1">
      <c r="A194" s="752"/>
      <c r="B194" s="661"/>
      <c r="N194" s="9"/>
      <c r="P194" s="9"/>
      <c r="Q194" s="9"/>
      <c r="R194" s="9"/>
      <c r="S194" s="366" t="str">
        <f>+IF(MARZO!S192=0,"",MARZO!S192)</f>
        <v/>
      </c>
      <c r="T194" s="695"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2"/>
      <c r="B195" s="661"/>
      <c r="N195" s="9"/>
      <c r="P195" s="9"/>
      <c r="Q195" s="9"/>
      <c r="R195" s="9"/>
      <c r="S195" s="703">
        <f>+IF(MARZO!S195=0,"",MARZO!S195)</f>
        <v>4000000</v>
      </c>
      <c r="T195" s="685" t="str">
        <f>+IF(MARZO!T195=0,"",MARZO!T195)</f>
        <v>GASTOS  DE PRESTACION DE SERVICIOS</v>
      </c>
      <c r="U195" s="470">
        <f t="shared" ref="U195:AJ195" si="175">U196</f>
        <v>14750406346</v>
      </c>
      <c r="V195" s="471">
        <f t="shared" si="175"/>
        <v>99588299</v>
      </c>
      <c r="W195" s="471">
        <f t="shared" si="175"/>
        <v>1815318807</v>
      </c>
      <c r="X195" s="472">
        <f t="shared" si="175"/>
        <v>16665313452</v>
      </c>
      <c r="Y195" s="379">
        <f t="shared" si="175"/>
        <v>6844592506</v>
      </c>
      <c r="Z195" s="471">
        <f t="shared" si="175"/>
        <v>971803877</v>
      </c>
      <c r="AA195" s="472">
        <f t="shared" si="175"/>
        <v>7816396383</v>
      </c>
      <c r="AB195" s="379">
        <f t="shared" si="175"/>
        <v>4812481585</v>
      </c>
      <c r="AC195" s="471">
        <f t="shared" si="175"/>
        <v>1335851593</v>
      </c>
      <c r="AD195" s="472">
        <f t="shared" si="175"/>
        <v>6148333178</v>
      </c>
      <c r="AE195" s="379">
        <f t="shared" si="175"/>
        <v>2241875700</v>
      </c>
      <c r="AF195" s="471">
        <f t="shared" si="175"/>
        <v>489738626</v>
      </c>
      <c r="AG195" s="472">
        <f t="shared" si="175"/>
        <v>2731614326</v>
      </c>
      <c r="AH195" s="379">
        <f t="shared" si="175"/>
        <v>8848917069</v>
      </c>
      <c r="AI195" s="471">
        <f t="shared" si="175"/>
        <v>10516980274</v>
      </c>
      <c r="AJ195" s="380">
        <f t="shared" si="175"/>
        <v>13933699126</v>
      </c>
      <c r="AK195" s="9"/>
      <c r="AL195" s="128">
        <f>AL196</f>
        <v>100100000</v>
      </c>
      <c r="AM195" s="130">
        <f>AM196</f>
        <v>330291034</v>
      </c>
      <c r="AN195" s="9"/>
    </row>
    <row r="196" spans="1:40" s="382" customFormat="1" ht="24.95" customHeight="1">
      <c r="A196" s="752"/>
      <c r="B196" s="661"/>
      <c r="N196" s="9"/>
      <c r="P196" s="9"/>
      <c r="Q196" s="9"/>
      <c r="R196" s="9"/>
      <c r="S196" s="704">
        <f>+IF(MARZO!S196=0,"",MARZO!S196)</f>
        <v>4100000</v>
      </c>
      <c r="T196" s="680" t="str">
        <f>+IF(MARZO!T196=0,"",MARZO!T196)</f>
        <v>Insumos y Suministros Hospitalarios</v>
      </c>
      <c r="U196" s="132">
        <f t="shared" ref="U196:AJ196" si="176">U197+U205+U207</f>
        <v>14750406346</v>
      </c>
      <c r="V196" s="122">
        <f t="shared" si="176"/>
        <v>99588299</v>
      </c>
      <c r="W196" s="122">
        <f t="shared" si="176"/>
        <v>1815318807</v>
      </c>
      <c r="X196" s="129">
        <f t="shared" si="176"/>
        <v>16665313452</v>
      </c>
      <c r="Y196" s="128">
        <f t="shared" si="176"/>
        <v>6844592506</v>
      </c>
      <c r="Z196" s="122">
        <f t="shared" si="176"/>
        <v>971803877</v>
      </c>
      <c r="AA196" s="129">
        <f t="shared" si="176"/>
        <v>7816396383</v>
      </c>
      <c r="AB196" s="128">
        <f t="shared" si="176"/>
        <v>4812481585</v>
      </c>
      <c r="AC196" s="122">
        <f t="shared" si="176"/>
        <v>1335851593</v>
      </c>
      <c r="AD196" s="129">
        <f t="shared" si="176"/>
        <v>6148333178</v>
      </c>
      <c r="AE196" s="128">
        <f t="shared" si="176"/>
        <v>2241875700</v>
      </c>
      <c r="AF196" s="122">
        <f t="shared" si="176"/>
        <v>489738626</v>
      </c>
      <c r="AG196" s="129">
        <f t="shared" si="176"/>
        <v>2731614326</v>
      </c>
      <c r="AH196" s="128">
        <f t="shared" si="176"/>
        <v>8848917069</v>
      </c>
      <c r="AI196" s="122">
        <f t="shared" si="176"/>
        <v>10516980274</v>
      </c>
      <c r="AJ196" s="130">
        <f t="shared" si="176"/>
        <v>13933699126</v>
      </c>
      <c r="AK196" s="10"/>
      <c r="AL196" s="128">
        <f>AL197+AL205+AL207</f>
        <v>100100000</v>
      </c>
      <c r="AM196" s="130">
        <f>AM197+AM205+AM207</f>
        <v>330291034</v>
      </c>
      <c r="AN196" s="9"/>
    </row>
    <row r="197" spans="1:40" s="382" customFormat="1" ht="24.95" customHeight="1">
      <c r="A197" s="752"/>
      <c r="B197" s="661"/>
      <c r="N197" s="9"/>
      <c r="P197" s="9"/>
      <c r="Q197" s="9"/>
      <c r="R197" s="9"/>
      <c r="S197" s="705">
        <f>+IF(MARZO!S197=0,"",MARZO!S197)</f>
        <v>4100100</v>
      </c>
      <c r="T197" s="681" t="str">
        <f>+IF(MARZO!T197=0,"",MARZO!T197)</f>
        <v>Compra de Bienes para la Prestacion de servicios</v>
      </c>
      <c r="U197" s="27">
        <f t="shared" ref="U197:AJ197" si="177">SUM(U198:U204)</f>
        <v>13250406346</v>
      </c>
      <c r="V197" s="15">
        <f t="shared" si="177"/>
        <v>-27000000</v>
      </c>
      <c r="W197" s="15">
        <f t="shared" si="177"/>
        <v>0</v>
      </c>
      <c r="X197" s="18">
        <f t="shared" si="177"/>
        <v>13223406346</v>
      </c>
      <c r="Y197" s="19">
        <f t="shared" si="177"/>
        <v>4123076434</v>
      </c>
      <c r="Z197" s="142">
        <f t="shared" si="177"/>
        <v>585993207</v>
      </c>
      <c r="AA197" s="18">
        <f t="shared" si="177"/>
        <v>4709069641</v>
      </c>
      <c r="AB197" s="19">
        <f t="shared" si="177"/>
        <v>2902298947</v>
      </c>
      <c r="AC197" s="142">
        <f t="shared" si="177"/>
        <v>808019792</v>
      </c>
      <c r="AD197" s="18">
        <f t="shared" si="177"/>
        <v>3710318739</v>
      </c>
      <c r="AE197" s="19">
        <f t="shared" si="177"/>
        <v>623603646</v>
      </c>
      <c r="AF197" s="142">
        <f t="shared" si="177"/>
        <v>103927956</v>
      </c>
      <c r="AG197" s="18">
        <f t="shared" si="177"/>
        <v>727531602</v>
      </c>
      <c r="AH197" s="19">
        <f t="shared" si="177"/>
        <v>8514336705</v>
      </c>
      <c r="AI197" s="15">
        <f t="shared" si="177"/>
        <v>9513087607</v>
      </c>
      <c r="AJ197" s="16">
        <f t="shared" si="177"/>
        <v>12495874744</v>
      </c>
      <c r="AK197" s="9"/>
      <c r="AL197" s="29">
        <f>SUM(AL198:AL204)</f>
        <v>0</v>
      </c>
      <c r="AM197" s="26">
        <f>SUM(AM198:AM204)</f>
        <v>0</v>
      </c>
      <c r="AN197" s="9"/>
    </row>
    <row r="198" spans="1:40" s="382" customFormat="1" ht="24.95" customHeight="1">
      <c r="A198" s="752"/>
      <c r="B198" s="661"/>
      <c r="N198" s="9"/>
      <c r="P198" s="9"/>
      <c r="Q198" s="9"/>
      <c r="R198" s="9"/>
      <c r="S198" s="706" t="str">
        <f>+IF(MARZO!S198=0,"",MARZO!S198)</f>
        <v>4100100-1</v>
      </c>
      <c r="T198" s="682" t="str">
        <f>+IF(MARZO!T198=0,"",MARZO!T198)</f>
        <v>Productos Farmaceuticos</v>
      </c>
      <c r="U198" s="27">
        <f>+ENERO!U198</f>
        <v>6473158346</v>
      </c>
      <c r="V198" s="15">
        <f>MARZO!V198+ABRIL!AL198</f>
        <v>-27000000</v>
      </c>
      <c r="W198" s="15">
        <f>MARZO!W198+ABRIL!AM198</f>
        <v>0</v>
      </c>
      <c r="X198" s="18">
        <f t="shared" ref="X198:X204" si="178">SUM(U198:W198)</f>
        <v>6446158346</v>
      </c>
      <c r="Y198" s="19">
        <f>MARZO!AA198</f>
        <v>1515605839</v>
      </c>
      <c r="Z198" s="374">
        <v>270334710</v>
      </c>
      <c r="AA198" s="18">
        <f t="shared" ref="AA198:AA204" si="179">SUM(Y198:Z198)</f>
        <v>1785940549</v>
      </c>
      <c r="AB198" s="19">
        <f>MARZO!AD198</f>
        <v>1028433789</v>
      </c>
      <c r="AC198" s="374">
        <v>306425063</v>
      </c>
      <c r="AD198" s="18">
        <f t="shared" ref="AD198:AD204" si="180">SUM(AB198:AC198)</f>
        <v>1334858852</v>
      </c>
      <c r="AE198" s="19">
        <f>MARZO!AG198</f>
        <v>176490746</v>
      </c>
      <c r="AF198" s="374">
        <v>55313996</v>
      </c>
      <c r="AG198" s="18">
        <f t="shared" ref="AG198:AG204" si="181">SUM(AE198:AF198)</f>
        <v>231804742</v>
      </c>
      <c r="AH198" s="19">
        <f t="shared" ref="AH198:AH204" si="182">X198-AA198</f>
        <v>4660217797</v>
      </c>
      <c r="AI198" s="15">
        <f t="shared" ref="AI198:AI204" si="183">X198-AD198</f>
        <v>5111299494</v>
      </c>
      <c r="AJ198" s="16">
        <f t="shared" ref="AJ198:AJ204" si="184">X198-AG198</f>
        <v>6214353604</v>
      </c>
      <c r="AK198" s="9"/>
      <c r="AL198" s="372">
        <v>0</v>
      </c>
      <c r="AM198" s="375">
        <v>0</v>
      </c>
      <c r="AN198" s="9"/>
    </row>
    <row r="199" spans="1:40" s="382" customFormat="1" ht="24.95" customHeight="1">
      <c r="A199" s="752"/>
      <c r="B199" s="661"/>
      <c r="N199" s="9"/>
      <c r="P199" s="9"/>
      <c r="Q199" s="9"/>
      <c r="R199" s="9"/>
      <c r="S199" s="706" t="str">
        <f>+IF(MARZO!S199=0,"",MARZO!S199)</f>
        <v>4100100-2</v>
      </c>
      <c r="T199" s="682" t="str">
        <f>+IF(MARZO!T199=0,"",MARZO!T199)</f>
        <v>Material Médico Quirúrgico</v>
      </c>
      <c r="U199" s="27">
        <f>+ENERO!U199</f>
        <v>4177248000</v>
      </c>
      <c r="V199" s="15">
        <f>MARZO!V199+ABRIL!AL199</f>
        <v>0</v>
      </c>
      <c r="W199" s="15">
        <f>MARZO!W199+ABRIL!AM199</f>
        <v>0</v>
      </c>
      <c r="X199" s="18">
        <f t="shared" si="178"/>
        <v>4177248000</v>
      </c>
      <c r="Y199" s="19">
        <f>MARZO!AA199</f>
        <v>1410981133</v>
      </c>
      <c r="Z199" s="374">
        <v>416467291</v>
      </c>
      <c r="AA199" s="18">
        <f t="shared" si="179"/>
        <v>1827448424</v>
      </c>
      <c r="AB199" s="19">
        <f>MARZO!AD199</f>
        <v>1290561497</v>
      </c>
      <c r="AC199" s="374">
        <v>380073140</v>
      </c>
      <c r="AD199" s="18">
        <f t="shared" si="180"/>
        <v>1670634637</v>
      </c>
      <c r="AE199" s="19">
        <f>MARZO!AG199</f>
        <v>349537613</v>
      </c>
      <c r="AF199" s="374">
        <v>48516513</v>
      </c>
      <c r="AG199" s="18">
        <f t="shared" si="181"/>
        <v>398054126</v>
      </c>
      <c r="AH199" s="19">
        <f t="shared" si="182"/>
        <v>2349799576</v>
      </c>
      <c r="AI199" s="15">
        <f t="shared" si="183"/>
        <v>2506613363</v>
      </c>
      <c r="AJ199" s="16">
        <f t="shared" si="184"/>
        <v>3779193874</v>
      </c>
      <c r="AK199" s="9"/>
      <c r="AL199" s="372">
        <v>0</v>
      </c>
      <c r="AM199" s="375">
        <v>0</v>
      </c>
      <c r="AN199" s="9"/>
    </row>
    <row r="200" spans="1:40" s="382" customFormat="1" ht="24.95" customHeight="1">
      <c r="A200" s="752"/>
      <c r="B200" s="661"/>
      <c r="N200" s="9"/>
      <c r="P200" s="9"/>
      <c r="Q200" s="9"/>
      <c r="R200" s="9"/>
      <c r="S200" s="706" t="str">
        <f>+IF(MARZO!S200=0,"",MARZO!S200)</f>
        <v>4100100-3</v>
      </c>
      <c r="T200" s="682" t="str">
        <f>+IF(MARZO!T200=0,"",MARZO!T200)</f>
        <v>Material de Laboratorio</v>
      </c>
      <c r="U200" s="27">
        <f>+ENERO!U200</f>
        <v>1300000000</v>
      </c>
      <c r="V200" s="15">
        <f>MARZO!V200+ABRIL!AL200</f>
        <v>0</v>
      </c>
      <c r="W200" s="15">
        <f>MARZO!W200+ABRIL!AM200</f>
        <v>0</v>
      </c>
      <c r="X200" s="18">
        <f t="shared" si="178"/>
        <v>1300000000</v>
      </c>
      <c r="Y200" s="19">
        <f>MARZO!AA200</f>
        <v>956489462</v>
      </c>
      <c r="Z200" s="374">
        <v>-100808794</v>
      </c>
      <c r="AA200" s="18">
        <f t="shared" si="179"/>
        <v>855680668</v>
      </c>
      <c r="AB200" s="19">
        <f>MARZO!AD200</f>
        <v>439509889</v>
      </c>
      <c r="AC200" s="374">
        <v>90732799</v>
      </c>
      <c r="AD200" s="18">
        <f t="shared" si="180"/>
        <v>530242688</v>
      </c>
      <c r="AE200" s="19">
        <f>MARZO!AG200</f>
        <v>97575287</v>
      </c>
      <c r="AF200" s="374">
        <v>97447</v>
      </c>
      <c r="AG200" s="18">
        <f t="shared" si="181"/>
        <v>97672734</v>
      </c>
      <c r="AH200" s="19">
        <f t="shared" si="182"/>
        <v>444319332</v>
      </c>
      <c r="AI200" s="15">
        <f t="shared" si="183"/>
        <v>769757312</v>
      </c>
      <c r="AJ200" s="16">
        <f t="shared" si="184"/>
        <v>1202327266</v>
      </c>
      <c r="AK200" s="9"/>
      <c r="AL200" s="372">
        <v>0</v>
      </c>
      <c r="AM200" s="375">
        <v>0</v>
      </c>
      <c r="AN200" s="9"/>
    </row>
    <row r="201" spans="1:40" s="382" customFormat="1" ht="24.95" customHeight="1">
      <c r="A201" s="752"/>
      <c r="B201" s="661"/>
      <c r="N201" s="9"/>
      <c r="P201" s="9"/>
      <c r="Q201" s="9"/>
      <c r="R201" s="9"/>
      <c r="S201" s="706" t="str">
        <f>+IF(MARZO!S201=0,"",MARZO!S201)</f>
        <v>4100100-4</v>
      </c>
      <c r="T201" s="682" t="str">
        <f>+IF(MARZO!T201=0,"",MARZO!T201)</f>
        <v>Material para Odontologia</v>
      </c>
      <c r="U201" s="27">
        <f>+ENERO!U201</f>
        <v>0</v>
      </c>
      <c r="V201" s="15">
        <f>MARZO!V201+ABRIL!AL201</f>
        <v>0</v>
      </c>
      <c r="W201" s="15">
        <f>MARZO!W201+ABRIL!AM201</f>
        <v>0</v>
      </c>
      <c r="X201" s="18">
        <f t="shared" si="178"/>
        <v>0</v>
      </c>
      <c r="Y201" s="19">
        <f>MARZO!AA201</f>
        <v>0</v>
      </c>
      <c r="Z201" s="374">
        <v>0</v>
      </c>
      <c r="AA201" s="18">
        <f t="shared" si="179"/>
        <v>0</v>
      </c>
      <c r="AB201" s="19">
        <f>MARZO!AD201</f>
        <v>0</v>
      </c>
      <c r="AC201" s="374">
        <v>0</v>
      </c>
      <c r="AD201" s="18">
        <f t="shared" si="180"/>
        <v>0</v>
      </c>
      <c r="AE201" s="19">
        <f>MARZO!AG201</f>
        <v>0</v>
      </c>
      <c r="AF201" s="374">
        <v>0</v>
      </c>
      <c r="AG201" s="18">
        <f t="shared" si="181"/>
        <v>0</v>
      </c>
      <c r="AH201" s="19">
        <f t="shared" si="182"/>
        <v>0</v>
      </c>
      <c r="AI201" s="15">
        <f t="shared" si="183"/>
        <v>0</v>
      </c>
      <c r="AJ201" s="16">
        <f t="shared" si="184"/>
        <v>0</v>
      </c>
      <c r="AK201" s="9"/>
      <c r="AL201" s="372">
        <v>0</v>
      </c>
      <c r="AM201" s="375">
        <v>0</v>
      </c>
      <c r="AN201" s="9"/>
    </row>
    <row r="202" spans="1:40" s="382" customFormat="1" ht="24.95" customHeight="1">
      <c r="A202" s="752"/>
      <c r="B202" s="661"/>
      <c r="N202" s="9"/>
      <c r="P202" s="9"/>
      <c r="Q202" s="9"/>
      <c r="R202" s="9"/>
      <c r="S202" s="706" t="str">
        <f>+IF(MARZO!S202=0,"",MARZO!S202)</f>
        <v>4100100-5</v>
      </c>
      <c r="T202" s="682" t="str">
        <f>+IF(MARZO!T202=0,"",MARZO!T202)</f>
        <v>Material para Rayos X</v>
      </c>
      <c r="U202" s="27">
        <f>+ENERO!U202</f>
        <v>1300000000</v>
      </c>
      <c r="V202" s="15">
        <f>MARZO!V202+ABRIL!AL202</f>
        <v>0</v>
      </c>
      <c r="W202" s="15">
        <f>MARZO!W202+ABRIL!AM202</f>
        <v>0</v>
      </c>
      <c r="X202" s="18">
        <f t="shared" si="178"/>
        <v>1300000000</v>
      </c>
      <c r="Y202" s="19">
        <f>MARZO!AA202</f>
        <v>240000000</v>
      </c>
      <c r="Z202" s="374">
        <v>0</v>
      </c>
      <c r="AA202" s="18">
        <f t="shared" si="179"/>
        <v>240000000</v>
      </c>
      <c r="AB202" s="19">
        <f>MARZO!AD202</f>
        <v>143793772</v>
      </c>
      <c r="AC202" s="374">
        <v>30788790</v>
      </c>
      <c r="AD202" s="18">
        <f t="shared" si="180"/>
        <v>174582562</v>
      </c>
      <c r="AE202" s="19">
        <f>MARZO!AG202</f>
        <v>0</v>
      </c>
      <c r="AF202" s="374">
        <v>0</v>
      </c>
      <c r="AG202" s="18">
        <f t="shared" si="181"/>
        <v>0</v>
      </c>
      <c r="AH202" s="19">
        <f t="shared" si="182"/>
        <v>1060000000</v>
      </c>
      <c r="AI202" s="15">
        <f t="shared" si="183"/>
        <v>1125417438</v>
      </c>
      <c r="AJ202" s="16">
        <f t="shared" si="184"/>
        <v>1300000000</v>
      </c>
      <c r="AK202" s="9"/>
      <c r="AL202" s="372">
        <v>0</v>
      </c>
      <c r="AM202" s="375">
        <v>0</v>
      </c>
      <c r="AN202" s="9"/>
    </row>
    <row r="203" spans="1:40" s="382" customFormat="1" ht="24.95" customHeight="1">
      <c r="A203" s="752"/>
      <c r="B203" s="661"/>
      <c r="N203" s="9"/>
      <c r="P203" s="9"/>
      <c r="Q203" s="9"/>
      <c r="R203" s="9"/>
      <c r="S203" s="706" t="str">
        <f>+IF(MARZO!S203=0,"",MARZO!S203)</f>
        <v/>
      </c>
      <c r="T203" s="682" t="str">
        <f>+IF(MARZO!T203=0,"",MARZO!T203)</f>
        <v/>
      </c>
      <c r="U203" s="27">
        <f>+ENERO!U203</f>
        <v>0</v>
      </c>
      <c r="V203" s="15">
        <f>MARZO!V203+ABRIL!AL203</f>
        <v>0</v>
      </c>
      <c r="W203" s="15">
        <f>MARZO!W203+ABRIL!AM203</f>
        <v>0</v>
      </c>
      <c r="X203" s="18">
        <f t="shared" si="178"/>
        <v>0</v>
      </c>
      <c r="Y203" s="19">
        <f>MARZO!AA203</f>
        <v>0</v>
      </c>
      <c r="Z203" s="374">
        <v>0</v>
      </c>
      <c r="AA203" s="18">
        <f t="shared" si="179"/>
        <v>0</v>
      </c>
      <c r="AB203" s="19">
        <f>MARZO!AD203</f>
        <v>0</v>
      </c>
      <c r="AC203" s="374">
        <v>0</v>
      </c>
      <c r="AD203" s="18">
        <f t="shared" si="180"/>
        <v>0</v>
      </c>
      <c r="AE203" s="19">
        <f>MARZO!AG203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2"/>
      <c r="B204" s="661"/>
      <c r="N204" s="9"/>
      <c r="P204" s="9"/>
      <c r="Q204" s="9"/>
      <c r="R204" s="9"/>
      <c r="S204" s="706" t="str">
        <f>+IF(MARZO!S204=0,"",MARZO!S204)</f>
        <v/>
      </c>
      <c r="T204" s="682" t="str">
        <f>+IF(MARZO!T204=0,"",MARZO!T204)</f>
        <v/>
      </c>
      <c r="U204" s="27">
        <f>+ENERO!U204</f>
        <v>0</v>
      </c>
      <c r="V204" s="15">
        <f>MARZO!V204+ABRIL!AL204</f>
        <v>0</v>
      </c>
      <c r="W204" s="15">
        <f>MARZO!W204+ABRIL!AM204</f>
        <v>0</v>
      </c>
      <c r="X204" s="18">
        <f t="shared" si="178"/>
        <v>0</v>
      </c>
      <c r="Y204" s="19">
        <f>MARZO!AA204</f>
        <v>0</v>
      </c>
      <c r="Z204" s="374">
        <v>0</v>
      </c>
      <c r="AA204" s="18">
        <f t="shared" si="179"/>
        <v>0</v>
      </c>
      <c r="AB204" s="19">
        <f>MARZO!AD204</f>
        <v>0</v>
      </c>
      <c r="AC204" s="374">
        <v>0</v>
      </c>
      <c r="AD204" s="18">
        <f t="shared" si="180"/>
        <v>0</v>
      </c>
      <c r="AE204" s="19">
        <f>MARZO!AG204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2"/>
      <c r="B205" s="661"/>
      <c r="N205" s="9"/>
      <c r="P205" s="9"/>
      <c r="Q205" s="9"/>
      <c r="R205" s="9"/>
      <c r="S205" s="705">
        <f>+IF(MARZO!S205=0,"",MARZO!S205)</f>
        <v>4100200</v>
      </c>
      <c r="T205" s="681" t="str">
        <f>+IF(MARZO!T205=0,"",MARZO!T205)</f>
        <v>Gastos Complementarios e Intermedios</v>
      </c>
      <c r="U205" s="27">
        <f t="shared" ref="U205:AJ205" si="185">U206</f>
        <v>1500000000</v>
      </c>
      <c r="V205" s="15">
        <f t="shared" si="185"/>
        <v>0</v>
      </c>
      <c r="W205" s="15">
        <f t="shared" si="185"/>
        <v>0</v>
      </c>
      <c r="X205" s="18">
        <f t="shared" si="185"/>
        <v>1500000000</v>
      </c>
      <c r="Y205" s="19">
        <f t="shared" si="185"/>
        <v>1210000000</v>
      </c>
      <c r="Z205" s="142">
        <f t="shared" si="185"/>
        <v>0</v>
      </c>
      <c r="AA205" s="18">
        <f t="shared" si="185"/>
        <v>1210000000</v>
      </c>
      <c r="AB205" s="19">
        <f t="shared" si="185"/>
        <v>398666566</v>
      </c>
      <c r="AC205" s="142">
        <f t="shared" si="185"/>
        <v>142021131</v>
      </c>
      <c r="AD205" s="18">
        <f t="shared" si="185"/>
        <v>540687697</v>
      </c>
      <c r="AE205" s="19">
        <f t="shared" si="185"/>
        <v>124669982</v>
      </c>
      <c r="AF205" s="142">
        <f t="shared" si="185"/>
        <v>0</v>
      </c>
      <c r="AG205" s="18">
        <f t="shared" si="185"/>
        <v>124669982</v>
      </c>
      <c r="AH205" s="19">
        <f t="shared" si="185"/>
        <v>290000000</v>
      </c>
      <c r="AI205" s="15">
        <f t="shared" si="185"/>
        <v>959312303</v>
      </c>
      <c r="AJ205" s="16">
        <f t="shared" si="185"/>
        <v>1375330018</v>
      </c>
      <c r="AK205" s="9"/>
      <c r="AL205" s="29">
        <f>AL206</f>
        <v>0</v>
      </c>
      <c r="AM205" s="26">
        <f>AM206</f>
        <v>0</v>
      </c>
      <c r="AN205" s="9"/>
    </row>
    <row r="206" spans="1:40" s="382" customFormat="1" ht="24.95" customHeight="1">
      <c r="A206" s="752"/>
      <c r="B206" s="661"/>
      <c r="N206" s="9"/>
      <c r="P206" s="9"/>
      <c r="Q206" s="9"/>
      <c r="R206" s="9"/>
      <c r="S206" s="706" t="str">
        <f>+IF(MARZO!S206=0,"",MARZO!S206)</f>
        <v>4100200-1</v>
      </c>
      <c r="T206" s="682" t="str">
        <f>+IF(MARZO!T206=0,"",MARZO!T206)</f>
        <v>Alimentación</v>
      </c>
      <c r="U206" s="27">
        <f>+ENERO!U206</f>
        <v>1500000000</v>
      </c>
      <c r="V206" s="15">
        <f>MARZO!V206+ABRIL!AL206</f>
        <v>0</v>
      </c>
      <c r="W206" s="15">
        <f>MARZO!W206+ABRIL!AM206</f>
        <v>0</v>
      </c>
      <c r="X206" s="18">
        <f>SUM(U206:W206)</f>
        <v>1500000000</v>
      </c>
      <c r="Y206" s="19">
        <f>MARZO!AA206</f>
        <v>1210000000</v>
      </c>
      <c r="Z206" s="374">
        <v>0</v>
      </c>
      <c r="AA206" s="18">
        <f>SUM(Y206:Z206)</f>
        <v>1210000000</v>
      </c>
      <c r="AB206" s="19">
        <f>MARZO!AD206</f>
        <v>398666566</v>
      </c>
      <c r="AC206" s="374">
        <v>142021131</v>
      </c>
      <c r="AD206" s="18">
        <f>SUM(AB206:AC206)</f>
        <v>540687697</v>
      </c>
      <c r="AE206" s="19">
        <f>MARZO!AG206</f>
        <v>124669982</v>
      </c>
      <c r="AF206" s="374">
        <v>0</v>
      </c>
      <c r="AG206" s="18">
        <f>SUM(AE206:AF206)</f>
        <v>124669982</v>
      </c>
      <c r="AH206" s="19">
        <f>X206-AA206</f>
        <v>290000000</v>
      </c>
      <c r="AI206" s="15">
        <f>X206-AD206</f>
        <v>959312303</v>
      </c>
      <c r="AJ206" s="16">
        <f>X206-AG206</f>
        <v>1375330018</v>
      </c>
      <c r="AK206" s="9"/>
      <c r="AL206" s="372">
        <v>0</v>
      </c>
      <c r="AM206" s="375">
        <v>0</v>
      </c>
      <c r="AN206" s="9"/>
    </row>
    <row r="207" spans="1:40" s="382" customFormat="1" ht="24.95" customHeight="1" thickBot="1">
      <c r="A207" s="752"/>
      <c r="B207" s="661"/>
      <c r="N207" s="9"/>
      <c r="P207" s="9"/>
      <c r="Q207" s="9"/>
      <c r="R207" s="9"/>
      <c r="S207" s="710">
        <f>+IF(MARZO!S207=0,"",MARZO!S207)</f>
        <v>4199999</v>
      </c>
      <c r="T207" s="687" t="str">
        <f>+IF(MARZO!T207=0,"",MARZO!T207)</f>
        <v>Vigencias Anteriores</v>
      </c>
      <c r="U207" s="133">
        <f>+ENERO!U207</f>
        <v>0</v>
      </c>
      <c r="V207" s="121">
        <f>MARZO!V207+ABRIL!AL207</f>
        <v>126588299</v>
      </c>
      <c r="W207" s="121">
        <f>MARZO!W207+ABRIL!AM207</f>
        <v>1815318807</v>
      </c>
      <c r="X207" s="126">
        <f>SUM(U207:W207)</f>
        <v>1941907106</v>
      </c>
      <c r="Y207" s="124">
        <f>MARZO!AA207</f>
        <v>1511516072</v>
      </c>
      <c r="Z207" s="388">
        <v>385810670</v>
      </c>
      <c r="AA207" s="126">
        <f>SUM(Y207:Z207)</f>
        <v>1897326742</v>
      </c>
      <c r="AB207" s="124">
        <f>MARZO!AD207</f>
        <v>1511516072</v>
      </c>
      <c r="AC207" s="388">
        <v>385810670</v>
      </c>
      <c r="AD207" s="126">
        <f>SUM(AB207:AC207)</f>
        <v>1897326742</v>
      </c>
      <c r="AE207" s="124">
        <f>MARZO!AG207</f>
        <v>1493602072</v>
      </c>
      <c r="AF207" s="388">
        <v>385810670</v>
      </c>
      <c r="AG207" s="126">
        <f>SUM(AE207:AF207)</f>
        <v>1879412742</v>
      </c>
      <c r="AH207" s="124">
        <f>X207-AA207</f>
        <v>44580364</v>
      </c>
      <c r="AI207" s="121">
        <f>X207-AD207</f>
        <v>44580364</v>
      </c>
      <c r="AJ207" s="125">
        <f>X207-AG207</f>
        <v>62494364</v>
      </c>
      <c r="AK207" s="9"/>
      <c r="AL207" s="384">
        <v>100100000</v>
      </c>
      <c r="AM207" s="389">
        <v>330291034</v>
      </c>
      <c r="AN207" s="9"/>
    </row>
    <row r="208" spans="1:40" s="382" customFormat="1" ht="24.95" customHeight="1">
      <c r="A208" s="752"/>
      <c r="B208" s="661"/>
      <c r="N208" s="9"/>
      <c r="P208" s="9"/>
      <c r="Q208" s="9"/>
      <c r="R208" s="9"/>
      <c r="S208" s="489" t="str">
        <f>+IF(MARZO!S208=0,"",MARZO!S208)</f>
        <v/>
      </c>
      <c r="T208" s="688" t="str">
        <f>+IF(MARZO!T208=0,"",MARZO!T208)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2"/>
      <c r="B209" s="661"/>
      <c r="N209" s="9"/>
      <c r="P209" s="9"/>
      <c r="Q209" s="9"/>
      <c r="R209" s="9"/>
      <c r="S209" s="703">
        <f>+IF(MARZO!S209=0,"",MARZO!S209)</f>
        <v>5000000</v>
      </c>
      <c r="T209" s="727" t="str">
        <f>+IF(MARZO!T209=0,"",MARZO!T209)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2"/>
      <c r="B210" s="661"/>
      <c r="N210" s="9"/>
      <c r="P210" s="9"/>
      <c r="Q210" s="9"/>
      <c r="R210" s="9"/>
      <c r="S210" s="704">
        <f>+IF(MARZO!S210=0,"",MARZO!S210)</f>
        <v>5100000</v>
      </c>
      <c r="T210" s="680" t="str">
        <f>+IF(MARZO!T210=0,"",MARZO!T210)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2"/>
      <c r="B211" s="661"/>
      <c r="N211" s="9"/>
      <c r="P211" s="9"/>
      <c r="Q211" s="9"/>
      <c r="R211" s="9"/>
      <c r="S211" s="705">
        <f>+IF(MARZO!S211=0,"",MARZO!S211)</f>
        <v>5100100</v>
      </c>
      <c r="T211" s="681" t="str">
        <f>+IF(MARZO!T211=0,"",MARZO!T211)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2"/>
      <c r="B212" s="661"/>
      <c r="N212" s="9"/>
      <c r="P212" s="9"/>
      <c r="Q212" s="9"/>
      <c r="R212" s="9"/>
      <c r="S212" s="706" t="str">
        <f>+IF(MARZO!S212=0,"",MARZO!S212)</f>
        <v>5100100-1</v>
      </c>
      <c r="T212" s="682" t="str">
        <f>+IF(MARZO!T212=0,"",MARZO!T212)</f>
        <v>Productos Farmaceuticos</v>
      </c>
      <c r="U212" s="27">
        <f>+ENERO!U212</f>
        <v>0</v>
      </c>
      <c r="V212" s="15">
        <f>MARZO!V212+ABRIL!AL212</f>
        <v>0</v>
      </c>
      <c r="W212" s="15">
        <f>MARZO!W212+ABRIL!AM212</f>
        <v>0</v>
      </c>
      <c r="X212" s="18">
        <f t="shared" ref="X212:X218" si="189">SUM(U212:W212)</f>
        <v>0</v>
      </c>
      <c r="Y212" s="19">
        <f>MARZO!AA212</f>
        <v>0</v>
      </c>
      <c r="Z212" s="374">
        <v>0</v>
      </c>
      <c r="AA212" s="18">
        <f t="shared" ref="AA212:AA218" si="190">SUM(Y212:Z212)</f>
        <v>0</v>
      </c>
      <c r="AB212" s="19">
        <f>MARZO!AD212</f>
        <v>0</v>
      </c>
      <c r="AC212" s="374">
        <v>0</v>
      </c>
      <c r="AD212" s="18">
        <f t="shared" ref="AD212:AD218" si="191">SUM(AB212:AC212)</f>
        <v>0</v>
      </c>
      <c r="AE212" s="19">
        <f>MARZO!AG212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2"/>
      <c r="B213" s="661"/>
      <c r="N213" s="9"/>
      <c r="P213" s="9"/>
      <c r="Q213" s="9"/>
      <c r="R213" s="9"/>
      <c r="S213" s="706" t="str">
        <f>+IF(MARZO!S213=0,"",MARZO!S213)</f>
        <v>5100100-2</v>
      </c>
      <c r="T213" s="682" t="str">
        <f>+IF(MARZO!T213=0,"",MARZO!T213)</f>
        <v>Material Médico Quirúrgico</v>
      </c>
      <c r="U213" s="27">
        <f>+ENERO!U213</f>
        <v>0</v>
      </c>
      <c r="V213" s="15">
        <f>MARZO!V213+ABRIL!AL213</f>
        <v>0</v>
      </c>
      <c r="W213" s="15">
        <f>MARZO!W213+ABRIL!AM213</f>
        <v>0</v>
      </c>
      <c r="X213" s="18">
        <f t="shared" si="189"/>
        <v>0</v>
      </c>
      <c r="Y213" s="19">
        <f>MARZO!AA213</f>
        <v>0</v>
      </c>
      <c r="Z213" s="374">
        <v>0</v>
      </c>
      <c r="AA213" s="18">
        <f t="shared" si="190"/>
        <v>0</v>
      </c>
      <c r="AB213" s="19">
        <f>MARZO!AD213</f>
        <v>0</v>
      </c>
      <c r="AC213" s="374">
        <v>0</v>
      </c>
      <c r="AD213" s="18">
        <f t="shared" si="191"/>
        <v>0</v>
      </c>
      <c r="AE213" s="19">
        <f>MARZO!AG213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2"/>
      <c r="B214" s="661"/>
      <c r="N214" s="9"/>
      <c r="P214" s="9"/>
      <c r="Q214" s="9"/>
      <c r="R214" s="9"/>
      <c r="S214" s="706" t="str">
        <f>+IF(MARZO!S214=0,"",MARZO!S214)</f>
        <v>5100100-3</v>
      </c>
      <c r="T214" s="682" t="str">
        <f>+IF(MARZO!T214=0,"",MARZO!T214)</f>
        <v>Material de Laboratorio</v>
      </c>
      <c r="U214" s="27">
        <f>+ENERO!U214</f>
        <v>0</v>
      </c>
      <c r="V214" s="15">
        <f>MARZO!V214+ABRIL!AL214</f>
        <v>0</v>
      </c>
      <c r="W214" s="15">
        <f>MARZO!W214+ABRIL!AM214</f>
        <v>0</v>
      </c>
      <c r="X214" s="18">
        <f t="shared" si="189"/>
        <v>0</v>
      </c>
      <c r="Y214" s="19">
        <f>MARZO!AA214</f>
        <v>0</v>
      </c>
      <c r="Z214" s="374">
        <v>0</v>
      </c>
      <c r="AA214" s="18">
        <f t="shared" si="190"/>
        <v>0</v>
      </c>
      <c r="AB214" s="19">
        <f>MARZO!AD214</f>
        <v>0</v>
      </c>
      <c r="AC214" s="374">
        <v>0</v>
      </c>
      <c r="AD214" s="18">
        <f t="shared" si="191"/>
        <v>0</v>
      </c>
      <c r="AE214" s="19">
        <f>MARZO!AG214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2"/>
      <c r="B215" s="661"/>
      <c r="N215" s="9"/>
      <c r="P215" s="9"/>
      <c r="Q215" s="9"/>
      <c r="R215" s="9"/>
      <c r="S215" s="706" t="str">
        <f>+IF(MARZO!S215=0,"",MARZO!S215)</f>
        <v>5100100-4</v>
      </c>
      <c r="T215" s="682" t="str">
        <f>+IF(MARZO!T215=0,"",MARZO!T215)</f>
        <v>Material para Odontologia</v>
      </c>
      <c r="U215" s="27">
        <f>+ENERO!U215</f>
        <v>0</v>
      </c>
      <c r="V215" s="15">
        <f>MARZO!V215+ABRIL!AL215</f>
        <v>0</v>
      </c>
      <c r="W215" s="15">
        <f>MARZO!W215+ABRIL!AM215</f>
        <v>0</v>
      </c>
      <c r="X215" s="18">
        <f t="shared" si="189"/>
        <v>0</v>
      </c>
      <c r="Y215" s="19">
        <f>MARZO!AA215</f>
        <v>0</v>
      </c>
      <c r="Z215" s="374">
        <v>0</v>
      </c>
      <c r="AA215" s="18">
        <f t="shared" si="190"/>
        <v>0</v>
      </c>
      <c r="AB215" s="19">
        <f>MARZO!AD215</f>
        <v>0</v>
      </c>
      <c r="AC215" s="374">
        <v>0</v>
      </c>
      <c r="AD215" s="18">
        <f t="shared" si="191"/>
        <v>0</v>
      </c>
      <c r="AE215" s="19">
        <f>MARZO!AG215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2"/>
      <c r="B216" s="661"/>
      <c r="N216" s="9"/>
      <c r="P216" s="9"/>
      <c r="Q216" s="9"/>
      <c r="R216" s="9"/>
      <c r="S216" s="706" t="str">
        <f>+IF(MARZO!S216=0,"",MARZO!S216)</f>
        <v>5100100-5</v>
      </c>
      <c r="T216" s="682" t="str">
        <f>+IF(MARZO!T216=0,"",MARZO!T216)</f>
        <v>Material para Rayos X</v>
      </c>
      <c r="U216" s="27">
        <f>+ENERO!U216</f>
        <v>0</v>
      </c>
      <c r="V216" s="15">
        <f>MARZO!V216+ABRIL!AL216</f>
        <v>0</v>
      </c>
      <c r="W216" s="15">
        <f>MARZO!W216+ABRIL!AM216</f>
        <v>0</v>
      </c>
      <c r="X216" s="18">
        <f t="shared" si="189"/>
        <v>0</v>
      </c>
      <c r="Y216" s="19">
        <f>MARZO!AA216</f>
        <v>0</v>
      </c>
      <c r="Z216" s="374">
        <v>0</v>
      </c>
      <c r="AA216" s="18">
        <f t="shared" si="190"/>
        <v>0</v>
      </c>
      <c r="AB216" s="19">
        <f>MARZO!AD216</f>
        <v>0</v>
      </c>
      <c r="AC216" s="374">
        <v>0</v>
      </c>
      <c r="AD216" s="18">
        <f t="shared" si="191"/>
        <v>0</v>
      </c>
      <c r="AE216" s="19">
        <f>MARZO!AG216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2"/>
      <c r="B217" s="661"/>
      <c r="N217" s="9"/>
      <c r="P217" s="9"/>
      <c r="Q217" s="9"/>
      <c r="R217" s="9"/>
      <c r="S217" s="706" t="str">
        <f>+IF(MARZO!S217=0,"",MARZO!S217)</f>
        <v>5100100-6</v>
      </c>
      <c r="T217" s="682" t="str">
        <f>+IF(MARZO!T217=0,"",MARZO!T217)</f>
        <v>Material aseo personal, etc.</v>
      </c>
      <c r="U217" s="27">
        <f>+ENERO!U217</f>
        <v>0</v>
      </c>
      <c r="V217" s="15">
        <f>MARZO!V217+ABRIL!AL217</f>
        <v>0</v>
      </c>
      <c r="W217" s="15">
        <f>MARZO!W217+ABRIL!AM217</f>
        <v>0</v>
      </c>
      <c r="X217" s="18">
        <f t="shared" si="189"/>
        <v>0</v>
      </c>
      <c r="Y217" s="19">
        <f>MARZO!AA217</f>
        <v>0</v>
      </c>
      <c r="Z217" s="374">
        <v>0</v>
      </c>
      <c r="AA217" s="18">
        <f t="shared" si="190"/>
        <v>0</v>
      </c>
      <c r="AB217" s="19">
        <f>MARZO!AD217</f>
        <v>0</v>
      </c>
      <c r="AC217" s="374">
        <v>0</v>
      </c>
      <c r="AD217" s="18">
        <f t="shared" si="191"/>
        <v>0</v>
      </c>
      <c r="AE217" s="19">
        <f>MARZO!AG217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2"/>
      <c r="B218" s="661"/>
      <c r="N218" s="9"/>
      <c r="P218" s="9"/>
      <c r="Q218" s="9"/>
      <c r="R218" s="9"/>
      <c r="S218" s="717">
        <f>+IF(MARZO!S218=0,"",MARZO!S218)</f>
        <v>5199999</v>
      </c>
      <c r="T218" s="697" t="str">
        <f>+IF(MARZO!T218=0,"",MARZO!T218)</f>
        <v>Vigencias Anteriores</v>
      </c>
      <c r="U218" s="133">
        <f>+ENERO!U218</f>
        <v>0</v>
      </c>
      <c r="V218" s="121">
        <f>MARZO!V218+ABRIL!AL218</f>
        <v>0</v>
      </c>
      <c r="W218" s="121">
        <f>MARZO!W218+ABRIL!AM218</f>
        <v>0</v>
      </c>
      <c r="X218" s="126">
        <f t="shared" si="189"/>
        <v>0</v>
      </c>
      <c r="Y218" s="124">
        <f>MARZO!AA218</f>
        <v>0</v>
      </c>
      <c r="Z218" s="388">
        <v>0</v>
      </c>
      <c r="AA218" s="126">
        <f t="shared" si="190"/>
        <v>0</v>
      </c>
      <c r="AB218" s="124">
        <f>MARZO!AD218</f>
        <v>0</v>
      </c>
      <c r="AC218" s="388">
        <v>0</v>
      </c>
      <c r="AD218" s="126">
        <f t="shared" si="191"/>
        <v>0</v>
      </c>
      <c r="AE218" s="124">
        <f>MARZO!AG218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2"/>
      <c r="B219" s="661"/>
      <c r="N219" s="9"/>
      <c r="P219" s="9"/>
      <c r="Q219" s="9"/>
      <c r="R219" s="9"/>
      <c r="S219" s="495" t="str">
        <f>+IF(MARZO!S219=0,"",MARZO!S219)</f>
        <v/>
      </c>
      <c r="T219" s="694" t="str">
        <f>+IF(MARZO!T219=0,"",MARZO!T219)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2"/>
      <c r="B220" s="661"/>
      <c r="N220" s="9"/>
      <c r="P220" s="9"/>
      <c r="Q220" s="9"/>
      <c r="R220" s="9"/>
      <c r="S220" s="357" t="str">
        <f>+IF(MARZO!S220=0,"",MARZO!S220)</f>
        <v>C</v>
      </c>
      <c r="T220" s="676" t="str">
        <f>+IF(MARZO!T220=0,"",MARZO!T220)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2"/>
      <c r="B221" s="661"/>
      <c r="N221" s="9"/>
      <c r="P221" s="9"/>
      <c r="Q221" s="9"/>
      <c r="R221" s="9"/>
      <c r="S221" s="366" t="str">
        <f>+IF(MARZO!S221=0,"",MARZO!S221)</f>
        <v/>
      </c>
      <c r="T221" s="695"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2"/>
      <c r="B222" s="661"/>
      <c r="N222" s="9"/>
      <c r="P222" s="9"/>
      <c r="Q222" s="9"/>
      <c r="R222" s="9"/>
      <c r="S222" s="704">
        <f>+IF(MARZO!S222=0,"",MARZO!S222)</f>
        <v>7001000</v>
      </c>
      <c r="T222" s="680" t="str">
        <f>+IF(MARZO!T222=0,"",MARZO!T222)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2"/>
      <c r="B223" s="661"/>
      <c r="N223" s="9"/>
      <c r="P223" s="9"/>
      <c r="Q223" s="9"/>
      <c r="R223" s="9"/>
      <c r="S223" s="705">
        <f>+IF(MARZO!S223=0,"",MARZO!S223)</f>
        <v>7001100</v>
      </c>
      <c r="T223" s="681" t="str">
        <f>+IF(MARZO!T223=0,"",MARZO!T223)</f>
        <v>Amortización deuda Pública Interna</v>
      </c>
      <c r="U223" s="27">
        <f>+ENERO!U223</f>
        <v>0</v>
      </c>
      <c r="V223" s="15">
        <f>MARZO!V223+ABRIL!AL223</f>
        <v>0</v>
      </c>
      <c r="W223" s="15">
        <f>MARZO!W223+ABRIL!AM223</f>
        <v>0</v>
      </c>
      <c r="X223" s="18">
        <f>SUM(U223:W223)</f>
        <v>0</v>
      </c>
      <c r="Y223" s="19">
        <f>MARZO!AA223</f>
        <v>0</v>
      </c>
      <c r="Z223" s="374">
        <v>0</v>
      </c>
      <c r="AA223" s="18">
        <f>SUM(Y223:Z223)</f>
        <v>0</v>
      </c>
      <c r="AB223" s="19">
        <f>MARZO!AD223</f>
        <v>0</v>
      </c>
      <c r="AC223" s="374">
        <v>0</v>
      </c>
      <c r="AD223" s="18">
        <f>SUM(AB223:AC223)</f>
        <v>0</v>
      </c>
      <c r="AE223" s="19">
        <f>MARZO!AG223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2"/>
      <c r="B224" s="661"/>
      <c r="N224" s="9"/>
      <c r="P224" s="9"/>
      <c r="Q224" s="9"/>
      <c r="R224" s="9"/>
      <c r="S224" s="705">
        <f>+IF(MARZO!S224=0,"",MARZO!S224)</f>
        <v>7001200</v>
      </c>
      <c r="T224" s="681" t="str">
        <f>+IF(MARZO!T224=0,"",MARZO!T224)</f>
        <v>Intereses Comisiones y gastos de la Deuda Pública</v>
      </c>
      <c r="U224" s="27">
        <f>+ENERO!U224</f>
        <v>0</v>
      </c>
      <c r="V224" s="15">
        <f>MARZO!V224+ABRIL!AL224</f>
        <v>0</v>
      </c>
      <c r="W224" s="15">
        <f>MARZO!W224+ABRIL!AM224</f>
        <v>0</v>
      </c>
      <c r="X224" s="18">
        <f>SUM(U224:W224)</f>
        <v>0</v>
      </c>
      <c r="Y224" s="19">
        <f>MARZO!AA224</f>
        <v>0</v>
      </c>
      <c r="Z224" s="374">
        <v>0</v>
      </c>
      <c r="AA224" s="18">
        <f>SUM(Y224:Z224)</f>
        <v>0</v>
      </c>
      <c r="AB224" s="19">
        <f>MARZO!AD224</f>
        <v>0</v>
      </c>
      <c r="AC224" s="374">
        <v>0</v>
      </c>
      <c r="AD224" s="18">
        <f>SUM(AB224:AC224)</f>
        <v>0</v>
      </c>
      <c r="AE224" s="19">
        <f>MARZO!AG224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2"/>
      <c r="B225" s="661"/>
      <c r="N225" s="9"/>
      <c r="P225" s="9"/>
      <c r="Q225" s="9"/>
      <c r="R225" s="9"/>
      <c r="S225" s="705">
        <f>+IF(MARZO!S225=0,"",MARZO!S225)</f>
        <v>7001999</v>
      </c>
      <c r="T225" s="681" t="str">
        <f>+IF(MARZO!T225=0,"",MARZO!T225)</f>
        <v>Vigencias Anteriores</v>
      </c>
      <c r="U225" s="27">
        <f>+ENERO!U225</f>
        <v>0</v>
      </c>
      <c r="V225" s="15">
        <f>MARZO!V225+ABRIL!AL225</f>
        <v>0</v>
      </c>
      <c r="W225" s="15">
        <f>MARZO!W225+ABRIL!AM225</f>
        <v>0</v>
      </c>
      <c r="X225" s="18">
        <f>SUM(U225:W225)</f>
        <v>0</v>
      </c>
      <c r="Y225" s="19">
        <f>MARZO!AA225</f>
        <v>0</v>
      </c>
      <c r="Z225" s="374">
        <v>0</v>
      </c>
      <c r="AA225" s="18">
        <f>SUM(Y225:Z225)</f>
        <v>0</v>
      </c>
      <c r="AB225" s="19">
        <f>MARZO!AD225</f>
        <v>0</v>
      </c>
      <c r="AC225" s="374">
        <v>0</v>
      </c>
      <c r="AD225" s="18">
        <f>SUM(AB225:AC225)</f>
        <v>0</v>
      </c>
      <c r="AE225" s="19">
        <f>MARZO!AG225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2"/>
      <c r="B226" s="661"/>
      <c r="N226" s="9"/>
      <c r="P226" s="9"/>
      <c r="Q226" s="9"/>
      <c r="R226" s="9"/>
      <c r="S226" s="366" t="str">
        <f>+IF(MARZO!S226=0,"",MARZO!S226)</f>
        <v/>
      </c>
      <c r="T226" s="695"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2"/>
      <c r="B227" s="661"/>
      <c r="N227" s="9"/>
      <c r="P227" s="9"/>
      <c r="Q227" s="9"/>
      <c r="R227" s="9"/>
      <c r="S227" s="704">
        <f>+IF(MARZO!S227=0,"",MARZO!S227)</f>
        <v>7002001</v>
      </c>
      <c r="T227" s="680" t="str">
        <f>+IF(MARZO!T227=0,"",MARZO!T227)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2"/>
      <c r="B228" s="661"/>
      <c r="N228" s="9"/>
      <c r="P228" s="9"/>
      <c r="Q228" s="9"/>
      <c r="R228" s="9"/>
      <c r="S228" s="705">
        <f>+IF(MARZO!S228=0,"",MARZO!S228)</f>
        <v>7002100</v>
      </c>
      <c r="T228" s="681" t="str">
        <f>+IF(MARZO!T228=0,"",MARZO!T228)</f>
        <v>Amortización deuda Pública Externa</v>
      </c>
      <c r="U228" s="27">
        <f>+ENERO!U228</f>
        <v>0</v>
      </c>
      <c r="V228" s="15">
        <f>MARZO!V228+ABRIL!AL228</f>
        <v>0</v>
      </c>
      <c r="W228" s="15">
        <f>MARZO!W228+ABRIL!AM228</f>
        <v>0</v>
      </c>
      <c r="X228" s="18">
        <f>SUM(U228:W228)</f>
        <v>0</v>
      </c>
      <c r="Y228" s="19">
        <f>MARZO!AA228</f>
        <v>0</v>
      </c>
      <c r="Z228" s="374">
        <v>0</v>
      </c>
      <c r="AA228" s="18">
        <f>SUM(Y228:Z228)</f>
        <v>0</v>
      </c>
      <c r="AB228" s="19">
        <f>MARZO!AD228</f>
        <v>0</v>
      </c>
      <c r="AC228" s="374">
        <v>0</v>
      </c>
      <c r="AD228" s="18">
        <f>SUM(AB228:AC228)</f>
        <v>0</v>
      </c>
      <c r="AE228" s="19">
        <f>MARZO!AG228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2"/>
      <c r="B229" s="661"/>
      <c r="N229" s="9"/>
      <c r="P229" s="9"/>
      <c r="Q229" s="9"/>
      <c r="R229" s="9"/>
      <c r="S229" s="705">
        <f>+IF(MARZO!S229=0,"",MARZO!S229)</f>
        <v>7002200</v>
      </c>
      <c r="T229" s="681" t="str">
        <f>+IF(MARZO!T229=0,"",MARZO!T229)</f>
        <v>Intereses Comisiones y gastos de la Deuda Pública</v>
      </c>
      <c r="U229" s="27">
        <f>+ENERO!U229</f>
        <v>0</v>
      </c>
      <c r="V229" s="15">
        <f>MARZO!V229+ABRIL!AL229</f>
        <v>0</v>
      </c>
      <c r="W229" s="15">
        <f>MARZO!W229+ABRIL!AM229</f>
        <v>0</v>
      </c>
      <c r="X229" s="18">
        <f>SUM(U229:W229)</f>
        <v>0</v>
      </c>
      <c r="Y229" s="19">
        <f>MARZO!AA229</f>
        <v>0</v>
      </c>
      <c r="Z229" s="374">
        <v>0</v>
      </c>
      <c r="AA229" s="18">
        <f>SUM(Y229:Z229)</f>
        <v>0</v>
      </c>
      <c r="AB229" s="19">
        <f>MARZO!AD229</f>
        <v>0</v>
      </c>
      <c r="AC229" s="374">
        <v>0</v>
      </c>
      <c r="AD229" s="18">
        <f>SUM(AB229:AC229)</f>
        <v>0</v>
      </c>
      <c r="AE229" s="19">
        <f>MARZO!AG229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2"/>
      <c r="B230" s="661"/>
      <c r="N230" s="9"/>
      <c r="P230" s="9"/>
      <c r="Q230" s="9"/>
      <c r="R230" s="9"/>
      <c r="S230" s="710">
        <f>+IF(MARZO!S230=0,"",MARZO!S230)</f>
        <v>7002999</v>
      </c>
      <c r="T230" s="687" t="str">
        <f>+IF(MARZO!T230=0,"",MARZO!T230)</f>
        <v>Vigencias Anteriores</v>
      </c>
      <c r="U230" s="133">
        <f>+ENERO!U230</f>
        <v>0</v>
      </c>
      <c r="V230" s="121">
        <f>MARZO!V230+ABRIL!AL230</f>
        <v>0</v>
      </c>
      <c r="W230" s="121">
        <f>MARZO!W230+ABRIL!AM230</f>
        <v>0</v>
      </c>
      <c r="X230" s="126">
        <f>SUM(U230:W230)</f>
        <v>0</v>
      </c>
      <c r="Y230" s="124">
        <f>MARZO!AA230</f>
        <v>0</v>
      </c>
      <c r="Z230" s="388">
        <v>0</v>
      </c>
      <c r="AA230" s="126">
        <f>SUM(Y230:Z230)</f>
        <v>0</v>
      </c>
      <c r="AB230" s="124">
        <f>MARZO!AD230</f>
        <v>0</v>
      </c>
      <c r="AC230" s="388">
        <v>0</v>
      </c>
      <c r="AD230" s="126">
        <f>SUM(AB230:AC230)</f>
        <v>0</v>
      </c>
      <c r="AE230" s="124">
        <f>MARZO!AG230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2"/>
      <c r="B231" s="661"/>
      <c r="N231" s="9"/>
      <c r="P231" s="9"/>
      <c r="Q231" s="9"/>
      <c r="R231" s="9"/>
      <c r="S231" s="489" t="str">
        <f>+IF(MARZO!S231=0,"",MARZO!S231)</f>
        <v/>
      </c>
      <c r="T231" s="688" t="str">
        <f>+IF(MARZO!T231=0,"",MARZO!T231)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2"/>
      <c r="B232" s="661"/>
      <c r="N232" s="9"/>
      <c r="P232" s="9"/>
      <c r="Q232" s="9"/>
      <c r="R232" s="9"/>
      <c r="S232" s="505" t="str">
        <f>+IF(MARZO!S232=0,"",MARZO!S232)</f>
        <v>D</v>
      </c>
      <c r="T232" s="696" t="str">
        <f>+IF(MARZO!T232=0,"",MARZO!T232)</f>
        <v>INVERSION</v>
      </c>
      <c r="U232" s="470">
        <f>U234+U243</f>
        <v>0</v>
      </c>
      <c r="V232" s="471">
        <f t="shared" ref="V232:AJ232" si="199">V234+V243</f>
        <v>0</v>
      </c>
      <c r="W232" s="471">
        <f t="shared" si="199"/>
        <v>433878092</v>
      </c>
      <c r="X232" s="472">
        <f t="shared" si="199"/>
        <v>433878092</v>
      </c>
      <c r="Y232" s="379">
        <f t="shared" si="199"/>
        <v>292700372</v>
      </c>
      <c r="Z232" s="471">
        <f t="shared" si="199"/>
        <v>0</v>
      </c>
      <c r="AA232" s="472">
        <f t="shared" si="199"/>
        <v>292700372</v>
      </c>
      <c r="AB232" s="379">
        <f t="shared" si="199"/>
        <v>142683852</v>
      </c>
      <c r="AC232" s="471">
        <f t="shared" si="199"/>
        <v>0</v>
      </c>
      <c r="AD232" s="472">
        <f t="shared" si="199"/>
        <v>142683852</v>
      </c>
      <c r="AE232" s="379">
        <f t="shared" si="199"/>
        <v>135351186</v>
      </c>
      <c r="AF232" s="471">
        <f t="shared" si="199"/>
        <v>0</v>
      </c>
      <c r="AG232" s="472">
        <f t="shared" si="199"/>
        <v>135351186</v>
      </c>
      <c r="AH232" s="379">
        <f t="shared" si="199"/>
        <v>141177720</v>
      </c>
      <c r="AI232" s="471">
        <f t="shared" si="199"/>
        <v>291194240</v>
      </c>
      <c r="AJ232" s="380">
        <f t="shared" si="199"/>
        <v>298526906</v>
      </c>
      <c r="AK232" s="500"/>
      <c r="AL232" s="379">
        <f t="shared" ref="AL232:AM232" si="200">AL234+AL243</f>
        <v>0</v>
      </c>
      <c r="AM232" s="380">
        <f t="shared" si="200"/>
        <v>0</v>
      </c>
      <c r="AN232" s="9"/>
    </row>
    <row r="233" spans="1:64" s="382" customFormat="1" ht="24.95" customHeight="1">
      <c r="A233" s="752"/>
      <c r="B233" s="661"/>
      <c r="N233" s="9"/>
      <c r="P233" s="9"/>
      <c r="Q233" s="9"/>
      <c r="R233" s="9"/>
      <c r="S233" s="366" t="str">
        <f>+IF(MARZO!S233=0,"",MARZO!S233)</f>
        <v/>
      </c>
      <c r="T233" s="695"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2"/>
      <c r="B234" s="661"/>
      <c r="N234" s="9"/>
      <c r="P234" s="9"/>
      <c r="Q234" s="9"/>
      <c r="R234" s="9"/>
      <c r="S234" s="704">
        <f>+IF(MARZO!S234=0,"",MARZO!S234)</f>
        <v>8000000</v>
      </c>
      <c r="T234" s="680" t="str">
        <f>+IF(MARZO!T234=0,"",MARZO!T234)</f>
        <v>Programas de Inversión</v>
      </c>
      <c r="U234" s="132">
        <f>U235</f>
        <v>0</v>
      </c>
      <c r="V234" s="122">
        <f t="shared" ref="V234:AJ234" si="201">V235</f>
        <v>0</v>
      </c>
      <c r="W234" s="122">
        <f t="shared" si="201"/>
        <v>380000000</v>
      </c>
      <c r="X234" s="129">
        <f t="shared" si="201"/>
        <v>380000000</v>
      </c>
      <c r="Y234" s="128">
        <f t="shared" si="201"/>
        <v>292700372</v>
      </c>
      <c r="Z234" s="122">
        <f t="shared" si="201"/>
        <v>0</v>
      </c>
      <c r="AA234" s="129">
        <f t="shared" si="201"/>
        <v>292700372</v>
      </c>
      <c r="AB234" s="128">
        <f t="shared" si="201"/>
        <v>142683852</v>
      </c>
      <c r="AC234" s="122">
        <f t="shared" si="201"/>
        <v>0</v>
      </c>
      <c r="AD234" s="129">
        <f t="shared" si="201"/>
        <v>142683852</v>
      </c>
      <c r="AE234" s="128">
        <f t="shared" si="201"/>
        <v>135351186</v>
      </c>
      <c r="AF234" s="122">
        <f t="shared" si="201"/>
        <v>0</v>
      </c>
      <c r="AG234" s="129">
        <f t="shared" si="201"/>
        <v>135351186</v>
      </c>
      <c r="AH234" s="128">
        <f t="shared" si="201"/>
        <v>87299628</v>
      </c>
      <c r="AI234" s="122">
        <f t="shared" si="201"/>
        <v>237316148</v>
      </c>
      <c r="AJ234" s="130">
        <f t="shared" si="201"/>
        <v>244648814</v>
      </c>
      <c r="AK234" s="9"/>
      <c r="AL234" s="128">
        <f t="shared" ref="AL234:AM234" si="202">AL235</f>
        <v>0</v>
      </c>
      <c r="AM234" s="130">
        <f t="shared" si="202"/>
        <v>0</v>
      </c>
      <c r="AN234" s="9"/>
    </row>
    <row r="235" spans="1:64" s="382" customFormat="1" ht="24.95" customHeight="1">
      <c r="A235" s="752"/>
      <c r="B235" s="661"/>
      <c r="N235" s="9"/>
      <c r="P235" s="9"/>
      <c r="Q235" s="9"/>
      <c r="R235" s="9"/>
      <c r="S235" s="705">
        <f>+IF(MARZO!S235=0,"",MARZO!S235)</f>
        <v>8001000</v>
      </c>
      <c r="T235" s="681" t="str">
        <f>+IF(MARZO!T235=0,"",MARZO!T235)</f>
        <v>Formación Bruta del Capital</v>
      </c>
      <c r="U235" s="27">
        <f t="shared" ref="U235:AJ235" si="203">SUM(U236:U241)</f>
        <v>0</v>
      </c>
      <c r="V235" s="15">
        <f t="shared" si="203"/>
        <v>0</v>
      </c>
      <c r="W235" s="15">
        <f t="shared" si="203"/>
        <v>380000000</v>
      </c>
      <c r="X235" s="18">
        <f t="shared" si="203"/>
        <v>380000000</v>
      </c>
      <c r="Y235" s="19">
        <f t="shared" si="203"/>
        <v>292700372</v>
      </c>
      <c r="Z235" s="142">
        <f t="shared" si="203"/>
        <v>0</v>
      </c>
      <c r="AA235" s="18">
        <f t="shared" si="203"/>
        <v>292700372</v>
      </c>
      <c r="AB235" s="19">
        <f t="shared" si="203"/>
        <v>142683852</v>
      </c>
      <c r="AC235" s="142">
        <f t="shared" si="203"/>
        <v>0</v>
      </c>
      <c r="AD235" s="18">
        <f t="shared" si="203"/>
        <v>142683852</v>
      </c>
      <c r="AE235" s="19">
        <f t="shared" si="203"/>
        <v>135351186</v>
      </c>
      <c r="AF235" s="142">
        <f t="shared" si="203"/>
        <v>0</v>
      </c>
      <c r="AG235" s="18">
        <f t="shared" si="203"/>
        <v>135351186</v>
      </c>
      <c r="AH235" s="19">
        <f t="shared" si="203"/>
        <v>87299628</v>
      </c>
      <c r="AI235" s="15">
        <f t="shared" si="203"/>
        <v>237316148</v>
      </c>
      <c r="AJ235" s="16">
        <f t="shared" si="203"/>
        <v>244648814</v>
      </c>
      <c r="AK235" s="9"/>
      <c r="AL235" s="29">
        <f>SUM(AL236:AL241)</f>
        <v>0</v>
      </c>
      <c r="AM235" s="26">
        <f>SUM(AM236:AM241)</f>
        <v>0</v>
      </c>
      <c r="AN235" s="9"/>
    </row>
    <row r="236" spans="1:64" s="382" customFormat="1" ht="24.95" customHeight="1">
      <c r="A236" s="752"/>
      <c r="B236" s="661"/>
      <c r="N236" s="9"/>
      <c r="P236" s="9"/>
      <c r="Q236" s="9"/>
      <c r="R236" s="9"/>
      <c r="S236" s="706" t="str">
        <f>+IF(MARZO!S236=0,"",MARZO!S236)</f>
        <v>8001000-1</v>
      </c>
      <c r="T236" s="682" t="str">
        <f>+IF(MARZO!T236=0,"",MARZO!T236)</f>
        <v>Subprogr.Construc. Remodelac. Adecuación y Apliac.1</v>
      </c>
      <c r="U236" s="27">
        <f>+ENERO!U236</f>
        <v>0</v>
      </c>
      <c r="V236" s="15">
        <f>MARZO!V236+ABRIL!AL236</f>
        <v>0</v>
      </c>
      <c r="W236" s="15">
        <f>MARZO!W236+ABRIL!AM236</f>
        <v>380000000</v>
      </c>
      <c r="X236" s="18">
        <f t="shared" ref="X236:X241" si="204">SUM(U236:W236)</f>
        <v>380000000</v>
      </c>
      <c r="Y236" s="19">
        <f>MARZO!AA236</f>
        <v>292700372</v>
      </c>
      <c r="Z236" s="374">
        <v>0</v>
      </c>
      <c r="AA236" s="18">
        <f t="shared" ref="AA236:AA241" si="205">SUM(Y236:Z236)</f>
        <v>292700372</v>
      </c>
      <c r="AB236" s="19">
        <f>MARZO!AD236</f>
        <v>142683852</v>
      </c>
      <c r="AC236" s="374">
        <v>0</v>
      </c>
      <c r="AD236" s="18">
        <f t="shared" ref="AD236:AD241" si="206">SUM(AB236:AC236)</f>
        <v>142683852</v>
      </c>
      <c r="AE236" s="19">
        <f>MARZO!AG236</f>
        <v>135351186</v>
      </c>
      <c r="AF236" s="374">
        <v>0</v>
      </c>
      <c r="AG236" s="18">
        <f t="shared" ref="AG236:AG241" si="207">SUM(AE236:AF236)</f>
        <v>135351186</v>
      </c>
      <c r="AH236" s="19">
        <f t="shared" ref="AH236:AH241" si="208">X236-AA236</f>
        <v>87299628</v>
      </c>
      <c r="AI236" s="15">
        <f t="shared" ref="AI236:AI241" si="209">X236-AD236</f>
        <v>237316148</v>
      </c>
      <c r="AJ236" s="16">
        <f t="shared" ref="AJ236:AJ241" si="210">X236-AG236</f>
        <v>244648814</v>
      </c>
      <c r="AK236" s="9"/>
      <c r="AL236" s="372">
        <v>0</v>
      </c>
      <c r="AM236" s="375">
        <v>0</v>
      </c>
      <c r="AN236" s="9"/>
    </row>
    <row r="237" spans="1:64" s="382" customFormat="1" ht="24.95" customHeight="1">
      <c r="A237" s="752"/>
      <c r="B237" s="661"/>
      <c r="N237" s="9"/>
      <c r="P237" s="9"/>
      <c r="Q237" s="9"/>
      <c r="R237" s="9"/>
      <c r="S237" s="706" t="str">
        <f>+IF(MARZO!S237=0,"",MARZO!S237)</f>
        <v>8001000-2</v>
      </c>
      <c r="T237" s="682" t="str">
        <f>+IF(MARZO!T237=0,"",MARZO!T237)</f>
        <v>Subprogr.Construc. Remodelac. Adecuación y Apliac.2</v>
      </c>
      <c r="U237" s="27">
        <f>+ENERO!U237</f>
        <v>0</v>
      </c>
      <c r="V237" s="15">
        <f>MARZO!V237+ABRIL!AL237</f>
        <v>0</v>
      </c>
      <c r="W237" s="15">
        <f>MARZO!W237+ABRIL!AM237</f>
        <v>0</v>
      </c>
      <c r="X237" s="18">
        <f t="shared" si="204"/>
        <v>0</v>
      </c>
      <c r="Y237" s="19">
        <f>MARZO!AA237</f>
        <v>0</v>
      </c>
      <c r="Z237" s="374">
        <v>0</v>
      </c>
      <c r="AA237" s="18">
        <f t="shared" si="205"/>
        <v>0</v>
      </c>
      <c r="AB237" s="19">
        <f>MARZO!AD237</f>
        <v>0</v>
      </c>
      <c r="AC237" s="374">
        <v>0</v>
      </c>
      <c r="AD237" s="18">
        <f t="shared" si="206"/>
        <v>0</v>
      </c>
      <c r="AE237" s="19">
        <f>MARZO!AG237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2"/>
      <c r="B238" s="661"/>
      <c r="N238" s="9"/>
      <c r="P238" s="9"/>
      <c r="Q238" s="9"/>
      <c r="R238" s="9"/>
      <c r="S238" s="706" t="str">
        <f>+IF(MARZO!S238=0,"",MARZO!S238)</f>
        <v>8001000-3</v>
      </c>
      <c r="T238" s="682" t="str">
        <f>+IF(MARZO!T238=0,"",MARZO!T238)</f>
        <v>Subprogr.Construc. Remodelac. Adecuación y Apliac.3</v>
      </c>
      <c r="U238" s="27">
        <f>+ENERO!U238</f>
        <v>0</v>
      </c>
      <c r="V238" s="15">
        <f>MARZO!V238+ABRIL!AL238</f>
        <v>0</v>
      </c>
      <c r="W238" s="15">
        <f>MARZO!W238+ABRIL!AM238</f>
        <v>0</v>
      </c>
      <c r="X238" s="18">
        <f t="shared" si="204"/>
        <v>0</v>
      </c>
      <c r="Y238" s="19">
        <f>MARZO!AA238</f>
        <v>0</v>
      </c>
      <c r="Z238" s="374">
        <v>0</v>
      </c>
      <c r="AA238" s="18">
        <f t="shared" si="205"/>
        <v>0</v>
      </c>
      <c r="AB238" s="19">
        <f>MARZO!AD238</f>
        <v>0</v>
      </c>
      <c r="AC238" s="374">
        <v>0</v>
      </c>
      <c r="AD238" s="18">
        <f t="shared" si="206"/>
        <v>0</v>
      </c>
      <c r="AE238" s="19">
        <f>MARZO!AG238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2"/>
      <c r="B239" s="661"/>
      <c r="N239" s="9"/>
      <c r="P239" s="9"/>
      <c r="Q239" s="9"/>
      <c r="S239" s="706" t="str">
        <f>+IF(MARZO!S239=0,"",MARZO!S239)</f>
        <v>8001000-4</v>
      </c>
      <c r="T239" s="682" t="str">
        <f>+IF(MARZO!T239=0,"",MARZO!T239)</f>
        <v>Subprogr.Construc. Remodelac. Adecuación y Apliac.4</v>
      </c>
      <c r="U239" s="27">
        <f>+ENERO!U239</f>
        <v>0</v>
      </c>
      <c r="V239" s="15">
        <f>MARZO!V239+ABRIL!AL239</f>
        <v>0</v>
      </c>
      <c r="W239" s="15">
        <f>MARZO!W239+ABRIL!AM239</f>
        <v>0</v>
      </c>
      <c r="X239" s="18">
        <f t="shared" si="204"/>
        <v>0</v>
      </c>
      <c r="Y239" s="19">
        <f>MARZO!AA239</f>
        <v>0</v>
      </c>
      <c r="Z239" s="374">
        <v>0</v>
      </c>
      <c r="AA239" s="18">
        <f t="shared" si="205"/>
        <v>0</v>
      </c>
      <c r="AB239" s="19">
        <f>MARZO!AD239</f>
        <v>0</v>
      </c>
      <c r="AC239" s="374">
        <v>0</v>
      </c>
      <c r="AD239" s="18">
        <f t="shared" si="206"/>
        <v>0</v>
      </c>
      <c r="AE239" s="19">
        <f>MARZO!AG239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2"/>
      <c r="B240" s="661"/>
      <c r="N240" s="9"/>
      <c r="P240" s="9"/>
      <c r="Q240" s="9"/>
      <c r="S240" s="706" t="str">
        <f>+IF(MARZO!S240=0,"",MARZO!S240)</f>
        <v>8001000-7</v>
      </c>
      <c r="T240" s="682" t="str">
        <f>+IF(MARZO!T240=0,"",MARZO!T240)</f>
        <v>Subprogr.Construc. Remodelac. Adecuación y Apliac.5</v>
      </c>
      <c r="U240" s="27">
        <f>+ENERO!U240</f>
        <v>0</v>
      </c>
      <c r="V240" s="15">
        <f>MARZO!V240+ABRIL!AL240</f>
        <v>0</v>
      </c>
      <c r="W240" s="15">
        <f>MARZO!W240+ABRIL!AM240</f>
        <v>0</v>
      </c>
      <c r="X240" s="18">
        <f t="shared" si="204"/>
        <v>0</v>
      </c>
      <c r="Y240" s="19">
        <f>MARZO!AA240</f>
        <v>0</v>
      </c>
      <c r="Z240" s="374">
        <v>0</v>
      </c>
      <c r="AA240" s="18">
        <f t="shared" si="205"/>
        <v>0</v>
      </c>
      <c r="AB240" s="19">
        <f>MARZO!AD240</f>
        <v>0</v>
      </c>
      <c r="AC240" s="374">
        <v>0</v>
      </c>
      <c r="AD240" s="18">
        <f t="shared" si="206"/>
        <v>0</v>
      </c>
      <c r="AE240" s="19">
        <f>MARZO!AG240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2"/>
      <c r="B241" s="661"/>
      <c r="C241" s="382"/>
      <c r="D241" s="382"/>
      <c r="E241" s="382"/>
      <c r="F241" s="382"/>
      <c r="G241" s="382"/>
      <c r="H241" s="382"/>
      <c r="I241" s="382"/>
      <c r="J241" s="382"/>
      <c r="K241" s="382"/>
      <c r="L241" s="382"/>
      <c r="M241" s="382"/>
      <c r="N241" s="9"/>
      <c r="O241" s="382"/>
      <c r="P241" s="9"/>
      <c r="Q241" s="9"/>
      <c r="S241" s="716">
        <f>+IF(MARZO!S241=0,"",MARZO!S241)</f>
        <v>8001999</v>
      </c>
      <c r="T241" s="682" t="str">
        <f>+IF(MARZO!T241=0,"",MARZO!T241)</f>
        <v>Vigencias Anteriores</v>
      </c>
      <c r="U241" s="27">
        <f>+ENERO!U241</f>
        <v>0</v>
      </c>
      <c r="V241" s="15">
        <f>MARZO!V241+ABRIL!AL241</f>
        <v>0</v>
      </c>
      <c r="W241" s="15">
        <f>MARZO!W241+ABRIL!AM241</f>
        <v>0</v>
      </c>
      <c r="X241" s="18">
        <f t="shared" si="204"/>
        <v>0</v>
      </c>
      <c r="Y241" s="19">
        <f>MARZO!AA241</f>
        <v>0</v>
      </c>
      <c r="Z241" s="374">
        <v>0</v>
      </c>
      <c r="AA241" s="18">
        <f t="shared" si="205"/>
        <v>0</v>
      </c>
      <c r="AB241" s="19">
        <f>MARZO!AD241</f>
        <v>0</v>
      </c>
      <c r="AC241" s="374">
        <v>0</v>
      </c>
      <c r="AD241" s="18">
        <f t="shared" si="206"/>
        <v>0</v>
      </c>
      <c r="AE241" s="19">
        <f>MARZO!AG241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2"/>
      <c r="B242" s="661"/>
      <c r="C242" s="382"/>
      <c r="D242" s="382"/>
      <c r="E242" s="382"/>
      <c r="F242" s="382"/>
      <c r="G242" s="382"/>
      <c r="H242" s="382"/>
      <c r="I242" s="382"/>
      <c r="J242" s="382"/>
      <c r="K242" s="382"/>
      <c r="L242" s="382"/>
      <c r="M242" s="382"/>
      <c r="N242" s="9"/>
      <c r="O242" s="382"/>
      <c r="P242" s="9"/>
      <c r="Q242" s="9"/>
      <c r="S242" s="366" t="str">
        <f>+IF(MARZO!S242=0,"",MARZO!S242)</f>
        <v/>
      </c>
      <c r="T242" s="695"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2"/>
      <c r="B243" s="661"/>
      <c r="C243" s="382"/>
      <c r="D243" s="382"/>
      <c r="E243" s="382"/>
      <c r="F243" s="382"/>
      <c r="G243" s="382"/>
      <c r="H243" s="382"/>
      <c r="I243" s="382"/>
      <c r="J243" s="382"/>
      <c r="K243" s="382"/>
      <c r="L243" s="382"/>
      <c r="M243" s="382"/>
      <c r="N243" s="9"/>
      <c r="O243" s="382"/>
      <c r="P243" s="9"/>
      <c r="Q243" s="9"/>
      <c r="S243" s="704">
        <f>+IF(MARZO!S243=0,"",MARZO!S243)</f>
        <v>8002001</v>
      </c>
      <c r="T243" s="680" t="str">
        <f>+IF(MARZO!T243=0,"",MARZO!T243)</f>
        <v>Gastos Operativos de Inversion   (Programas Especiales)</v>
      </c>
      <c r="U243" s="132">
        <f t="shared" ref="U243:AJ243" si="211">SUM(U244:U256)</f>
        <v>0</v>
      </c>
      <c r="V243" s="122">
        <f t="shared" si="211"/>
        <v>0</v>
      </c>
      <c r="W243" s="122">
        <f t="shared" si="211"/>
        <v>53878092</v>
      </c>
      <c r="X243" s="129">
        <f t="shared" si="211"/>
        <v>53878092</v>
      </c>
      <c r="Y243" s="128">
        <f t="shared" si="211"/>
        <v>0</v>
      </c>
      <c r="Z243" s="122">
        <f t="shared" si="211"/>
        <v>0</v>
      </c>
      <c r="AA243" s="129">
        <f t="shared" si="211"/>
        <v>0</v>
      </c>
      <c r="AB243" s="128">
        <f t="shared" si="211"/>
        <v>0</v>
      </c>
      <c r="AC243" s="122">
        <f t="shared" si="211"/>
        <v>0</v>
      </c>
      <c r="AD243" s="129">
        <f t="shared" si="211"/>
        <v>0</v>
      </c>
      <c r="AE243" s="128">
        <f t="shared" si="211"/>
        <v>0</v>
      </c>
      <c r="AF243" s="122">
        <f t="shared" si="211"/>
        <v>0</v>
      </c>
      <c r="AG243" s="129">
        <f t="shared" si="211"/>
        <v>0</v>
      </c>
      <c r="AH243" s="128">
        <f t="shared" si="211"/>
        <v>53878092</v>
      </c>
      <c r="AI243" s="122">
        <f t="shared" si="211"/>
        <v>53878092</v>
      </c>
      <c r="AJ243" s="130">
        <f t="shared" si="211"/>
        <v>53878092</v>
      </c>
      <c r="AK243" s="9"/>
      <c r="AL243" s="128">
        <f>SUM(AL244:AL256)</f>
        <v>0</v>
      </c>
      <c r="AM243" s="130">
        <f>SUM(AM244:AM256)</f>
        <v>0</v>
      </c>
    </row>
    <row r="244" spans="1:70" ht="24.95" customHeight="1">
      <c r="A244" s="752"/>
      <c r="B244" s="661"/>
      <c r="C244" s="382"/>
      <c r="D244" s="382"/>
      <c r="E244" s="382"/>
      <c r="F244" s="382"/>
      <c r="G244" s="382"/>
      <c r="H244" s="382"/>
      <c r="I244" s="382"/>
      <c r="J244" s="382"/>
      <c r="K244" s="382"/>
      <c r="L244" s="382"/>
      <c r="M244" s="382"/>
      <c r="N244" s="9"/>
      <c r="O244" s="382"/>
      <c r="P244" s="9"/>
      <c r="Q244" s="9"/>
      <c r="S244" s="706" t="str">
        <f>+IF(MARZO!S244=0,"",MARZO!S244)</f>
        <v>8002100-1</v>
      </c>
      <c r="T244" s="682" t="str">
        <f>+IF(MARZO!T244=0,"",MARZO!T244)</f>
        <v>Fondo de la Vivienda</v>
      </c>
      <c r="U244" s="27">
        <f>+ENERO!U244</f>
        <v>0</v>
      </c>
      <c r="V244" s="15">
        <f>MARZO!V244+ABRIL!AL244</f>
        <v>0</v>
      </c>
      <c r="W244" s="15">
        <f>MARZO!W244+ABRIL!AM244</f>
        <v>53878092</v>
      </c>
      <c r="X244" s="18">
        <f t="shared" ref="X244:X256" si="212">SUM(U244:W244)</f>
        <v>53878092</v>
      </c>
      <c r="Y244" s="19">
        <f>MARZO!AA244</f>
        <v>0</v>
      </c>
      <c r="Z244" s="374">
        <v>0</v>
      </c>
      <c r="AA244" s="18">
        <f t="shared" ref="AA244:AA256" si="213">SUM(Y244:Z244)</f>
        <v>0</v>
      </c>
      <c r="AB244" s="19">
        <f>MARZO!AD244</f>
        <v>0</v>
      </c>
      <c r="AC244" s="374">
        <v>0</v>
      </c>
      <c r="AD244" s="18">
        <f t="shared" ref="AD244:AD256" si="214">SUM(AB244:AC244)</f>
        <v>0</v>
      </c>
      <c r="AE244" s="19">
        <f>MARZO!AG244</f>
        <v>0</v>
      </c>
      <c r="AF244" s="374">
        <v>0</v>
      </c>
      <c r="AG244" s="18">
        <f t="shared" ref="AG244:AG256" si="215">SUM(AE244:AF244)</f>
        <v>0</v>
      </c>
      <c r="AH244" s="19">
        <f t="shared" ref="AH244:AH256" si="216">X244-AA244</f>
        <v>53878092</v>
      </c>
      <c r="AI244" s="15">
        <f t="shared" ref="AI244:AI256" si="217">X244-AD244</f>
        <v>53878092</v>
      </c>
      <c r="AJ244" s="16">
        <f t="shared" ref="AJ244:AJ256" si="218">X244-AG244</f>
        <v>53878092</v>
      </c>
      <c r="AK244" s="9"/>
      <c r="AL244" s="372">
        <v>0</v>
      </c>
      <c r="AM244" s="375">
        <v>0</v>
      </c>
    </row>
    <row r="245" spans="1:70" ht="24.95" customHeight="1">
      <c r="A245" s="752"/>
      <c r="B245" s="661"/>
      <c r="C245" s="382"/>
      <c r="D245" s="382"/>
      <c r="E245" s="382"/>
      <c r="F245" s="382"/>
      <c r="G245" s="382"/>
      <c r="H245" s="382"/>
      <c r="I245" s="382"/>
      <c r="J245" s="382"/>
      <c r="K245" s="382"/>
      <c r="L245" s="382"/>
      <c r="M245" s="382"/>
      <c r="N245" s="9"/>
      <c r="O245" s="382"/>
      <c r="P245" s="9"/>
      <c r="Q245" s="9"/>
      <c r="S245" s="706" t="str">
        <f>+IF(MARZO!S245=0,"",MARZO!S245)</f>
        <v>8002100-2</v>
      </c>
      <c r="T245" s="682" t="str">
        <f>+IF(MARZO!T245=0,"",MARZO!T245)</f>
        <v>Programas Especial 01</v>
      </c>
      <c r="U245" s="27">
        <f>+ENERO!U245</f>
        <v>0</v>
      </c>
      <c r="V245" s="15">
        <f>MARZO!V245+ABRIL!AL245</f>
        <v>0</v>
      </c>
      <c r="W245" s="15">
        <f>MARZO!W245+ABRIL!AM245</f>
        <v>0</v>
      </c>
      <c r="X245" s="18">
        <f t="shared" si="212"/>
        <v>0</v>
      </c>
      <c r="Y245" s="19">
        <f>MARZO!AA245</f>
        <v>0</v>
      </c>
      <c r="Z245" s="374">
        <v>0</v>
      </c>
      <c r="AA245" s="18">
        <f t="shared" si="213"/>
        <v>0</v>
      </c>
      <c r="AB245" s="19">
        <f>MARZO!AD245</f>
        <v>0</v>
      </c>
      <c r="AC245" s="374">
        <v>0</v>
      </c>
      <c r="AD245" s="18">
        <f t="shared" si="214"/>
        <v>0</v>
      </c>
      <c r="AE245" s="19">
        <f>MARZO!AG245</f>
        <v>0</v>
      </c>
      <c r="AF245" s="374">
        <v>0</v>
      </c>
      <c r="AG245" s="18">
        <f t="shared" si="215"/>
        <v>0</v>
      </c>
      <c r="AH245" s="19">
        <f t="shared" si="216"/>
        <v>0</v>
      </c>
      <c r="AI245" s="15">
        <f t="shared" si="217"/>
        <v>0</v>
      </c>
      <c r="AJ245" s="16">
        <f t="shared" si="218"/>
        <v>0</v>
      </c>
      <c r="AK245" s="9"/>
      <c r="AL245" s="372">
        <v>0</v>
      </c>
      <c r="AM245" s="375">
        <v>0</v>
      </c>
    </row>
    <row r="246" spans="1:70" ht="24.95" customHeight="1">
      <c r="A246" s="752"/>
      <c r="B246" s="661"/>
      <c r="C246" s="382"/>
      <c r="D246" s="382"/>
      <c r="E246" s="382"/>
      <c r="F246" s="382"/>
      <c r="G246" s="382"/>
      <c r="H246" s="382"/>
      <c r="I246" s="382"/>
      <c r="J246" s="382"/>
      <c r="K246" s="382"/>
      <c r="L246" s="382"/>
      <c r="M246" s="382"/>
      <c r="N246" s="9"/>
      <c r="O246" s="382"/>
      <c r="P246" s="9"/>
      <c r="Q246" s="9"/>
      <c r="S246" s="706" t="str">
        <f>+IF(MARZO!S246=0,"",MARZO!S246)</f>
        <v>8002100-3</v>
      </c>
      <c r="T246" s="682" t="str">
        <f>+IF(MARZO!T246=0,"",MARZO!T246)</f>
        <v>Programas Especial 02</v>
      </c>
      <c r="U246" s="27">
        <f>+ENERO!U246</f>
        <v>0</v>
      </c>
      <c r="V246" s="15">
        <f>MARZO!V246+ABRIL!AL246</f>
        <v>0</v>
      </c>
      <c r="W246" s="15">
        <f>MARZO!W246+ABRIL!AM246</f>
        <v>0</v>
      </c>
      <c r="X246" s="18">
        <f t="shared" si="212"/>
        <v>0</v>
      </c>
      <c r="Y246" s="19">
        <f>MARZO!AA246</f>
        <v>0</v>
      </c>
      <c r="Z246" s="374">
        <v>0</v>
      </c>
      <c r="AA246" s="18">
        <f t="shared" si="213"/>
        <v>0</v>
      </c>
      <c r="AB246" s="19">
        <f>MARZO!AD246</f>
        <v>0</v>
      </c>
      <c r="AC246" s="374">
        <v>0</v>
      </c>
      <c r="AD246" s="18">
        <f t="shared" si="214"/>
        <v>0</v>
      </c>
      <c r="AE246" s="19">
        <f>MARZO!AG246</f>
        <v>0</v>
      </c>
      <c r="AF246" s="374">
        <v>0</v>
      </c>
      <c r="AG246" s="18">
        <f t="shared" si="215"/>
        <v>0</v>
      </c>
      <c r="AH246" s="19">
        <f t="shared" si="216"/>
        <v>0</v>
      </c>
      <c r="AI246" s="15">
        <f t="shared" si="217"/>
        <v>0</v>
      </c>
      <c r="AJ246" s="16">
        <f t="shared" si="218"/>
        <v>0</v>
      </c>
      <c r="AK246" s="9"/>
      <c r="AL246" s="372">
        <v>0</v>
      </c>
      <c r="AM246" s="375">
        <v>0</v>
      </c>
    </row>
    <row r="247" spans="1:70" ht="24.95" customHeight="1">
      <c r="A247" s="752"/>
      <c r="B247" s="661"/>
      <c r="C247" s="382"/>
      <c r="D247" s="382"/>
      <c r="E247" s="382"/>
      <c r="F247" s="382"/>
      <c r="G247" s="382"/>
      <c r="H247" s="382"/>
      <c r="I247" s="382"/>
      <c r="J247" s="382"/>
      <c r="K247" s="382"/>
      <c r="L247" s="382"/>
      <c r="M247" s="382"/>
      <c r="N247" s="9"/>
      <c r="O247" s="382"/>
      <c r="P247" s="9"/>
      <c r="Q247" s="9"/>
      <c r="S247" s="706" t="str">
        <f>+IF(MARZO!S247=0,"",MARZO!S247)</f>
        <v>8002100-4</v>
      </c>
      <c r="T247" s="682" t="str">
        <f>+IF(MARZO!T247=0,"",MARZO!T247)</f>
        <v>Programas Especial 03</v>
      </c>
      <c r="U247" s="27">
        <f>+ENERO!U247</f>
        <v>0</v>
      </c>
      <c r="V247" s="15">
        <f>MARZO!V247+ABRIL!AL247</f>
        <v>0</v>
      </c>
      <c r="W247" s="15">
        <f>MARZO!W247+ABRIL!AM247</f>
        <v>0</v>
      </c>
      <c r="X247" s="18">
        <f t="shared" si="212"/>
        <v>0</v>
      </c>
      <c r="Y247" s="19">
        <f>MARZO!AA247</f>
        <v>0</v>
      </c>
      <c r="Z247" s="374">
        <v>0</v>
      </c>
      <c r="AA247" s="18">
        <f t="shared" si="213"/>
        <v>0</v>
      </c>
      <c r="AB247" s="19">
        <f>MARZO!AD247</f>
        <v>0</v>
      </c>
      <c r="AC247" s="374">
        <v>0</v>
      </c>
      <c r="AD247" s="18">
        <f t="shared" si="214"/>
        <v>0</v>
      </c>
      <c r="AE247" s="19">
        <f>MARZO!AG247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2"/>
      <c r="B248" s="661"/>
      <c r="C248" s="382"/>
      <c r="D248" s="382"/>
      <c r="E248" s="382"/>
      <c r="F248" s="382"/>
      <c r="G248" s="382"/>
      <c r="H248" s="382"/>
      <c r="I248" s="382"/>
      <c r="J248" s="382"/>
      <c r="K248" s="382"/>
      <c r="L248" s="382"/>
      <c r="M248" s="382"/>
      <c r="N248" s="9"/>
      <c r="O248" s="382"/>
      <c r="P248" s="9"/>
      <c r="Q248" s="9"/>
      <c r="S248" s="706" t="str">
        <f>+IF(MARZO!S248=0,"",MARZO!S248)</f>
        <v>8002100-5</v>
      </c>
      <c r="T248" s="682" t="str">
        <f>+IF(MARZO!T248=0,"",MARZO!T248)</f>
        <v>Programas Especial 04</v>
      </c>
      <c r="U248" s="27">
        <f>+ENERO!U248</f>
        <v>0</v>
      </c>
      <c r="V248" s="15">
        <f>MARZO!V248+ABRIL!AL248</f>
        <v>0</v>
      </c>
      <c r="W248" s="15">
        <f>MARZO!W248+ABRIL!AM248</f>
        <v>0</v>
      </c>
      <c r="X248" s="18">
        <f t="shared" si="212"/>
        <v>0</v>
      </c>
      <c r="Y248" s="19">
        <f>MARZO!AA248</f>
        <v>0</v>
      </c>
      <c r="Z248" s="374">
        <v>0</v>
      </c>
      <c r="AA248" s="18">
        <f t="shared" si="213"/>
        <v>0</v>
      </c>
      <c r="AB248" s="19">
        <f>MARZO!AD248</f>
        <v>0</v>
      </c>
      <c r="AC248" s="374">
        <v>0</v>
      </c>
      <c r="AD248" s="18">
        <f t="shared" si="214"/>
        <v>0</v>
      </c>
      <c r="AE248" s="19">
        <f>MARZO!AG248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2"/>
      <c r="B249" s="661"/>
      <c r="C249" s="382"/>
      <c r="D249" s="382"/>
      <c r="E249" s="382"/>
      <c r="F249" s="382"/>
      <c r="G249" s="382"/>
      <c r="H249" s="382"/>
      <c r="I249" s="382"/>
      <c r="J249" s="382"/>
      <c r="K249" s="382"/>
      <c r="L249" s="382"/>
      <c r="M249" s="382"/>
      <c r="N249" s="9"/>
      <c r="O249" s="382"/>
      <c r="P249" s="9"/>
      <c r="Q249" s="9"/>
      <c r="S249" s="706" t="str">
        <f>+IF(MARZO!S249=0,"",MARZO!S249)</f>
        <v>8002100-6</v>
      </c>
      <c r="T249" s="682" t="str">
        <f>+IF(MARZO!T249=0,"",MARZO!T249)</f>
        <v>Programas Especial 05</v>
      </c>
      <c r="U249" s="27">
        <f>+ENERO!U249</f>
        <v>0</v>
      </c>
      <c r="V249" s="15">
        <f>MARZO!V249+ABRIL!AL249</f>
        <v>0</v>
      </c>
      <c r="W249" s="15">
        <f>MARZO!W249+ABRIL!AM249</f>
        <v>0</v>
      </c>
      <c r="X249" s="18">
        <f t="shared" si="212"/>
        <v>0</v>
      </c>
      <c r="Y249" s="19">
        <f>MARZO!AA249</f>
        <v>0</v>
      </c>
      <c r="Z249" s="374">
        <v>0</v>
      </c>
      <c r="AA249" s="18">
        <f t="shared" si="213"/>
        <v>0</v>
      </c>
      <c r="AB249" s="19">
        <f>MARZO!AD249</f>
        <v>0</v>
      </c>
      <c r="AC249" s="374">
        <v>0</v>
      </c>
      <c r="AD249" s="18">
        <f t="shared" si="214"/>
        <v>0</v>
      </c>
      <c r="AE249" s="19">
        <f>MARZO!AG249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2"/>
      <c r="B250" s="661"/>
      <c r="C250" s="382"/>
      <c r="D250" s="382"/>
      <c r="E250" s="382"/>
      <c r="F250" s="382"/>
      <c r="G250" s="382"/>
      <c r="H250" s="382"/>
      <c r="I250" s="382"/>
      <c r="J250" s="382"/>
      <c r="K250" s="382"/>
      <c r="L250" s="382"/>
      <c r="M250" s="382"/>
      <c r="N250" s="9"/>
      <c r="O250" s="382"/>
      <c r="P250" s="9"/>
      <c r="Q250" s="9"/>
      <c r="S250" s="706" t="str">
        <f>+IF(MARZO!S250=0,"",MARZO!S250)</f>
        <v>8002100-7</v>
      </c>
      <c r="T250" s="682" t="str">
        <f>+IF(MARZO!T250=0,"",MARZO!T250)</f>
        <v>Programas Especial 06</v>
      </c>
      <c r="U250" s="27">
        <f>+ENERO!U250</f>
        <v>0</v>
      </c>
      <c r="V250" s="15">
        <f>MARZO!V250+ABRIL!AL250</f>
        <v>0</v>
      </c>
      <c r="W250" s="15">
        <f>MARZO!W250+ABRIL!AM250</f>
        <v>0</v>
      </c>
      <c r="X250" s="18">
        <f>SUM(U250:W250)</f>
        <v>0</v>
      </c>
      <c r="Y250" s="19">
        <f>MARZO!AA250</f>
        <v>0</v>
      </c>
      <c r="Z250" s="374">
        <v>0</v>
      </c>
      <c r="AA250" s="18">
        <f>SUM(Y250:Z250)</f>
        <v>0</v>
      </c>
      <c r="AB250" s="19">
        <f>MARZO!AD250</f>
        <v>0</v>
      </c>
      <c r="AC250" s="374">
        <v>0</v>
      </c>
      <c r="AD250" s="18">
        <f>SUM(AB250:AC250)</f>
        <v>0</v>
      </c>
      <c r="AE250" s="19">
        <f>MARZO!AG250</f>
        <v>0</v>
      </c>
      <c r="AF250" s="374">
        <v>0</v>
      </c>
      <c r="AG250" s="18">
        <f>SUM(AE250:AF250)</f>
        <v>0</v>
      </c>
      <c r="AH250" s="19">
        <f>X250-AA250</f>
        <v>0</v>
      </c>
      <c r="AI250" s="15">
        <f>X250-AD250</f>
        <v>0</v>
      </c>
      <c r="AJ250" s="16">
        <f>X250-AG250</f>
        <v>0</v>
      </c>
      <c r="AK250" s="9"/>
      <c r="AL250" s="372">
        <v>0</v>
      </c>
      <c r="AM250" s="375">
        <v>0</v>
      </c>
    </row>
    <row r="251" spans="1:70" ht="24.95" customHeight="1">
      <c r="A251" s="752"/>
      <c r="B251" s="661"/>
      <c r="C251" s="382"/>
      <c r="D251" s="382"/>
      <c r="E251" s="382"/>
      <c r="F251" s="382"/>
      <c r="G251" s="382"/>
      <c r="H251" s="382"/>
      <c r="I251" s="382"/>
      <c r="J251" s="382"/>
      <c r="K251" s="382"/>
      <c r="L251" s="382"/>
      <c r="M251" s="382"/>
      <c r="N251" s="9"/>
      <c r="O251" s="382"/>
      <c r="P251" s="9"/>
      <c r="Q251" s="9"/>
      <c r="S251" s="706" t="str">
        <f>+IF(MARZO!S251=0,"",MARZO!S251)</f>
        <v>8002100-8</v>
      </c>
      <c r="T251" s="682" t="str">
        <f>+IF(MARZO!T251=0,"",MARZO!T251)</f>
        <v>Programas Especial 07</v>
      </c>
      <c r="U251" s="27">
        <f>+ENERO!U251</f>
        <v>0</v>
      </c>
      <c r="V251" s="15">
        <f>MARZO!V251+ABRIL!AL251</f>
        <v>0</v>
      </c>
      <c r="W251" s="15">
        <f>MARZO!W251+ABRIL!AM251</f>
        <v>0</v>
      </c>
      <c r="X251" s="18">
        <f>SUM(U251:W251)</f>
        <v>0</v>
      </c>
      <c r="Y251" s="19">
        <f>MARZO!AA251</f>
        <v>0</v>
      </c>
      <c r="Z251" s="374">
        <v>0</v>
      </c>
      <c r="AA251" s="18">
        <f>SUM(Y251:Z251)</f>
        <v>0</v>
      </c>
      <c r="AB251" s="19">
        <f>MARZO!AD251</f>
        <v>0</v>
      </c>
      <c r="AC251" s="374">
        <v>0</v>
      </c>
      <c r="AD251" s="18">
        <f>SUM(AB251:AC251)</f>
        <v>0</v>
      </c>
      <c r="AE251" s="19">
        <f>MARZO!AG251</f>
        <v>0</v>
      </c>
      <c r="AF251" s="374">
        <v>0</v>
      </c>
      <c r="AG251" s="18">
        <f>SUM(AE251:AF251)</f>
        <v>0</v>
      </c>
      <c r="AH251" s="19">
        <f>X251-AA251</f>
        <v>0</v>
      </c>
      <c r="AI251" s="15">
        <f>X251-AD251</f>
        <v>0</v>
      </c>
      <c r="AJ251" s="16">
        <f>X251-AG251</f>
        <v>0</v>
      </c>
      <c r="AK251" s="9"/>
      <c r="AL251" s="372">
        <v>0</v>
      </c>
      <c r="AM251" s="375">
        <v>0</v>
      </c>
    </row>
    <row r="252" spans="1:70" ht="24.95" customHeight="1">
      <c r="A252" s="752"/>
      <c r="B252" s="661"/>
      <c r="C252" s="382"/>
      <c r="D252" s="382"/>
      <c r="E252" s="382"/>
      <c r="F252" s="382"/>
      <c r="G252" s="382"/>
      <c r="H252" s="382"/>
      <c r="I252" s="382"/>
      <c r="J252" s="382"/>
      <c r="K252" s="382"/>
      <c r="L252" s="382"/>
      <c r="M252" s="382"/>
      <c r="N252" s="9"/>
      <c r="O252" s="382"/>
      <c r="P252" s="9"/>
      <c r="Q252" s="9"/>
      <c r="S252" s="706" t="str">
        <f>+IF(MARZO!S252=0,"",MARZO!S252)</f>
        <v>8002100-9</v>
      </c>
      <c r="T252" s="682" t="str">
        <f>+IF(MARZO!T252=0,"",MARZO!T252)</f>
        <v>Programas Especial 08</v>
      </c>
      <c r="U252" s="27">
        <f>+ENERO!U252</f>
        <v>0</v>
      </c>
      <c r="V252" s="15">
        <f>MARZO!V252+ABRIL!AL252</f>
        <v>0</v>
      </c>
      <c r="W252" s="15">
        <f>MARZO!W252+ABRIL!AM252</f>
        <v>0</v>
      </c>
      <c r="X252" s="18">
        <f>SUM(U252:W252)</f>
        <v>0</v>
      </c>
      <c r="Y252" s="19">
        <f>MARZO!AA252</f>
        <v>0</v>
      </c>
      <c r="Z252" s="374">
        <v>0</v>
      </c>
      <c r="AA252" s="18">
        <f>SUM(Y252:Z252)</f>
        <v>0</v>
      </c>
      <c r="AB252" s="19">
        <f>MARZO!AD252</f>
        <v>0</v>
      </c>
      <c r="AC252" s="374">
        <v>0</v>
      </c>
      <c r="AD252" s="18">
        <f>SUM(AB252:AC252)</f>
        <v>0</v>
      </c>
      <c r="AE252" s="19">
        <f>MARZO!AG252</f>
        <v>0</v>
      </c>
      <c r="AF252" s="374">
        <v>0</v>
      </c>
      <c r="AG252" s="18">
        <f>SUM(AE252:AF252)</f>
        <v>0</v>
      </c>
      <c r="AH252" s="19">
        <f>X252-AA252</f>
        <v>0</v>
      </c>
      <c r="AI252" s="15">
        <f>X252-AD252</f>
        <v>0</v>
      </c>
      <c r="AJ252" s="16">
        <f>X252-AG252</f>
        <v>0</v>
      </c>
      <c r="AK252" s="9"/>
      <c r="AL252" s="372">
        <v>0</v>
      </c>
      <c r="AM252" s="375">
        <v>0</v>
      </c>
    </row>
    <row r="253" spans="1:70" ht="24.95" customHeight="1">
      <c r="A253" s="752"/>
      <c r="B253" s="661"/>
      <c r="C253" s="382"/>
      <c r="D253" s="382"/>
      <c r="E253" s="382"/>
      <c r="F253" s="382"/>
      <c r="G253" s="382"/>
      <c r="H253" s="382"/>
      <c r="I253" s="382"/>
      <c r="J253" s="382"/>
      <c r="K253" s="382"/>
      <c r="L253" s="382"/>
      <c r="M253" s="382"/>
      <c r="N253" s="9"/>
      <c r="O253" s="382"/>
      <c r="P253" s="9"/>
      <c r="Q253" s="9"/>
      <c r="S253" s="706" t="str">
        <f>+IF(MARZO!S253=0,"",MARZO!S253)</f>
        <v>8002100-10</v>
      </c>
      <c r="T253" s="682" t="str">
        <f>+IF(MARZO!T253=0,"",MARZO!T253)</f>
        <v>Programas Especial 09</v>
      </c>
      <c r="U253" s="27">
        <f>+ENERO!U253</f>
        <v>0</v>
      </c>
      <c r="V253" s="15">
        <f>MARZO!V253+ABRIL!AL253</f>
        <v>0</v>
      </c>
      <c r="W253" s="15">
        <f>MARZO!W253+ABRIL!AM253</f>
        <v>0</v>
      </c>
      <c r="X253" s="18">
        <f>SUM(U253:W253)</f>
        <v>0</v>
      </c>
      <c r="Y253" s="19">
        <f>MARZO!AA253</f>
        <v>0</v>
      </c>
      <c r="Z253" s="374">
        <v>0</v>
      </c>
      <c r="AA253" s="18">
        <f>SUM(Y253:Z253)</f>
        <v>0</v>
      </c>
      <c r="AB253" s="19">
        <f>MARZO!AD253</f>
        <v>0</v>
      </c>
      <c r="AC253" s="374">
        <v>0</v>
      </c>
      <c r="AD253" s="18">
        <f>SUM(AB253:AC253)</f>
        <v>0</v>
      </c>
      <c r="AE253" s="19">
        <f>MARZO!AG253</f>
        <v>0</v>
      </c>
      <c r="AF253" s="374">
        <v>0</v>
      </c>
      <c r="AG253" s="18">
        <f>SUM(AE253:AF253)</f>
        <v>0</v>
      </c>
      <c r="AH253" s="19">
        <f>X253-AA253</f>
        <v>0</v>
      </c>
      <c r="AI253" s="15">
        <f>X253-AD253</f>
        <v>0</v>
      </c>
      <c r="AJ253" s="16">
        <f>X253-AG253</f>
        <v>0</v>
      </c>
      <c r="AK253" s="9"/>
      <c r="AL253" s="372">
        <v>0</v>
      </c>
      <c r="AM253" s="375">
        <v>0</v>
      </c>
    </row>
    <row r="254" spans="1:70" ht="24.95" customHeight="1">
      <c r="A254" s="752"/>
      <c r="B254" s="661"/>
      <c r="C254" s="382"/>
      <c r="D254" s="382"/>
      <c r="E254" s="382"/>
      <c r="F254" s="382"/>
      <c r="G254" s="382"/>
      <c r="H254" s="382"/>
      <c r="I254" s="382"/>
      <c r="J254" s="382"/>
      <c r="K254" s="382"/>
      <c r="L254" s="382"/>
      <c r="M254" s="382"/>
      <c r="N254" s="9"/>
      <c r="O254" s="382"/>
      <c r="P254" s="9"/>
      <c r="Q254" s="9"/>
      <c r="S254" s="706" t="str">
        <f>+IF(MARZO!S254=0,"",MARZO!S254)</f>
        <v>8002100-11</v>
      </c>
      <c r="T254" s="682" t="str">
        <f>+IF(MARZO!T254=0,"",MARZO!T254)</f>
        <v>Programas Especial 10</v>
      </c>
      <c r="U254" s="27">
        <f>+ENERO!U254</f>
        <v>0</v>
      </c>
      <c r="V254" s="15">
        <f>MARZO!V254+ABRIL!AL254</f>
        <v>0</v>
      </c>
      <c r="W254" s="15">
        <f>MARZO!W254+ABRIL!AM254</f>
        <v>0</v>
      </c>
      <c r="X254" s="18">
        <f>SUM(U254:W254)</f>
        <v>0</v>
      </c>
      <c r="Y254" s="19">
        <f>MARZO!AA254</f>
        <v>0</v>
      </c>
      <c r="Z254" s="374">
        <v>0</v>
      </c>
      <c r="AA254" s="18">
        <f>SUM(Y254:Z254)</f>
        <v>0</v>
      </c>
      <c r="AB254" s="19">
        <f>MARZO!AD254</f>
        <v>0</v>
      </c>
      <c r="AC254" s="374">
        <v>0</v>
      </c>
      <c r="AD254" s="18">
        <f>SUM(AB254:AC254)</f>
        <v>0</v>
      </c>
      <c r="AE254" s="19">
        <f>MARZO!AG254</f>
        <v>0</v>
      </c>
      <c r="AF254" s="374">
        <v>0</v>
      </c>
      <c r="AG254" s="18">
        <f>SUM(AE254:AF254)</f>
        <v>0</v>
      </c>
      <c r="AH254" s="19">
        <f>X254-AA254</f>
        <v>0</v>
      </c>
      <c r="AI254" s="15">
        <f>X254-AD254</f>
        <v>0</v>
      </c>
      <c r="AJ254" s="16">
        <f>X254-AG254</f>
        <v>0</v>
      </c>
      <c r="AK254" s="9"/>
      <c r="AL254" s="372">
        <v>0</v>
      </c>
      <c r="AM254" s="375">
        <v>0</v>
      </c>
    </row>
    <row r="255" spans="1:70" ht="24.95" customHeight="1">
      <c r="A255" s="752"/>
      <c r="B255" s="661"/>
      <c r="C255" s="382"/>
      <c r="D255" s="382"/>
      <c r="E255" s="382"/>
      <c r="F255" s="382"/>
      <c r="G255" s="382"/>
      <c r="H255" s="382"/>
      <c r="I255" s="382"/>
      <c r="J255" s="382"/>
      <c r="K255" s="382"/>
      <c r="L255" s="382"/>
      <c r="M255" s="382"/>
      <c r="N255" s="9"/>
      <c r="O255" s="382"/>
      <c r="P255" s="9"/>
      <c r="Q255" s="9"/>
      <c r="S255" s="706" t="str">
        <f>+IF(MARZO!S255=0,"",MARZO!S255)</f>
        <v>8002100-12</v>
      </c>
      <c r="T255" s="682" t="str">
        <f>+IF(MARZO!T255=0,"",MARZO!T255)</f>
        <v>Programas Especial 11</v>
      </c>
      <c r="U255" s="27">
        <f>+ENERO!U255</f>
        <v>0</v>
      </c>
      <c r="V255" s="15">
        <f>MARZO!V255+ABRIL!AL255</f>
        <v>0</v>
      </c>
      <c r="W255" s="15">
        <f>MARZO!W255+ABRIL!AM255</f>
        <v>0</v>
      </c>
      <c r="X255" s="18">
        <f t="shared" si="212"/>
        <v>0</v>
      </c>
      <c r="Y255" s="19">
        <f>MARZO!AA255</f>
        <v>0</v>
      </c>
      <c r="Z255" s="374">
        <v>0</v>
      </c>
      <c r="AA255" s="18">
        <f t="shared" si="213"/>
        <v>0</v>
      </c>
      <c r="AB255" s="19">
        <f>MARZO!AD255</f>
        <v>0</v>
      </c>
      <c r="AC255" s="374">
        <v>0</v>
      </c>
      <c r="AD255" s="18">
        <f t="shared" si="214"/>
        <v>0</v>
      </c>
      <c r="AE255" s="19">
        <f>MARZO!AG255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2"/>
      <c r="B256" s="661"/>
      <c r="C256" s="382"/>
      <c r="D256" s="382"/>
      <c r="E256" s="382"/>
      <c r="F256" s="382"/>
      <c r="G256" s="382"/>
      <c r="H256" s="382"/>
      <c r="I256" s="382"/>
      <c r="J256" s="382"/>
      <c r="K256" s="382"/>
      <c r="L256" s="382"/>
      <c r="M256" s="382"/>
      <c r="N256" s="9"/>
      <c r="O256" s="382"/>
      <c r="P256" s="9"/>
      <c r="Q256" s="9"/>
      <c r="S256" s="717">
        <f>+IF(MARZO!S256=0,"",MARZO!S256)</f>
        <v>8002999</v>
      </c>
      <c r="T256" s="697" t="str">
        <f>+IF(MARZO!T256=0,"",MARZO!T256)</f>
        <v>Vigencias Anteriores</v>
      </c>
      <c r="U256" s="133">
        <f>+ENERO!U256</f>
        <v>0</v>
      </c>
      <c r="V256" s="121">
        <f>MARZO!V256+ABRIL!AL256</f>
        <v>0</v>
      </c>
      <c r="W256" s="121">
        <f>MARZO!W256+ABRIL!AM256</f>
        <v>0</v>
      </c>
      <c r="X256" s="126">
        <f t="shared" si="212"/>
        <v>0</v>
      </c>
      <c r="Y256" s="124">
        <f>MARZO!AA256</f>
        <v>0</v>
      </c>
      <c r="Z256" s="388">
        <v>0</v>
      </c>
      <c r="AA256" s="126">
        <f t="shared" si="213"/>
        <v>0</v>
      </c>
      <c r="AB256" s="124">
        <f>MARZO!AD256</f>
        <v>0</v>
      </c>
      <c r="AC256" s="388">
        <v>0</v>
      </c>
      <c r="AD256" s="126">
        <f t="shared" si="214"/>
        <v>0</v>
      </c>
      <c r="AE256" s="124">
        <f>MARZO!AG256</f>
        <v>0</v>
      </c>
      <c r="AF256" s="388">
        <v>0</v>
      </c>
      <c r="AG256" s="126">
        <f t="shared" si="215"/>
        <v>0</v>
      </c>
      <c r="AH256" s="124">
        <f t="shared" si="216"/>
        <v>0</v>
      </c>
      <c r="AI256" s="121">
        <f t="shared" si="217"/>
        <v>0</v>
      </c>
      <c r="AJ256" s="125">
        <f t="shared" si="218"/>
        <v>0</v>
      </c>
      <c r="AK256" s="9"/>
      <c r="AL256" s="384">
        <v>0</v>
      </c>
      <c r="AM256" s="389">
        <v>0</v>
      </c>
    </row>
    <row r="257" spans="1:39" ht="24.95" customHeight="1" thickBot="1">
      <c r="A257" s="752"/>
      <c r="B257" s="661"/>
      <c r="C257" s="382"/>
      <c r="D257" s="382"/>
      <c r="E257" s="382"/>
      <c r="F257" s="382"/>
      <c r="G257" s="382"/>
      <c r="H257" s="382"/>
      <c r="I257" s="382"/>
      <c r="J257" s="382"/>
      <c r="K257" s="382"/>
      <c r="L257" s="382"/>
      <c r="M257" s="382"/>
      <c r="N257" s="9"/>
      <c r="O257" s="382"/>
      <c r="P257" s="9"/>
      <c r="Q257" s="9"/>
      <c r="S257" s="495" t="str">
        <f>+IF(MARZO!S257=0,"",MARZO!S257)</f>
        <v/>
      </c>
      <c r="T257" s="694" t="str">
        <f>+IF(MARZO!T257=0,"",MARZO!T257)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76" t="s">
        <v>363</v>
      </c>
      <c r="T258" s="777" t="s">
        <v>133</v>
      </c>
      <c r="U258" s="340">
        <f>+(C10+C17+C113)-(U10+U193+U220+U232)</f>
        <v>0</v>
      </c>
      <c r="V258" s="340">
        <f t="shared" ref="V258:AJ258" si="219">+(D10+D17+D113)-(V10+V193+V220+V232)</f>
        <v>0</v>
      </c>
      <c r="W258" s="340">
        <f t="shared" si="219"/>
        <v>0</v>
      </c>
      <c r="X258" s="340">
        <f t="shared" si="219"/>
        <v>0</v>
      </c>
      <c r="Y258" s="340">
        <f t="shared" si="219"/>
        <v>-11992347798</v>
      </c>
      <c r="Z258" s="340">
        <f t="shared" si="219"/>
        <v>2062596035</v>
      </c>
      <c r="AA258" s="340">
        <f t="shared" si="219"/>
        <v>-9929751763</v>
      </c>
      <c r="AB258" s="340">
        <f t="shared" si="219"/>
        <v>-8095411908</v>
      </c>
      <c r="AC258" s="340">
        <f t="shared" si="219"/>
        <v>-3173444605</v>
      </c>
      <c r="AD258" s="340">
        <f t="shared" si="219"/>
        <v>-11268856513</v>
      </c>
      <c r="AE258" s="340">
        <f t="shared" si="219"/>
        <v>21743798169</v>
      </c>
      <c r="AF258" s="340">
        <f t="shared" si="219"/>
        <v>41910828652</v>
      </c>
      <c r="AG258" s="340">
        <f t="shared" si="219"/>
        <v>-13103093451</v>
      </c>
      <c r="AH258" s="340">
        <f t="shared" si="219"/>
        <v>-21527214746</v>
      </c>
      <c r="AI258" s="340">
        <f t="shared" si="219"/>
        <v>-30049940089</v>
      </c>
      <c r="AJ258" s="778">
        <f t="shared" si="219"/>
        <v>-45332397231</v>
      </c>
      <c r="AK258" s="9"/>
      <c r="AL258" s="338">
        <v>0</v>
      </c>
      <c r="AM258" s="339">
        <v>0</v>
      </c>
    </row>
    <row r="259" spans="1: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11888621669</v>
      </c>
    </row>
    <row r="260" spans="1:39" ht="24.95" customHeight="1" thickBot="1">
      <c r="S260" s="795" t="s">
        <v>582</v>
      </c>
      <c r="T260" s="796"/>
      <c r="U260" s="771">
        <f>+U8-U262</f>
        <v>47989706380</v>
      </c>
      <c r="V260" s="771">
        <f t="shared" ref="V260:AJ260" si="220">+V8-V262</f>
        <v>-88081545</v>
      </c>
      <c r="W260" s="771">
        <f t="shared" si="220"/>
        <v>624651794</v>
      </c>
      <c r="X260" s="771">
        <f t="shared" si="220"/>
        <v>48526276629</v>
      </c>
      <c r="Y260" s="771">
        <f t="shared" si="220"/>
        <v>27037237270</v>
      </c>
      <c r="Z260" s="771">
        <f t="shared" si="220"/>
        <v>2206356262</v>
      </c>
      <c r="AA260" s="771">
        <f t="shared" si="220"/>
        <v>29243593532</v>
      </c>
      <c r="AB260" s="771">
        <f t="shared" si="220"/>
        <v>12608701448</v>
      </c>
      <c r="AC260" s="771">
        <f t="shared" si="220"/>
        <v>4130209580</v>
      </c>
      <c r="AD260" s="771">
        <f t="shared" si="220"/>
        <v>16738911028</v>
      </c>
      <c r="AE260" s="771">
        <f t="shared" si="220"/>
        <v>3765667065</v>
      </c>
      <c r="AF260" s="771">
        <f t="shared" si="220"/>
        <v>1690657982</v>
      </c>
      <c r="AG260" s="771">
        <f t="shared" si="220"/>
        <v>5456325047</v>
      </c>
      <c r="AH260" s="771">
        <f t="shared" si="220"/>
        <v>19282683097</v>
      </c>
      <c r="AI260" s="771">
        <f t="shared" si="220"/>
        <v>31787365601</v>
      </c>
      <c r="AJ260" s="772">
        <f t="shared" si="220"/>
        <v>43069951582</v>
      </c>
      <c r="AK260" s="10"/>
      <c r="AL260" s="382"/>
      <c r="AM260" s="382"/>
    </row>
    <row r="261" spans="1:39" ht="24.95" customHeight="1" thickBot="1">
      <c r="S261" s="800"/>
      <c r="T261" s="801"/>
      <c r="U261" s="779"/>
      <c r="V261" s="779"/>
      <c r="W261" s="779"/>
      <c r="X261" s="779"/>
      <c r="Y261" s="779"/>
      <c r="Z261" s="779"/>
      <c r="AA261" s="779"/>
      <c r="AB261" s="779"/>
      <c r="AC261" s="779"/>
      <c r="AD261" s="779"/>
      <c r="AE261" s="779"/>
      <c r="AF261" s="779"/>
      <c r="AG261" s="779"/>
      <c r="AH261" s="779"/>
      <c r="AI261" s="779"/>
      <c r="AJ261" s="780"/>
    </row>
    <row r="262" spans="1:39" ht="24.95" customHeight="1" thickBot="1">
      <c r="S262" s="797" t="s">
        <v>583</v>
      </c>
      <c r="T262" s="798"/>
      <c r="U262" s="775">
        <f>+SUMIF($T$8:$T$256,$T$33,U8:U256)</f>
        <v>2232471701</v>
      </c>
      <c r="V262" s="775">
        <f t="shared" ref="V262:AJ262" si="221">+SUMIF($T$8:$T$256,$T$33,V8:V256)</f>
        <v>88081545</v>
      </c>
      <c r="W262" s="775">
        <f t="shared" si="221"/>
        <v>7588660807</v>
      </c>
      <c r="X262" s="775">
        <f t="shared" si="221"/>
        <v>9909214053</v>
      </c>
      <c r="Y262" s="775">
        <f t="shared" si="221"/>
        <v>5965415275</v>
      </c>
      <c r="Z262" s="775">
        <f t="shared" si="221"/>
        <v>1699267129</v>
      </c>
      <c r="AA262" s="775">
        <f t="shared" si="221"/>
        <v>7664682404</v>
      </c>
      <c r="AB262" s="775">
        <f t="shared" si="221"/>
        <v>5965415275</v>
      </c>
      <c r="AC262" s="775">
        <f t="shared" si="221"/>
        <v>1699267129</v>
      </c>
      <c r="AD262" s="775">
        <f t="shared" si="221"/>
        <v>7664682404</v>
      </c>
      <c r="AE262" s="775">
        <f t="shared" si="221"/>
        <v>5947501275</v>
      </c>
      <c r="AF262" s="775">
        <f t="shared" si="221"/>
        <v>1699267129</v>
      </c>
      <c r="AG262" s="775">
        <f t="shared" si="221"/>
        <v>7646768404</v>
      </c>
      <c r="AH262" s="775">
        <f t="shared" si="221"/>
        <v>2244531649</v>
      </c>
      <c r="AI262" s="775">
        <f t="shared" si="221"/>
        <v>2244531649</v>
      </c>
      <c r="AJ262" s="799">
        <f t="shared" si="221"/>
        <v>2262445649</v>
      </c>
    </row>
    <row r="263" spans="1: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39" ht="24.95" customHeight="1" thickBot="1">
      <c r="S264" s="773" t="s">
        <v>584</v>
      </c>
      <c r="T264" s="774"/>
      <c r="U264" s="793">
        <f>+U260+U262</f>
        <v>50222178081</v>
      </c>
      <c r="V264" s="793">
        <f t="shared" ref="V264:AJ264" si="222">+V260+V262</f>
        <v>0</v>
      </c>
      <c r="W264" s="793">
        <f t="shared" si="222"/>
        <v>8213312601</v>
      </c>
      <c r="X264" s="793">
        <f t="shared" si="222"/>
        <v>58435490682</v>
      </c>
      <c r="Y264" s="793">
        <f t="shared" si="222"/>
        <v>33002652545</v>
      </c>
      <c r="Z264" s="793">
        <f t="shared" si="222"/>
        <v>3905623391</v>
      </c>
      <c r="AA264" s="793">
        <f t="shared" si="222"/>
        <v>36908275936</v>
      </c>
      <c r="AB264" s="793">
        <f t="shared" si="222"/>
        <v>18574116723</v>
      </c>
      <c r="AC264" s="793">
        <f t="shared" si="222"/>
        <v>5829476709</v>
      </c>
      <c r="AD264" s="793">
        <f t="shared" si="222"/>
        <v>24403593432</v>
      </c>
      <c r="AE264" s="793">
        <f t="shared" si="222"/>
        <v>9713168340</v>
      </c>
      <c r="AF264" s="793">
        <f t="shared" si="222"/>
        <v>3389925111</v>
      </c>
      <c r="AG264" s="793">
        <f t="shared" si="222"/>
        <v>13103093451</v>
      </c>
      <c r="AH264" s="793">
        <f t="shared" si="222"/>
        <v>21527214746</v>
      </c>
      <c r="AI264" s="793">
        <f t="shared" si="222"/>
        <v>34031897250</v>
      </c>
      <c r="AJ264" s="794">
        <f t="shared" si="222"/>
        <v>45332397231</v>
      </c>
    </row>
  </sheetData>
  <sheetProtection password="E6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400-000000000000}"/>
    <dataValidation allowBlank="1" showInputMessage="1" showErrorMessage="1" promptTitle="ATENCION..." prompt="Las actividades de Promoción y Prevención se manejaran en cada régimen." sqref="A23:C24 P23:Q24 K23:K24 H23:H24" xr:uid="{00000000-0002-0000-04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4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4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S264"/>
  <sheetViews>
    <sheetView showGridLines="0" topLeftCell="S225" zoomScale="90" zoomScaleNormal="90" workbookViewId="0">
      <selection activeCell="Z236" sqref="Z236"/>
    </sheetView>
  </sheetViews>
  <sheetFormatPr baseColWidth="10" defaultColWidth="0" defaultRowHeight="24.95" customHeight="1"/>
  <cols>
    <col min="1" max="1" width="16.85546875" style="753" customWidth="1"/>
    <col min="2" max="2" width="49.85546875" style="662" customWidth="1"/>
    <col min="3" max="3" width="17.140625" style="272" customWidth="1"/>
    <col min="4" max="4" width="10.28515625" style="272" customWidth="1"/>
    <col min="5" max="6" width="14.42578125" style="272" customWidth="1"/>
    <col min="7" max="7" width="17.140625" style="272" customWidth="1"/>
    <col min="8" max="8" width="16.5703125" style="272" customWidth="1"/>
    <col min="9" max="9" width="14.42578125" style="272" customWidth="1"/>
    <col min="10" max="10" width="15.28515625" style="272" customWidth="1"/>
    <col min="11" max="12" width="14.42578125" style="272" customWidth="1"/>
    <col min="13" max="13" width="16.7109375" style="272" customWidth="1"/>
    <col min="14" max="14" width="16.7109375" style="31" customWidth="1"/>
    <col min="15" max="15" width="16" style="272" customWidth="1"/>
    <col min="16" max="17" width="23.7109375" style="31" customWidth="1"/>
    <col min="18" max="18" width="5.42578125" style="272" customWidth="1"/>
    <col min="19" max="19" width="9.85546875" style="698" customWidth="1"/>
    <col min="20" max="20" width="38.5703125" style="674" customWidth="1"/>
    <col min="21" max="21" width="17.42578125" style="272" customWidth="1"/>
    <col min="22" max="22" width="15.42578125" style="272" customWidth="1"/>
    <col min="23" max="23" width="18.42578125" style="272" customWidth="1"/>
    <col min="24" max="24" width="17" style="272" customWidth="1"/>
    <col min="25" max="25" width="17.42578125" style="272" customWidth="1"/>
    <col min="26" max="26" width="16.7109375" style="272" customWidth="1"/>
    <col min="27" max="28" width="17.28515625" style="272" customWidth="1"/>
    <col min="29" max="29" width="16.7109375" style="272" customWidth="1"/>
    <col min="30" max="30" width="19" style="272" customWidth="1"/>
    <col min="31" max="31" width="17.85546875" style="272" customWidth="1"/>
    <col min="32" max="32" width="20.140625" style="272" customWidth="1"/>
    <col min="33" max="33" width="17.5703125" style="272" customWidth="1"/>
    <col min="34" max="34" width="17.28515625" style="272" customWidth="1"/>
    <col min="35" max="35" width="18.85546875" style="272" customWidth="1"/>
    <col min="36" max="36" width="19.28515625" style="272" customWidth="1"/>
    <col min="37" max="37" width="8.85546875" style="1" customWidth="1"/>
    <col min="38" max="39" width="23.7109375" style="272" customWidth="1"/>
    <col min="40" max="40" width="4.85546875" style="272" customWidth="1"/>
    <col min="41" max="41" width="12.28515625" style="272" customWidth="1"/>
    <col min="42" max="42" width="53.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2998" t="str">
        <f>IF($F$8-$X$8=0," ","OJO: PRESUPUESTO DESEQUILIBRADO")</f>
        <v xml:space="preserve"> </v>
      </c>
      <c r="B1" s="2998"/>
      <c r="C1" s="3132"/>
      <c r="D1" s="3132"/>
      <c r="E1" s="3132"/>
      <c r="F1" s="3132"/>
      <c r="G1" s="3132"/>
      <c r="H1" s="3132"/>
      <c r="I1" s="3132"/>
      <c r="J1" s="3132"/>
      <c r="K1" s="2999" t="str">
        <f>+IF(L8&gt;I8,"OJO - SUS RECAUDOS SON SUPERIORES A SUS RECONOCIMIENTOS, VERIFIQUE","")</f>
        <v/>
      </c>
      <c r="L1" s="2999"/>
      <c r="M1" s="2999"/>
      <c r="N1" s="2999"/>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0"/>
      <c r="B2" s="718" t="str">
        <f>+ENERO!B2</f>
        <v>SECRETARIA SECCIONAL DE SALUD Y PROTECCION SOCIAL DE ANTIOQUIA DE ANTIOQUIA</v>
      </c>
      <c r="C2" s="274"/>
      <c r="D2" s="3008" t="str">
        <f>+IF(F2="","","MUNICIPIO:")</f>
        <v>MUNICIPIO:</v>
      </c>
      <c r="E2" s="3008"/>
      <c r="F2" s="275" t="str">
        <f>IF(INSTRUCCIONES!B3=0,"",INSTRUCCIONES!B3)</f>
        <v>ITAGUI</v>
      </c>
      <c r="G2" s="276"/>
      <c r="H2" s="276"/>
      <c r="I2" s="276"/>
      <c r="J2" s="276"/>
      <c r="K2" s="277"/>
      <c r="L2" s="3009" t="s">
        <v>388</v>
      </c>
      <c r="M2" s="2982"/>
      <c r="N2" s="609" t="s">
        <v>389</v>
      </c>
      <c r="P2" s="2993" t="s">
        <v>466</v>
      </c>
      <c r="Q2" s="2994"/>
      <c r="R2" s="279"/>
      <c r="S2" s="699"/>
      <c r="T2" s="718" t="str">
        <f>+ENERO!T2</f>
        <v>SECRETARIA SECCIONAL DE SALUD Y PROTECCION SOCIAL DE ANTIOQUIA DE ANTIOQUIA</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609" t="s">
        <v>389</v>
      </c>
      <c r="AL2" s="2993" t="s">
        <v>466</v>
      </c>
      <c r="AM2" s="2994"/>
      <c r="AO2" s="2">
        <v>5</v>
      </c>
      <c r="AP2" s="280" t="s">
        <v>7</v>
      </c>
      <c r="AQ2" s="281"/>
      <c r="AR2" s="3"/>
      <c r="AS2" s="3"/>
      <c r="AT2" s="3"/>
      <c r="AU2" s="3"/>
      <c r="AV2" s="3"/>
      <c r="AW2" s="3"/>
      <c r="AX2" s="3"/>
      <c r="AY2" s="3"/>
      <c r="AZ2" s="4"/>
      <c r="BB2" s="2993" t="s">
        <v>616</v>
      </c>
      <c r="BC2" s="3010"/>
      <c r="BD2" s="51" t="s">
        <v>388</v>
      </c>
      <c r="BE2" s="278" t="str">
        <f>+L3</f>
        <v>MAYO</v>
      </c>
      <c r="BF2" s="273"/>
      <c r="BG2" s="2993" t="s">
        <v>617</v>
      </c>
      <c r="BH2" s="3010"/>
      <c r="BI2" s="3010"/>
      <c r="BJ2" s="51" t="s">
        <v>388</v>
      </c>
      <c r="BK2" s="278" t="str">
        <f>+BE2</f>
        <v>MAYO</v>
      </c>
      <c r="BM2" s="2993" t="s">
        <v>617</v>
      </c>
      <c r="BN2" s="3010"/>
      <c r="BO2" s="3010"/>
      <c r="BP2" s="51" t="s">
        <v>388</v>
      </c>
      <c r="BQ2" s="278" t="str">
        <f>+BK2</f>
        <v>MAYO</v>
      </c>
    </row>
    <row r="3" spans="1:69" ht="24.95" customHeight="1" thickBot="1">
      <c r="A3" s="751"/>
      <c r="B3" s="3025" t="s">
        <v>8</v>
      </c>
      <c r="C3" s="282"/>
      <c r="D3" s="3041" t="str">
        <f>+IF(F3="","","INSTITUCION:")</f>
        <v>INSTITUCION:</v>
      </c>
      <c r="E3" s="3041"/>
      <c r="F3" s="3000" t="str">
        <f>IF(INSTRUCCIONES!B5=0,"",INSTRUCCIONES!B5)</f>
        <v>ESE HOSPITALSAN RAFAEL</v>
      </c>
      <c r="G3" s="3000"/>
      <c r="H3" s="3000"/>
      <c r="I3" s="3000"/>
      <c r="J3" s="3000"/>
      <c r="K3" s="3001"/>
      <c r="L3" s="3026" t="s">
        <v>369</v>
      </c>
      <c r="M3" s="3027"/>
      <c r="N3" s="3006">
        <f>+INSTRUCCIONES!F3</f>
        <v>2017</v>
      </c>
      <c r="P3" s="2995" t="s">
        <v>525</v>
      </c>
      <c r="Q3" s="3013" t="s">
        <v>532</v>
      </c>
      <c r="R3" s="279"/>
      <c r="S3" s="700"/>
      <c r="T3" s="3025" t="s">
        <v>10</v>
      </c>
      <c r="U3" s="283"/>
      <c r="V3" s="2972" t="str">
        <f>+IF(Y3="","","E.S.E. H O S P I T A L:")</f>
        <v>E.S.E. H O S P I T A L:</v>
      </c>
      <c r="W3" s="2972"/>
      <c r="X3" s="2972"/>
      <c r="Y3" s="2974" t="str">
        <f>IF(INSTRUCCIONES!B5=0,"",INSTRUCCIONES!B5)</f>
        <v>ESE HOSPITALSAN RAFAEL</v>
      </c>
      <c r="Z3" s="2974"/>
      <c r="AA3" s="2974"/>
      <c r="AB3" s="2974"/>
      <c r="AC3" s="2974"/>
      <c r="AD3" s="2974"/>
      <c r="AE3" s="2974"/>
      <c r="AF3" s="2974"/>
      <c r="AG3" s="2975"/>
      <c r="AH3" s="2978" t="str">
        <f>+L3</f>
        <v>MAYO</v>
      </c>
      <c r="AI3" s="2979"/>
      <c r="AJ3" s="2970">
        <f>+N3</f>
        <v>2017</v>
      </c>
      <c r="AL3" s="2995" t="s">
        <v>533</v>
      </c>
      <c r="AM3" s="3013" t="s">
        <v>532</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50">
        <f>+BK3</f>
        <v>2017</v>
      </c>
    </row>
    <row r="4" spans="1:69" ht="24.95" customHeight="1" thickBot="1">
      <c r="A4" s="751"/>
      <c r="B4" s="3133"/>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292"/>
      <c r="BE4" s="47"/>
      <c r="BF4" s="7"/>
      <c r="BG4" s="291"/>
      <c r="BH4" s="292"/>
      <c r="BI4" s="292"/>
      <c r="BJ4" s="48"/>
      <c r="BK4" s="293"/>
      <c r="BL4" s="8"/>
      <c r="BM4" s="291"/>
      <c r="BN4" s="294"/>
      <c r="BO4" s="294"/>
      <c r="BP4" s="49"/>
      <c r="BQ4" s="295"/>
    </row>
    <row r="5" spans="1:69" ht="42" customHeight="1" thickBot="1">
      <c r="A5" s="3134" t="s">
        <v>17</v>
      </c>
      <c r="B5" s="3136" t="s">
        <v>18</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2990" t="s">
        <v>481</v>
      </c>
      <c r="T5" s="3043" t="s">
        <v>18</v>
      </c>
      <c r="U5" s="296" t="s">
        <v>19</v>
      </c>
      <c r="V5" s="297"/>
      <c r="W5" s="297"/>
      <c r="X5" s="298"/>
      <c r="Y5" s="299" t="s">
        <v>530</v>
      </c>
      <c r="Z5" s="297"/>
      <c r="AA5" s="297"/>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3018" t="str">
        <f>+CONCATENATE("ACUMULADO ",N3)</f>
        <v>ACUMULADO 2017</v>
      </c>
      <c r="BI5" s="3019"/>
      <c r="BJ5" s="3019"/>
      <c r="BK5" s="3020"/>
      <c r="BM5" s="3016" t="s">
        <v>32</v>
      </c>
      <c r="BN5" s="308" t="str">
        <f>+CONCATENATE("ACUMULADO ",BQ3)</f>
        <v>ACUMULADO 2017</v>
      </c>
      <c r="BO5" s="309"/>
      <c r="BP5" s="310"/>
      <c r="BQ5" s="311"/>
    </row>
    <row r="6" spans="1:69" ht="24.95" customHeight="1" thickBot="1">
      <c r="A6" s="3135"/>
      <c r="B6" s="31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2991"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MAYO</v>
      </c>
      <c r="AS6" s="316" t="str">
        <f>AR6</f>
        <v>MAYO</v>
      </c>
      <c r="AT6" s="316" t="str">
        <f>AR6</f>
        <v>MAYO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3017"/>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22882432426</v>
      </c>
      <c r="AR7" s="327">
        <f>I22</f>
        <v>12337291027</v>
      </c>
      <c r="AS7" s="327">
        <f>L22</f>
        <v>7048094687</v>
      </c>
      <c r="AT7" s="13"/>
      <c r="AU7" s="328">
        <f t="shared" ref="AU7:AU17" si="0">IF(AQ7=0," ",AR7/AQ7)</f>
        <v>0.53915994581860283</v>
      </c>
      <c r="AV7" s="328">
        <f t="shared" ref="AV7:AV17" si="1">IF(AQ7=0," ",AS7/AQ7)</f>
        <v>0.30801335084427706</v>
      </c>
      <c r="AW7" s="327">
        <f>I23/AO$2*12+I24</f>
        <v>20958273870.199997</v>
      </c>
      <c r="AX7" s="327">
        <f>L23/AO$2*12+L24</f>
        <v>8264202654.1999998</v>
      </c>
      <c r="AY7" s="327">
        <f t="shared" ref="AY7:AY16" si="2">AW7-AQ7</f>
        <v>-1924158555.8000031</v>
      </c>
      <c r="AZ7" s="329">
        <f t="shared" ref="AZ7:AZ16" si="3">AX7-AQ7</f>
        <v>-14618229771.799999</v>
      </c>
      <c r="BB7" s="330" t="s">
        <v>53</v>
      </c>
      <c r="BC7" s="54">
        <f>F10</f>
        <v>617329922</v>
      </c>
      <c r="BD7" s="55">
        <f>I10</f>
        <v>617329922</v>
      </c>
      <c r="BE7" s="56">
        <f>K10</f>
        <v>0</v>
      </c>
      <c r="BF7" s="57"/>
      <c r="BG7" s="91" t="s">
        <v>54</v>
      </c>
      <c r="BH7" s="116">
        <f>+SUM(BH8:BH11)</f>
        <v>33368992191</v>
      </c>
      <c r="BI7" s="116">
        <f>+SUM(BI8:BI11)</f>
        <v>23066553049</v>
      </c>
      <c r="BJ7" s="116">
        <f>+SUM(BJ8:BJ11)</f>
        <v>14754756704</v>
      </c>
      <c r="BK7" s="116">
        <f>+SUM(BK8:BK11)</f>
        <v>1939548114</v>
      </c>
      <c r="BM7" s="61" t="s">
        <v>54</v>
      </c>
      <c r="BN7" s="62">
        <f>BN8+BN15+BN22</f>
        <v>33368992191</v>
      </c>
      <c r="BO7" s="63">
        <f>BO8+BO15+BO22</f>
        <v>23066553049</v>
      </c>
      <c r="BP7" s="63">
        <f>BP8+BP15+BP22</f>
        <v>14754756704</v>
      </c>
      <c r="BQ7" s="64">
        <f>BQ8+BQ15+BQ22</f>
        <v>1939548114</v>
      </c>
    </row>
    <row r="8" spans="1:69" s="9" customFormat="1" ht="24.95" customHeight="1" thickBot="1">
      <c r="A8" s="730">
        <f>+IF(ABRIL!A8=0,"",ABRIL!A8)</f>
        <v>1</v>
      </c>
      <c r="B8" s="635" t="str">
        <f>+IF(ABRIL!B8=0,"",ABRIL!B8)</f>
        <v>INGRESOS</v>
      </c>
      <c r="C8" s="331">
        <f t="shared" ref="C8:N8" si="4">C10+C17+C113</f>
        <v>50222178081</v>
      </c>
      <c r="D8" s="331">
        <f t="shared" si="4"/>
        <v>0</v>
      </c>
      <c r="E8" s="331">
        <f t="shared" si="4"/>
        <v>8213312601</v>
      </c>
      <c r="F8" s="331">
        <f t="shared" si="4"/>
        <v>58435490682</v>
      </c>
      <c r="G8" s="331">
        <f t="shared" si="4"/>
        <v>26978524173</v>
      </c>
      <c r="H8" s="331">
        <f t="shared" si="4"/>
        <v>5535601699</v>
      </c>
      <c r="I8" s="331">
        <f t="shared" si="4"/>
        <v>32514125872</v>
      </c>
      <c r="J8" s="331">
        <f t="shared" si="4"/>
        <v>13134736919</v>
      </c>
      <c r="K8" s="331">
        <f t="shared" si="4"/>
        <v>3404386797</v>
      </c>
      <c r="L8" s="331">
        <f t="shared" si="4"/>
        <v>16539123716</v>
      </c>
      <c r="M8" s="331">
        <f t="shared" si="4"/>
        <v>25921364810</v>
      </c>
      <c r="N8" s="331">
        <f t="shared" si="4"/>
        <v>41896366966</v>
      </c>
      <c r="O8" s="333"/>
      <c r="P8" s="334">
        <f>P10+P17+P113</f>
        <v>0</v>
      </c>
      <c r="Q8" s="332">
        <f>Q10+Q17+Q113</f>
        <v>0</v>
      </c>
      <c r="S8" s="701" t="str">
        <f>+IF(ABRIL!S8=0,"",ABRIL!S8)</f>
        <v/>
      </c>
      <c r="T8" s="675" t="str">
        <f>+IF(ABRIL!T8=0,"",ABRIL!T8)</f>
        <v>GASTOS</v>
      </c>
      <c r="U8" s="335">
        <f>U10+U193+U220+U232</f>
        <v>50222178081</v>
      </c>
      <c r="V8" s="336">
        <f t="shared" ref="V8:AJ8" si="5">V10+V193+V220+V232</f>
        <v>0</v>
      </c>
      <c r="W8" s="336">
        <f t="shared" si="5"/>
        <v>8213312601</v>
      </c>
      <c r="X8" s="337">
        <f t="shared" si="5"/>
        <v>58435490682</v>
      </c>
      <c r="Y8" s="338">
        <f t="shared" si="5"/>
        <v>36908275936</v>
      </c>
      <c r="Z8" s="336">
        <f t="shared" si="5"/>
        <v>2614026419</v>
      </c>
      <c r="AA8" s="337">
        <f t="shared" si="5"/>
        <v>39522302355</v>
      </c>
      <c r="AB8" s="338">
        <f t="shared" si="5"/>
        <v>24403593432</v>
      </c>
      <c r="AC8" s="336">
        <f t="shared" si="5"/>
        <v>5213704673</v>
      </c>
      <c r="AD8" s="337">
        <f t="shared" si="5"/>
        <v>29617298105</v>
      </c>
      <c r="AE8" s="338">
        <f t="shared" si="5"/>
        <v>13103093451</v>
      </c>
      <c r="AF8" s="336">
        <f t="shared" si="5"/>
        <v>3768086540</v>
      </c>
      <c r="AG8" s="337">
        <f t="shared" si="5"/>
        <v>16871179991</v>
      </c>
      <c r="AH8" s="338">
        <f t="shared" si="5"/>
        <v>18913188327</v>
      </c>
      <c r="AI8" s="336">
        <f t="shared" si="5"/>
        <v>28818192577</v>
      </c>
      <c r="AJ8" s="339">
        <f t="shared" si="5"/>
        <v>41564310691</v>
      </c>
      <c r="AL8" s="340">
        <f t="shared" ref="AL8:AM8" si="6">AL10+AL193+AL220+AL232</f>
        <v>0</v>
      </c>
      <c r="AM8" s="341">
        <f t="shared" si="6"/>
        <v>0</v>
      </c>
      <c r="AO8" s="21"/>
      <c r="AP8" s="11" t="s">
        <v>56</v>
      </c>
      <c r="AQ8" s="12">
        <f>F25</f>
        <v>15702041866</v>
      </c>
      <c r="AR8" s="12">
        <f>I25</f>
        <v>11989029399</v>
      </c>
      <c r="AS8" s="12">
        <f>L25</f>
        <v>5660129380</v>
      </c>
      <c r="AT8" s="13"/>
      <c r="AU8" s="342">
        <f t="shared" si="0"/>
        <v>0.76353314437150543</v>
      </c>
      <c r="AV8" s="342">
        <f t="shared" si="1"/>
        <v>0.36047091380236418</v>
      </c>
      <c r="AW8" s="12">
        <f>I26/AO$2*12+I27</f>
        <v>22242079386.599998</v>
      </c>
      <c r="AX8" s="12">
        <f>L26/AO$2*12+L27</f>
        <v>7052719341</v>
      </c>
      <c r="AY8" s="12">
        <f t="shared" si="2"/>
        <v>6540037520.5999985</v>
      </c>
      <c r="AZ8" s="343">
        <f t="shared" si="3"/>
        <v>-8649322525</v>
      </c>
      <c r="BB8" s="140" t="s">
        <v>57</v>
      </c>
      <c r="BC8" s="65">
        <f>BC9+BC19</f>
        <v>41179273113</v>
      </c>
      <c r="BD8" s="66">
        <f>BD9+BD19</f>
        <v>18400478976</v>
      </c>
      <c r="BE8" s="67">
        <f>BE9+BE19</f>
        <v>1793470048</v>
      </c>
      <c r="BF8" s="57"/>
      <c r="BG8" s="68" t="s">
        <v>58</v>
      </c>
      <c r="BH8" s="69">
        <f>BN9+BN13</f>
        <v>2542168139</v>
      </c>
      <c r="BI8" s="69">
        <f>BO9+BO13</f>
        <v>845799315</v>
      </c>
      <c r="BJ8" s="69">
        <f>BP9+BP13</f>
        <v>845799315</v>
      </c>
      <c r="BK8" s="69">
        <f>BQ9+BQ13</f>
        <v>180397417</v>
      </c>
      <c r="BM8" s="71" t="s">
        <v>59</v>
      </c>
      <c r="BN8" s="72">
        <f>BN9+BN14+BN13</f>
        <v>24698908346</v>
      </c>
      <c r="BO8" s="69">
        <f>BO9+BO14+BO13</f>
        <v>16605683630</v>
      </c>
      <c r="BP8" s="69">
        <f>BP9+BP14+BP13</f>
        <v>11260513160</v>
      </c>
      <c r="BQ8" s="70">
        <f>BQ9+BQ14+BQ13</f>
        <v>1359991375</v>
      </c>
    </row>
    <row r="9" spans="1:69"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210337189</v>
      </c>
      <c r="AR9" s="12">
        <f>I28+I75</f>
        <v>523347683</v>
      </c>
      <c r="AS9" s="12">
        <f>L28+L75</f>
        <v>2775457</v>
      </c>
      <c r="AT9" s="13"/>
      <c r="AU9" s="350">
        <f t="shared" si="0"/>
        <v>2.4881367174684454</v>
      </c>
      <c r="AV9" s="350">
        <f t="shared" si="1"/>
        <v>1.3195274754765311E-2</v>
      </c>
      <c r="AW9" s="351">
        <f>(I30+I33+I36+I76)/AO$2*12+I31+I34+I37+I38+I39+I40+I77</f>
        <v>1254892449.4000001</v>
      </c>
      <c r="AX9" s="351">
        <f>(L30+L33+L36+L76)/AO$2*12+L31+L34+L37+L38+L39+L40+L77</f>
        <v>5519107</v>
      </c>
      <c r="AY9" s="351">
        <f t="shared" si="2"/>
        <v>1044555260.4000001</v>
      </c>
      <c r="AZ9" s="352">
        <f t="shared" si="3"/>
        <v>-204818082</v>
      </c>
      <c r="BB9" s="353" t="s">
        <v>427</v>
      </c>
      <c r="BC9" s="73">
        <f>BC10+BC18</f>
        <v>40501810887</v>
      </c>
      <c r="BD9" s="74">
        <f>BD10+BD18</f>
        <v>17371370525</v>
      </c>
      <c r="BE9" s="75">
        <f>BE10+BE18</f>
        <v>1679235986</v>
      </c>
      <c r="BF9" s="76"/>
      <c r="BG9" s="77" t="s">
        <v>62</v>
      </c>
      <c r="BH9" s="78">
        <f t="shared" ref="BH9:BK10" si="7">BN14</f>
        <v>22156740207</v>
      </c>
      <c r="BI9" s="78">
        <f t="shared" si="7"/>
        <v>15759884315</v>
      </c>
      <c r="BJ9" s="78">
        <f t="shared" si="7"/>
        <v>10414713845</v>
      </c>
      <c r="BK9" s="78">
        <f t="shared" si="7"/>
        <v>1179593958</v>
      </c>
      <c r="BM9" s="137" t="s">
        <v>63</v>
      </c>
      <c r="BN9" s="80">
        <f>SUM(BN10:BN12)</f>
        <v>2025410762</v>
      </c>
      <c r="BO9" s="78">
        <f>SUM(BO10:BO12)</f>
        <v>675325999</v>
      </c>
      <c r="BP9" s="78">
        <f>SUM(BP10:BP12)</f>
        <v>675325999</v>
      </c>
      <c r="BQ9" s="79">
        <f>SUM(BQ10:BQ12)</f>
        <v>146844771</v>
      </c>
    </row>
    <row r="10" spans="1:69" s="9" customFormat="1" ht="24.95" customHeight="1">
      <c r="A10" s="731">
        <f>+IF(ABRIL!A10=0,"",ABRIL!A10)</f>
        <v>10</v>
      </c>
      <c r="B10" s="637" t="str">
        <f>+IF(ABRIL!B10=0,"",ABRIL!B10)</f>
        <v>DISPONIBILIDAD INICIAL</v>
      </c>
      <c r="C10" s="174">
        <f t="shared" ref="C10:N10" si="8">SUM(C12:C15)</f>
        <v>0</v>
      </c>
      <c r="D10" s="354">
        <f t="shared" si="8"/>
        <v>0</v>
      </c>
      <c r="E10" s="354">
        <f t="shared" si="8"/>
        <v>617329922</v>
      </c>
      <c r="F10" s="175">
        <f t="shared" si="8"/>
        <v>617329922</v>
      </c>
      <c r="G10" s="355">
        <f t="shared" si="8"/>
        <v>617329922</v>
      </c>
      <c r="H10" s="354">
        <f t="shared" si="8"/>
        <v>0</v>
      </c>
      <c r="I10" s="356">
        <f t="shared" si="8"/>
        <v>617329922</v>
      </c>
      <c r="J10" s="174">
        <f t="shared" si="8"/>
        <v>617329922</v>
      </c>
      <c r="K10" s="354">
        <f t="shared" si="8"/>
        <v>0</v>
      </c>
      <c r="L10" s="175">
        <f t="shared" si="8"/>
        <v>617329922</v>
      </c>
      <c r="M10" s="174">
        <f t="shared" si="8"/>
        <v>0</v>
      </c>
      <c r="N10" s="175">
        <f t="shared" si="8"/>
        <v>0</v>
      </c>
      <c r="O10" s="13"/>
      <c r="P10" s="174">
        <f>SUM(P12:P15)</f>
        <v>0</v>
      </c>
      <c r="Q10" s="175">
        <f>SUM(Q12:Q15)</f>
        <v>0</v>
      </c>
      <c r="S10" s="357" t="str">
        <f>+IF(ABRIL!S10=0,"",ABRIL!S10)</f>
        <v>A</v>
      </c>
      <c r="T10" s="676" t="str">
        <f>+IF(ABRIL!T10=0,"",ABRIL!T10)</f>
        <v>GASTOS DE FUNCIONAMIENTO</v>
      </c>
      <c r="U10" s="358">
        <f>U12+U110+U170</f>
        <v>35471771735</v>
      </c>
      <c r="V10" s="359">
        <f t="shared" ref="V10:AJ10" si="9">V12+V110+V170</f>
        <v>-449588299</v>
      </c>
      <c r="W10" s="359">
        <f t="shared" si="9"/>
        <v>5964115702</v>
      </c>
      <c r="X10" s="362">
        <f t="shared" si="9"/>
        <v>40986299138</v>
      </c>
      <c r="Y10" s="361">
        <f t="shared" si="9"/>
        <v>28799179181</v>
      </c>
      <c r="Z10" s="359">
        <f t="shared" si="9"/>
        <v>1214074984</v>
      </c>
      <c r="AA10" s="362">
        <f t="shared" si="9"/>
        <v>30013254165</v>
      </c>
      <c r="AB10" s="361">
        <f t="shared" si="9"/>
        <v>18112576402</v>
      </c>
      <c r="AC10" s="359">
        <f t="shared" si="9"/>
        <v>3588881418</v>
      </c>
      <c r="AD10" s="362">
        <f t="shared" si="9"/>
        <v>21701457820</v>
      </c>
      <c r="AE10" s="361">
        <f t="shared" si="9"/>
        <v>10236127939</v>
      </c>
      <c r="AF10" s="359">
        <f t="shared" si="9"/>
        <v>3118893568</v>
      </c>
      <c r="AG10" s="362">
        <f t="shared" si="9"/>
        <v>13355021507</v>
      </c>
      <c r="AH10" s="361">
        <f t="shared" si="9"/>
        <v>10973044973</v>
      </c>
      <c r="AI10" s="359">
        <f t="shared" si="9"/>
        <v>19284841318</v>
      </c>
      <c r="AJ10" s="360">
        <f t="shared" si="9"/>
        <v>27631277631</v>
      </c>
      <c r="AL10" s="363">
        <f t="shared" ref="AL10:AM10" si="10">AL12+AL110+AL170</f>
        <v>-350000000</v>
      </c>
      <c r="AM10" s="364">
        <f t="shared" si="10"/>
        <v>0</v>
      </c>
      <c r="AO10" s="349"/>
      <c r="AP10" s="11" t="s">
        <v>65</v>
      </c>
      <c r="AQ10" s="12">
        <f>F42</f>
        <v>0</v>
      </c>
      <c r="AR10" s="12">
        <f>I42</f>
        <v>0</v>
      </c>
      <c r="AS10" s="12">
        <f>L42</f>
        <v>0</v>
      </c>
      <c r="AT10" s="13"/>
      <c r="AU10" s="350" t="str">
        <f t="shared" si="0"/>
        <v xml:space="preserve"> </v>
      </c>
      <c r="AV10" s="350" t="str">
        <f t="shared" si="1"/>
        <v xml:space="preserve"> </v>
      </c>
      <c r="AW10" s="351">
        <f>I43/AO$2*12+I44</f>
        <v>0</v>
      </c>
      <c r="AX10" s="351">
        <f>L43/AO$2*12+L44</f>
        <v>0</v>
      </c>
      <c r="AY10" s="351">
        <f t="shared" si="2"/>
        <v>0</v>
      </c>
      <c r="AZ10" s="352">
        <f t="shared" si="3"/>
        <v>0</v>
      </c>
      <c r="BB10" s="365" t="s">
        <v>428</v>
      </c>
      <c r="BC10" s="73">
        <f>BC11+BC12+BC13+BC14+BC16+BC17+BC15</f>
        <v>40501810887</v>
      </c>
      <c r="BD10" s="74">
        <f>BD11+BD12+BD13+BD14+BD16+BD17+BD15</f>
        <v>17371370525</v>
      </c>
      <c r="BE10" s="75">
        <f>BE11+BE12+BE13+BE14+BE16+BE17+BE15</f>
        <v>1679235986</v>
      </c>
      <c r="BF10" s="76"/>
      <c r="BG10" s="68" t="s">
        <v>66</v>
      </c>
      <c r="BH10" s="81">
        <f t="shared" si="7"/>
        <v>8508053842</v>
      </c>
      <c r="BI10" s="81">
        <f t="shared" si="7"/>
        <v>6371139454</v>
      </c>
      <c r="BJ10" s="81">
        <f t="shared" si="7"/>
        <v>3415388708</v>
      </c>
      <c r="BK10" s="81">
        <f t="shared" si="7"/>
        <v>567688139</v>
      </c>
      <c r="BM10" s="134" t="s">
        <v>440</v>
      </c>
      <c r="BN10" s="83">
        <f>X17+X66</f>
        <v>1512951119</v>
      </c>
      <c r="BO10" s="81">
        <f>AA17+AA66</f>
        <v>523813609</v>
      </c>
      <c r="BP10" s="81">
        <f>AD17+AD66</f>
        <v>523813609</v>
      </c>
      <c r="BQ10" s="82">
        <f>AF17+AF66</f>
        <v>118322119</v>
      </c>
    </row>
    <row r="11" spans="1:69" s="9" customFormat="1" ht="24.95" customHeight="1">
      <c r="A11" s="666"/>
      <c r="B11" s="636"/>
      <c r="C11" s="344"/>
      <c r="D11" s="344"/>
      <c r="E11" s="344"/>
      <c r="F11" s="344"/>
      <c r="G11" s="344"/>
      <c r="H11" s="344"/>
      <c r="I11" s="344"/>
      <c r="J11" s="344"/>
      <c r="K11" s="344"/>
      <c r="L11" s="344"/>
      <c r="M11" s="344"/>
      <c r="N11" s="345"/>
      <c r="O11" s="333"/>
      <c r="P11" s="346"/>
      <c r="Q11" s="345"/>
      <c r="S11" s="366"/>
      <c r="T11" s="695"/>
      <c r="U11" s="161"/>
      <c r="V11" s="161"/>
      <c r="W11" s="161"/>
      <c r="X11" s="161"/>
      <c r="Y11" s="161"/>
      <c r="Z11" s="161"/>
      <c r="AA11" s="161"/>
      <c r="AB11" s="161"/>
      <c r="AC11" s="161"/>
      <c r="AD11" s="161"/>
      <c r="AE11" s="161"/>
      <c r="AF11" s="161"/>
      <c r="AG11" s="161"/>
      <c r="AH11" s="161"/>
      <c r="AI11" s="161"/>
      <c r="AJ11" s="166"/>
      <c r="AL11" s="368"/>
      <c r="AM11" s="369"/>
      <c r="AO11" s="370" t="s">
        <v>11</v>
      </c>
      <c r="AP11" s="11" t="s">
        <v>538</v>
      </c>
      <c r="AQ11" s="12">
        <f>F88</f>
        <v>0</v>
      </c>
      <c r="AR11" s="12">
        <f>I88</f>
        <v>0</v>
      </c>
      <c r="AS11" s="12">
        <f>L88</f>
        <v>0</v>
      </c>
      <c r="AT11" s="371">
        <f>AO2/12</f>
        <v>0.41666666666666669</v>
      </c>
      <c r="AU11" s="350" t="str">
        <f t="shared" si="0"/>
        <v xml:space="preserve"> </v>
      </c>
      <c r="AV11" s="350" t="str">
        <f t="shared" si="1"/>
        <v xml:space="preserve"> </v>
      </c>
      <c r="AW11" s="351">
        <f>I88</f>
        <v>0</v>
      </c>
      <c r="AX11" s="351">
        <f>L88</f>
        <v>0</v>
      </c>
      <c r="AY11" s="351">
        <f t="shared" si="2"/>
        <v>0</v>
      </c>
      <c r="AZ11" s="352">
        <f t="shared" si="3"/>
        <v>0</v>
      </c>
      <c r="BB11" s="365" t="s">
        <v>429</v>
      </c>
      <c r="BC11" s="73">
        <f>F26</f>
        <v>13439321219</v>
      </c>
      <c r="BD11" s="74">
        <f>I26</f>
        <v>7323607134</v>
      </c>
      <c r="BE11" s="75">
        <f>K26</f>
        <v>794370415</v>
      </c>
      <c r="BF11" s="76"/>
      <c r="BG11" s="68" t="s">
        <v>67</v>
      </c>
      <c r="BH11" s="84">
        <f>BN22</f>
        <v>162030003</v>
      </c>
      <c r="BI11" s="84">
        <f>BO22</f>
        <v>89729965</v>
      </c>
      <c r="BJ11" s="84">
        <f>BP22</f>
        <v>78854836</v>
      </c>
      <c r="BK11" s="84">
        <f>BQ22</f>
        <v>11868600</v>
      </c>
      <c r="BM11" s="135" t="s">
        <v>441</v>
      </c>
      <c r="BN11" s="86">
        <f>X18+X67</f>
        <v>36988810</v>
      </c>
      <c r="BO11" s="84">
        <f>AA18+AA67</f>
        <v>34348264</v>
      </c>
      <c r="BP11" s="84">
        <f>AD18+AD67</f>
        <v>34348264</v>
      </c>
      <c r="BQ11" s="85">
        <f>AF18+AF67</f>
        <v>8394106</v>
      </c>
    </row>
    <row r="12" spans="1:69" s="9" customFormat="1" ht="24.95" customHeight="1">
      <c r="A12" s="611">
        <f>+IF(ABRIL!A12=0,"",ABRIL!A12)</f>
        <v>1001</v>
      </c>
      <c r="B12" s="638" t="str">
        <f>+IF(ABRIL!B12=0,"",ABRIL!B12)</f>
        <v>Bienestar Social (Caja, Bancos, Inversiones Tempor.) a Dic-31-2016</v>
      </c>
      <c r="C12" s="671">
        <f>+ENERO!C12</f>
        <v>0</v>
      </c>
      <c r="D12" s="373">
        <f>ABRIL!D12+MAYO!P12</f>
        <v>0</v>
      </c>
      <c r="E12" s="373">
        <f>ABRIL!E12+MAYO!Q12</f>
        <v>26156707</v>
      </c>
      <c r="F12" s="143">
        <f>SUM(C12:E12)</f>
        <v>26156707</v>
      </c>
      <c r="G12" s="219">
        <f>ABRIL!I12</f>
        <v>26156707</v>
      </c>
      <c r="H12" s="374">
        <v>0</v>
      </c>
      <c r="I12" s="143">
        <f>SUM(G12:H12)</f>
        <v>26156707</v>
      </c>
      <c r="J12" s="219">
        <f>ABRIL!L12</f>
        <v>26156707</v>
      </c>
      <c r="K12" s="131">
        <f>+H12</f>
        <v>0</v>
      </c>
      <c r="L12" s="143">
        <f>SUM(J12:K12)</f>
        <v>26156707</v>
      </c>
      <c r="M12" s="219">
        <f>F12-I12</f>
        <v>0</v>
      </c>
      <c r="N12" s="143">
        <f>F12-L12</f>
        <v>0</v>
      </c>
      <c r="O12" s="294"/>
      <c r="P12" s="372">
        <v>0</v>
      </c>
      <c r="Q12" s="375">
        <v>0</v>
      </c>
      <c r="S12" s="702">
        <f>+IF(ABRIL!S12=0,"",ABRIL!S12)</f>
        <v>1000000</v>
      </c>
      <c r="T12" s="678" t="str">
        <f>+IF(ABRIL!T12=0,"",ABRIL!T12)</f>
        <v>GASTOS DE PERSONAL</v>
      </c>
      <c r="U12" s="376">
        <f t="shared" ref="U12:AJ12" si="11">U14+U63</f>
        <v>27757873896</v>
      </c>
      <c r="V12" s="377">
        <f t="shared" si="11"/>
        <v>510731373</v>
      </c>
      <c r="W12" s="377">
        <f t="shared" si="11"/>
        <v>2855008127</v>
      </c>
      <c r="X12" s="378">
        <f t="shared" si="11"/>
        <v>31123613396</v>
      </c>
      <c r="Y12" s="363">
        <f t="shared" si="11"/>
        <v>22137783895</v>
      </c>
      <c r="Z12" s="377">
        <f t="shared" si="11"/>
        <v>672148388</v>
      </c>
      <c r="AA12" s="378">
        <f t="shared" si="11"/>
        <v>22809932283</v>
      </c>
      <c r="AB12" s="363">
        <f t="shared" si="11"/>
        <v>14698431974</v>
      </c>
      <c r="AC12" s="377">
        <f t="shared" si="11"/>
        <v>2766329839</v>
      </c>
      <c r="AD12" s="378">
        <f t="shared" si="11"/>
        <v>17464761813</v>
      </c>
      <c r="AE12" s="363">
        <f t="shared" si="11"/>
        <v>8337786891</v>
      </c>
      <c r="AF12" s="377">
        <f t="shared" si="11"/>
        <v>2365319148</v>
      </c>
      <c r="AG12" s="378">
        <f t="shared" si="11"/>
        <v>10703106039</v>
      </c>
      <c r="AH12" s="363">
        <f t="shared" si="11"/>
        <v>8313681113</v>
      </c>
      <c r="AI12" s="377">
        <f t="shared" si="11"/>
        <v>13658851583</v>
      </c>
      <c r="AJ12" s="364">
        <f t="shared" si="11"/>
        <v>20420507357</v>
      </c>
      <c r="AK12" s="10"/>
      <c r="AL12" s="379">
        <f>AL14+AL63</f>
        <v>1000000000</v>
      </c>
      <c r="AM12" s="380">
        <f>AM14+AM63</f>
        <v>0</v>
      </c>
      <c r="AO12" s="370"/>
      <c r="AP12" s="14"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18905646713</v>
      </c>
      <c r="BD12" s="74">
        <f>I23</f>
        <v>6157844888</v>
      </c>
      <c r="BE12" s="75">
        <f>K23</f>
        <v>866066598</v>
      </c>
      <c r="BF12" s="76"/>
      <c r="BG12" s="381" t="s">
        <v>391</v>
      </c>
      <c r="BH12" s="84">
        <f>BN25</f>
        <v>14723406346</v>
      </c>
      <c r="BI12" s="15">
        <f>BO25</f>
        <v>6882759687</v>
      </c>
      <c r="BJ12" s="84">
        <f>BP25</f>
        <v>5462292347</v>
      </c>
      <c r="BK12" s="84">
        <f>BQ25</f>
        <v>242988294</v>
      </c>
      <c r="BM12" s="136" t="s">
        <v>442</v>
      </c>
      <c r="BN12" s="86">
        <f>X16+X65-X81-X33-BN10-BN11</f>
        <v>475470833</v>
      </c>
      <c r="BO12" s="84">
        <f>AA16+AA65-AA81-AA33-BO10-BO11</f>
        <v>117164126</v>
      </c>
      <c r="BP12" s="84">
        <f>AD16+AD65-AD81-AD33-BP10-BP11</f>
        <v>117164126</v>
      </c>
      <c r="BQ12" s="85">
        <f>AF16+AF65-AF81-AF33-BQ10-BQ11</f>
        <v>20128546</v>
      </c>
    </row>
    <row r="13" spans="1:69" s="9" customFormat="1" ht="24.95" customHeight="1">
      <c r="A13" s="611">
        <f>+IF(ABRIL!A13=0,"",ABRIL!A13)</f>
        <v>1002</v>
      </c>
      <c r="B13" s="638" t="str">
        <f>+IF(ABRIL!B13=0,"",ABRIL!B13)</f>
        <v>Fondo Vivienda (Caja, Bancos, Inversiones Tempor.) a Dic-31-2016</v>
      </c>
      <c r="C13" s="671">
        <f>+ENERO!C13</f>
        <v>0</v>
      </c>
      <c r="D13" s="373">
        <f>ABRIL!D13+MAYO!P13</f>
        <v>0</v>
      </c>
      <c r="E13" s="373">
        <f>ABRIL!E13+MAYO!Q13</f>
        <v>53878092</v>
      </c>
      <c r="F13" s="143">
        <f>SUM(C13:E13)</f>
        <v>53878092</v>
      </c>
      <c r="G13" s="219">
        <f>ABRIL!I13</f>
        <v>53878092</v>
      </c>
      <c r="H13" s="374">
        <v>0</v>
      </c>
      <c r="I13" s="143">
        <f>SUM(G13:H13)</f>
        <v>53878092</v>
      </c>
      <c r="J13" s="219">
        <f>ABRIL!L13</f>
        <v>53878092</v>
      </c>
      <c r="K13" s="131">
        <f>+H13</f>
        <v>0</v>
      </c>
      <c r="L13" s="143">
        <f>SUM(J13:K13)</f>
        <v>53878092</v>
      </c>
      <c r="M13" s="219">
        <f>F13-I13</f>
        <v>0</v>
      </c>
      <c r="N13" s="143">
        <f>F13-L13</f>
        <v>0</v>
      </c>
      <c r="O13" s="382"/>
      <c r="P13" s="372">
        <v>0</v>
      </c>
      <c r="Q13" s="375">
        <v>0</v>
      </c>
      <c r="S13" s="366"/>
      <c r="T13" s="695"/>
      <c r="U13" s="161"/>
      <c r="V13" s="161"/>
      <c r="W13" s="161"/>
      <c r="X13" s="161"/>
      <c r="Y13" s="161"/>
      <c r="Z13" s="161"/>
      <c r="AA13" s="161"/>
      <c r="AB13" s="161"/>
      <c r="AC13" s="161"/>
      <c r="AD13" s="161"/>
      <c r="AE13" s="161"/>
      <c r="AF13" s="161"/>
      <c r="AG13" s="161"/>
      <c r="AH13" s="161"/>
      <c r="AI13" s="161"/>
      <c r="AJ13" s="166"/>
      <c r="AK13" s="10"/>
      <c r="AL13" s="368"/>
      <c r="AM13" s="369"/>
      <c r="AO13" s="20"/>
      <c r="AP13" s="14"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157521482</v>
      </c>
      <c r="BD13" s="88">
        <f>+I30+I33+I36+I38+I39+I40</f>
        <v>491767462</v>
      </c>
      <c r="BE13" s="89">
        <f>+K30+K33+K36+K38+K39+K40</f>
        <v>10900</v>
      </c>
      <c r="BF13" s="90"/>
      <c r="BG13" s="91" t="s">
        <v>70</v>
      </c>
      <c r="BH13" s="84">
        <f t="shared" ref="BH13:BK15" si="12">BN29</f>
        <v>433878092</v>
      </c>
      <c r="BI13" s="84">
        <f t="shared" si="12"/>
        <v>352813794</v>
      </c>
      <c r="BJ13" s="84">
        <f t="shared" si="12"/>
        <v>180073229</v>
      </c>
      <c r="BK13" s="84">
        <f t="shared" si="12"/>
        <v>30056711</v>
      </c>
      <c r="BM13" s="139" t="s">
        <v>443</v>
      </c>
      <c r="BN13" s="83">
        <f>X43-X55+X57-X61+X90-X102+X104-X108</f>
        <v>516757377</v>
      </c>
      <c r="BO13" s="81">
        <f>AA43-AA55+AA57-AA61+AA90-AA102+AA104-AA108</f>
        <v>170473316</v>
      </c>
      <c r="BP13" s="81">
        <f>AD43-AD55+AD57-AD61+AD90-AD102+AD104-AD108</f>
        <v>170473316</v>
      </c>
      <c r="BQ13" s="82">
        <f>AF43-AF55+AF57-AF61+AF90-AF102+AF104-AF108</f>
        <v>33552646</v>
      </c>
    </row>
    <row r="14" spans="1:69" s="9" customFormat="1" ht="24.95" customHeight="1">
      <c r="A14" s="611">
        <f>+IF(ABRIL!A14=0,"",ABRIL!A14)</f>
        <v>1003</v>
      </c>
      <c r="B14" s="638" t="str">
        <f>+IF(ABRIL!B14=0,"",ABRIL!B14)</f>
        <v>Fondos Comunes y Especiales (Caja, Bancos, Invers. Tempor.) a Dic-31-2016</v>
      </c>
      <c r="C14" s="671">
        <f>+ENERO!C14</f>
        <v>0</v>
      </c>
      <c r="D14" s="373">
        <f>ABRIL!D14+MAYO!P14</f>
        <v>0</v>
      </c>
      <c r="E14" s="373">
        <f>ABRIL!E14+MAYO!Q14</f>
        <v>433953123</v>
      </c>
      <c r="F14" s="143">
        <f>SUM(C14:E14)</f>
        <v>433953123</v>
      </c>
      <c r="G14" s="219">
        <f>ABRIL!I14</f>
        <v>433953123</v>
      </c>
      <c r="H14" s="374">
        <v>0</v>
      </c>
      <c r="I14" s="143">
        <f>SUM(G14:H14)</f>
        <v>433953123</v>
      </c>
      <c r="J14" s="219">
        <f>ABRIL!L14</f>
        <v>433953123</v>
      </c>
      <c r="K14" s="131">
        <f>+H14</f>
        <v>0</v>
      </c>
      <c r="L14" s="143">
        <f>SUM(J14:K14)</f>
        <v>433953123</v>
      </c>
      <c r="M14" s="219">
        <f>F14-I14</f>
        <v>0</v>
      </c>
      <c r="N14" s="143">
        <f>F14-L14</f>
        <v>0</v>
      </c>
      <c r="O14" s="382"/>
      <c r="P14" s="372">
        <v>0</v>
      </c>
      <c r="Q14" s="375">
        <v>0</v>
      </c>
      <c r="S14" s="703">
        <f>+IF(ABRIL!S14=0,"",ABRIL!S14)</f>
        <v>1010000</v>
      </c>
      <c r="T14" s="679" t="str">
        <f>+IF(ABRIL!T14=0,"",ABRIL!T14)</f>
        <v>Gastos de Administración</v>
      </c>
      <c r="U14" s="132">
        <f t="shared" ref="U14:AJ14" si="13">U16+U35+U43+U57</f>
        <v>4011945263</v>
      </c>
      <c r="V14" s="122">
        <f t="shared" si="13"/>
        <v>703143344</v>
      </c>
      <c r="W14" s="122">
        <f t="shared" si="13"/>
        <v>744012433</v>
      </c>
      <c r="X14" s="129">
        <f t="shared" si="13"/>
        <v>5459101040</v>
      </c>
      <c r="Y14" s="128">
        <f t="shared" si="13"/>
        <v>4376220112</v>
      </c>
      <c r="Z14" s="122">
        <f t="shared" si="13"/>
        <v>81940841</v>
      </c>
      <c r="AA14" s="129">
        <f t="shared" si="13"/>
        <v>4458160953</v>
      </c>
      <c r="AB14" s="128">
        <f t="shared" si="13"/>
        <v>2702843259</v>
      </c>
      <c r="AC14" s="122">
        <f t="shared" si="13"/>
        <v>218487690</v>
      </c>
      <c r="AD14" s="129">
        <f t="shared" si="13"/>
        <v>2921330949</v>
      </c>
      <c r="AE14" s="128">
        <f t="shared" si="13"/>
        <v>2059612580</v>
      </c>
      <c r="AF14" s="122">
        <f t="shared" si="13"/>
        <v>113512876</v>
      </c>
      <c r="AG14" s="129">
        <f t="shared" si="13"/>
        <v>2173125456</v>
      </c>
      <c r="AH14" s="128">
        <f t="shared" si="13"/>
        <v>1000940087</v>
      </c>
      <c r="AI14" s="122">
        <f t="shared" si="13"/>
        <v>2537770091</v>
      </c>
      <c r="AJ14" s="130">
        <f t="shared" si="13"/>
        <v>3285975584</v>
      </c>
      <c r="AK14" s="10"/>
      <c r="AL14" s="128">
        <f>AL16+AL35+AL43+AL57</f>
        <v>21000000</v>
      </c>
      <c r="AM14" s="130">
        <f>AM16+AM35+AM43+AM57</f>
        <v>0</v>
      </c>
      <c r="AO14" s="21"/>
      <c r="AP14" s="11" t="s">
        <v>73</v>
      </c>
      <c r="AQ14" s="12">
        <f>F19-AQ7-AQ8-AQ9-AQ10-AQ11-AQ12-AQ13</f>
        <v>9239881893</v>
      </c>
      <c r="AR14" s="12">
        <f>I19-AR7-AR8-AR9-AR10-AR11-AR12-AR13</f>
        <v>5963961946</v>
      </c>
      <c r="AS14" s="12">
        <f>L19-AS7-AS8-AS9-AS10-AS11-AS12-AS13</f>
        <v>2876880266</v>
      </c>
      <c r="AT14" s="382"/>
      <c r="AU14" s="350">
        <f t="shared" si="0"/>
        <v>0.64545867740130003</v>
      </c>
      <c r="AV14" s="350">
        <f t="shared" si="1"/>
        <v>0.3113546579182449</v>
      </c>
      <c r="AW14" s="351">
        <f>(I41+I46+I49+I52+I55+I58+I61+I64+I67+I70+I73+I78+I81+I82+I83+I85+I94+I104)/AO$2*12+I47+I50+I53+I56+I59+I62+I65+I68+I71+I74</f>
        <v>13274728271</v>
      </c>
      <c r="AX14" s="351">
        <f>(L41+L46+L49+L52+L55+L58+L61+L64+L67+L70+L73+L78+L81+L82+L83+L85+L94+L104)/AO$2*12+L47+L50+L53+L56+L59+L62+L65+L68+L71+L74</f>
        <v>4067527700.5999999</v>
      </c>
      <c r="AY14" s="351">
        <f t="shared" si="2"/>
        <v>4034846378</v>
      </c>
      <c r="AZ14" s="352">
        <f t="shared" si="3"/>
        <v>-5172354192.3999996</v>
      </c>
      <c r="BB14" s="383" t="s">
        <v>432</v>
      </c>
      <c r="BC14" s="92">
        <f>+F64</f>
        <v>5110724757</v>
      </c>
      <c r="BD14" s="93">
        <f>+I64</f>
        <v>933026314</v>
      </c>
      <c r="BE14" s="94">
        <f>K64</f>
        <v>0</v>
      </c>
      <c r="BF14" s="95"/>
      <c r="BG14" s="91" t="s">
        <v>74</v>
      </c>
      <c r="BH14" s="81">
        <f t="shared" si="12"/>
        <v>0</v>
      </c>
      <c r="BI14" s="81">
        <f t="shared" si="12"/>
        <v>0</v>
      </c>
      <c r="BJ14" s="81">
        <f t="shared" si="12"/>
        <v>0</v>
      </c>
      <c r="BK14" s="81">
        <f t="shared" si="12"/>
        <v>0</v>
      </c>
      <c r="BM14" s="138" t="s">
        <v>439</v>
      </c>
      <c r="BN14" s="86">
        <f>X35-X41+X83-X88</f>
        <v>22156740207</v>
      </c>
      <c r="BO14" s="84">
        <f>AA35-AA41+AA83-AA88</f>
        <v>15759884315</v>
      </c>
      <c r="BP14" s="84">
        <f>AD35-AD41+AD83-AD88</f>
        <v>10414713845</v>
      </c>
      <c r="BQ14" s="85">
        <f>AF35-AF41+AF83-AF88</f>
        <v>1179593958</v>
      </c>
    </row>
    <row r="15" spans="1:69" s="9" customFormat="1" ht="24.95" customHeight="1" thickBot="1">
      <c r="A15" s="612">
        <f>+IF(ABRIL!A15=0,"",ABRIL!A15)</f>
        <v>1004</v>
      </c>
      <c r="B15" s="638" t="str">
        <f>+IF(ABRIL!B15=0,"",ABRIL!B15)</f>
        <v>Cesantias Ley 50/1990 a Dic-31-2016</v>
      </c>
      <c r="C15" s="769">
        <f>+ENERO!C15</f>
        <v>0</v>
      </c>
      <c r="D15" s="385">
        <f>ABRIL!D15+MAYO!P15</f>
        <v>0</v>
      </c>
      <c r="E15" s="385">
        <f>ABRIL!E15+MAYO!Q15</f>
        <v>103342000</v>
      </c>
      <c r="F15" s="386">
        <f>SUM(C15:E15)</f>
        <v>103342000</v>
      </c>
      <c r="G15" s="387">
        <f>ABRIL!I15</f>
        <v>103342000</v>
      </c>
      <c r="H15" s="388">
        <v>0</v>
      </c>
      <c r="I15" s="386">
        <f>SUM(G15:H15)</f>
        <v>103342000</v>
      </c>
      <c r="J15" s="387">
        <f>ABRIL!L15</f>
        <v>103342000</v>
      </c>
      <c r="K15" s="165">
        <f>+H15</f>
        <v>0</v>
      </c>
      <c r="L15" s="386">
        <f>SUM(J15:K15)</f>
        <v>103342000</v>
      </c>
      <c r="M15" s="387">
        <f>F15-I15</f>
        <v>0</v>
      </c>
      <c r="N15" s="386">
        <f>F15-L15</f>
        <v>0</v>
      </c>
      <c r="O15" s="382"/>
      <c r="P15" s="384">
        <v>0</v>
      </c>
      <c r="Q15" s="389">
        <v>0</v>
      </c>
      <c r="S15" s="366" t="str">
        <f>+IF(ABRIL!S15=0,"",ABRIL!S15)</f>
        <v/>
      </c>
      <c r="T15" s="695"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9054339033</v>
      </c>
      <c r="AR15" s="12">
        <f>I113</f>
        <v>2391317</v>
      </c>
      <c r="AS15" s="12">
        <f>L113</f>
        <v>2391317</v>
      </c>
      <c r="AT15" s="13"/>
      <c r="AU15" s="350">
        <f t="shared" si="0"/>
        <v>2.6410729610239458E-4</v>
      </c>
      <c r="AV15" s="350">
        <f t="shared" si="1"/>
        <v>2.6410729610239458E-4</v>
      </c>
      <c r="AW15" s="12">
        <f>+AR15</f>
        <v>2391317</v>
      </c>
      <c r="AX15" s="12">
        <f>+AS15</f>
        <v>2391317</v>
      </c>
      <c r="AY15" s="12">
        <f t="shared" si="2"/>
        <v>-9051947716</v>
      </c>
      <c r="AZ15" s="343">
        <f t="shared" si="3"/>
        <v>-9051947716</v>
      </c>
      <c r="BA15" s="382"/>
      <c r="BB15" s="383" t="s">
        <v>77</v>
      </c>
      <c r="BC15" s="92">
        <f>F46+F49</f>
        <v>375197511</v>
      </c>
      <c r="BD15" s="93">
        <f>I46+I49</f>
        <v>86142294</v>
      </c>
      <c r="BE15" s="94">
        <f>K46+K49</f>
        <v>0</v>
      </c>
      <c r="BF15" s="95"/>
      <c r="BG15" s="91" t="s">
        <v>78</v>
      </c>
      <c r="BH15" s="81">
        <f t="shared" si="12"/>
        <v>9909214053</v>
      </c>
      <c r="BI15" s="81">
        <f t="shared" si="12"/>
        <v>9220175825</v>
      </c>
      <c r="BJ15" s="81">
        <f t="shared" si="12"/>
        <v>9220175825</v>
      </c>
      <c r="BK15" s="81">
        <f t="shared" si="12"/>
        <v>1555493421</v>
      </c>
      <c r="BM15" s="71" t="s">
        <v>66</v>
      </c>
      <c r="BN15" s="83">
        <f>SUM(BN16:BN21)</f>
        <v>8508053842</v>
      </c>
      <c r="BO15" s="81">
        <f>SUM(BO16:BO21)</f>
        <v>6371139454</v>
      </c>
      <c r="BP15" s="81">
        <f>SUM(BP16:BP21)</f>
        <v>3415388708</v>
      </c>
      <c r="BQ15" s="82">
        <f>SUM(BQ16:BQ21)</f>
        <v>567688139</v>
      </c>
    </row>
    <row r="16" spans="1:69" s="9" customFormat="1" ht="24.95" customHeight="1" thickBot="1">
      <c r="A16" s="732" t="str">
        <f>+IF(ABRIL!A16=0,"",ABRIL!A16)</f>
        <v/>
      </c>
      <c r="B16" s="639" t="str">
        <f>+IF(ABRIL!B16=0,"",ABRIL!B16)</f>
        <v/>
      </c>
      <c r="C16" s="390"/>
      <c r="D16" s="390"/>
      <c r="E16" s="390"/>
      <c r="F16" s="390"/>
      <c r="G16" s="390"/>
      <c r="H16" s="390"/>
      <c r="I16" s="390"/>
      <c r="J16" s="390"/>
      <c r="K16" s="390"/>
      <c r="L16" s="390"/>
      <c r="M16" s="390"/>
      <c r="N16" s="391"/>
      <c r="O16" s="382"/>
      <c r="P16" s="392"/>
      <c r="Q16" s="393"/>
      <c r="S16" s="704">
        <f>+IF(ABRIL!S16=0,"",ABRIL!S16)</f>
        <v>1010100</v>
      </c>
      <c r="T16" s="680" t="str">
        <f>+IF(ABRIL!T16=0,"",ABRIL!T16)</f>
        <v>Servicios Personales Asociados a Nómina</v>
      </c>
      <c r="U16" s="132">
        <f t="shared" ref="U16:AJ16" si="14">SUM(U17:U20)+U33</f>
        <v>762990941</v>
      </c>
      <c r="V16" s="122">
        <f t="shared" si="14"/>
        <v>0</v>
      </c>
      <c r="W16" s="122">
        <f t="shared" si="14"/>
        <v>19210353</v>
      </c>
      <c r="X16" s="129">
        <f t="shared" si="14"/>
        <v>782201294</v>
      </c>
      <c r="Y16" s="128">
        <f t="shared" si="14"/>
        <v>170018557</v>
      </c>
      <c r="Z16" s="122">
        <f t="shared" si="14"/>
        <v>42616860</v>
      </c>
      <c r="AA16" s="129">
        <f t="shared" si="14"/>
        <v>212635417</v>
      </c>
      <c r="AB16" s="128">
        <f t="shared" si="14"/>
        <v>170018557</v>
      </c>
      <c r="AC16" s="122">
        <f t="shared" si="14"/>
        <v>42616860</v>
      </c>
      <c r="AD16" s="129">
        <f t="shared" si="14"/>
        <v>212635417</v>
      </c>
      <c r="AE16" s="128">
        <f t="shared" si="14"/>
        <v>169114078</v>
      </c>
      <c r="AF16" s="122">
        <f t="shared" si="14"/>
        <v>43521339</v>
      </c>
      <c r="AG16" s="129">
        <f t="shared" si="14"/>
        <v>212635417</v>
      </c>
      <c r="AH16" s="128">
        <f t="shared" si="14"/>
        <v>569565877</v>
      </c>
      <c r="AI16" s="122">
        <f t="shared" si="14"/>
        <v>569565877</v>
      </c>
      <c r="AJ16" s="130">
        <f t="shared" si="14"/>
        <v>569565877</v>
      </c>
      <c r="AK16" s="10"/>
      <c r="AL16" s="128">
        <f>SUM(AL17:AL20)+AL33</f>
        <v>0</v>
      </c>
      <c r="AM16" s="130">
        <f>SUM(AM17:AM20)+AM33</f>
        <v>0</v>
      </c>
      <c r="AO16" s="21"/>
      <c r="AP16" s="394" t="s">
        <v>81</v>
      </c>
      <c r="AQ16" s="395">
        <f>F10</f>
        <v>617329922</v>
      </c>
      <c r="AR16" s="395">
        <f>I10</f>
        <v>617329922</v>
      </c>
      <c r="AS16" s="395">
        <f>L10</f>
        <v>617329922</v>
      </c>
      <c r="AT16" s="382"/>
      <c r="AU16" s="396">
        <f t="shared" si="0"/>
        <v>1</v>
      </c>
      <c r="AV16" s="396">
        <f t="shared" si="1"/>
        <v>1</v>
      </c>
      <c r="AW16" s="395">
        <f t="shared" ref="AW16:AX16" si="15">+AR16</f>
        <v>617329922</v>
      </c>
      <c r="AX16" s="395">
        <f t="shared" si="15"/>
        <v>617329922</v>
      </c>
      <c r="AY16" s="12">
        <f t="shared" si="2"/>
        <v>0</v>
      </c>
      <c r="AZ16" s="397">
        <f t="shared" si="3"/>
        <v>0</v>
      </c>
      <c r="BA16" s="382"/>
      <c r="BB16" s="365" t="s">
        <v>433</v>
      </c>
      <c r="BC16" s="73">
        <f>F43</f>
        <v>0</v>
      </c>
      <c r="BD16" s="74">
        <f>I43</f>
        <v>0</v>
      </c>
      <c r="BE16" s="75">
        <f>K43</f>
        <v>0</v>
      </c>
      <c r="BF16" s="76"/>
      <c r="BG16" s="91" t="s">
        <v>82</v>
      </c>
      <c r="BH16" s="96">
        <f>BH7+BH12+BH13+BH14+BH15</f>
        <v>58435490682</v>
      </c>
      <c r="BI16" s="96">
        <f>BI7+BI12+BI13+BI14+BI15</f>
        <v>39522302355</v>
      </c>
      <c r="BJ16" s="96">
        <f>BJ7+BJ12+BJ13+BJ14+BJ15</f>
        <v>29617298105</v>
      </c>
      <c r="BK16" s="96">
        <f>BK7+BK12+BK13+BK14+BK15</f>
        <v>3768086540</v>
      </c>
      <c r="BM16" s="137" t="s">
        <v>83</v>
      </c>
      <c r="BN16" s="83">
        <f>X114-X121+X147-X148-X153</f>
        <v>1070052974</v>
      </c>
      <c r="BO16" s="81">
        <f>AA114-AA121+AA147-AA148-AA153</f>
        <v>551026599</v>
      </c>
      <c r="BP16" s="81">
        <f>AD114-AD121+AD147-AD148-AD153</f>
        <v>425503327</v>
      </c>
      <c r="BQ16" s="82">
        <f>AF114-AF121+AF147-AF148-AF153</f>
        <v>57085843</v>
      </c>
    </row>
    <row r="17" spans="1:70" s="382" customFormat="1" ht="24.95" customHeight="1" thickBot="1">
      <c r="A17" s="731">
        <f>+IF(ABRIL!A17=0,"",ABRIL!A17)</f>
        <v>11</v>
      </c>
      <c r="B17" s="640" t="str">
        <f>+IF(ABRIL!B17=0,"",ABRIL!B17)</f>
        <v>INGRESOS  CORRIENTES</v>
      </c>
      <c r="C17" s="334">
        <f>C19+C94+C104</f>
        <v>41169250887</v>
      </c>
      <c r="D17" s="331">
        <f t="shared" ref="D17:Q17" si="16">D19+D94+D104</f>
        <v>0</v>
      </c>
      <c r="E17" s="331">
        <f t="shared" si="16"/>
        <v>7594570840</v>
      </c>
      <c r="F17" s="331">
        <f t="shared" si="16"/>
        <v>48763821727</v>
      </c>
      <c r="G17" s="331">
        <f t="shared" si="16"/>
        <v>26359595177</v>
      </c>
      <c r="H17" s="331">
        <f t="shared" si="16"/>
        <v>5534809456</v>
      </c>
      <c r="I17" s="331">
        <f t="shared" si="16"/>
        <v>31894404633</v>
      </c>
      <c r="J17" s="331">
        <f t="shared" si="16"/>
        <v>12515807923</v>
      </c>
      <c r="K17" s="331">
        <f t="shared" si="16"/>
        <v>3403594554</v>
      </c>
      <c r="L17" s="331">
        <f t="shared" si="16"/>
        <v>15919402477</v>
      </c>
      <c r="M17" s="331">
        <f t="shared" si="16"/>
        <v>16869417094</v>
      </c>
      <c r="N17" s="332">
        <f t="shared" si="16"/>
        <v>32844419250</v>
      </c>
      <c r="P17" s="174">
        <f t="shared" si="16"/>
        <v>0</v>
      </c>
      <c r="Q17" s="175">
        <f t="shared" si="16"/>
        <v>0</v>
      </c>
      <c r="R17" s="9"/>
      <c r="S17" s="705">
        <f>+IF(ABRIL!S17=0,"",ABRIL!S17)</f>
        <v>1010101</v>
      </c>
      <c r="T17" s="681" t="str">
        <f>+IF(ABRIL!T17=0,"",ABRIL!T17)</f>
        <v>Sueldos del Personal de nómina</v>
      </c>
      <c r="U17" s="27">
        <f>+ENERO!U17</f>
        <v>619731764</v>
      </c>
      <c r="V17" s="15">
        <f>ABRIL!V17+MAYO!AL17</f>
        <v>0</v>
      </c>
      <c r="W17" s="15">
        <f>ABRIL!W17+MAYO!AM17</f>
        <v>0</v>
      </c>
      <c r="X17" s="18">
        <f>SUM(U17:W17)</f>
        <v>619731764</v>
      </c>
      <c r="Y17" s="19">
        <f>ABRIL!AA17</f>
        <v>147384503</v>
      </c>
      <c r="Z17" s="374">
        <v>41065696</v>
      </c>
      <c r="AA17" s="18">
        <f>SUM(Y17:Z17)</f>
        <v>188450199</v>
      </c>
      <c r="AB17" s="19">
        <f>ABRIL!AD17</f>
        <v>147384503</v>
      </c>
      <c r="AC17" s="374">
        <v>41065696</v>
      </c>
      <c r="AD17" s="18">
        <f>SUM(AB17:AC17)</f>
        <v>188450199</v>
      </c>
      <c r="AE17" s="19">
        <f>ABRIL!AG17</f>
        <v>147231423</v>
      </c>
      <c r="AF17" s="374">
        <v>41218776</v>
      </c>
      <c r="AG17" s="18">
        <f>SUM(AE17:AF17)</f>
        <v>188450199</v>
      </c>
      <c r="AH17" s="19">
        <f>X17-AA17</f>
        <v>431281565</v>
      </c>
      <c r="AI17" s="15">
        <f>X17-AD17</f>
        <v>431281565</v>
      </c>
      <c r="AJ17" s="16">
        <f>X17-AG17</f>
        <v>431281565</v>
      </c>
      <c r="AK17" s="9"/>
      <c r="AL17" s="372">
        <v>0</v>
      </c>
      <c r="AM17" s="375">
        <v>0</v>
      </c>
      <c r="AN17" s="9"/>
      <c r="AO17" s="349"/>
      <c r="AP17" s="399" t="s">
        <v>85</v>
      </c>
      <c r="AQ17" s="400">
        <f>SUM(AQ7:AQ16)</f>
        <v>57706362329</v>
      </c>
      <c r="AR17" s="401">
        <f>SUM(AR7:AR16)</f>
        <v>31433351294</v>
      </c>
      <c r="AS17" s="402">
        <f>SUM(AS7:AS16)</f>
        <v>16207601029</v>
      </c>
      <c r="AT17" s="403"/>
      <c r="AU17" s="401">
        <f t="shared" si="0"/>
        <v>0.54471205644170972</v>
      </c>
      <c r="AV17" s="401">
        <f t="shared" si="1"/>
        <v>0.280863329013809</v>
      </c>
      <c r="AW17" s="404">
        <f>SUM(AX7:AX16)</f>
        <v>20009690041.799999</v>
      </c>
      <c r="AX17" s="404">
        <f>SUM(AX7:AX16)</f>
        <v>20009690041.799999</v>
      </c>
      <c r="AY17" s="404">
        <f>SUM(AY7:AY16)</f>
        <v>643332887.19999504</v>
      </c>
      <c r="AZ17" s="405">
        <f>SUM(AZ7:AZ16)</f>
        <v>-37696672287.199997</v>
      </c>
      <c r="BA17" s="9"/>
      <c r="BB17" s="365" t="s">
        <v>434</v>
      </c>
      <c r="BC17" s="73">
        <f>F41+F52+F55+F58+F61+F67+F70+F73+F76+F79+F82+F86+F87+F88+F89+F90+F91</f>
        <v>2513399205</v>
      </c>
      <c r="BD17" s="74">
        <f>I41+I52+I55+I58+I61+I67+I70+I73+I76+I79+I82+I86+I87+I88+I89+I90+I91</f>
        <v>2378982433</v>
      </c>
      <c r="BE17" s="75">
        <f>K41+K52+K55+K58+K61+K67+K70+K73+K76+K79+K82+K86+K87+K88+K89+K90+K91</f>
        <v>18788073</v>
      </c>
      <c r="BF17" s="76"/>
      <c r="BG17" s="98" t="s">
        <v>86</v>
      </c>
      <c r="BH17" s="99">
        <f>BC23-BH16</f>
        <v>-58435490682</v>
      </c>
      <c r="BI17" s="99"/>
      <c r="BJ17" s="99"/>
      <c r="BK17" s="99"/>
      <c r="BM17" s="137" t="s">
        <v>449</v>
      </c>
      <c r="BN17" s="83">
        <f>X123-X126-X139+X155-X156-X167-X168</f>
        <v>4972439656</v>
      </c>
      <c r="BO17" s="81">
        <f>AA123-AA126-AA139+AA155-AA156-AA167-AA168</f>
        <v>4397560462</v>
      </c>
      <c r="BP17" s="81">
        <f>AD123-AD126-AD139+AD155-AD156-AD167-AD168</f>
        <v>2176416431</v>
      </c>
      <c r="BQ17" s="82">
        <f>AF123-AF126-AF139+AF155-AF156-AF167-AF168</f>
        <v>414120066</v>
      </c>
      <c r="BR17" s="9"/>
    </row>
    <row r="18" spans="1:70" s="9" customFormat="1" ht="24.95" customHeight="1" thickBot="1">
      <c r="A18" s="611" t="str">
        <f>+IF(ABRIL!A18=0,"",ABRIL!A18)</f>
        <v/>
      </c>
      <c r="B18" s="641" t="str">
        <f>+IF(ABRIL!B18=0,"",ABRIL!B18)</f>
        <v/>
      </c>
      <c r="C18" s="294"/>
      <c r="D18" s="294"/>
      <c r="E18" s="294"/>
      <c r="F18" s="294"/>
      <c r="G18" s="294"/>
      <c r="H18" s="294"/>
      <c r="I18" s="294"/>
      <c r="J18" s="294"/>
      <c r="K18" s="294"/>
      <c r="L18" s="294"/>
      <c r="M18" s="294"/>
      <c r="N18" s="463"/>
      <c r="P18" s="407"/>
      <c r="Q18" s="406"/>
      <c r="S18" s="705">
        <f>+IF(ABRIL!S18=0,"",ABRIL!S18)</f>
        <v>1010102</v>
      </c>
      <c r="T18" s="681" t="str">
        <f>+IF(ABRIL!T18=0,"",ABRIL!T18)</f>
        <v>Horas Extras,Dominic.,Festivos y Rec. Nocturnos</v>
      </c>
      <c r="U18" s="27">
        <f>+ENERO!U18</f>
        <v>0</v>
      </c>
      <c r="V18" s="15">
        <f>ABRIL!V18+MAYO!AL18</f>
        <v>0</v>
      </c>
      <c r="W18" s="15">
        <f>ABRIL!W18+MAYO!AM18</f>
        <v>0</v>
      </c>
      <c r="X18" s="18">
        <f>SUM(U18:W18)</f>
        <v>0</v>
      </c>
      <c r="Y18" s="19">
        <f>ABRIL!AA18</f>
        <v>0</v>
      </c>
      <c r="Z18" s="374">
        <v>0</v>
      </c>
      <c r="AA18" s="18">
        <f>SUM(Y18:Z18)</f>
        <v>0</v>
      </c>
      <c r="AB18" s="19">
        <f>ABRIL!AD18</f>
        <v>0</v>
      </c>
      <c r="AC18" s="374">
        <v>0</v>
      </c>
      <c r="AD18" s="18">
        <f>SUM(AB18:AC18)</f>
        <v>0</v>
      </c>
      <c r="AE18" s="19">
        <f>ABRIL!AG18</f>
        <v>0</v>
      </c>
      <c r="AF18" s="374">
        <v>0</v>
      </c>
      <c r="AG18" s="18">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1561061212</v>
      </c>
      <c r="BO18" s="81">
        <f>AA148+AA156</f>
        <v>942716324</v>
      </c>
      <c r="BP18" s="81">
        <f>AD148+AD156</f>
        <v>333701166</v>
      </c>
      <c r="BQ18" s="82">
        <f>AF148+AF156</f>
        <v>25133861</v>
      </c>
      <c r="BR18" s="382"/>
    </row>
    <row r="19" spans="1:70" s="9" customFormat="1" ht="24.95" customHeight="1" thickBot="1">
      <c r="A19" s="733">
        <f>+IF(ABRIL!A19=0,"",ABRIL!A19)</f>
        <v>113</v>
      </c>
      <c r="B19" s="642" t="str">
        <f>+IF(ABRIL!B19=0,"",ABRIL!B19)</f>
        <v>VENTA DE SERVICIOS</v>
      </c>
      <c r="C19" s="334">
        <f t="shared" ref="C19:N19" si="17">C21+C85</f>
        <v>40501810887</v>
      </c>
      <c r="D19" s="331">
        <f t="shared" si="17"/>
        <v>0</v>
      </c>
      <c r="E19" s="331">
        <f t="shared" si="17"/>
        <v>7532882487</v>
      </c>
      <c r="F19" s="332">
        <f t="shared" si="17"/>
        <v>48034693374</v>
      </c>
      <c r="G19" s="334">
        <f t="shared" si="17"/>
        <v>25351645924</v>
      </c>
      <c r="H19" s="331">
        <f t="shared" si="17"/>
        <v>5461984131</v>
      </c>
      <c r="I19" s="332">
        <f t="shared" si="17"/>
        <v>30813630055</v>
      </c>
      <c r="J19" s="334">
        <f t="shared" si="17"/>
        <v>12298519298</v>
      </c>
      <c r="K19" s="331">
        <f t="shared" si="17"/>
        <v>3289360492</v>
      </c>
      <c r="L19" s="332">
        <f t="shared" si="17"/>
        <v>15587879790</v>
      </c>
      <c r="M19" s="334">
        <f t="shared" si="17"/>
        <v>17221063319</v>
      </c>
      <c r="N19" s="332">
        <f t="shared" si="17"/>
        <v>32446813584</v>
      </c>
      <c r="O19" s="382"/>
      <c r="P19" s="43">
        <f>P21+P85</f>
        <v>0</v>
      </c>
      <c r="Q19" s="45">
        <f>Q21+Q85</f>
        <v>0</v>
      </c>
      <c r="S19" s="705">
        <f>+IF(ABRIL!S19=0,"",ABRIL!S19)</f>
        <v>1010103</v>
      </c>
      <c r="T19" s="681" t="str">
        <f>+IF(ABRIL!T19=0,"",ABRIL!T19)</f>
        <v>Prima Técnica</v>
      </c>
      <c r="U19" s="27">
        <f>+ENERO!U19</f>
        <v>0</v>
      </c>
      <c r="V19" s="15">
        <f>ABRIL!V19+MAYO!AL19</f>
        <v>0</v>
      </c>
      <c r="W19" s="15">
        <f>ABRIL!W19+MAYO!AM19</f>
        <v>0</v>
      </c>
      <c r="X19" s="18">
        <f>SUM(U19:W19)</f>
        <v>0</v>
      </c>
      <c r="Y19" s="19">
        <f>ABRIL!AA19</f>
        <v>0</v>
      </c>
      <c r="Z19" s="374">
        <v>0</v>
      </c>
      <c r="AA19" s="18">
        <f>SUM(Y19:Z19)</f>
        <v>0</v>
      </c>
      <c r="AB19" s="19">
        <f>ABRIL!AD19</f>
        <v>0</v>
      </c>
      <c r="AC19" s="374">
        <v>0</v>
      </c>
      <c r="AD19" s="18">
        <f>SUM(AB19:AC19)</f>
        <v>0</v>
      </c>
      <c r="AE19" s="19">
        <f>ABRIL!AG19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677462226</v>
      </c>
      <c r="BD19" s="93">
        <f>+I105+I106+I107+I108+I109+I110+I98</f>
        <v>1029108451</v>
      </c>
      <c r="BE19" s="94">
        <f>+K105+K106+K107+K108+K109+K110+K98</f>
        <v>114234062</v>
      </c>
      <c r="BF19" s="57"/>
      <c r="BG19" s="382"/>
      <c r="BH19" s="382">
        <f>BN33</f>
        <v>0</v>
      </c>
      <c r="BI19" s="382"/>
      <c r="BJ19" s="382"/>
      <c r="BK19" s="382"/>
      <c r="BM19" s="137" t="s">
        <v>94</v>
      </c>
      <c r="BN19" s="83">
        <f>X126+X167</f>
        <v>904500000</v>
      </c>
      <c r="BO19" s="81">
        <f>AA126+AA167</f>
        <v>479836069</v>
      </c>
      <c r="BP19" s="81">
        <f>AD126+AD167</f>
        <v>479767784</v>
      </c>
      <c r="BQ19" s="82">
        <f>AF126+AF167</f>
        <v>71348369</v>
      </c>
    </row>
    <row r="20" spans="1:70" s="422" customFormat="1" ht="24.95" customHeight="1" thickBot="1">
      <c r="A20" s="611" t="str">
        <f>+IF(ABRIL!A20=0,"",ABRIL!A20)</f>
        <v/>
      </c>
      <c r="B20" s="643" t="str">
        <f>+IF(ABRIL!B20=0,"",ABRIL!B20)</f>
        <v/>
      </c>
      <c r="C20" s="294"/>
      <c r="D20" s="294"/>
      <c r="E20" s="294"/>
      <c r="F20" s="294"/>
      <c r="G20" s="294"/>
      <c r="H20" s="294"/>
      <c r="I20" s="294"/>
      <c r="J20" s="294"/>
      <c r="K20" s="294"/>
      <c r="L20" s="294"/>
      <c r="M20" s="294"/>
      <c r="N20" s="463"/>
      <c r="O20" s="9"/>
      <c r="P20" s="407"/>
      <c r="Q20" s="406"/>
      <c r="R20" s="9"/>
      <c r="S20" s="705">
        <f>+IF(ABRIL!S20=0,"",ABRIL!S20)</f>
        <v>1010104</v>
      </c>
      <c r="T20" s="681" t="str">
        <f>+IF(ABRIL!T20=0,"",ABRIL!T20)</f>
        <v>Otros</v>
      </c>
      <c r="U20" s="27">
        <f t="shared" ref="U20:AJ20" si="18">SUM(U21:U32)</f>
        <v>143259177</v>
      </c>
      <c r="V20" s="15">
        <f t="shared" si="18"/>
        <v>0</v>
      </c>
      <c r="W20" s="15">
        <f t="shared" si="18"/>
        <v>19210353</v>
      </c>
      <c r="X20" s="18">
        <f t="shared" si="18"/>
        <v>162469530</v>
      </c>
      <c r="Y20" s="19">
        <f t="shared" si="18"/>
        <v>22634054</v>
      </c>
      <c r="Z20" s="142">
        <f t="shared" si="18"/>
        <v>1551164</v>
      </c>
      <c r="AA20" s="18">
        <f t="shared" si="18"/>
        <v>24185218</v>
      </c>
      <c r="AB20" s="19">
        <f t="shared" si="18"/>
        <v>22634054</v>
      </c>
      <c r="AC20" s="142">
        <f t="shared" si="18"/>
        <v>1551164</v>
      </c>
      <c r="AD20" s="18">
        <f t="shared" si="18"/>
        <v>24185218</v>
      </c>
      <c r="AE20" s="19">
        <f t="shared" si="18"/>
        <v>21882655</v>
      </c>
      <c r="AF20" s="142">
        <f t="shared" si="18"/>
        <v>2302563</v>
      </c>
      <c r="AG20" s="18">
        <f t="shared" si="18"/>
        <v>24185218</v>
      </c>
      <c r="AH20" s="19">
        <f t="shared" si="18"/>
        <v>138284312</v>
      </c>
      <c r="AI20" s="15">
        <f t="shared" si="18"/>
        <v>138284312</v>
      </c>
      <c r="AJ20" s="16">
        <f t="shared" si="18"/>
        <v>138284312</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1411839</v>
      </c>
      <c r="BD20" s="66">
        <f>+I115+I117+I119+I120+I121+I123+I124</f>
        <v>2391317</v>
      </c>
      <c r="BE20" s="67">
        <f>+K115+K117+K119+K120+K121+K123+K124</f>
        <v>792243</v>
      </c>
      <c r="BF20" s="57"/>
      <c r="BG20" s="382"/>
      <c r="BH20" s="382">
        <f>BH19-BH16</f>
        <v>-58435490682</v>
      </c>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4">
        <f>+IF(ABRIL!A21=0,"",ABRIL!A21)</f>
        <v>11301</v>
      </c>
      <c r="B21" s="644" t="str">
        <f>+IF(ABRIL!B21=0,"",ABRIL!B21)</f>
        <v>Venta de Servicios de Salud</v>
      </c>
      <c r="C21" s="174">
        <f t="shared" ref="C21:N21" si="19">C22+C25+C28+C41+C42+C45+C48+C51+C54+C57+C60+C63+C66+C69+C72+C75+C78+C81</f>
        <v>40501810887</v>
      </c>
      <c r="D21" s="354">
        <f t="shared" si="19"/>
        <v>0</v>
      </c>
      <c r="E21" s="354">
        <f t="shared" si="19"/>
        <v>7532882487</v>
      </c>
      <c r="F21" s="354">
        <f t="shared" si="19"/>
        <v>48034693374</v>
      </c>
      <c r="G21" s="354">
        <f t="shared" si="19"/>
        <v>25351645924</v>
      </c>
      <c r="H21" s="354">
        <f t="shared" si="19"/>
        <v>5461984131</v>
      </c>
      <c r="I21" s="354">
        <f t="shared" si="19"/>
        <v>30813630055</v>
      </c>
      <c r="J21" s="354">
        <f t="shared" si="19"/>
        <v>12298519298</v>
      </c>
      <c r="K21" s="354">
        <f t="shared" si="19"/>
        <v>3289360492</v>
      </c>
      <c r="L21" s="354">
        <f t="shared" si="19"/>
        <v>15587879790</v>
      </c>
      <c r="M21" s="354">
        <f t="shared" si="19"/>
        <v>17221063319</v>
      </c>
      <c r="N21" s="175">
        <f t="shared" si="19"/>
        <v>32446813584</v>
      </c>
      <c r="O21" s="382"/>
      <c r="P21" s="43">
        <f>P22+P25+P28+P41+P42+P45+P48+P51+P54+P57+P60+P63+P66+P69+P72+P75+P78+P81</f>
        <v>0</v>
      </c>
      <c r="Q21" s="45">
        <f>Q22+Q25+Q28+Q41+Q42+Q45+Q48+Q51+Q54+Q57+Q60+Q63+Q66+Q69+Q72+Q75+Q78+Q81</f>
        <v>0</v>
      </c>
      <c r="R21" s="9"/>
      <c r="S21" s="706" t="str">
        <f>+IF(ABRIL!S21=0,"",ABRIL!S21)</f>
        <v>1010104-1</v>
      </c>
      <c r="T21" s="682" t="str">
        <f>+IF(ABRIL!T21=0,"",ABRIL!T21)</f>
        <v xml:space="preserve">Prima de Navidad </v>
      </c>
      <c r="U21" s="27">
        <f>+ENERO!U21</f>
        <v>52257791</v>
      </c>
      <c r="V21" s="15">
        <f>ABRIL!V21+MAYO!AL21</f>
        <v>0</v>
      </c>
      <c r="W21" s="15">
        <f>ABRIL!W21+MAYO!AM21</f>
        <v>0</v>
      </c>
      <c r="X21" s="18">
        <f t="shared" ref="X21:X33" si="20">SUM(U21:W21)</f>
        <v>52257791</v>
      </c>
      <c r="Y21" s="19">
        <f>ABRIL!AA21</f>
        <v>317672</v>
      </c>
      <c r="Z21" s="374">
        <v>0</v>
      </c>
      <c r="AA21" s="18">
        <f t="shared" ref="AA21:AA33" si="21">SUM(Y21:Z21)</f>
        <v>317672</v>
      </c>
      <c r="AB21" s="19">
        <f>ABRIL!AD21</f>
        <v>317672</v>
      </c>
      <c r="AC21" s="374">
        <v>0</v>
      </c>
      <c r="AD21" s="18">
        <f t="shared" ref="AD21:AD33" si="22">SUM(AB21:AC21)</f>
        <v>317672</v>
      </c>
      <c r="AE21" s="19">
        <f>ABRIL!AG21</f>
        <v>0</v>
      </c>
      <c r="AF21" s="374">
        <v>317672</v>
      </c>
      <c r="AG21" s="18">
        <f t="shared" ref="AG21:AG33" si="23">SUM(AE21:AF21)</f>
        <v>317672</v>
      </c>
      <c r="AH21" s="19">
        <f t="shared" ref="AH21:AH33" si="24">X21-AA21</f>
        <v>51940119</v>
      </c>
      <c r="AI21" s="15">
        <f t="shared" ref="AI21:AI33" si="25">X21-AD21</f>
        <v>51940119</v>
      </c>
      <c r="AJ21" s="16">
        <f t="shared" ref="AJ21:AJ33" si="26">X21-AG21</f>
        <v>51940119</v>
      </c>
      <c r="AK21" s="9"/>
      <c r="AL21" s="372">
        <v>0</v>
      </c>
      <c r="AM21" s="375">
        <v>0</v>
      </c>
      <c r="AN21" s="9"/>
      <c r="AO21" s="349"/>
      <c r="AP21" s="423"/>
      <c r="AQ21" s="424"/>
      <c r="AR21" s="425" t="str">
        <f>AR6</f>
        <v>MAYO</v>
      </c>
      <c r="AS21" s="426" t="str">
        <f>AR6</f>
        <v>MAYO</v>
      </c>
      <c r="AT21" s="425" t="str">
        <f>AR6</f>
        <v>MAYO</v>
      </c>
      <c r="AU21" s="425" t="s">
        <v>44</v>
      </c>
      <c r="AV21" s="425" t="s">
        <v>22</v>
      </c>
      <c r="AW21" s="427"/>
      <c r="AX21" s="427"/>
      <c r="AY21" s="425" t="s">
        <v>44</v>
      </c>
      <c r="AZ21" s="428" t="s">
        <v>22</v>
      </c>
      <c r="BA21" s="9"/>
      <c r="BB21" s="101" t="s">
        <v>437</v>
      </c>
      <c r="BC21" s="65">
        <f>SUMIF($B8:B122,$B24,F8:F122)+F122</f>
        <v>16637475808</v>
      </c>
      <c r="BD21" s="66">
        <f>SUMIF($B8:B122,$B24,I8:I122)+I122</f>
        <v>13493925657</v>
      </c>
      <c r="BE21" s="67">
        <f>SUMIF($B8:B122,$B24,K8:K122)+K122</f>
        <v>1610124506</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3">
        <f>+IF(ABRIL!A22=0,"",ABRIL!A22)</f>
        <v>1130101</v>
      </c>
      <c r="B22" s="645" t="str">
        <f>+IF(ABRIL!B22=0,"",ABRIL!B22)</f>
        <v>EPS - REGIMEN CONTRIBUTIVO</v>
      </c>
      <c r="C22" s="43">
        <f t="shared" ref="C22:N22" si="27">SUM(C23:C24)</f>
        <v>18905646713</v>
      </c>
      <c r="D22" s="44">
        <f t="shared" si="27"/>
        <v>0</v>
      </c>
      <c r="E22" s="44">
        <f t="shared" si="27"/>
        <v>3976785713</v>
      </c>
      <c r="F22" s="44">
        <f t="shared" si="27"/>
        <v>22882432426</v>
      </c>
      <c r="G22" s="44">
        <f t="shared" si="27"/>
        <v>9761369383</v>
      </c>
      <c r="H22" s="44">
        <f t="shared" si="27"/>
        <v>2575921644</v>
      </c>
      <c r="I22" s="44">
        <f t="shared" si="27"/>
        <v>12337291027</v>
      </c>
      <c r="J22" s="44">
        <f t="shared" si="27"/>
        <v>5272166421</v>
      </c>
      <c r="K22" s="44">
        <f t="shared" si="27"/>
        <v>1775928266</v>
      </c>
      <c r="L22" s="44">
        <f t="shared" si="27"/>
        <v>7048094687</v>
      </c>
      <c r="M22" s="44">
        <f t="shared" si="27"/>
        <v>10545141399</v>
      </c>
      <c r="N22" s="45">
        <f t="shared" si="27"/>
        <v>15834337739</v>
      </c>
      <c r="P22" s="43">
        <f>SUM(P23:P24)</f>
        <v>0</v>
      </c>
      <c r="Q22" s="45">
        <f>SUM(Q23:Q24)</f>
        <v>0</v>
      </c>
      <c r="S22" s="706" t="str">
        <f>+IF(ABRIL!S22=0,"",ABRIL!S22)</f>
        <v>1010104-2</v>
      </c>
      <c r="T22" s="682" t="str">
        <f>+IF(ABRIL!T22=0,"",ABRIL!T22)</f>
        <v>Prima Vida Cara</v>
      </c>
      <c r="U22" s="27">
        <f>+ENERO!U22</f>
        <v>24380551</v>
      </c>
      <c r="V22" s="15">
        <f>ABRIL!V22+MAYO!AL22</f>
        <v>0</v>
      </c>
      <c r="W22" s="15">
        <f>ABRIL!W22+MAYO!AM22</f>
        <v>19210353</v>
      </c>
      <c r="X22" s="18">
        <f t="shared" si="20"/>
        <v>43590904</v>
      </c>
      <c r="Y22" s="19">
        <f>ABRIL!AA22</f>
        <v>19210353</v>
      </c>
      <c r="Z22" s="374">
        <v>0</v>
      </c>
      <c r="AA22" s="18">
        <f t="shared" si="21"/>
        <v>19210353</v>
      </c>
      <c r="AB22" s="19">
        <f>ABRIL!AD22</f>
        <v>19210353</v>
      </c>
      <c r="AC22" s="374">
        <v>0</v>
      </c>
      <c r="AD22" s="18">
        <f t="shared" si="22"/>
        <v>19210353</v>
      </c>
      <c r="AE22" s="19">
        <f>ABRIL!AG22</f>
        <v>19210353</v>
      </c>
      <c r="AF22" s="374">
        <v>0</v>
      </c>
      <c r="AG22" s="18">
        <f t="shared" si="23"/>
        <v>19210353</v>
      </c>
      <c r="AH22" s="19">
        <f t="shared" si="24"/>
        <v>24380551</v>
      </c>
      <c r="AI22" s="15">
        <f t="shared" si="25"/>
        <v>24380551</v>
      </c>
      <c r="AJ22" s="16">
        <f t="shared" si="26"/>
        <v>24380551</v>
      </c>
      <c r="AL22" s="372">
        <v>0</v>
      </c>
      <c r="AM22" s="375">
        <v>0</v>
      </c>
      <c r="AO22" s="21"/>
      <c r="AP22" s="429" t="s">
        <v>104</v>
      </c>
      <c r="AQ22" s="430">
        <f>X17+X66</f>
        <v>1512951119</v>
      </c>
      <c r="AR22" s="430">
        <f>AD17+AD66</f>
        <v>523813609</v>
      </c>
      <c r="AS22" s="430">
        <f>AG17+AG66</f>
        <v>523813609</v>
      </c>
      <c r="AT22" s="431"/>
      <c r="AU22" s="432">
        <f t="shared" ref="AU22:AU32" si="28">IF(AQ22=0," ",AR22/AQ22)</f>
        <v>0.34621978358839495</v>
      </c>
      <c r="AV22" s="432">
        <f t="shared" ref="AV22:AV32" si="29">IF(AQ22=0," ",AS22/AQ22)</f>
        <v>0.34621978358839495</v>
      </c>
      <c r="AW22" s="433">
        <f>AR22/$AO$2*12</f>
        <v>1257152661.5999999</v>
      </c>
      <c r="AX22" s="433">
        <f>AS22/$AO$2*12</f>
        <v>1257152661.5999999</v>
      </c>
      <c r="AY22" s="433">
        <f t="shared" ref="AY22:AY31" si="30">AQ22-AW22</f>
        <v>255798457.4000001</v>
      </c>
      <c r="AZ22" s="434">
        <f t="shared" ref="AZ22:AZ31" si="31">AQ22-AX22</f>
        <v>255798457.4000001</v>
      </c>
      <c r="BA22" s="382"/>
      <c r="BB22" s="102" t="s">
        <v>109</v>
      </c>
      <c r="BC22" s="103">
        <f>BC7+BC8+BC20+BC21</f>
        <v>58435490682</v>
      </c>
      <c r="BD22" s="104">
        <f>BD7+BD8+BD20+BD21</f>
        <v>32514125872</v>
      </c>
      <c r="BE22" s="105">
        <f>BE7+BE8+BE20+BE21</f>
        <v>3404386797</v>
      </c>
      <c r="BF22" s="57"/>
      <c r="BG22" s="382"/>
      <c r="BH22" s="382"/>
      <c r="BI22" s="382"/>
      <c r="BJ22" s="382"/>
      <c r="BK22" s="382"/>
      <c r="BM22" s="71" t="s">
        <v>67</v>
      </c>
      <c r="BN22" s="83">
        <f>BN23+BN24</f>
        <v>162030003</v>
      </c>
      <c r="BO22" s="81">
        <f>BO23+BO24</f>
        <v>89729965</v>
      </c>
      <c r="BP22" s="81">
        <f>BP23+BP24</f>
        <v>78854836</v>
      </c>
      <c r="BQ22" s="82">
        <f>BQ23+BQ24</f>
        <v>11868600</v>
      </c>
      <c r="BR22" s="382"/>
    </row>
    <row r="23" spans="1:70" s="422" customFormat="1" ht="24.95" customHeight="1">
      <c r="A23" s="611" t="str">
        <f>+IF(ABRIL!A23=0,"",ABRIL!A23)</f>
        <v>1130101-1</v>
      </c>
      <c r="B23" s="646" t="str">
        <f>+CONCATENATE("Vigencia ",INSTRUCCIONES!$F$3)</f>
        <v>Vigencia 2017</v>
      </c>
      <c r="C23" s="671">
        <f>+ENERO!C23</f>
        <v>18905646713</v>
      </c>
      <c r="D23" s="373">
        <f>ABRIL!D23+MAYO!P23</f>
        <v>0</v>
      </c>
      <c r="E23" s="373">
        <f>ABRIL!E23+MAYO!Q23</f>
        <v>0</v>
      </c>
      <c r="F23" s="373">
        <f>SUM(C23:E23)</f>
        <v>18905646713</v>
      </c>
      <c r="G23" s="373">
        <f>ABRIL!I23</f>
        <v>4491784912</v>
      </c>
      <c r="H23" s="374">
        <v>1666059976</v>
      </c>
      <c r="I23" s="373">
        <f>SUM(G23:H23)</f>
        <v>6157844888</v>
      </c>
      <c r="J23" s="373">
        <f>ABRIL!L23</f>
        <v>2581950</v>
      </c>
      <c r="K23" s="374">
        <v>866066598</v>
      </c>
      <c r="L23" s="373">
        <f>SUM(J23:K23)</f>
        <v>868648548</v>
      </c>
      <c r="M23" s="373">
        <f>F23-I23</f>
        <v>12747801825</v>
      </c>
      <c r="N23" s="143">
        <f>F23-L23</f>
        <v>18036998165</v>
      </c>
      <c r="O23" s="9"/>
      <c r="P23" s="372">
        <v>0</v>
      </c>
      <c r="Q23" s="375">
        <v>0</v>
      </c>
      <c r="R23" s="9"/>
      <c r="S23" s="706" t="str">
        <f>+IF(ABRIL!S23=0,"",ABRIL!S23)</f>
        <v>1010104-3</v>
      </c>
      <c r="T23" s="682" t="str">
        <f>+IF(ABRIL!T23=0,"",ABRIL!T23)</f>
        <v>Prima de Vacaciones</v>
      </c>
      <c r="U23" s="27">
        <f>+ENERO!U23</f>
        <v>25221642</v>
      </c>
      <c r="V23" s="15">
        <f>ABRIL!V23+MAYO!AL23</f>
        <v>0</v>
      </c>
      <c r="W23" s="15">
        <f>ABRIL!W23+MAYO!AM23</f>
        <v>0</v>
      </c>
      <c r="X23" s="18">
        <f t="shared" si="20"/>
        <v>25221642</v>
      </c>
      <c r="Y23" s="19">
        <f>ABRIL!AA23</f>
        <v>153080</v>
      </c>
      <c r="Z23" s="374">
        <v>894455</v>
      </c>
      <c r="AA23" s="18">
        <f t="shared" si="21"/>
        <v>1047535</v>
      </c>
      <c r="AB23" s="19">
        <f>ABRIL!AD23</f>
        <v>153080</v>
      </c>
      <c r="AC23" s="374">
        <v>894455</v>
      </c>
      <c r="AD23" s="18">
        <f t="shared" si="22"/>
        <v>1047535</v>
      </c>
      <c r="AE23" s="19">
        <f>ABRIL!AG23</f>
        <v>0</v>
      </c>
      <c r="AF23" s="374">
        <v>1047535</v>
      </c>
      <c r="AG23" s="18">
        <f t="shared" si="23"/>
        <v>1047535</v>
      </c>
      <c r="AH23" s="19">
        <f t="shared" si="24"/>
        <v>24174107</v>
      </c>
      <c r="AI23" s="15">
        <f t="shared" si="25"/>
        <v>24174107</v>
      </c>
      <c r="AJ23" s="16">
        <f t="shared" si="26"/>
        <v>24174107</v>
      </c>
      <c r="AK23" s="9"/>
      <c r="AL23" s="372">
        <v>0</v>
      </c>
      <c r="AM23" s="375">
        <v>0</v>
      </c>
      <c r="AN23" s="9"/>
      <c r="AO23" s="370"/>
      <c r="AP23" s="435" t="s">
        <v>108</v>
      </c>
      <c r="AQ23" s="436">
        <f>X16+X65-AQ22</f>
        <v>512459643</v>
      </c>
      <c r="AR23" s="436">
        <f>AD16+AD65-AR22</f>
        <v>151512390</v>
      </c>
      <c r="AS23" s="436">
        <f>AG16+AG65-AS22</f>
        <v>151512390</v>
      </c>
      <c r="AT23" s="327"/>
      <c r="AU23" s="342">
        <f t="shared" si="28"/>
        <v>0.29565721334274903</v>
      </c>
      <c r="AV23" s="342">
        <f t="shared" si="29"/>
        <v>0.29565721334274903</v>
      </c>
      <c r="AW23" s="436">
        <f>(AR23-AD21-AD22-AD23-AD25-AD30-AD33-AD70-AD71-AD72-AD74-AD78-AD81)/$AO$2*12+AX22/12*2.5+AD30+AD33+AD78+AD81</f>
        <v>467672827.70000005</v>
      </c>
      <c r="AX23" s="436">
        <f>(AS23-AG21-AG22-AG23-AG25-AG30-AG33-AG70-AG71-AG72-AG74-AG78-AG81)/$AO$2*12+AX22/12*2.5+AG30+AG33+AG78+AG81</f>
        <v>467672827.70000005</v>
      </c>
      <c r="AY23" s="436">
        <f t="shared" si="30"/>
        <v>44786815.299999952</v>
      </c>
      <c r="AZ23" s="46">
        <f t="shared" si="31"/>
        <v>44786815.299999952</v>
      </c>
      <c r="BA23" s="382"/>
      <c r="BF23" s="382"/>
      <c r="BG23" s="382"/>
      <c r="BH23" s="382"/>
      <c r="BI23" s="382"/>
      <c r="BJ23" s="382"/>
      <c r="BK23" s="382"/>
      <c r="BL23" s="382"/>
      <c r="BM23" s="137" t="s">
        <v>105</v>
      </c>
      <c r="BN23" s="83">
        <f>X177</f>
        <v>18619412</v>
      </c>
      <c r="BO23" s="81">
        <f>AA177</f>
        <v>5307284</v>
      </c>
      <c r="BP23" s="81">
        <f>AD177</f>
        <v>5307284</v>
      </c>
      <c r="BQ23" s="82">
        <f>AF177</f>
        <v>0</v>
      </c>
      <c r="BR23" s="9"/>
    </row>
    <row r="24" spans="1:70" s="422" customFormat="1" ht="24.95" customHeight="1">
      <c r="A24" s="611" t="str">
        <f>+IF(ABRIL!A24=0,"",ABRIL!A24)</f>
        <v>1130101-2</v>
      </c>
      <c r="B24" s="646" t="str">
        <f>+IF(ABRIL!B24=0,"",ABRIL!B24)</f>
        <v>Vigencia Anterior</v>
      </c>
      <c r="C24" s="671">
        <f>+ENERO!C24</f>
        <v>0</v>
      </c>
      <c r="D24" s="373">
        <f>ABRIL!D24+MAYO!P24</f>
        <v>0</v>
      </c>
      <c r="E24" s="373">
        <f>ABRIL!E24+MAYO!Q24</f>
        <v>3976785713</v>
      </c>
      <c r="F24" s="373">
        <f>SUM(C24:E24)</f>
        <v>3976785713</v>
      </c>
      <c r="G24" s="373">
        <f>ABRIL!I24</f>
        <v>5269584471</v>
      </c>
      <c r="H24" s="374">
        <v>909861668</v>
      </c>
      <c r="I24" s="373">
        <f>SUM(G24:H24)</f>
        <v>6179446139</v>
      </c>
      <c r="J24" s="373">
        <f>ABRIL!L24</f>
        <v>5269584471</v>
      </c>
      <c r="K24" s="374">
        <v>909861668</v>
      </c>
      <c r="L24" s="373">
        <f>SUM(J24:K24)</f>
        <v>6179446139</v>
      </c>
      <c r="M24" s="373">
        <f>F24-I24</f>
        <v>-2202660426</v>
      </c>
      <c r="N24" s="143">
        <f>F24-L24</f>
        <v>-2202660426</v>
      </c>
      <c r="O24" s="382"/>
      <c r="P24" s="372">
        <v>0</v>
      </c>
      <c r="Q24" s="375">
        <v>0</v>
      </c>
      <c r="R24" s="9"/>
      <c r="S24" s="706" t="str">
        <f>+IF(ABRIL!S24=0,"",ABRIL!S24)</f>
        <v>1010104-4</v>
      </c>
      <c r="T24" s="682" t="str">
        <f>+IF(ABRIL!T24=0,"",ABRIL!T24)</f>
        <v>Prima Clima</v>
      </c>
      <c r="U24" s="27">
        <f>+ENERO!U24</f>
        <v>0</v>
      </c>
      <c r="V24" s="15">
        <f>ABRIL!V24+MAYO!AL24</f>
        <v>0</v>
      </c>
      <c r="W24" s="15">
        <f>ABRIL!W24+MAYO!AM24</f>
        <v>0</v>
      </c>
      <c r="X24" s="18">
        <f t="shared" si="20"/>
        <v>0</v>
      </c>
      <c r="Y24" s="19">
        <f>ABRIL!AA24</f>
        <v>0</v>
      </c>
      <c r="Z24" s="374">
        <v>0</v>
      </c>
      <c r="AA24" s="18">
        <f t="shared" si="21"/>
        <v>0</v>
      </c>
      <c r="AB24" s="19">
        <f>ABRIL!AD24</f>
        <v>0</v>
      </c>
      <c r="AC24" s="374">
        <v>0</v>
      </c>
      <c r="AD24" s="18">
        <f t="shared" si="22"/>
        <v>0</v>
      </c>
      <c r="AE24" s="19">
        <f>ABRIL!AG24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28581445257</v>
      </c>
      <c r="AR24" s="431">
        <f>AD35+AD83</f>
        <v>16618962498</v>
      </c>
      <c r="AS24" s="431">
        <f>AG35+AG83</f>
        <v>9857306724</v>
      </c>
      <c r="AT24" s="431"/>
      <c r="AU24" s="373">
        <f t="shared" si="28"/>
        <v>0.58145983691744141</v>
      </c>
      <c r="AV24" s="373">
        <f t="shared" si="29"/>
        <v>0.34488482424050287</v>
      </c>
      <c r="AW24" s="373">
        <f>(AR24-AD41-AD88)/$AO$2*12+AD41+AD88</f>
        <v>31199561881</v>
      </c>
      <c r="AX24" s="373">
        <f>(AS24-AG41-AG88)/$AO$2*12+AG41+AG88</f>
        <v>14971588023.400002</v>
      </c>
      <c r="AY24" s="373">
        <f t="shared" si="30"/>
        <v>-2618116624</v>
      </c>
      <c r="AZ24" s="143">
        <f t="shared" si="31"/>
        <v>13609857233.599998</v>
      </c>
      <c r="BA24" s="9"/>
      <c r="BB24" s="437"/>
      <c r="BC24" s="382"/>
      <c r="BD24" s="382"/>
      <c r="BE24" s="382"/>
      <c r="BF24" s="382"/>
      <c r="BG24" s="382"/>
      <c r="BH24" s="382"/>
      <c r="BI24" s="382"/>
      <c r="BJ24" s="382"/>
      <c r="BK24" s="382"/>
      <c r="BL24" s="382"/>
      <c r="BM24" s="137" t="s">
        <v>110</v>
      </c>
      <c r="BN24" s="83">
        <f>X170-X177-X174-X183-X191</f>
        <v>143410591</v>
      </c>
      <c r="BO24" s="81">
        <f>AA170-AA177-AA174-AA183-AA191</f>
        <v>84422681</v>
      </c>
      <c r="BP24" s="81">
        <f>AD170-AD177-AD174-AD183-AD191</f>
        <v>73547552</v>
      </c>
      <c r="BQ24" s="82">
        <f>AF170-AF177-AF174-AF183-AF191</f>
        <v>11868600</v>
      </c>
      <c r="BR24" s="382"/>
    </row>
    <row r="25" spans="1:70" s="382" customFormat="1" ht="24.95" customHeight="1">
      <c r="A25" s="733">
        <f>+IF(ABRIL!A25=0,"",ABRIL!A25)</f>
        <v>1130102</v>
      </c>
      <c r="B25" s="645" t="str">
        <f>+IF(ABRIL!B25=0,"",ABRIL!B25)</f>
        <v>ARS - REGIMEN SUBSIDIADO</v>
      </c>
      <c r="C25" s="43">
        <f t="shared" ref="C25:N25" si="32">SUM(C26:C27)</f>
        <v>13439321219</v>
      </c>
      <c r="D25" s="44">
        <f t="shared" si="32"/>
        <v>0</v>
      </c>
      <c r="E25" s="44">
        <f t="shared" si="32"/>
        <v>2262720647</v>
      </c>
      <c r="F25" s="44">
        <f t="shared" si="32"/>
        <v>15702041866</v>
      </c>
      <c r="G25" s="44">
        <f t="shared" si="32"/>
        <v>10254568232</v>
      </c>
      <c r="H25" s="44">
        <f t="shared" si="32"/>
        <v>1734461167</v>
      </c>
      <c r="I25" s="44">
        <f t="shared" si="32"/>
        <v>11989029399</v>
      </c>
      <c r="J25" s="44">
        <f t="shared" si="32"/>
        <v>4608631880</v>
      </c>
      <c r="K25" s="44">
        <f t="shared" si="32"/>
        <v>1051497500</v>
      </c>
      <c r="L25" s="44">
        <f t="shared" si="32"/>
        <v>5660129380</v>
      </c>
      <c r="M25" s="44">
        <f t="shared" si="32"/>
        <v>3713012467</v>
      </c>
      <c r="N25" s="45">
        <f t="shared" si="32"/>
        <v>10041912486</v>
      </c>
      <c r="P25" s="43">
        <f>SUM(P26:P27)</f>
        <v>0</v>
      </c>
      <c r="Q25" s="45">
        <f>SUM(Q26:Q27)</f>
        <v>0</v>
      </c>
      <c r="R25" s="9"/>
      <c r="S25" s="706" t="str">
        <f>+IF(ABRIL!S25=0,"",ABRIL!S25)</f>
        <v>1010104-5</v>
      </c>
      <c r="T25" s="682" t="str">
        <f>+IF(ABRIL!T25=0,"",ABRIL!T25)</f>
        <v>Prima de Servicios</v>
      </c>
      <c r="U25" s="27">
        <f>+ENERO!U25</f>
        <v>26128895</v>
      </c>
      <c r="V25" s="15">
        <f>ABRIL!V25+MAYO!AL25</f>
        <v>0</v>
      </c>
      <c r="W25" s="15">
        <f>ABRIL!W25+MAYO!AM25</f>
        <v>0</v>
      </c>
      <c r="X25" s="18">
        <f t="shared" si="20"/>
        <v>26128895</v>
      </c>
      <c r="Y25" s="19">
        <f>ABRIL!AA25</f>
        <v>153080</v>
      </c>
      <c r="Z25" s="374">
        <v>0</v>
      </c>
      <c r="AA25" s="18">
        <f t="shared" si="21"/>
        <v>153080</v>
      </c>
      <c r="AB25" s="19">
        <f>ABRIL!AD25</f>
        <v>153080</v>
      </c>
      <c r="AC25" s="374">
        <v>0</v>
      </c>
      <c r="AD25" s="18">
        <f t="shared" si="22"/>
        <v>153080</v>
      </c>
      <c r="AE25" s="19">
        <f>ABRIL!AG25</f>
        <v>0</v>
      </c>
      <c r="AF25" s="374">
        <v>153080</v>
      </c>
      <c r="AG25" s="18">
        <f t="shared" si="23"/>
        <v>153080</v>
      </c>
      <c r="AH25" s="19">
        <f t="shared" si="24"/>
        <v>25975815</v>
      </c>
      <c r="AI25" s="15">
        <f t="shared" si="25"/>
        <v>25975815</v>
      </c>
      <c r="AJ25" s="16">
        <f t="shared" si="26"/>
        <v>25975815</v>
      </c>
      <c r="AK25" s="9"/>
      <c r="AL25" s="372">
        <v>0</v>
      </c>
      <c r="AM25" s="375">
        <v>0</v>
      </c>
      <c r="AN25" s="9"/>
      <c r="AO25" s="21"/>
      <c r="AP25" s="438" t="s">
        <v>116</v>
      </c>
      <c r="AQ25" s="373">
        <f>X43+X57+X90+X104</f>
        <v>516757377</v>
      </c>
      <c r="AR25" s="373">
        <f>AD43+AD57+AD90+AD104</f>
        <v>170473316</v>
      </c>
      <c r="AS25" s="373">
        <f>AG43+AG57+AG90+AG104</f>
        <v>170473316</v>
      </c>
      <c r="AT25" s="431"/>
      <c r="AU25" s="373">
        <f t="shared" si="28"/>
        <v>0.32989043521675743</v>
      </c>
      <c r="AV25" s="373">
        <f t="shared" si="29"/>
        <v>0.32989043521675743</v>
      </c>
      <c r="AW25" s="373">
        <f>(AR25-AD55-AD61-AD102-AD108)/$AO$2*12+AD55+AD61+AD102+AD108</f>
        <v>409135958.40000004</v>
      </c>
      <c r="AX25" s="373">
        <f>(AS25-AG55-AG61-AG102-AG108)/$AO$2*12+AG55+AG61+AG102+AG108</f>
        <v>409135958.40000004</v>
      </c>
      <c r="AY25" s="373">
        <f t="shared" si="30"/>
        <v>107621418.59999996</v>
      </c>
      <c r="AZ25" s="143">
        <f t="shared" si="31"/>
        <v>107621418.59999996</v>
      </c>
      <c r="BM25" s="140" t="s">
        <v>445</v>
      </c>
      <c r="BN25" s="106">
        <f>+SUM(BN26:BN28)</f>
        <v>14723406346</v>
      </c>
      <c r="BO25" s="107">
        <f>+SUM(BO26:BO28)</f>
        <v>6882759687</v>
      </c>
      <c r="BP25" s="107">
        <f>+SUM(BP26:BP28)</f>
        <v>5462292347</v>
      </c>
      <c r="BQ25" s="108">
        <f>+SUM(BQ26:BQ28)</f>
        <v>242988294</v>
      </c>
    </row>
    <row r="26" spans="1:70" s="9" customFormat="1" ht="24.95" customHeight="1">
      <c r="A26" s="611" t="str">
        <f>+IF(ABRIL!A26=0,"",ABRIL!A26)</f>
        <v>1130102-1</v>
      </c>
      <c r="B26" s="646" t="str">
        <f>+CONCATENATE("Vigencia ",INSTRUCCIONES!$F$3)</f>
        <v>Vigencia 2017</v>
      </c>
      <c r="C26" s="671">
        <f>+ENERO!C26</f>
        <v>13439321219</v>
      </c>
      <c r="D26" s="373">
        <f>ABRIL!D26+MAYO!P26</f>
        <v>0</v>
      </c>
      <c r="E26" s="373">
        <f>ABRIL!E26+MAYO!Q26</f>
        <v>0</v>
      </c>
      <c r="F26" s="373">
        <f>SUM(C26:E26)</f>
        <v>13439321219</v>
      </c>
      <c r="G26" s="373">
        <f>ABRIL!I26</f>
        <v>5846273052</v>
      </c>
      <c r="H26" s="374">
        <v>1477334082</v>
      </c>
      <c r="I26" s="373">
        <f>SUM(G26:H26)</f>
        <v>7323607134</v>
      </c>
      <c r="J26" s="373">
        <f>ABRIL!L26</f>
        <v>200336700</v>
      </c>
      <c r="K26" s="374">
        <v>794370415</v>
      </c>
      <c r="L26" s="373">
        <f>SUM(J26:K26)</f>
        <v>994707115</v>
      </c>
      <c r="M26" s="373">
        <f>F26-I26</f>
        <v>6115714085</v>
      </c>
      <c r="N26" s="143">
        <f>F26-L26</f>
        <v>12444614104</v>
      </c>
      <c r="P26" s="372">
        <v>0</v>
      </c>
      <c r="Q26" s="375">
        <v>0</v>
      </c>
      <c r="S26" s="706" t="str">
        <f>+IF(ABRIL!S26=0,"",ABRIL!S26)</f>
        <v>1010104-8</v>
      </c>
      <c r="T26" s="682" t="str">
        <f>+IF(ABRIL!T26=0,"",ABRIL!T26)</f>
        <v>Bonific. por Servicios Prestados</v>
      </c>
      <c r="U26" s="27">
        <f>+ENERO!U26</f>
        <v>12868455</v>
      </c>
      <c r="V26" s="15">
        <f>ABRIL!V26+MAYO!AL26</f>
        <v>0</v>
      </c>
      <c r="W26" s="15">
        <f>ABRIL!W26+MAYO!AM26</f>
        <v>0</v>
      </c>
      <c r="X26" s="18">
        <f t="shared" si="20"/>
        <v>12868455</v>
      </c>
      <c r="Y26" s="19">
        <f>ABRIL!AA26</f>
        <v>2564922</v>
      </c>
      <c r="Z26" s="374">
        <v>506583</v>
      </c>
      <c r="AA26" s="18">
        <f t="shared" si="21"/>
        <v>3071505</v>
      </c>
      <c r="AB26" s="19">
        <f>ABRIL!AD26</f>
        <v>2564922</v>
      </c>
      <c r="AC26" s="374">
        <v>506583</v>
      </c>
      <c r="AD26" s="18">
        <f t="shared" si="22"/>
        <v>3071505</v>
      </c>
      <c r="AE26" s="19">
        <f>ABRIL!AG26</f>
        <v>2457766</v>
      </c>
      <c r="AF26" s="374">
        <v>613739</v>
      </c>
      <c r="AG26" s="18">
        <f t="shared" si="23"/>
        <v>3071505</v>
      </c>
      <c r="AH26" s="19">
        <f t="shared" si="24"/>
        <v>9796950</v>
      </c>
      <c r="AI26" s="15">
        <f t="shared" si="25"/>
        <v>9796950</v>
      </c>
      <c r="AJ26" s="16">
        <f t="shared" si="26"/>
        <v>9796950</v>
      </c>
      <c r="AL26" s="372">
        <v>0</v>
      </c>
      <c r="AM26" s="375">
        <v>0</v>
      </c>
      <c r="AO26" s="21"/>
      <c r="AP26" s="439" t="s">
        <v>120</v>
      </c>
      <c r="AQ26" s="327">
        <f>X110</f>
        <v>9699998309</v>
      </c>
      <c r="AR26" s="327">
        <f>AD110</f>
        <v>4157841171</v>
      </c>
      <c r="AS26" s="327">
        <f>AG110</f>
        <v>2604686687</v>
      </c>
      <c r="AT26" s="371">
        <f>AO2/12</f>
        <v>0.41666666666666669</v>
      </c>
      <c r="AU26" s="342">
        <f t="shared" si="28"/>
        <v>0.42864349441609784</v>
      </c>
      <c r="AV26" s="342">
        <f t="shared" si="29"/>
        <v>0.26852444753348875</v>
      </c>
      <c r="AW26" s="436">
        <f>(AR26-AD121-AD139-AD143-AD153-AD168)/$AO$2*12+AD121+AD139+AD143+AD153+AD168</f>
        <v>8939385362.2000008</v>
      </c>
      <c r="AX26" s="436">
        <f>(AS26-AG121-AG139-AG143-AG153-AG168)/$AO$2*12+AG121+AG139+AG143+AG153+AG168</f>
        <v>5211814600.6000004</v>
      </c>
      <c r="AY26" s="436">
        <f t="shared" si="30"/>
        <v>760612946.79999924</v>
      </c>
      <c r="AZ26" s="46">
        <f t="shared" si="31"/>
        <v>4488183708.3999996</v>
      </c>
      <c r="BA26" s="382"/>
      <c r="BB26" s="382"/>
      <c r="BC26" s="382"/>
      <c r="BD26" s="382"/>
      <c r="BE26" s="382"/>
      <c r="BF26" s="382"/>
      <c r="BG26" s="382"/>
      <c r="BH26" s="382"/>
      <c r="BI26" s="382"/>
      <c r="BJ26" s="382"/>
      <c r="BK26" s="382"/>
      <c r="BM26" s="109" t="s">
        <v>446</v>
      </c>
      <c r="BN26" s="86">
        <f>+X198+X212</f>
        <v>6446158346</v>
      </c>
      <c r="BO26" s="84">
        <f>+AA198+AA212</f>
        <v>2183481286</v>
      </c>
      <c r="BP26" s="84">
        <f>+AD198+AD212</f>
        <v>1759770659</v>
      </c>
      <c r="BQ26" s="85">
        <f>+AF198+AF212</f>
        <v>142742864</v>
      </c>
      <c r="BR26" s="382"/>
    </row>
    <row r="27" spans="1:70" s="422" customFormat="1" ht="24.95" customHeight="1">
      <c r="A27" s="611" t="str">
        <f>+IF(ABRIL!A27=0,"",ABRIL!A27)</f>
        <v>1130102-2</v>
      </c>
      <c r="B27" s="646" t="str">
        <f>+IF(ABRIL!B27=0,"",ABRIL!B27)</f>
        <v>Vigencia Anterior</v>
      </c>
      <c r="C27" s="671">
        <f>+ENERO!C27</f>
        <v>0</v>
      </c>
      <c r="D27" s="373">
        <f>ABRIL!D27+MAYO!P27</f>
        <v>0</v>
      </c>
      <c r="E27" s="373">
        <f>ABRIL!E27+MAYO!Q27</f>
        <v>2262720647</v>
      </c>
      <c r="F27" s="373">
        <f>SUM(C27:E27)</f>
        <v>2262720647</v>
      </c>
      <c r="G27" s="373">
        <f>ABRIL!I27</f>
        <v>4408295180</v>
      </c>
      <c r="H27" s="374">
        <v>257127085</v>
      </c>
      <c r="I27" s="373">
        <f>SUM(G27:H27)</f>
        <v>4665422265</v>
      </c>
      <c r="J27" s="373">
        <f>ABRIL!L27</f>
        <v>4408295180</v>
      </c>
      <c r="K27" s="374">
        <v>257127085</v>
      </c>
      <c r="L27" s="373">
        <f>SUM(J27:K27)</f>
        <v>4665422265</v>
      </c>
      <c r="M27" s="373">
        <f>F27-I27</f>
        <v>-2402701618</v>
      </c>
      <c r="N27" s="143">
        <f>F27-L27</f>
        <v>-2402701618</v>
      </c>
      <c r="O27" s="382"/>
      <c r="P27" s="372">
        <v>0</v>
      </c>
      <c r="Q27" s="375">
        <v>0</v>
      </c>
      <c r="R27" s="9"/>
      <c r="S27" s="706" t="str">
        <f>+IF(ABRIL!S27=0,"",ABRIL!S27)</f>
        <v>1010104-9</v>
      </c>
      <c r="T27" s="682" t="str">
        <f>+IF(ABRIL!T27=0,"",ABRIL!T27)</f>
        <v>Auxilio de Transporte</v>
      </c>
      <c r="U27" s="27">
        <f>+ENERO!U27</f>
        <v>0</v>
      </c>
      <c r="V27" s="15">
        <f>ABRIL!V27+MAYO!AL27</f>
        <v>0</v>
      </c>
      <c r="W27" s="15">
        <f>ABRIL!W27+MAYO!AM27</f>
        <v>0</v>
      </c>
      <c r="X27" s="18">
        <f t="shared" si="20"/>
        <v>0</v>
      </c>
      <c r="Y27" s="19">
        <f>ABRIL!AA27</f>
        <v>0</v>
      </c>
      <c r="Z27" s="374">
        <v>0</v>
      </c>
      <c r="AA27" s="18">
        <f t="shared" si="21"/>
        <v>0</v>
      </c>
      <c r="AB27" s="19">
        <f>ABRIL!AD27</f>
        <v>0</v>
      </c>
      <c r="AC27" s="374">
        <v>0</v>
      </c>
      <c r="AD27" s="18">
        <f t="shared" si="22"/>
        <v>0</v>
      </c>
      <c r="AE27" s="19">
        <f>ABRIL!AG27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162687433</v>
      </c>
      <c r="AR27" s="373">
        <f>AD170</f>
        <v>78854836</v>
      </c>
      <c r="AS27" s="373">
        <f>AG170</f>
        <v>47228781</v>
      </c>
      <c r="AT27" s="431"/>
      <c r="AU27" s="373">
        <f t="shared" si="28"/>
        <v>0.48470145816364318</v>
      </c>
      <c r="AV27" s="373">
        <f t="shared" si="29"/>
        <v>0.29030380607210149</v>
      </c>
      <c r="AW27" s="373">
        <f>(AR27-AD174-AD183-AD191)/$AO$2*12+AD174+AD183+AD191</f>
        <v>189251606.39999998</v>
      </c>
      <c r="AX27" s="373">
        <f>(AS27-AG174-AG183-AG191)/$AO$2*12+AG174+AG183+AG191</f>
        <v>113349074.39999999</v>
      </c>
      <c r="AY27" s="373">
        <f t="shared" si="30"/>
        <v>-26564173.399999976</v>
      </c>
      <c r="AZ27" s="143">
        <f t="shared" si="31"/>
        <v>49338358.600000009</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3">
        <f>+IF(ABRIL!A28=0,"",ABRIL!A28)</f>
        <v>1130103</v>
      </c>
      <c r="B28" s="622" t="str">
        <f>+IF(ABRIL!B28=0,"",ABRIL!B28)</f>
        <v>SUBSIDIO A LA OFERTA- ATENCION PERSONAS POBRES NO CUBIERTOS CON SUBSIDIO A LA DEMANDA</v>
      </c>
      <c r="C28" s="43">
        <f>C29+C32+C35+C38+C39+C40</f>
        <v>157521482</v>
      </c>
      <c r="D28" s="44">
        <f>+D29+D32+D35+D38+D39+D40</f>
        <v>0</v>
      </c>
      <c r="E28" s="44">
        <f>+E29+E32+E35+E38+E39+E40</f>
        <v>212958</v>
      </c>
      <c r="F28" s="44">
        <f>+F29+F32+F35+F38+F39+F40</f>
        <v>157734440</v>
      </c>
      <c r="G28" s="44">
        <f t="shared" ref="G28:N28" si="33">G29+G32+G35+G38+G39+G40</f>
        <v>352385515</v>
      </c>
      <c r="H28" s="44">
        <f t="shared" si="33"/>
        <v>139594905</v>
      </c>
      <c r="I28" s="44">
        <f t="shared" si="33"/>
        <v>491980420</v>
      </c>
      <c r="J28" s="44">
        <f t="shared" si="33"/>
        <v>1255508</v>
      </c>
      <c r="K28" s="44">
        <f t="shared" si="33"/>
        <v>10900</v>
      </c>
      <c r="L28" s="44">
        <f t="shared" si="33"/>
        <v>1266408</v>
      </c>
      <c r="M28" s="44">
        <f t="shared" si="33"/>
        <v>-334245980</v>
      </c>
      <c r="N28" s="45">
        <f t="shared" si="33"/>
        <v>156468032</v>
      </c>
      <c r="O28" s="382"/>
      <c r="P28" s="43">
        <f>P29+P32+P35+P38+P39+P940</f>
        <v>0</v>
      </c>
      <c r="Q28" s="45">
        <f>Q29+Q32+Q35+Q38+Q39+Q40</f>
        <v>0</v>
      </c>
      <c r="R28" s="9"/>
      <c r="S28" s="706" t="str">
        <f>+IF(ABRIL!S28=0,"",ABRIL!S28)</f>
        <v>1010104-10</v>
      </c>
      <c r="T28" s="682" t="str">
        <f>+IF(ABRIL!T28=0,"",ABRIL!T28)</f>
        <v>Subsidio de Alimentación</v>
      </c>
      <c r="U28" s="27">
        <f>+ENERO!U28</f>
        <v>532000</v>
      </c>
      <c r="V28" s="15">
        <f>ABRIL!V28+MAYO!AL28</f>
        <v>0</v>
      </c>
      <c r="W28" s="15">
        <f>ABRIL!W28+MAYO!AM28</f>
        <v>0</v>
      </c>
      <c r="X28" s="18">
        <f t="shared" si="20"/>
        <v>532000</v>
      </c>
      <c r="Y28" s="19">
        <f>ABRIL!AA28</f>
        <v>214536</v>
      </c>
      <c r="Z28" s="374">
        <v>53634</v>
      </c>
      <c r="AA28" s="18">
        <f t="shared" si="21"/>
        <v>268170</v>
      </c>
      <c r="AB28" s="19">
        <f>ABRIL!AD28</f>
        <v>214536</v>
      </c>
      <c r="AC28" s="374">
        <v>53634</v>
      </c>
      <c r="AD28" s="18">
        <f t="shared" si="22"/>
        <v>268170</v>
      </c>
      <c r="AE28" s="19">
        <f>ABRIL!AG28</f>
        <v>214536</v>
      </c>
      <c r="AF28" s="374">
        <v>53634</v>
      </c>
      <c r="AG28" s="18">
        <f t="shared" si="23"/>
        <v>268170</v>
      </c>
      <c r="AH28" s="19">
        <f t="shared" si="24"/>
        <v>263830</v>
      </c>
      <c r="AI28" s="15">
        <f t="shared" si="25"/>
        <v>263830</v>
      </c>
      <c r="AJ28" s="16">
        <f t="shared" si="26"/>
        <v>263830</v>
      </c>
      <c r="AK28" s="9"/>
      <c r="AL28" s="372">
        <v>0</v>
      </c>
      <c r="AM28" s="375">
        <v>0</v>
      </c>
      <c r="AN28" s="9"/>
      <c r="AO28" s="349"/>
      <c r="AP28" s="787" t="s">
        <v>586</v>
      </c>
      <c r="AQ28" s="373">
        <f>X195</f>
        <v>17015313452</v>
      </c>
      <c r="AR28" s="373">
        <f>AD195</f>
        <v>7735767056</v>
      </c>
      <c r="AS28" s="373">
        <f>AG195</f>
        <v>3350750587</v>
      </c>
      <c r="AT28" s="431"/>
      <c r="AU28" s="373">
        <f t="shared" si="28"/>
        <v>0.4546355891604647</v>
      </c>
      <c r="AV28" s="373">
        <f t="shared" si="29"/>
        <v>0.19692558685165737</v>
      </c>
      <c r="AW28" s="373">
        <f>(AR28-AD207)/$AO$2*12+AD207</f>
        <v>15382976341.800001</v>
      </c>
      <c r="AX28" s="373">
        <f>(AS28-AG207)/$AO$2*12+AG207</f>
        <v>4884016416.1999998</v>
      </c>
      <c r="AY28" s="373">
        <f t="shared" si="30"/>
        <v>1632337110.1999989</v>
      </c>
      <c r="AZ28" s="143">
        <f t="shared" si="31"/>
        <v>12131297035.799999</v>
      </c>
      <c r="BA28" s="382"/>
      <c r="BB28" s="382"/>
      <c r="BC28" s="382"/>
      <c r="BD28" s="382"/>
      <c r="BE28" s="382"/>
      <c r="BF28" s="382"/>
      <c r="BG28" s="382"/>
      <c r="BH28" s="382"/>
      <c r="BI28" s="382"/>
      <c r="BJ28" s="382"/>
      <c r="BK28" s="382"/>
      <c r="BL28" s="382"/>
      <c r="BM28" s="71" t="s">
        <v>448</v>
      </c>
      <c r="BN28" s="83">
        <f>+X196-X198-X207</f>
        <v>8277248000</v>
      </c>
      <c r="BO28" s="81">
        <f>+AA196-AA198-AA207</f>
        <v>4699278401</v>
      </c>
      <c r="BP28" s="81">
        <f>+AD196-AD198-AD207</f>
        <v>3702521688</v>
      </c>
      <c r="BQ28" s="82">
        <f>+AF196-AF198-AF207</f>
        <v>100245430</v>
      </c>
      <c r="BR28" s="9"/>
    </row>
    <row r="29" spans="1:70" s="9" customFormat="1" ht="24.95" customHeight="1">
      <c r="A29" s="611" t="str">
        <f>+IF(ABRIL!A29=0,"",ABRIL!A29)</f>
        <v>1130103-1</v>
      </c>
      <c r="B29" s="647"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6" t="str">
        <f>+IF(ABRIL!S29=0,"",ABRIL!S29)</f>
        <v>1010104-11</v>
      </c>
      <c r="T29" s="682" t="str">
        <f>+IF(ABRIL!T29=0,"",ABRIL!T29)</f>
        <v>Gastos de Representación</v>
      </c>
      <c r="U29" s="27">
        <f>+ENERO!U29</f>
        <v>0</v>
      </c>
      <c r="V29" s="15">
        <f>ABRIL!V29+MAYO!AL29</f>
        <v>0</v>
      </c>
      <c r="W29" s="15">
        <f>ABRIL!W29+MAYO!AM29</f>
        <v>0</v>
      </c>
      <c r="X29" s="18">
        <f t="shared" si="20"/>
        <v>0</v>
      </c>
      <c r="Y29" s="19">
        <f>ABRIL!AA29</f>
        <v>0</v>
      </c>
      <c r="Z29" s="374">
        <v>0</v>
      </c>
      <c r="AA29" s="18">
        <f t="shared" si="21"/>
        <v>0</v>
      </c>
      <c r="AB29" s="19">
        <f>ABRIL!AD29</f>
        <v>0</v>
      </c>
      <c r="AC29" s="374">
        <v>0</v>
      </c>
      <c r="AD29" s="18">
        <f t="shared" si="22"/>
        <v>0</v>
      </c>
      <c r="AE29" s="19">
        <f>ABRIL!AG29</f>
        <v>0</v>
      </c>
      <c r="AF29" s="374">
        <v>0</v>
      </c>
      <c r="AG29" s="18">
        <f t="shared" si="23"/>
        <v>0</v>
      </c>
      <c r="AH29" s="19">
        <f t="shared" si="24"/>
        <v>0</v>
      </c>
      <c r="AI29" s="15">
        <f t="shared" si="25"/>
        <v>0</v>
      </c>
      <c r="AJ29" s="16">
        <f t="shared" si="26"/>
        <v>0</v>
      </c>
      <c r="AL29" s="372">
        <v>0</v>
      </c>
      <c r="AM29" s="375">
        <v>0</v>
      </c>
      <c r="AO29" s="21"/>
      <c r="AP29" s="787"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433878092</v>
      </c>
      <c r="BO29" s="107">
        <f>AA232-AA256-AA241</f>
        <v>352813794</v>
      </c>
      <c r="BP29" s="107">
        <f>AD232-AD256-AD241</f>
        <v>180073229</v>
      </c>
      <c r="BQ29" s="108">
        <f>AF232-AF256-AF241</f>
        <v>30056711</v>
      </c>
      <c r="BR29" s="382"/>
    </row>
    <row r="30" spans="1:70" s="422" customFormat="1" ht="24.95" customHeight="1">
      <c r="A30" s="611" t="str">
        <f>+IF(ABRIL!A30=0,"",ABRIL!A30)</f>
        <v>1130103-1-1</v>
      </c>
      <c r="B30" s="646" t="str">
        <f>+CONCATENATE("Vigencia ",INSTRUCCIONES!$F$3)</f>
        <v>Vigencia 2017</v>
      </c>
      <c r="C30" s="671">
        <f>+ENERO!C30</f>
        <v>0</v>
      </c>
      <c r="D30" s="373">
        <f>ABRIL!D30+MAYO!P30</f>
        <v>0</v>
      </c>
      <c r="E30" s="373">
        <f>ABRIL!E30+MAYO!Q30</f>
        <v>0</v>
      </c>
      <c r="F30" s="373">
        <f>SUM(C30:E30)</f>
        <v>0</v>
      </c>
      <c r="G30" s="373">
        <f>ABRIL!I30</f>
        <v>0</v>
      </c>
      <c r="H30" s="374">
        <v>0</v>
      </c>
      <c r="I30" s="373">
        <f>SUM(G30:H30)</f>
        <v>0</v>
      </c>
      <c r="J30" s="373">
        <f>ABRIL!L30</f>
        <v>0</v>
      </c>
      <c r="K30" s="374">
        <v>0</v>
      </c>
      <c r="L30" s="373">
        <f>SUM(J30:K30)</f>
        <v>0</v>
      </c>
      <c r="M30" s="373">
        <f>F30-I30</f>
        <v>0</v>
      </c>
      <c r="N30" s="143">
        <f>F30-L30</f>
        <v>0</v>
      </c>
      <c r="O30" s="9"/>
      <c r="P30" s="372">
        <v>0</v>
      </c>
      <c r="Q30" s="375">
        <v>0</v>
      </c>
      <c r="R30" s="9"/>
      <c r="S30" s="706" t="str">
        <f>+IF(ABRIL!S30=0,"",ABRIL!S30)</f>
        <v>1010104-12</v>
      </c>
      <c r="T30" s="682" t="str">
        <f>+IF(ABRIL!T30=0,"",ABRIL!T30)</f>
        <v xml:space="preserve"> Indemnizaciones por Vacaciones o Supresión de Cargos por Reestructuración</v>
      </c>
      <c r="U30" s="27">
        <f>+ENERO!U30</f>
        <v>0</v>
      </c>
      <c r="V30" s="15">
        <f>ABRIL!V30+MAYO!AL30</f>
        <v>0</v>
      </c>
      <c r="W30" s="15">
        <f>ABRIL!W30+MAYO!AM30</f>
        <v>0</v>
      </c>
      <c r="X30" s="18">
        <f t="shared" si="20"/>
        <v>0</v>
      </c>
      <c r="Y30" s="19">
        <f>ABRIL!AA30</f>
        <v>0</v>
      </c>
      <c r="Z30" s="374">
        <v>0</v>
      </c>
      <c r="AA30" s="18">
        <f t="shared" si="21"/>
        <v>0</v>
      </c>
      <c r="AB30" s="19">
        <f>ABRIL!AD30</f>
        <v>0</v>
      </c>
      <c r="AC30" s="374">
        <v>0</v>
      </c>
      <c r="AD30" s="18">
        <f t="shared" si="22"/>
        <v>0</v>
      </c>
      <c r="AE30" s="19">
        <f>ABRIL!AG30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433878092</v>
      </c>
      <c r="AR30" s="373">
        <f>AD220+AD232</f>
        <v>180073229</v>
      </c>
      <c r="AS30" s="373">
        <f>AG220+AG232</f>
        <v>165407897</v>
      </c>
      <c r="AT30" s="431"/>
      <c r="AU30" s="373">
        <f t="shared" si="28"/>
        <v>0.41503185415501459</v>
      </c>
      <c r="AV30" s="373">
        <f t="shared" si="29"/>
        <v>0.38123127221643632</v>
      </c>
      <c r="AW30" s="373">
        <f>(AR30-AD225-AD230-AD241-AD256)/$AO$2*12+AD225+AD230+AD241+AD256</f>
        <v>432175749.59999996</v>
      </c>
      <c r="AX30" s="373">
        <f>(AS30-AG225-AG230-AG241-AG256)/$AO$2*12+AG225+AG230+AG241+AG256</f>
        <v>396978952.79999995</v>
      </c>
      <c r="AY30" s="373">
        <f t="shared" si="30"/>
        <v>1702342.4000000358</v>
      </c>
      <c r="AZ30" s="143">
        <f t="shared" si="31"/>
        <v>36899139.200000048</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+IF(ABRIL!A31=0,"",ABRIL!A31)</f>
        <v>1130103-1-2</v>
      </c>
      <c r="B31" s="646" t="str">
        <f>+IF(ABRIL!B31=0,"",ABRIL!B31)</f>
        <v>Vigencia Anterior</v>
      </c>
      <c r="C31" s="671">
        <f>+ENERO!C31</f>
        <v>0</v>
      </c>
      <c r="D31" s="373">
        <f>ABRIL!D31+MAYO!P31</f>
        <v>0</v>
      </c>
      <c r="E31" s="373">
        <f>ABRIL!E31+MAYO!Q31</f>
        <v>0</v>
      </c>
      <c r="F31" s="373">
        <f>SUM(C31:E31)</f>
        <v>0</v>
      </c>
      <c r="G31" s="373">
        <f>ABRIL!I31</f>
        <v>0</v>
      </c>
      <c r="H31" s="374">
        <v>0</v>
      </c>
      <c r="I31" s="373">
        <f>SUM(G31:H31)</f>
        <v>0</v>
      </c>
      <c r="J31" s="373">
        <f>ABRIL!L31</f>
        <v>0</v>
      </c>
      <c r="K31" s="374">
        <v>0</v>
      </c>
      <c r="L31" s="373">
        <f>SUM(J31:K31)</f>
        <v>0</v>
      </c>
      <c r="M31" s="373">
        <f>F31-I31</f>
        <v>0</v>
      </c>
      <c r="N31" s="143">
        <f>F31-L31</f>
        <v>0</v>
      </c>
      <c r="O31" s="382"/>
      <c r="P31" s="372">
        <v>0</v>
      </c>
      <c r="Q31" s="375">
        <v>0</v>
      </c>
      <c r="R31" s="9"/>
      <c r="S31" s="706" t="str">
        <f>+IF(ABRIL!S31=0,"",ABRIL!S31)</f>
        <v>1010104-13</v>
      </c>
      <c r="T31" s="682" t="str">
        <f>+IF(ABRIL!T31=0,"",ABRIL!T31)</f>
        <v>Bonificación Especial por Recreación</v>
      </c>
      <c r="U31" s="27">
        <f>+ENERO!U31</f>
        <v>1869843</v>
      </c>
      <c r="V31" s="15">
        <f>ABRIL!V31+MAYO!AL31</f>
        <v>0</v>
      </c>
      <c r="W31" s="15">
        <f>ABRIL!W31+MAYO!AM31</f>
        <v>0</v>
      </c>
      <c r="X31" s="18">
        <f t="shared" si="20"/>
        <v>1869843</v>
      </c>
      <c r="Y31" s="19">
        <f>ABRIL!AA31</f>
        <v>20411</v>
      </c>
      <c r="Z31" s="374">
        <v>96492</v>
      </c>
      <c r="AA31" s="18">
        <f t="shared" si="21"/>
        <v>116903</v>
      </c>
      <c r="AB31" s="19">
        <f>ABRIL!AD31</f>
        <v>20411</v>
      </c>
      <c r="AC31" s="374">
        <v>96492</v>
      </c>
      <c r="AD31" s="18">
        <f t="shared" si="22"/>
        <v>116903</v>
      </c>
      <c r="AE31" s="19">
        <f>ABRIL!AG31</f>
        <v>0</v>
      </c>
      <c r="AF31" s="374">
        <v>116903</v>
      </c>
      <c r="AG31" s="18">
        <f t="shared" si="23"/>
        <v>116903</v>
      </c>
      <c r="AH31" s="19">
        <f t="shared" si="24"/>
        <v>1752940</v>
      </c>
      <c r="AI31" s="15">
        <f t="shared" si="25"/>
        <v>1752940</v>
      </c>
      <c r="AJ31" s="16">
        <f t="shared" si="26"/>
        <v>1752940</v>
      </c>
      <c r="AK31" s="9"/>
      <c r="AL31" s="372">
        <v>0</v>
      </c>
      <c r="AM31" s="375">
        <v>0</v>
      </c>
      <c r="AN31" s="9"/>
      <c r="AO31" s="349"/>
      <c r="AP31" s="415" t="s">
        <v>135</v>
      </c>
      <c r="AQ31" s="431">
        <f>X258</f>
        <v>0</v>
      </c>
      <c r="AR31" s="431">
        <f>AD258</f>
        <v>-13078174389</v>
      </c>
      <c r="AS31" s="431">
        <f>AG258</f>
        <v>-16871179991</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9909214053</v>
      </c>
      <c r="BO31" s="107">
        <f>AA33+AA41+AA55+AA61+AA81+AA88+AA102+AA108+AA121+AA139+AA143+AA153+AA168+AA174+AA183+AA191+AA207+AA218+AA230+AA241+AA256+AA225</f>
        <v>9220175825</v>
      </c>
      <c r="BP31" s="107">
        <f>AD33+AD41+AD55+AD61+AD81+AD88+AD102+AD108+AD121+AD139+AD143+AD153+AD168+AD174+AD183+AD191+AD207+AD218+AD230+AD241+AD256+AD225</f>
        <v>9220175825</v>
      </c>
      <c r="BQ31" s="108">
        <f>AF33+AF41+AF55+AF61+AF81+AF88+AF102+AF108+AF121+AF139+AF143+AF153+AF168+AF174+AF183+AF191+AF207+AF218+AF230+AF241+AF256+AF225</f>
        <v>1555493421</v>
      </c>
      <c r="BR31" s="9"/>
    </row>
    <row r="32" spans="1:70" s="9" customFormat="1" ht="24.95" customHeight="1" thickBot="1">
      <c r="A32" s="611" t="str">
        <f>+IF(ABRIL!A32=0,"",ABRIL!A32)</f>
        <v>1130103-2</v>
      </c>
      <c r="B32" s="647" t="str">
        <f>+IF(ABRIL!B32=0,"",ABRIL!B32)</f>
        <v>Prestación de Servicios de salud  2o. Nivel</v>
      </c>
      <c r="C32" s="19">
        <f t="shared" ref="C32:N32" si="35">SUM(C33:C34)</f>
        <v>157521482</v>
      </c>
      <c r="D32" s="15">
        <f t="shared" si="35"/>
        <v>0</v>
      </c>
      <c r="E32" s="15">
        <f t="shared" si="35"/>
        <v>212958</v>
      </c>
      <c r="F32" s="15">
        <f t="shared" si="35"/>
        <v>157734440</v>
      </c>
      <c r="G32" s="15">
        <f t="shared" si="35"/>
        <v>352385515</v>
      </c>
      <c r="H32" s="15">
        <f t="shared" si="35"/>
        <v>139594905</v>
      </c>
      <c r="I32" s="15">
        <f t="shared" si="35"/>
        <v>491980420</v>
      </c>
      <c r="J32" s="15">
        <f t="shared" si="35"/>
        <v>1255508</v>
      </c>
      <c r="K32" s="15">
        <f t="shared" si="35"/>
        <v>10900</v>
      </c>
      <c r="L32" s="15">
        <f t="shared" si="35"/>
        <v>1266408</v>
      </c>
      <c r="M32" s="15">
        <f t="shared" si="35"/>
        <v>-334245980</v>
      </c>
      <c r="N32" s="16">
        <f t="shared" si="35"/>
        <v>156468032</v>
      </c>
      <c r="O32" s="382"/>
      <c r="P32" s="144">
        <f>SUM(P33:P34)</f>
        <v>0</v>
      </c>
      <c r="Q32" s="145">
        <f>SUM(Q33:Q34)</f>
        <v>0</v>
      </c>
      <c r="S32" s="706" t="str">
        <f>+IF(ABRIL!S32=0,"",ABRIL!S32)</f>
        <v>1010104-14</v>
      </c>
      <c r="T32" s="682" t="str">
        <f>+IF(ABRIL!T32=0,"",ABRIL!T32)</f>
        <v/>
      </c>
      <c r="U32" s="27">
        <f>+ENERO!U32</f>
        <v>0</v>
      </c>
      <c r="V32" s="15">
        <f>ABRIL!V32+MAYO!AL32</f>
        <v>0</v>
      </c>
      <c r="W32" s="15">
        <f>ABRIL!W32+MAYO!AM32</f>
        <v>0</v>
      </c>
      <c r="X32" s="18">
        <f t="shared" si="20"/>
        <v>0</v>
      </c>
      <c r="Y32" s="19">
        <f>ABRIL!AA32</f>
        <v>0</v>
      </c>
      <c r="Z32" s="374">
        <v>0</v>
      </c>
      <c r="AA32" s="18">
        <f t="shared" si="21"/>
        <v>0</v>
      </c>
      <c r="AB32" s="19">
        <f>ABRIL!AD32</f>
        <v>0</v>
      </c>
      <c r="AC32" s="374">
        <v>0</v>
      </c>
      <c r="AD32" s="18">
        <f t="shared" si="22"/>
        <v>0</v>
      </c>
      <c r="AE32" s="19">
        <f>ABRIL!AG32</f>
        <v>0</v>
      </c>
      <c r="AF32" s="374">
        <v>0</v>
      </c>
      <c r="AG32" s="18">
        <f t="shared" si="23"/>
        <v>0</v>
      </c>
      <c r="AH32" s="19">
        <f t="shared" si="24"/>
        <v>0</v>
      </c>
      <c r="AI32" s="15">
        <f t="shared" si="25"/>
        <v>0</v>
      </c>
      <c r="AJ32" s="16">
        <f t="shared" si="26"/>
        <v>0</v>
      </c>
      <c r="AL32" s="372">
        <v>0</v>
      </c>
      <c r="AM32" s="375">
        <v>0</v>
      </c>
      <c r="AO32" s="21"/>
      <c r="AP32" s="440" t="s">
        <v>140</v>
      </c>
      <c r="AQ32" s="395">
        <f>SUM(AQ22:AQ31)</f>
        <v>58435490682</v>
      </c>
      <c r="AR32" s="395">
        <f>SUM(AR22:AR31)</f>
        <v>16539123716</v>
      </c>
      <c r="AS32" s="395">
        <f>SUM(AS22:AS31)</f>
        <v>0</v>
      </c>
      <c r="AT32" s="441"/>
      <c r="AU32" s="442">
        <f t="shared" si="28"/>
        <v>0.28303216971350903</v>
      </c>
      <c r="AV32" s="442">
        <f t="shared" si="29"/>
        <v>0</v>
      </c>
      <c r="AW32" s="351">
        <f>SUM(AW22:AW31)</f>
        <v>58277312388.700005</v>
      </c>
      <c r="AX32" s="351">
        <f>SUM(AX22:AX31)</f>
        <v>27711708515.100002</v>
      </c>
      <c r="AY32" s="351">
        <f>SUM(AY22:AY31)</f>
        <v>158178293.29999775</v>
      </c>
      <c r="AZ32" s="352">
        <f>SUM(AZ22:AZ31)</f>
        <v>30723782166.899998</v>
      </c>
      <c r="BA32" s="382"/>
      <c r="BB32" s="422"/>
      <c r="BC32" s="422"/>
      <c r="BD32" s="422"/>
      <c r="BE32" s="422"/>
      <c r="BF32" s="422"/>
      <c r="BG32" s="382"/>
      <c r="BH32" s="382"/>
      <c r="BI32" s="382"/>
      <c r="BJ32" s="382"/>
      <c r="BK32" s="382"/>
      <c r="BM32" s="110" t="s">
        <v>136</v>
      </c>
      <c r="BN32" s="106">
        <f>+BN7+BN25+BN29+BN30+BN31</f>
        <v>58435490682</v>
      </c>
      <c r="BO32" s="107">
        <f t="shared" ref="BO32:BQ32" si="36">+BO7+BO25+BO29+BO30+BO31</f>
        <v>39522302355</v>
      </c>
      <c r="BP32" s="107">
        <f t="shared" si="36"/>
        <v>29617298105</v>
      </c>
      <c r="BQ32" s="108">
        <f t="shared" si="36"/>
        <v>3768086540</v>
      </c>
      <c r="BR32" s="382"/>
    </row>
    <row r="33" spans="1:70" s="422" customFormat="1" ht="24.95" customHeight="1" thickBot="1">
      <c r="A33" s="611" t="str">
        <f>+IF(ABRIL!A33=0,"",ABRIL!A33)</f>
        <v>1130103-2-1</v>
      </c>
      <c r="B33" s="646" t="str">
        <f>+CONCATENATE("Vigencia ",INSTRUCCIONES!$F$3)</f>
        <v>Vigencia 2017</v>
      </c>
      <c r="C33" s="671">
        <f>+ENERO!C33</f>
        <v>157521482</v>
      </c>
      <c r="D33" s="373">
        <f>ABRIL!D33+MAYO!P33</f>
        <v>0</v>
      </c>
      <c r="E33" s="373">
        <f>ABRIL!E33+MAYO!Q33</f>
        <v>0</v>
      </c>
      <c r="F33" s="373">
        <f>SUM(C33:E33)</f>
        <v>157521482</v>
      </c>
      <c r="G33" s="373">
        <f>ABRIL!I33</f>
        <v>352172557</v>
      </c>
      <c r="H33" s="374">
        <v>139594905</v>
      </c>
      <c r="I33" s="373">
        <f>SUM(G33:H33)</f>
        <v>491767462</v>
      </c>
      <c r="J33" s="373">
        <f>ABRIL!L33</f>
        <v>1042550</v>
      </c>
      <c r="K33" s="374">
        <v>10900</v>
      </c>
      <c r="L33" s="373">
        <f>SUM(J33:K33)</f>
        <v>1053450</v>
      </c>
      <c r="M33" s="373">
        <f>F33-I33</f>
        <v>-334245980</v>
      </c>
      <c r="N33" s="143">
        <f>F33-L33</f>
        <v>156468032</v>
      </c>
      <c r="O33" s="9"/>
      <c r="P33" s="372">
        <v>0</v>
      </c>
      <c r="Q33" s="375">
        <v>0</v>
      </c>
      <c r="R33" s="9"/>
      <c r="S33" s="705">
        <f>+IF(ABRIL!S33=0,"",ABRIL!S33)</f>
        <v>1010199</v>
      </c>
      <c r="T33" s="681" t="str">
        <f>+IF(ABRIL!T33=0,"",ABRIL!T33)</f>
        <v>Vigencias Anteriores</v>
      </c>
      <c r="U33" s="27">
        <f>+ENERO!U33</f>
        <v>0</v>
      </c>
      <c r="V33" s="15">
        <f>ABRIL!V33+MAYO!AL33</f>
        <v>0</v>
      </c>
      <c r="W33" s="15">
        <f>ABRIL!W33+MAYO!AM33</f>
        <v>0</v>
      </c>
      <c r="X33" s="18">
        <f t="shared" si="20"/>
        <v>0</v>
      </c>
      <c r="Y33" s="19">
        <f>ABRIL!AA33</f>
        <v>0</v>
      </c>
      <c r="Z33" s="374">
        <v>0</v>
      </c>
      <c r="AA33" s="18">
        <f t="shared" si="21"/>
        <v>0</v>
      </c>
      <c r="AB33" s="19">
        <f>ABRIL!AD33</f>
        <v>0</v>
      </c>
      <c r="AC33" s="374">
        <v>0</v>
      </c>
      <c r="AD33" s="18">
        <f t="shared" si="22"/>
        <v>0</v>
      </c>
      <c r="AE33" s="19">
        <f>ABRIL!AG33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-7008176483</v>
      </c>
      <c r="BP33" s="113">
        <f>AD258</f>
        <v>-13078174389</v>
      </c>
      <c r="BQ33" s="114">
        <f>AF258</f>
        <v>38128280426</v>
      </c>
      <c r="BR33" s="382"/>
    </row>
    <row r="34" spans="1:70" s="422" customFormat="1" ht="24.95" customHeight="1" thickBot="1">
      <c r="A34" s="611" t="str">
        <f>+IF(ABRIL!A34=0,"",ABRIL!A34)</f>
        <v>1130103-2-2</v>
      </c>
      <c r="B34" s="646" t="str">
        <f>+IF(ABRIL!B34=0,"",ABRIL!B34)</f>
        <v>Vigencia Anterior</v>
      </c>
      <c r="C34" s="671">
        <f>+ENERO!C34</f>
        <v>0</v>
      </c>
      <c r="D34" s="373">
        <f>ABRIL!D34+MAYO!P34</f>
        <v>0</v>
      </c>
      <c r="E34" s="373">
        <f>ABRIL!E34+MAYO!Q34</f>
        <v>212958</v>
      </c>
      <c r="F34" s="373">
        <f>SUM(C34:E34)</f>
        <v>212958</v>
      </c>
      <c r="G34" s="373">
        <f>ABRIL!I34</f>
        <v>212958</v>
      </c>
      <c r="H34" s="374">
        <v>0</v>
      </c>
      <c r="I34" s="373">
        <f>SUM(G34:H34)</f>
        <v>212958</v>
      </c>
      <c r="J34" s="373">
        <f>ABRIL!L34</f>
        <v>212958</v>
      </c>
      <c r="K34" s="374">
        <v>0</v>
      </c>
      <c r="L34" s="373">
        <f>SUM(J34:K34)</f>
        <v>212958</v>
      </c>
      <c r="M34" s="373">
        <f>F34-I34</f>
        <v>0</v>
      </c>
      <c r="N34" s="143">
        <f>F34-L34</f>
        <v>0</v>
      </c>
      <c r="O34" s="382"/>
      <c r="P34" s="372">
        <v>0</v>
      </c>
      <c r="Q34" s="375">
        <v>0</v>
      </c>
      <c r="R34" s="9"/>
      <c r="S34" s="366" t="str">
        <f>+IF(ABRIL!S34=0,"",ABRIL!S34)</f>
        <v/>
      </c>
      <c r="T34" s="695"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+IF(ABRIL!A35=0,"",ABRIL!A35)</f>
        <v>1130103-3</v>
      </c>
      <c r="B35" s="647" t="str">
        <f>+IF(ABRIL!B35=0,"",ABRIL!B35)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4">
        <f>+IF(ABRIL!S35=0,"",ABRIL!S35)</f>
        <v>1010200</v>
      </c>
      <c r="T35" s="680" t="str">
        <f>+IF(ABRIL!T35=0,"",ABRIL!T35)</f>
        <v>Servicios Personales Indirectos</v>
      </c>
      <c r="U35" s="132">
        <f t="shared" ref="U35:AJ35" si="38">SUM(U36:U41)</f>
        <v>3034900183</v>
      </c>
      <c r="V35" s="122">
        <f t="shared" si="38"/>
        <v>733945424</v>
      </c>
      <c r="W35" s="122">
        <f t="shared" si="38"/>
        <v>700000000</v>
      </c>
      <c r="X35" s="129">
        <f t="shared" si="38"/>
        <v>4468845607</v>
      </c>
      <c r="Y35" s="128">
        <f t="shared" si="38"/>
        <v>4159093380</v>
      </c>
      <c r="Z35" s="122">
        <f t="shared" si="38"/>
        <v>27645677</v>
      </c>
      <c r="AA35" s="129">
        <f t="shared" si="38"/>
        <v>4186739057</v>
      </c>
      <c r="AB35" s="128">
        <f t="shared" si="38"/>
        <v>2485716527</v>
      </c>
      <c r="AC35" s="122">
        <f t="shared" si="38"/>
        <v>164192526</v>
      </c>
      <c r="AD35" s="129">
        <f t="shared" si="38"/>
        <v>2649909053</v>
      </c>
      <c r="AE35" s="128">
        <f t="shared" si="38"/>
        <v>1843390327</v>
      </c>
      <c r="AF35" s="122">
        <f t="shared" si="38"/>
        <v>58313233</v>
      </c>
      <c r="AG35" s="129">
        <f t="shared" si="38"/>
        <v>1901703560</v>
      </c>
      <c r="AH35" s="128">
        <f t="shared" si="38"/>
        <v>282106550</v>
      </c>
      <c r="AI35" s="122">
        <f t="shared" si="38"/>
        <v>1818936554</v>
      </c>
      <c r="AJ35" s="130">
        <f t="shared" si="38"/>
        <v>2567142047</v>
      </c>
      <c r="AK35" s="9"/>
      <c r="AL35" s="128">
        <f>SUM(AL36:AL41)</f>
        <v>27000000</v>
      </c>
      <c r="AM35" s="130">
        <f>SUM(AM36:AM41)</f>
        <v>0</v>
      </c>
      <c r="AN35" s="9"/>
      <c r="AO35" s="349"/>
      <c r="AP35" s="450"/>
      <c r="AQ35" s="292"/>
      <c r="AR35" s="451"/>
      <c r="AS35" s="451"/>
      <c r="AT35" s="451"/>
      <c r="AU35" s="452">
        <f>AR17-AR32</f>
        <v>14894227578</v>
      </c>
      <c r="AV35" s="453">
        <f>AS17-AR32</f>
        <v>-331522687</v>
      </c>
      <c r="AW35" s="453" t="s">
        <v>153</v>
      </c>
      <c r="AX35" s="454"/>
      <c r="AY35" s="453">
        <f>AY17+AY32</f>
        <v>801511180.49999285</v>
      </c>
      <c r="AZ35" s="455">
        <f>AZ17+AY32</f>
        <v>-37538493993.900002</v>
      </c>
      <c r="BB35" s="422"/>
      <c r="BC35" s="422"/>
      <c r="BD35" s="422"/>
      <c r="BE35" s="422"/>
      <c r="BF35" s="422"/>
    </row>
    <row r="36" spans="1:70" s="382" customFormat="1" ht="24.95" customHeight="1" thickBot="1">
      <c r="A36" s="611" t="str">
        <f>+IF(ABRIL!A36=0,"",ABRIL!A36)</f>
        <v>1130103-3-1</v>
      </c>
      <c r="B36" s="646" t="str">
        <f>+CONCATENATE("Vigencia ",INSTRUCCIONES!$F$3)</f>
        <v>Vigencia 2017</v>
      </c>
      <c r="C36" s="671">
        <f>+ENERO!C36</f>
        <v>0</v>
      </c>
      <c r="D36" s="373">
        <f>ABRIL!D36+MAYO!P36</f>
        <v>0</v>
      </c>
      <c r="E36" s="373">
        <f>ABRIL!E36+MAYO!Q36</f>
        <v>0</v>
      </c>
      <c r="F36" s="373">
        <f>SUM(C36:E36)</f>
        <v>0</v>
      </c>
      <c r="G36" s="373">
        <f>ABRIL!I36</f>
        <v>0</v>
      </c>
      <c r="H36" s="374">
        <v>0</v>
      </c>
      <c r="I36" s="373">
        <f>SUM(G36:H36)</f>
        <v>0</v>
      </c>
      <c r="J36" s="373">
        <f>ABRIL!L36</f>
        <v>0</v>
      </c>
      <c r="K36" s="374">
        <v>0</v>
      </c>
      <c r="L36" s="373">
        <f>SUM(J36:K36)</f>
        <v>0</v>
      </c>
      <c r="M36" s="373">
        <f>F36-I36</f>
        <v>0</v>
      </c>
      <c r="N36" s="143">
        <f>F36-L36</f>
        <v>0</v>
      </c>
      <c r="O36" s="9"/>
      <c r="P36" s="372">
        <v>0</v>
      </c>
      <c r="Q36" s="375">
        <v>0</v>
      </c>
      <c r="R36" s="9"/>
      <c r="S36" s="705" t="str">
        <f>+IF(ABRIL!S36=0,"",ABRIL!S36)</f>
        <v>1010200-1</v>
      </c>
      <c r="T36" s="681" t="str">
        <f>+IF(ABRIL!T36=0,"",ABRIL!T36)</f>
        <v>Remuneración y Honorarios por Servicios Técnicos y Profesionales</v>
      </c>
      <c r="U36" s="27">
        <f>+ENERO!U36</f>
        <v>999690000</v>
      </c>
      <c r="V36" s="15">
        <f>ABRIL!V36+MAYO!AL36</f>
        <v>338300000</v>
      </c>
      <c r="W36" s="15">
        <f>ABRIL!W36+MAYO!AM36</f>
        <v>0</v>
      </c>
      <c r="X36" s="18">
        <f t="shared" ref="X36:X41" si="39">SUM(U36:W36)</f>
        <v>1337990000</v>
      </c>
      <c r="Y36" s="19">
        <f>ABRIL!AA36</f>
        <v>1310860276</v>
      </c>
      <c r="Z36" s="374">
        <v>26563233</v>
      </c>
      <c r="AA36" s="18">
        <f t="shared" ref="AA36:AA41" si="40">SUM(Y36:Z36)</f>
        <v>1337423509</v>
      </c>
      <c r="AB36" s="19">
        <f>ABRIL!AD36</f>
        <v>641436492</v>
      </c>
      <c r="AC36" s="374">
        <v>163110082</v>
      </c>
      <c r="AD36" s="18">
        <f t="shared" ref="AD36:AD41" si="41">SUM(AB36:AC36)</f>
        <v>804546574</v>
      </c>
      <c r="AE36" s="19">
        <f>ABRIL!AG36</f>
        <v>570229587</v>
      </c>
      <c r="AF36" s="374">
        <v>58313233</v>
      </c>
      <c r="AG36" s="18">
        <f t="shared" ref="AG36:AG41" si="42">SUM(AE36:AF36)</f>
        <v>628542820</v>
      </c>
      <c r="AH36" s="19">
        <f t="shared" ref="AH36:AH41" si="43">X36-AA36</f>
        <v>566491</v>
      </c>
      <c r="AI36" s="15">
        <f t="shared" ref="AI36:AI41" si="44">X36-AD36</f>
        <v>533443426</v>
      </c>
      <c r="AJ36" s="16">
        <f t="shared" ref="AJ36:AJ41" si="45">X36-AG36</f>
        <v>709447180</v>
      </c>
      <c r="AK36" s="9"/>
      <c r="AL36" s="372">
        <v>27000000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+IF(ABRIL!A37=0,"",ABRIL!A37)</f>
        <v>1130103-3-2</v>
      </c>
      <c r="B37" s="646" t="str">
        <f>+IF(ABRIL!B37=0,"",ABRIL!B37)</f>
        <v>Vigencia Anterior</v>
      </c>
      <c r="C37" s="671">
        <f>+ENERO!C37</f>
        <v>0</v>
      </c>
      <c r="D37" s="373">
        <f>ABRIL!D37+MAYO!P37</f>
        <v>0</v>
      </c>
      <c r="E37" s="373">
        <f>ABRIL!E37+MAYO!Q37</f>
        <v>0</v>
      </c>
      <c r="F37" s="373">
        <f>SUM(C37:E37)</f>
        <v>0</v>
      </c>
      <c r="G37" s="373">
        <f>ABRIL!I37</f>
        <v>0</v>
      </c>
      <c r="H37" s="374">
        <v>0</v>
      </c>
      <c r="I37" s="373">
        <f>SUM(G37:H37)</f>
        <v>0</v>
      </c>
      <c r="J37" s="373">
        <f>ABRIL!L37</f>
        <v>0</v>
      </c>
      <c r="K37" s="374">
        <v>0</v>
      </c>
      <c r="L37" s="373">
        <f>SUM(J37:K37)</f>
        <v>0</v>
      </c>
      <c r="M37" s="373">
        <f>F37-I37</f>
        <v>0</v>
      </c>
      <c r="N37" s="143">
        <f>F37-L37</f>
        <v>0</v>
      </c>
      <c r="P37" s="372">
        <v>0</v>
      </c>
      <c r="Q37" s="375">
        <v>0</v>
      </c>
      <c r="R37" s="9"/>
      <c r="S37" s="705" t="str">
        <f>+IF(ABRIL!S37=0,"",ABRIL!S37)</f>
        <v>1010200-2</v>
      </c>
      <c r="T37" s="681" t="str">
        <f>+IF(ABRIL!T37=0,"",ABRIL!T37)</f>
        <v>Personal Supernumerario</v>
      </c>
      <c r="U37" s="27">
        <f>+ENERO!U37</f>
        <v>0</v>
      </c>
      <c r="V37" s="15">
        <f>ABRIL!V37+MAYO!AL37</f>
        <v>0</v>
      </c>
      <c r="W37" s="15">
        <f>ABRIL!W37+MAYO!AM37</f>
        <v>0</v>
      </c>
      <c r="X37" s="18">
        <f t="shared" si="39"/>
        <v>0</v>
      </c>
      <c r="Y37" s="19">
        <f>ABRIL!AA37</f>
        <v>0</v>
      </c>
      <c r="Z37" s="374">
        <v>0</v>
      </c>
      <c r="AA37" s="18">
        <f t="shared" si="40"/>
        <v>0</v>
      </c>
      <c r="AB37" s="19">
        <f>ABRIL!AD37</f>
        <v>0</v>
      </c>
      <c r="AC37" s="374">
        <v>0</v>
      </c>
      <c r="AD37" s="18">
        <f t="shared" si="41"/>
        <v>0</v>
      </c>
      <c r="AE37" s="19">
        <f>ABRIL!AG37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5" t="str">
        <f>+IF(ABRIL!A38=0,"",ABRIL!A38)</f>
        <v>1130103-4</v>
      </c>
      <c r="B38" s="648" t="str">
        <f>+IF(ABRIL!B38=0,"",ABRIL!B38)</f>
        <v xml:space="preserve"> Aportes Patronales  1o. Nivel</v>
      </c>
      <c r="C38" s="671">
        <f>+ENERO!C38</f>
        <v>0</v>
      </c>
      <c r="D38" s="373">
        <f>ABRIL!D38+MAYO!P38</f>
        <v>0</v>
      </c>
      <c r="E38" s="373">
        <f>ABRIL!E38+MAYO!Q38</f>
        <v>0</v>
      </c>
      <c r="F38" s="373">
        <f t="shared" ref="F38:F41" si="46">SUM(C38:E38)</f>
        <v>0</v>
      </c>
      <c r="G38" s="373">
        <f>ABRIL!I38</f>
        <v>0</v>
      </c>
      <c r="H38" s="374">
        <v>0</v>
      </c>
      <c r="I38" s="373">
        <f t="shared" ref="I38:I41" si="47">SUM(G38:H38)</f>
        <v>0</v>
      </c>
      <c r="J38" s="373">
        <f>ABRIL!L38</f>
        <v>0</v>
      </c>
      <c r="K38" s="374">
        <v>0</v>
      </c>
      <c r="L38" s="373">
        <f t="shared" ref="L38:L41" si="48">SUM(J38:K38)</f>
        <v>0</v>
      </c>
      <c r="M38" s="373">
        <f t="shared" ref="M38:M41" si="49">F38-I38</f>
        <v>0</v>
      </c>
      <c r="N38" s="143">
        <f t="shared" ref="N38:N41" si="50">F38-L38</f>
        <v>0</v>
      </c>
      <c r="O38" s="525"/>
      <c r="P38" s="372">
        <v>0</v>
      </c>
      <c r="Q38" s="375">
        <v>0</v>
      </c>
      <c r="R38" s="9"/>
      <c r="S38" s="705" t="str">
        <f>+IF(ABRIL!S38=0,"",ABRIL!S38)</f>
        <v>1010200-3</v>
      </c>
      <c r="T38" s="681" t="str">
        <f>+IF(ABRIL!T38=0,"",ABRIL!T38)</f>
        <v>Honorarios de la Junta Directiva</v>
      </c>
      <c r="U38" s="27">
        <f>+ENERO!U38</f>
        <v>5000000</v>
      </c>
      <c r="V38" s="15">
        <f>ABRIL!V38+MAYO!AL38</f>
        <v>0</v>
      </c>
      <c r="W38" s="15">
        <f>ABRIL!W38+MAYO!AM38</f>
        <v>0</v>
      </c>
      <c r="X38" s="18">
        <f t="shared" si="39"/>
        <v>5000000</v>
      </c>
      <c r="Y38" s="19">
        <f>ABRIL!AA38</f>
        <v>737718</v>
      </c>
      <c r="Z38" s="374">
        <v>1082444</v>
      </c>
      <c r="AA38" s="18">
        <f t="shared" si="40"/>
        <v>1820162</v>
      </c>
      <c r="AB38" s="19">
        <f>ABRIL!AD38</f>
        <v>737718</v>
      </c>
      <c r="AC38" s="374">
        <v>1082444</v>
      </c>
      <c r="AD38" s="18">
        <f t="shared" si="41"/>
        <v>1820162</v>
      </c>
      <c r="AE38" s="19">
        <f>ABRIL!AG38</f>
        <v>737718</v>
      </c>
      <c r="AF38" s="374">
        <v>0</v>
      </c>
      <c r="AG38" s="18">
        <f t="shared" si="42"/>
        <v>737718</v>
      </c>
      <c r="AH38" s="19">
        <f t="shared" si="43"/>
        <v>3179838</v>
      </c>
      <c r="AI38" s="15">
        <f t="shared" si="44"/>
        <v>3179838</v>
      </c>
      <c r="AJ38" s="16">
        <f t="shared" si="45"/>
        <v>4262282</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5" t="str">
        <f>+IF(ABRIL!A39=0,"",ABRIL!A39)</f>
        <v>1130103-5</v>
      </c>
      <c r="B39" s="648" t="str">
        <f>+IF(ABRIL!B39=0,"",ABRIL!B39)</f>
        <v xml:space="preserve"> Aportes Patronales  2o. Nivel</v>
      </c>
      <c r="C39" s="671">
        <f>+ENERO!C39</f>
        <v>0</v>
      </c>
      <c r="D39" s="373">
        <f>ABRIL!D39+MAYO!P39</f>
        <v>0</v>
      </c>
      <c r="E39" s="373">
        <f>ABRIL!E39+MAYO!Q39</f>
        <v>0</v>
      </c>
      <c r="F39" s="373">
        <f t="shared" si="46"/>
        <v>0</v>
      </c>
      <c r="G39" s="373">
        <f>ABRIL!I39</f>
        <v>0</v>
      </c>
      <c r="H39" s="374">
        <v>0</v>
      </c>
      <c r="I39" s="373">
        <f t="shared" si="47"/>
        <v>0</v>
      </c>
      <c r="J39" s="373">
        <f>ABRIL!L39</f>
        <v>0</v>
      </c>
      <c r="K39" s="374">
        <v>0</v>
      </c>
      <c r="L39" s="373">
        <f t="shared" si="48"/>
        <v>0</v>
      </c>
      <c r="M39" s="373">
        <f t="shared" si="49"/>
        <v>0</v>
      </c>
      <c r="N39" s="143">
        <f t="shared" si="50"/>
        <v>0</v>
      </c>
      <c r="O39" s="525"/>
      <c r="P39" s="372">
        <v>0</v>
      </c>
      <c r="Q39" s="375">
        <v>0</v>
      </c>
      <c r="R39" s="9"/>
      <c r="S39" s="705" t="str">
        <f>+IF(ABRIL!S39=0,"",ABRIL!S39)</f>
        <v>1010200-4</v>
      </c>
      <c r="T39" s="681" t="str">
        <f>+IF(ABRIL!T39=0,"",ABRIL!T39)</f>
        <v>Otros Honorarios</v>
      </c>
      <c r="U39" s="27">
        <f>+ENERO!U39</f>
        <v>2030210183</v>
      </c>
      <c r="V39" s="15">
        <f>ABRIL!V39+MAYO!AL39</f>
        <v>130000000</v>
      </c>
      <c r="W39" s="15">
        <f>ABRIL!W39+MAYO!AM39</f>
        <v>0</v>
      </c>
      <c r="X39" s="18">
        <f t="shared" si="39"/>
        <v>2160210183</v>
      </c>
      <c r="Y39" s="19">
        <f>ABRIL!AA39</f>
        <v>2090914440</v>
      </c>
      <c r="Z39" s="374">
        <v>0</v>
      </c>
      <c r="AA39" s="18">
        <f t="shared" si="40"/>
        <v>2090914440</v>
      </c>
      <c r="AB39" s="19">
        <f>ABRIL!AD39</f>
        <v>1086961371</v>
      </c>
      <c r="AC39" s="374">
        <v>0</v>
      </c>
      <c r="AD39" s="18">
        <f t="shared" si="41"/>
        <v>1086961371</v>
      </c>
      <c r="AE39" s="19">
        <f>ABRIL!AG39</f>
        <v>515842076</v>
      </c>
      <c r="AF39" s="374">
        <v>0</v>
      </c>
      <c r="AG39" s="18">
        <f t="shared" si="42"/>
        <v>515842076</v>
      </c>
      <c r="AH39" s="19">
        <f t="shared" si="43"/>
        <v>69295743</v>
      </c>
      <c r="AI39" s="15">
        <f t="shared" si="44"/>
        <v>1073248812</v>
      </c>
      <c r="AJ39" s="16">
        <f t="shared" si="45"/>
        <v>1644368107</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5" t="str">
        <f>+IF(ABRIL!A40=0,"",ABRIL!A40)</f>
        <v>1130103-6</v>
      </c>
      <c r="B40" s="648" t="str">
        <f>+IF(ABRIL!B40=0,"",ABRIL!B40)</f>
        <v xml:space="preserve"> Aportes Patronales  3er. Nivel</v>
      </c>
      <c r="C40" s="671">
        <f>+ENERO!C40</f>
        <v>0</v>
      </c>
      <c r="D40" s="373">
        <f>ABRIL!D40+MAYO!P40</f>
        <v>0</v>
      </c>
      <c r="E40" s="373">
        <f>ABRIL!E40+MAYO!Q40</f>
        <v>0</v>
      </c>
      <c r="F40" s="373">
        <f t="shared" si="46"/>
        <v>0</v>
      </c>
      <c r="G40" s="373">
        <f>ABRIL!I40</f>
        <v>0</v>
      </c>
      <c r="H40" s="374">
        <v>0</v>
      </c>
      <c r="I40" s="373">
        <f t="shared" si="47"/>
        <v>0</v>
      </c>
      <c r="J40" s="373">
        <f>ABRIL!L40</f>
        <v>0</v>
      </c>
      <c r="K40" s="374">
        <v>0</v>
      </c>
      <c r="L40" s="373">
        <f t="shared" si="48"/>
        <v>0</v>
      </c>
      <c r="M40" s="373">
        <f t="shared" si="49"/>
        <v>0</v>
      </c>
      <c r="N40" s="143">
        <f t="shared" si="50"/>
        <v>0</v>
      </c>
      <c r="O40" s="525"/>
      <c r="P40" s="372">
        <v>0</v>
      </c>
      <c r="Q40" s="375">
        <v>0</v>
      </c>
      <c r="R40" s="9"/>
      <c r="S40" s="705" t="str">
        <f>+IF(ABRIL!S40=0,"",ABRIL!S40)</f>
        <v>1010200-6</v>
      </c>
      <c r="T40" s="681" t="str">
        <f>+IF(ABRIL!T40=0,"",ABRIL!T40)</f>
        <v>Certificación, Habilitación y Acreditación</v>
      </c>
      <c r="U40" s="27">
        <f>+ENERO!U40</f>
        <v>0</v>
      </c>
      <c r="V40" s="15">
        <f>ABRIL!V40+MAYO!AL40</f>
        <v>0</v>
      </c>
      <c r="W40" s="15">
        <f>ABRIL!W40+MAYO!AM40</f>
        <v>0</v>
      </c>
      <c r="X40" s="18">
        <f t="shared" si="39"/>
        <v>0</v>
      </c>
      <c r="Y40" s="19">
        <f>ABRIL!AA40</f>
        <v>0</v>
      </c>
      <c r="Z40" s="374">
        <v>0</v>
      </c>
      <c r="AA40" s="18">
        <f t="shared" si="40"/>
        <v>0</v>
      </c>
      <c r="AB40" s="19">
        <f>ABRIL!AD40</f>
        <v>0</v>
      </c>
      <c r="AC40" s="374">
        <v>0</v>
      </c>
      <c r="AD40" s="18">
        <f t="shared" si="41"/>
        <v>0</v>
      </c>
      <c r="AE40" s="19">
        <f>ABRIL!AG40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3">
        <f>+IF(ABRIL!A41=0,"",ABRIL!A41)</f>
        <v>1130104</v>
      </c>
      <c r="B41" s="645" t="str">
        <f>+IF(MARZO!B41=0,"",MARZO!B41)</f>
        <v>SUBSIDIO A LA OFERTA- ACTIVIDADES NO POS-S</v>
      </c>
      <c r="C41" s="671">
        <f>+ENERO!C41</f>
        <v>0</v>
      </c>
      <c r="D41" s="122">
        <f>ABRIL!D41+MAYO!P41</f>
        <v>0</v>
      </c>
      <c r="E41" s="122">
        <f>ABRIL!E41+MAYO!Q41</f>
        <v>0</v>
      </c>
      <c r="F41" s="122">
        <f t="shared" si="46"/>
        <v>0</v>
      </c>
      <c r="G41" s="122">
        <f>ABRIL!I41</f>
        <v>0</v>
      </c>
      <c r="H41" s="374">
        <v>0</v>
      </c>
      <c r="I41" s="122">
        <f t="shared" si="47"/>
        <v>0</v>
      </c>
      <c r="J41" s="122">
        <f>ABRIL!L41</f>
        <v>0</v>
      </c>
      <c r="K41" s="374">
        <v>0</v>
      </c>
      <c r="L41" s="122">
        <f t="shared" si="48"/>
        <v>0</v>
      </c>
      <c r="M41" s="122">
        <f t="shared" si="49"/>
        <v>0</v>
      </c>
      <c r="N41" s="130">
        <f t="shared" si="50"/>
        <v>0</v>
      </c>
      <c r="O41" s="382"/>
      <c r="P41" s="374">
        <v>0</v>
      </c>
      <c r="Q41" s="375">
        <v>0</v>
      </c>
      <c r="R41" s="9"/>
      <c r="S41" s="705">
        <f>+IF(ABRIL!S41=0,"",ABRIL!S41)</f>
        <v>1010299</v>
      </c>
      <c r="T41" s="681" t="str">
        <f>+IF(ABRIL!T41=0,"",ABRIL!T41)</f>
        <v>Vigencias Anteriores</v>
      </c>
      <c r="U41" s="27">
        <f>+ENERO!U41</f>
        <v>0</v>
      </c>
      <c r="V41" s="15">
        <f>ABRIL!V41+MAYO!AL41</f>
        <v>265645424</v>
      </c>
      <c r="W41" s="15">
        <f>ABRIL!W41+MAYO!AM41</f>
        <v>700000000</v>
      </c>
      <c r="X41" s="18">
        <f t="shared" si="39"/>
        <v>965645424</v>
      </c>
      <c r="Y41" s="19">
        <f>ABRIL!AA41</f>
        <v>756580946</v>
      </c>
      <c r="Z41" s="374">
        <v>0</v>
      </c>
      <c r="AA41" s="18">
        <f t="shared" si="40"/>
        <v>756580946</v>
      </c>
      <c r="AB41" s="19">
        <f>ABRIL!AD41</f>
        <v>756580946</v>
      </c>
      <c r="AC41" s="374">
        <v>0</v>
      </c>
      <c r="AD41" s="18">
        <f t="shared" si="41"/>
        <v>756580946</v>
      </c>
      <c r="AE41" s="19">
        <f>ABRIL!AG41</f>
        <v>756580946</v>
      </c>
      <c r="AF41" s="374">
        <v>0</v>
      </c>
      <c r="AG41" s="18">
        <f t="shared" si="42"/>
        <v>756580946</v>
      </c>
      <c r="AH41" s="19">
        <f t="shared" si="43"/>
        <v>209064478</v>
      </c>
      <c r="AI41" s="15">
        <f t="shared" si="44"/>
        <v>209064478</v>
      </c>
      <c r="AJ41" s="16">
        <f t="shared" si="45"/>
        <v>209064478</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3">
        <f>+IF(ABRIL!A42=0,"",ABRIL!A42)</f>
        <v>1130106</v>
      </c>
      <c r="B42" s="645" t="str">
        <f>+IF(ABRIL!B42=0,"",ABRIL!B42)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66" t="str">
        <f>+IF(ABRIL!S42=0,"",ABRIL!S42)</f>
        <v/>
      </c>
      <c r="T42" s="695"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+IF(ABRIL!A43=0,"",ABRIL!A43)</f>
        <v>1130106-1</v>
      </c>
      <c r="B43" s="646" t="str">
        <f>+CONCATENATE("Vigencia ",INSTRUCCIONES!$F$3)</f>
        <v>Vigencia 2017</v>
      </c>
      <c r="C43" s="671">
        <f>+ENERO!C43</f>
        <v>0</v>
      </c>
      <c r="D43" s="373">
        <f>ABRIL!D43+MAYO!P43</f>
        <v>0</v>
      </c>
      <c r="E43" s="373">
        <f>ABRIL!E43+MAYO!Q43</f>
        <v>0</v>
      </c>
      <c r="F43" s="373">
        <f>SUM(C43:E43)</f>
        <v>0</v>
      </c>
      <c r="G43" s="373">
        <f>ABRIL!I43</f>
        <v>0</v>
      </c>
      <c r="H43" s="374">
        <v>0</v>
      </c>
      <c r="I43" s="373">
        <f>SUM(G43:H43)</f>
        <v>0</v>
      </c>
      <c r="J43" s="373">
        <f>ABRIL!L43</f>
        <v>0</v>
      </c>
      <c r="K43" s="374">
        <v>0</v>
      </c>
      <c r="L43" s="373">
        <f>SUM(J43:K43)</f>
        <v>0</v>
      </c>
      <c r="M43" s="373">
        <f>F43-I43</f>
        <v>0</v>
      </c>
      <c r="N43" s="143">
        <f>F43-L43</f>
        <v>0</v>
      </c>
      <c r="O43" s="382"/>
      <c r="P43" s="372">
        <v>0</v>
      </c>
      <c r="Q43" s="375">
        <v>0</v>
      </c>
      <c r="R43" s="9"/>
      <c r="S43" s="704">
        <f>+IF(ABRIL!S43=0,"",ABRIL!S43)</f>
        <v>1010300</v>
      </c>
      <c r="T43" s="680" t="str">
        <f>+IF(ABRIL!T43=0,"",ABRIL!T43)</f>
        <v>Contribuciones Inherentes nómina al Sector Privado</v>
      </c>
      <c r="U43" s="132">
        <f t="shared" ref="U43:AJ43" si="52">U44+U49+U55</f>
        <v>182861553</v>
      </c>
      <c r="V43" s="122">
        <f t="shared" si="52"/>
        <v>-30802080</v>
      </c>
      <c r="W43" s="122">
        <f t="shared" si="52"/>
        <v>24802080</v>
      </c>
      <c r="X43" s="129">
        <f t="shared" si="52"/>
        <v>176861553</v>
      </c>
      <c r="Y43" s="128">
        <f t="shared" si="52"/>
        <v>39417534</v>
      </c>
      <c r="Z43" s="122">
        <f t="shared" si="52"/>
        <v>9759951</v>
      </c>
      <c r="AA43" s="129">
        <f t="shared" si="52"/>
        <v>49177485</v>
      </c>
      <c r="AB43" s="128">
        <f t="shared" si="52"/>
        <v>39417534</v>
      </c>
      <c r="AC43" s="122">
        <f t="shared" si="52"/>
        <v>9759951</v>
      </c>
      <c r="AD43" s="129">
        <f t="shared" si="52"/>
        <v>49177485</v>
      </c>
      <c r="AE43" s="128">
        <f t="shared" si="52"/>
        <v>39417534</v>
      </c>
      <c r="AF43" s="122">
        <f t="shared" si="52"/>
        <v>9759951</v>
      </c>
      <c r="AG43" s="129">
        <f t="shared" si="52"/>
        <v>49177485</v>
      </c>
      <c r="AH43" s="128">
        <f t="shared" si="52"/>
        <v>127684068</v>
      </c>
      <c r="AI43" s="122">
        <f t="shared" si="52"/>
        <v>127684068</v>
      </c>
      <c r="AJ43" s="130">
        <f t="shared" si="52"/>
        <v>127684068</v>
      </c>
      <c r="AK43" s="9"/>
      <c r="AL43" s="128">
        <f>AL44+AL49+AL55</f>
        <v>-6000000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+IF(ABRIL!A44=0,"",ABRIL!A44)</f>
        <v>1130106-2</v>
      </c>
      <c r="B44" s="646" t="str">
        <f>+IF(ABRIL!B44=0,"",ABRIL!B44)</f>
        <v>Vigencia Anterior</v>
      </c>
      <c r="C44" s="671">
        <f>+ENERO!C44</f>
        <v>0</v>
      </c>
      <c r="D44" s="373">
        <f>ABRIL!D44+MAYO!P44</f>
        <v>0</v>
      </c>
      <c r="E44" s="373">
        <f>ABRIL!E44+MAYO!Q44</f>
        <v>0</v>
      </c>
      <c r="F44" s="373">
        <f>SUM(C44:E44)</f>
        <v>0</v>
      </c>
      <c r="G44" s="373">
        <f>ABRIL!I44</f>
        <v>0</v>
      </c>
      <c r="H44" s="374">
        <v>0</v>
      </c>
      <c r="I44" s="373">
        <f>SUM(G44:H44)</f>
        <v>0</v>
      </c>
      <c r="J44" s="373">
        <f>ABRIL!L44</f>
        <v>0</v>
      </c>
      <c r="K44" s="374">
        <v>0</v>
      </c>
      <c r="L44" s="373">
        <f>SUM(J44:K44)</f>
        <v>0</v>
      </c>
      <c r="M44" s="373">
        <f>F44-I44</f>
        <v>0</v>
      </c>
      <c r="N44" s="143">
        <f>F44-L44</f>
        <v>0</v>
      </c>
      <c r="O44" s="382"/>
      <c r="P44" s="372">
        <v>0</v>
      </c>
      <c r="Q44" s="375">
        <v>0</v>
      </c>
      <c r="R44" s="9"/>
      <c r="S44" s="705">
        <f>+IF(ABRIL!S44=0,"",ABRIL!S44)</f>
        <v>1010301</v>
      </c>
      <c r="T44" s="681" t="str">
        <f>+IF(ABRIL!T44=0,"",ABRIL!T44)</f>
        <v>Contribuciones - SGP - Aportes Patronales - Cuentas Maestras</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3">
        <f>+IF(ABRIL!A45=0,"",ABRIL!A45)</f>
        <v>1130107</v>
      </c>
      <c r="B45" s="645" t="str">
        <f>+IF(ABRIL!B45=0,"",ABRIL!B45)</f>
        <v>MINSALUD-FOSYGA-RECLAMACIONES ECAT</v>
      </c>
      <c r="C45" s="43">
        <f t="shared" ref="C45:N45" si="54">SUM(C46:C47)</f>
        <v>375197511</v>
      </c>
      <c r="D45" s="44">
        <f t="shared" si="54"/>
        <v>0</v>
      </c>
      <c r="E45" s="44">
        <f t="shared" si="54"/>
        <v>79487</v>
      </c>
      <c r="F45" s="44">
        <f t="shared" si="54"/>
        <v>375276998</v>
      </c>
      <c r="G45" s="44">
        <f t="shared" si="54"/>
        <v>76454848</v>
      </c>
      <c r="H45" s="44">
        <f t="shared" si="54"/>
        <v>9766933</v>
      </c>
      <c r="I45" s="44">
        <f t="shared" si="54"/>
        <v>86221781</v>
      </c>
      <c r="J45" s="44">
        <f t="shared" si="54"/>
        <v>79487</v>
      </c>
      <c r="K45" s="44">
        <f t="shared" si="54"/>
        <v>0</v>
      </c>
      <c r="L45" s="44">
        <f t="shared" si="54"/>
        <v>79487</v>
      </c>
      <c r="M45" s="44">
        <f t="shared" si="54"/>
        <v>289055217</v>
      </c>
      <c r="N45" s="45">
        <f t="shared" si="54"/>
        <v>375197511</v>
      </c>
      <c r="P45" s="43">
        <f>SUM(P46:P47)</f>
        <v>0</v>
      </c>
      <c r="Q45" s="45">
        <f>SUM(Q46:Q47)</f>
        <v>0</v>
      </c>
      <c r="R45" s="9"/>
      <c r="S45" s="706" t="str">
        <f>+IF(ABRIL!S45=0,"",ABRIL!S45)</f>
        <v>1010301-1</v>
      </c>
      <c r="T45" s="682" t="str">
        <f>+IF(ABRIL!T45=0,"",ABRIL!T45)</f>
        <v>E.P.S. - Aportes cuentas maestras</v>
      </c>
      <c r="U45" s="27">
        <f>+ENERO!U45</f>
        <v>0</v>
      </c>
      <c r="V45" s="15">
        <f>ABRIL!V45+MAYO!AL45</f>
        <v>0</v>
      </c>
      <c r="W45" s="15">
        <f>ABRIL!W45+MAYO!AM45</f>
        <v>0</v>
      </c>
      <c r="X45" s="18">
        <f>SUM(U45:W45)</f>
        <v>0</v>
      </c>
      <c r="Y45" s="19">
        <f>ABRIL!AA45</f>
        <v>0</v>
      </c>
      <c r="Z45" s="374">
        <v>0</v>
      </c>
      <c r="AA45" s="18">
        <f>SUM(Y45:Z45)</f>
        <v>0</v>
      </c>
      <c r="AB45" s="19">
        <f>ABRIL!AD45</f>
        <v>0</v>
      </c>
      <c r="AC45" s="374">
        <v>0</v>
      </c>
      <c r="AD45" s="18">
        <f>SUM(AB45:AC45)</f>
        <v>0</v>
      </c>
      <c r="AE45" s="19">
        <f>ABRIL!AG45</f>
        <v>0</v>
      </c>
      <c r="AF45" s="374">
        <v>0</v>
      </c>
      <c r="AG45" s="18">
        <f>SUM(AE45:AF45)</f>
        <v>0</v>
      </c>
      <c r="AH45" s="19">
        <f>X45-AA45</f>
        <v>0</v>
      </c>
      <c r="AI45" s="15">
        <f>X45-AD45</f>
        <v>0</v>
      </c>
      <c r="AJ45" s="16">
        <f>X45-AG45</f>
        <v>0</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+IF(ABRIL!A46=0,"",ABRIL!A46)</f>
        <v>1130107-1</v>
      </c>
      <c r="B46" s="646" t="str">
        <f>+CONCATENATE("Vigencia ",INSTRUCCIONES!$F$3)</f>
        <v>Vigencia 2017</v>
      </c>
      <c r="C46" s="671">
        <f>+ENERO!C46</f>
        <v>375197511</v>
      </c>
      <c r="D46" s="373">
        <f>ABRIL!D46+MAYO!P46</f>
        <v>0</v>
      </c>
      <c r="E46" s="373">
        <f>ABRIL!E46+MAYO!Q46</f>
        <v>0</v>
      </c>
      <c r="F46" s="373">
        <f>SUM(C46:E46)</f>
        <v>375197511</v>
      </c>
      <c r="G46" s="373">
        <f>ABRIL!I46</f>
        <v>76375361</v>
      </c>
      <c r="H46" s="374">
        <v>9766933</v>
      </c>
      <c r="I46" s="373">
        <f>SUM(G46:H46)</f>
        <v>86142294</v>
      </c>
      <c r="J46" s="373">
        <f>ABRIL!L46</f>
        <v>0</v>
      </c>
      <c r="K46" s="374">
        <v>0</v>
      </c>
      <c r="L46" s="373">
        <f>SUM(J46:K46)</f>
        <v>0</v>
      </c>
      <c r="M46" s="373">
        <f>F46-I46</f>
        <v>289055217</v>
      </c>
      <c r="N46" s="143">
        <f>F46-L46</f>
        <v>375197511</v>
      </c>
      <c r="O46" s="382"/>
      <c r="P46" s="372">
        <v>0</v>
      </c>
      <c r="Q46" s="375">
        <v>0</v>
      </c>
      <c r="R46" s="9"/>
      <c r="S46" s="706" t="str">
        <f>+IF(ABRIL!S46=0,"",ABRIL!S46)</f>
        <v>1010301-2</v>
      </c>
      <c r="T46" s="682" t="str">
        <f>+IF(ABRIL!T46=0,"",ABRIL!T46)</f>
        <v>Fondos pensionales - Aportes cuentas maestras</v>
      </c>
      <c r="U46" s="27">
        <f>+ENERO!U46</f>
        <v>0</v>
      </c>
      <c r="V46" s="15">
        <f>ABRIL!V46+MAYO!AL46</f>
        <v>0</v>
      </c>
      <c r="W46" s="15">
        <f>ABRIL!W46+MAYO!AM46</f>
        <v>0</v>
      </c>
      <c r="X46" s="18">
        <f>SUM(U46:W46)</f>
        <v>0</v>
      </c>
      <c r="Y46" s="19">
        <f>ABRIL!AA46</f>
        <v>0</v>
      </c>
      <c r="Z46" s="374">
        <v>0</v>
      </c>
      <c r="AA46" s="18">
        <f>SUM(Y46:Z46)</f>
        <v>0</v>
      </c>
      <c r="AB46" s="19">
        <f>ABRIL!AD46</f>
        <v>0</v>
      </c>
      <c r="AC46" s="374">
        <v>0</v>
      </c>
      <c r="AD46" s="18">
        <f>SUM(AB46:AC46)</f>
        <v>0</v>
      </c>
      <c r="AE46" s="19">
        <f>ABRIL!AG46</f>
        <v>0</v>
      </c>
      <c r="AF46" s="374">
        <v>0</v>
      </c>
      <c r="AG46" s="18">
        <f>SUM(AE46:AF46)</f>
        <v>0</v>
      </c>
      <c r="AH46" s="19">
        <f>X46-AA46</f>
        <v>0</v>
      </c>
      <c r="AI46" s="15">
        <f>X46-AD46</f>
        <v>0</v>
      </c>
      <c r="AJ46" s="16">
        <f>X46-AG46</f>
        <v>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+IF(ABRIL!A47=0,"",ABRIL!A47)</f>
        <v>1130107-2</v>
      </c>
      <c r="B47" s="646" t="str">
        <f>+IF(ABRIL!B47=0,"",ABRIL!B47)</f>
        <v>Vigencia Anterior</v>
      </c>
      <c r="C47" s="671">
        <f>+ENERO!C47</f>
        <v>0</v>
      </c>
      <c r="D47" s="373">
        <f>ABRIL!D47+MAYO!P47</f>
        <v>0</v>
      </c>
      <c r="E47" s="373">
        <f>ABRIL!E47+MAYO!Q47</f>
        <v>79487</v>
      </c>
      <c r="F47" s="373">
        <f>SUM(C47:E47)</f>
        <v>79487</v>
      </c>
      <c r="G47" s="373">
        <f>ABRIL!I47</f>
        <v>79487</v>
      </c>
      <c r="H47" s="374">
        <v>0</v>
      </c>
      <c r="I47" s="373">
        <f>SUM(G47:H47)</f>
        <v>79487</v>
      </c>
      <c r="J47" s="373">
        <f>ABRIL!L47</f>
        <v>79487</v>
      </c>
      <c r="K47" s="374">
        <v>0</v>
      </c>
      <c r="L47" s="373">
        <f>SUM(J47:K47)</f>
        <v>79487</v>
      </c>
      <c r="M47" s="373">
        <f>F47-I47</f>
        <v>0</v>
      </c>
      <c r="N47" s="143">
        <f>F47-L47</f>
        <v>0</v>
      </c>
      <c r="O47" s="382"/>
      <c r="P47" s="372">
        <v>0</v>
      </c>
      <c r="Q47" s="375">
        <v>0</v>
      </c>
      <c r="R47" s="9"/>
      <c r="S47" s="706" t="str">
        <f>+IF(ABRIL!S47=0,"",ABRIL!S47)</f>
        <v>1010301-3</v>
      </c>
      <c r="T47" s="682" t="str">
        <f>+IF(ABRIL!T47=0,"",ABRIL!T47)</f>
        <v>Fondos de cesantías - Aportes cuentas maestras</v>
      </c>
      <c r="U47" s="27">
        <f>+ENERO!U47</f>
        <v>0</v>
      </c>
      <c r="V47" s="15">
        <f>ABRIL!V47+MAYO!AL47</f>
        <v>0</v>
      </c>
      <c r="W47" s="15">
        <f>ABRIL!W47+MAYO!AM47</f>
        <v>0</v>
      </c>
      <c r="X47" s="18">
        <f>SUM(U47:W47)</f>
        <v>0</v>
      </c>
      <c r="Y47" s="19">
        <f>ABRIL!AA47</f>
        <v>0</v>
      </c>
      <c r="Z47" s="374">
        <v>0</v>
      </c>
      <c r="AA47" s="18">
        <f>SUM(Y47:Z47)</f>
        <v>0</v>
      </c>
      <c r="AB47" s="19">
        <f>ABRIL!AD47</f>
        <v>0</v>
      </c>
      <c r="AC47" s="374">
        <v>0</v>
      </c>
      <c r="AD47" s="18">
        <f>SUM(AB47:AC47)</f>
        <v>0</v>
      </c>
      <c r="AE47" s="19">
        <f>ABRIL!AG47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3">
        <f>+IF(ABRIL!A48=0,"",ABRIL!A48)</f>
        <v>1130108</v>
      </c>
      <c r="B48" s="645"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6" t="str">
        <f>+IF(ABRIL!S48=0,"",ABRIL!S48)</f>
        <v>1010301-4</v>
      </c>
      <c r="T48" s="682" t="str">
        <f>+IF(ABRIL!T48=0,"",ABRIL!T48)</f>
        <v>Riesgos laborales - Aportes cuentas maestras</v>
      </c>
      <c r="U48" s="27">
        <f>+ENERO!U48</f>
        <v>0</v>
      </c>
      <c r="V48" s="15">
        <f>ABRIL!V48+MAYO!AL48</f>
        <v>0</v>
      </c>
      <c r="W48" s="15">
        <f>ABRIL!W48+MAYO!AM48</f>
        <v>0</v>
      </c>
      <c r="X48" s="18">
        <f>SUM(U48:W48)</f>
        <v>0</v>
      </c>
      <c r="Y48" s="19">
        <f>ABRIL!AA48</f>
        <v>0</v>
      </c>
      <c r="Z48" s="374">
        <v>0</v>
      </c>
      <c r="AA48" s="18">
        <f>SUM(Y48:Z48)</f>
        <v>0</v>
      </c>
      <c r="AB48" s="19">
        <f>ABRIL!AD48</f>
        <v>0</v>
      </c>
      <c r="AC48" s="374">
        <v>0</v>
      </c>
      <c r="AD48" s="18">
        <f>SUM(AB48:AC48)</f>
        <v>0</v>
      </c>
      <c r="AE48" s="19">
        <f>ABRIL!AG48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+IF(ABRIL!A49=0,"",ABRIL!A49)</f>
        <v>1130108-1</v>
      </c>
      <c r="B49" s="646" t="str">
        <f>+CONCATENATE("Vigencia ",INSTRUCCIONES!$F$3)</f>
        <v>Vigencia 2017</v>
      </c>
      <c r="C49" s="671">
        <f>+ENERO!C49</f>
        <v>0</v>
      </c>
      <c r="D49" s="373">
        <f>ABRIL!D49+MAYO!P49</f>
        <v>0</v>
      </c>
      <c r="E49" s="373">
        <f>ABRIL!E49+MAYO!Q49</f>
        <v>0</v>
      </c>
      <c r="F49" s="373">
        <f>SUM(C49:E49)</f>
        <v>0</v>
      </c>
      <c r="G49" s="373">
        <f>ABRIL!I49</f>
        <v>0</v>
      </c>
      <c r="H49" s="374">
        <v>0</v>
      </c>
      <c r="I49" s="373">
        <f>SUM(G49:H49)</f>
        <v>0</v>
      </c>
      <c r="J49" s="373">
        <f>ABRIL!L49</f>
        <v>0</v>
      </c>
      <c r="K49" s="374">
        <v>0</v>
      </c>
      <c r="L49" s="373">
        <f>SUM(J49:K49)</f>
        <v>0</v>
      </c>
      <c r="M49" s="373">
        <f>F49-I49</f>
        <v>0</v>
      </c>
      <c r="N49" s="143">
        <f>F49-L49</f>
        <v>0</v>
      </c>
      <c r="O49" s="382"/>
      <c r="P49" s="372">
        <v>0</v>
      </c>
      <c r="Q49" s="375">
        <v>0</v>
      </c>
      <c r="R49" s="9"/>
      <c r="S49" s="705">
        <f>+IF(ABRIL!S49=0,"",ABRIL!S49)</f>
        <v>1010302</v>
      </c>
      <c r="T49" s="681" t="str">
        <f>+IF(ABRIL!T49=0,"",ABRIL!T49)</f>
        <v>Contribuciones - Otros</v>
      </c>
      <c r="U49" s="27">
        <f t="shared" ref="U49:AJ49" si="56">SUM(U50:U54)</f>
        <v>182861553</v>
      </c>
      <c r="V49" s="15">
        <f t="shared" si="56"/>
        <v>-6000000</v>
      </c>
      <c r="W49" s="15">
        <f t="shared" si="56"/>
        <v>0</v>
      </c>
      <c r="X49" s="18">
        <f t="shared" si="56"/>
        <v>176861553</v>
      </c>
      <c r="Y49" s="19">
        <f t="shared" si="56"/>
        <v>39417534</v>
      </c>
      <c r="Z49" s="142">
        <f t="shared" si="56"/>
        <v>9759951</v>
      </c>
      <c r="AA49" s="18">
        <f t="shared" si="56"/>
        <v>49177485</v>
      </c>
      <c r="AB49" s="19">
        <f t="shared" si="56"/>
        <v>39417534</v>
      </c>
      <c r="AC49" s="142">
        <f t="shared" si="56"/>
        <v>9759951</v>
      </c>
      <c r="AD49" s="18">
        <f t="shared" si="56"/>
        <v>49177485</v>
      </c>
      <c r="AE49" s="19">
        <f t="shared" si="56"/>
        <v>39417534</v>
      </c>
      <c r="AF49" s="142">
        <f t="shared" si="56"/>
        <v>9759951</v>
      </c>
      <c r="AG49" s="18">
        <f t="shared" si="56"/>
        <v>49177485</v>
      </c>
      <c r="AH49" s="19">
        <f t="shared" si="56"/>
        <v>127684068</v>
      </c>
      <c r="AI49" s="15">
        <f t="shared" si="56"/>
        <v>127684068</v>
      </c>
      <c r="AJ49" s="16">
        <f t="shared" si="56"/>
        <v>127684068</v>
      </c>
      <c r="AK49" s="9"/>
      <c r="AL49" s="29">
        <f>SUM(AL50:AL54)</f>
        <v>-6000000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+IF(ABRIL!A50=0,"",ABRIL!A50)</f>
        <v>1130108-2</v>
      </c>
      <c r="B50" s="646" t="str">
        <f>+IF(ABRIL!B50=0,"",ABRIL!B50)</f>
        <v>Vigencia Anterior</v>
      </c>
      <c r="C50" s="671">
        <f>+ENERO!C50</f>
        <v>0</v>
      </c>
      <c r="D50" s="373">
        <f>ABRIL!D50+MAYO!P50</f>
        <v>0</v>
      </c>
      <c r="E50" s="373">
        <f>ABRIL!E50+MAYO!Q50</f>
        <v>0</v>
      </c>
      <c r="F50" s="373">
        <f>SUM(C50:E50)</f>
        <v>0</v>
      </c>
      <c r="G50" s="373">
        <f>ABRIL!I50</f>
        <v>0</v>
      </c>
      <c r="H50" s="374">
        <v>0</v>
      </c>
      <c r="I50" s="373">
        <f>SUM(G50:H50)</f>
        <v>0</v>
      </c>
      <c r="J50" s="373">
        <f>ABRIL!L50</f>
        <v>0</v>
      </c>
      <c r="K50" s="374">
        <v>0</v>
      </c>
      <c r="L50" s="373">
        <f>SUM(J50:K50)</f>
        <v>0</v>
      </c>
      <c r="M50" s="373">
        <f>F50-I50</f>
        <v>0</v>
      </c>
      <c r="N50" s="143">
        <f>F50-L50</f>
        <v>0</v>
      </c>
      <c r="O50" s="382"/>
      <c r="P50" s="372">
        <v>0</v>
      </c>
      <c r="Q50" s="375">
        <v>0</v>
      </c>
      <c r="R50" s="9"/>
      <c r="S50" s="706" t="str">
        <f>+IF(ABRIL!S50=0,"",ABRIL!S50)</f>
        <v>1010302-1</v>
      </c>
      <c r="T50" s="682" t="str">
        <f>+IF(ABRIL!T50=0,"",ABRIL!T50)</f>
        <v>Aportes a E.P.S.- Con sit. Fondos</v>
      </c>
      <c r="U50" s="27">
        <f>+ENERO!U50</f>
        <v>72876516</v>
      </c>
      <c r="V50" s="15">
        <f>ABRIL!V50+MAYO!AL50</f>
        <v>-9500000</v>
      </c>
      <c r="W50" s="15">
        <f>ABRIL!W50+MAYO!AM50</f>
        <v>0</v>
      </c>
      <c r="X50" s="18">
        <f t="shared" ref="X50:X55" si="57">SUM(U50:W50)</f>
        <v>63376516</v>
      </c>
      <c r="Y50" s="19">
        <f>ABRIL!AA50</f>
        <v>12999868</v>
      </c>
      <c r="Z50" s="374">
        <v>3420420</v>
      </c>
      <c r="AA50" s="18">
        <f t="shared" ref="AA50:AA55" si="58">SUM(Y50:Z50)</f>
        <v>16420288</v>
      </c>
      <c r="AB50" s="19">
        <f>ABRIL!AD50</f>
        <v>12999868</v>
      </c>
      <c r="AC50" s="374">
        <v>3420420</v>
      </c>
      <c r="AD50" s="18">
        <f t="shared" ref="AD50:AD55" si="59">SUM(AB50:AC50)</f>
        <v>16420288</v>
      </c>
      <c r="AE50" s="19">
        <f>ABRIL!AG50</f>
        <v>12999868</v>
      </c>
      <c r="AF50" s="374">
        <v>3420420</v>
      </c>
      <c r="AG50" s="18">
        <f t="shared" ref="AG50:AG55" si="60">SUM(AE50:AF50)</f>
        <v>16420288</v>
      </c>
      <c r="AH50" s="19">
        <f t="shared" ref="AH50:AH55" si="61">X50-AA50</f>
        <v>46956228</v>
      </c>
      <c r="AI50" s="15">
        <f t="shared" ref="AI50:AI55" si="62">X50-AD50</f>
        <v>46956228</v>
      </c>
      <c r="AJ50" s="16">
        <f t="shared" ref="AJ50:AJ55" si="63">X50-AG50</f>
        <v>46956228</v>
      </c>
      <c r="AK50" s="9"/>
      <c r="AL50" s="372">
        <v>-9500000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3">
        <f>+IF(ABRIL!A51=0,"",ABRIL!A51)</f>
        <v>1130109</v>
      </c>
      <c r="B51" s="645"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6" t="str">
        <f>+IF(ABRIL!S51=0,"",ABRIL!S51)</f>
        <v>1010302-2</v>
      </c>
      <c r="T51" s="682" t="str">
        <f>+IF(ABRIL!T51=0,"",ABRIL!T51)</f>
        <v>Aportes Fondos Pensionales - Con Sit. Fondos</v>
      </c>
      <c r="U51" s="27">
        <f>+ENERO!U51</f>
        <v>75101971</v>
      </c>
      <c r="V51" s="15">
        <f>ABRIL!V51+MAYO!AL51</f>
        <v>0</v>
      </c>
      <c r="W51" s="15">
        <f>ABRIL!W51+MAYO!AM51</f>
        <v>0</v>
      </c>
      <c r="X51" s="18">
        <f t="shared" si="57"/>
        <v>75101971</v>
      </c>
      <c r="Y51" s="19">
        <f>ABRIL!AA51</f>
        <v>18341993</v>
      </c>
      <c r="Z51" s="374">
        <v>4604048</v>
      </c>
      <c r="AA51" s="18">
        <f t="shared" si="58"/>
        <v>22946041</v>
      </c>
      <c r="AB51" s="19">
        <f>ABRIL!AD51</f>
        <v>18341993</v>
      </c>
      <c r="AC51" s="374">
        <v>4604048</v>
      </c>
      <c r="AD51" s="18">
        <f t="shared" si="59"/>
        <v>22946041</v>
      </c>
      <c r="AE51" s="19">
        <f>ABRIL!AG51</f>
        <v>18341993</v>
      </c>
      <c r="AF51" s="374">
        <v>4604048</v>
      </c>
      <c r="AG51" s="18">
        <f t="shared" si="60"/>
        <v>22946041</v>
      </c>
      <c r="AH51" s="19">
        <f t="shared" si="61"/>
        <v>52155930</v>
      </c>
      <c r="AI51" s="15">
        <f t="shared" si="62"/>
        <v>52155930</v>
      </c>
      <c r="AJ51" s="16">
        <f t="shared" si="63"/>
        <v>52155930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+IF(ABRIL!A52=0,"",ABRIL!A52)</f>
        <v>1130109-1</v>
      </c>
      <c r="B52" s="646" t="str">
        <f>+CONCATENATE("Vigencia ",INSTRUCCIONES!$F$3)</f>
        <v>Vigencia 2017</v>
      </c>
      <c r="C52" s="671">
        <f>+ENERO!C52</f>
        <v>0</v>
      </c>
      <c r="D52" s="373">
        <f>ABRIL!D52+MAYO!P52</f>
        <v>0</v>
      </c>
      <c r="E52" s="373">
        <f>ABRIL!E52+MAYO!Q52</f>
        <v>0</v>
      </c>
      <c r="F52" s="373">
        <f>SUM(C52:E52)</f>
        <v>0</v>
      </c>
      <c r="G52" s="373">
        <f>ABRIL!I52</f>
        <v>0</v>
      </c>
      <c r="H52" s="374">
        <v>0</v>
      </c>
      <c r="I52" s="373">
        <f>SUM(G52:H52)</f>
        <v>0</v>
      </c>
      <c r="J52" s="373">
        <f>ABRIL!L52</f>
        <v>0</v>
      </c>
      <c r="K52" s="374">
        <v>0</v>
      </c>
      <c r="L52" s="373">
        <f>SUM(J52:K52)</f>
        <v>0</v>
      </c>
      <c r="M52" s="373">
        <f>F52-I52</f>
        <v>0</v>
      </c>
      <c r="N52" s="143">
        <f>F52-L52</f>
        <v>0</v>
      </c>
      <c r="O52" s="382"/>
      <c r="P52" s="372">
        <v>0</v>
      </c>
      <c r="Q52" s="375">
        <v>0</v>
      </c>
      <c r="R52" s="9"/>
      <c r="S52" s="706" t="str">
        <f>+IF(ABRIL!S52=0,"",ABRIL!S52)</f>
        <v>1010302-3</v>
      </c>
      <c r="T52" s="682" t="str">
        <f>+IF(ABRIL!T52=0,"",ABRIL!T52)</f>
        <v xml:space="preserve">Aportes a Fondos de Cesantia - Con Sit. de Fondos </v>
      </c>
      <c r="U52" s="27">
        <f>+ENERO!U52</f>
        <v>12471386</v>
      </c>
      <c r="V52" s="15">
        <f>ABRIL!V52+MAYO!AL52</f>
        <v>0</v>
      </c>
      <c r="W52" s="15">
        <f>ABRIL!W52+MAYO!AM52</f>
        <v>0</v>
      </c>
      <c r="X52" s="18">
        <f t="shared" si="57"/>
        <v>12471386</v>
      </c>
      <c r="Y52" s="19">
        <f>ABRIL!AA52</f>
        <v>0</v>
      </c>
      <c r="Z52" s="374">
        <v>0</v>
      </c>
      <c r="AA52" s="18">
        <f t="shared" si="58"/>
        <v>0</v>
      </c>
      <c r="AB52" s="19">
        <f>ABRIL!AD52</f>
        <v>0</v>
      </c>
      <c r="AC52" s="374">
        <v>0</v>
      </c>
      <c r="AD52" s="18">
        <f t="shared" si="59"/>
        <v>0</v>
      </c>
      <c r="AE52" s="19">
        <f>ABRIL!AG52</f>
        <v>0</v>
      </c>
      <c r="AF52" s="374">
        <v>0</v>
      </c>
      <c r="AG52" s="18">
        <f t="shared" si="60"/>
        <v>0</v>
      </c>
      <c r="AH52" s="19">
        <f t="shared" si="61"/>
        <v>12471386</v>
      </c>
      <c r="AI52" s="15">
        <f t="shared" si="62"/>
        <v>12471386</v>
      </c>
      <c r="AJ52" s="16">
        <f t="shared" si="63"/>
        <v>12471386</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+IF(ABRIL!A53=0,"",ABRIL!A53)</f>
        <v>1130109-2</v>
      </c>
      <c r="B53" s="646" t="str">
        <f>+IF(ABRIL!B53=0,"",ABRIL!B53)</f>
        <v>Vigencia Anterior</v>
      </c>
      <c r="C53" s="671">
        <f>+ENERO!C53</f>
        <v>0</v>
      </c>
      <c r="D53" s="373">
        <f>ABRIL!D53+MAYO!P53</f>
        <v>0</v>
      </c>
      <c r="E53" s="373">
        <f>ABRIL!E53+MAYO!Q53</f>
        <v>0</v>
      </c>
      <c r="F53" s="373">
        <f>SUM(C53:E53)</f>
        <v>0</v>
      </c>
      <c r="G53" s="373">
        <f>ABRIL!I53</f>
        <v>0</v>
      </c>
      <c r="H53" s="374">
        <v>0</v>
      </c>
      <c r="I53" s="373">
        <f>SUM(G53:H53)</f>
        <v>0</v>
      </c>
      <c r="J53" s="373">
        <f>ABRIL!L53</f>
        <v>0</v>
      </c>
      <c r="K53" s="374">
        <v>0</v>
      </c>
      <c r="L53" s="373">
        <f>SUM(J53:K53)</f>
        <v>0</v>
      </c>
      <c r="M53" s="373">
        <f>F53-I53</f>
        <v>0</v>
      </c>
      <c r="N53" s="143">
        <f>F53-L53</f>
        <v>0</v>
      </c>
      <c r="O53" s="382"/>
      <c r="P53" s="372">
        <v>0</v>
      </c>
      <c r="Q53" s="375">
        <v>0</v>
      </c>
      <c r="R53" s="9"/>
      <c r="S53" s="706" t="str">
        <f>+IF(ABRIL!S53=0,"",ABRIL!S53)</f>
        <v>1010302-4</v>
      </c>
      <c r="T53" s="682" t="str">
        <f>+IF(ABRIL!T53=0,"",ABRIL!T53)</f>
        <v>Aporte a ARL. - Con Sit. de Fondos</v>
      </c>
      <c r="U53" s="27">
        <f>+ENERO!U53</f>
        <v>15124020</v>
      </c>
      <c r="V53" s="15">
        <f>ABRIL!V53+MAYO!AL53</f>
        <v>0</v>
      </c>
      <c r="W53" s="15">
        <f>ABRIL!W53+MAYO!AM53</f>
        <v>0</v>
      </c>
      <c r="X53" s="18">
        <f t="shared" si="57"/>
        <v>15124020</v>
      </c>
      <c r="Y53" s="19">
        <f>ABRIL!AA53</f>
        <v>788013</v>
      </c>
      <c r="Z53" s="374">
        <v>200800</v>
      </c>
      <c r="AA53" s="18">
        <f t="shared" si="58"/>
        <v>988813</v>
      </c>
      <c r="AB53" s="19">
        <f>ABRIL!AD53</f>
        <v>788013</v>
      </c>
      <c r="AC53" s="374">
        <v>200800</v>
      </c>
      <c r="AD53" s="18">
        <f t="shared" si="59"/>
        <v>988813</v>
      </c>
      <c r="AE53" s="19">
        <f>ABRIL!AG53</f>
        <v>788013</v>
      </c>
      <c r="AF53" s="374">
        <v>200800</v>
      </c>
      <c r="AG53" s="18">
        <f t="shared" si="60"/>
        <v>988813</v>
      </c>
      <c r="AH53" s="19">
        <f t="shared" si="61"/>
        <v>14135207</v>
      </c>
      <c r="AI53" s="15">
        <f t="shared" si="62"/>
        <v>14135207</v>
      </c>
      <c r="AJ53" s="16">
        <f t="shared" si="63"/>
        <v>14135207</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3">
        <f>+IF(ABRIL!A54=0,"",ABRIL!A54)</f>
        <v>1130110</v>
      </c>
      <c r="B54" s="645" t="str">
        <f>+IF(ABRIL!B54=0,"",ABRIL!B54)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6" t="str">
        <f>+IF(ABRIL!S54=0,"",ABRIL!S54)</f>
        <v>1010302-5</v>
      </c>
      <c r="T54" s="682" t="str">
        <f>+IF(ABRIL!T54=0,"",ABRIL!T54)</f>
        <v>Aporte a Caja Compensación Familiar</v>
      </c>
      <c r="U54" s="27">
        <f>+ENERO!U54</f>
        <v>7287660</v>
      </c>
      <c r="V54" s="15">
        <f>ABRIL!V54+MAYO!AL54</f>
        <v>3500000</v>
      </c>
      <c r="W54" s="15">
        <f>ABRIL!W54+MAYO!AM54</f>
        <v>0</v>
      </c>
      <c r="X54" s="18">
        <f t="shared" si="57"/>
        <v>10787660</v>
      </c>
      <c r="Y54" s="19">
        <f>ABRIL!AA54</f>
        <v>7287660</v>
      </c>
      <c r="Z54" s="374">
        <v>1534683</v>
      </c>
      <c r="AA54" s="18">
        <f t="shared" si="58"/>
        <v>8822343</v>
      </c>
      <c r="AB54" s="19">
        <f>ABRIL!AD54</f>
        <v>7287660</v>
      </c>
      <c r="AC54" s="374">
        <v>1534683</v>
      </c>
      <c r="AD54" s="18">
        <f t="shared" si="59"/>
        <v>8822343</v>
      </c>
      <c r="AE54" s="19">
        <f>ABRIL!AG54</f>
        <v>7287660</v>
      </c>
      <c r="AF54" s="374">
        <v>1534683</v>
      </c>
      <c r="AG54" s="18">
        <f t="shared" si="60"/>
        <v>8822343</v>
      </c>
      <c r="AH54" s="19">
        <f t="shared" si="61"/>
        <v>1965317</v>
      </c>
      <c r="AI54" s="15">
        <f t="shared" si="62"/>
        <v>1965317</v>
      </c>
      <c r="AJ54" s="16">
        <f t="shared" si="63"/>
        <v>1965317</v>
      </c>
      <c r="AK54" s="9"/>
      <c r="AL54" s="372">
        <v>3500000</v>
      </c>
      <c r="AM54" s="375">
        <v>0</v>
      </c>
      <c r="AN54" s="9"/>
      <c r="AO54" s="294"/>
      <c r="AP54" s="294"/>
      <c r="AQ54" s="294"/>
      <c r="AR54" s="294"/>
      <c r="AS54" s="294"/>
      <c r="AT54" s="294"/>
      <c r="AU54" s="294"/>
      <c r="AV54" s="294"/>
      <c r="AW54" s="294"/>
      <c r="AX54" s="294"/>
      <c r="AY54" s="294"/>
      <c r="AZ54" s="294"/>
    </row>
    <row r="55" spans="1:70" s="422" customFormat="1" ht="24.95" customHeight="1">
      <c r="A55" s="611" t="str">
        <f>+IF(ABRIL!A55=0,"",ABRIL!A55)</f>
        <v>1130110-1</v>
      </c>
      <c r="B55" s="646" t="str">
        <f>+CONCATENATE("Vigencia ",INSTRUCCIONES!$F$3)</f>
        <v>Vigencia 2017</v>
      </c>
      <c r="C55" s="671">
        <f>+ENERO!C55</f>
        <v>0</v>
      </c>
      <c r="D55" s="373">
        <f>ABRIL!D55+MAYO!P55</f>
        <v>0</v>
      </c>
      <c r="E55" s="373">
        <f>ABRIL!E55+MAYO!Q55</f>
        <v>0</v>
      </c>
      <c r="F55" s="373">
        <f>SUM(C55:E55)</f>
        <v>0</v>
      </c>
      <c r="G55" s="373">
        <f>ABRIL!I55</f>
        <v>0</v>
      </c>
      <c r="H55" s="374">
        <v>0</v>
      </c>
      <c r="I55" s="373">
        <f>SUM(G55:H55)</f>
        <v>0</v>
      </c>
      <c r="J55" s="373">
        <f>ABRIL!L55</f>
        <v>0</v>
      </c>
      <c r="K55" s="374">
        <v>0</v>
      </c>
      <c r="L55" s="373">
        <f>SUM(J55:K55)</f>
        <v>0</v>
      </c>
      <c r="M55" s="373">
        <f>F55-I55</f>
        <v>0</v>
      </c>
      <c r="N55" s="143">
        <f>F55-L55</f>
        <v>0</v>
      </c>
      <c r="O55" s="382"/>
      <c r="P55" s="372">
        <v>0</v>
      </c>
      <c r="Q55" s="375">
        <v>0</v>
      </c>
      <c r="R55" s="9"/>
      <c r="S55" s="705">
        <f>+IF(ABRIL!S55=0,"",ABRIL!S55)</f>
        <v>1010399</v>
      </c>
      <c r="T55" s="681" t="str">
        <f>+IF(ABRIL!T55=0,"",ABRIL!T55)</f>
        <v>Vigencias Anteriores</v>
      </c>
      <c r="U55" s="27">
        <f>+ENERO!U55</f>
        <v>0</v>
      </c>
      <c r="V55" s="15">
        <f>ABRIL!V55+MAYO!AL55</f>
        <v>-24802080</v>
      </c>
      <c r="W55" s="15">
        <f>ABRIL!W55+MAYO!AM55</f>
        <v>24802080</v>
      </c>
      <c r="X55" s="18">
        <f t="shared" si="57"/>
        <v>0</v>
      </c>
      <c r="Y55" s="19">
        <f>ABRIL!AA55</f>
        <v>0</v>
      </c>
      <c r="Z55" s="374">
        <v>0</v>
      </c>
      <c r="AA55" s="18">
        <f t="shared" si="58"/>
        <v>0</v>
      </c>
      <c r="AB55" s="19">
        <f>ABRIL!AD55</f>
        <v>0</v>
      </c>
      <c r="AC55" s="374">
        <v>0</v>
      </c>
      <c r="AD55" s="18">
        <f t="shared" si="59"/>
        <v>0</v>
      </c>
      <c r="AE55" s="19">
        <f>ABRIL!AG55</f>
        <v>0</v>
      </c>
      <c r="AF55" s="374">
        <v>0</v>
      </c>
      <c r="AG55" s="18">
        <f t="shared" si="60"/>
        <v>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+IF(ABRIL!A56=0,"",ABRIL!A56)</f>
        <v>1130110-2</v>
      </c>
      <c r="B56" s="646" t="str">
        <f>+IF(ABRIL!B56=0,"",ABRIL!B56)</f>
        <v>Vigencia Anterior</v>
      </c>
      <c r="C56" s="671">
        <f>+ENERO!C56</f>
        <v>0</v>
      </c>
      <c r="D56" s="373">
        <f>ABRIL!D56+MAYO!P56</f>
        <v>0</v>
      </c>
      <c r="E56" s="373">
        <f>ABRIL!E56+MAYO!Q56</f>
        <v>0</v>
      </c>
      <c r="F56" s="373">
        <f>SUM(C56:E56)</f>
        <v>0</v>
      </c>
      <c r="G56" s="373">
        <f>ABRIL!I56</f>
        <v>0</v>
      </c>
      <c r="H56" s="374">
        <v>0</v>
      </c>
      <c r="I56" s="373">
        <f>SUM(G56:H56)</f>
        <v>0</v>
      </c>
      <c r="J56" s="373">
        <f>ABRIL!L56</f>
        <v>0</v>
      </c>
      <c r="K56" s="374">
        <v>0</v>
      </c>
      <c r="L56" s="373">
        <f>SUM(J56:K56)</f>
        <v>0</v>
      </c>
      <c r="M56" s="373">
        <f>F56-I56</f>
        <v>0</v>
      </c>
      <c r="N56" s="143">
        <f>F56-L56</f>
        <v>0</v>
      </c>
      <c r="O56" s="382"/>
      <c r="P56" s="372">
        <v>0</v>
      </c>
      <c r="Q56" s="375">
        <v>0</v>
      </c>
      <c r="R56" s="9"/>
      <c r="S56" s="366" t="str">
        <f>+IF(ABRIL!S56=0,"",ABRIL!S56)</f>
        <v/>
      </c>
      <c r="T56" s="695"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3">
        <f>+IF(ABRIL!A57=0,"",ABRIL!A57)</f>
        <v>1130111</v>
      </c>
      <c r="B57" s="645" t="str">
        <f>+IF(ABRIL!B57=0,"",ABRIL!B57)</f>
        <v>IPS PRIVADAS</v>
      </c>
      <c r="C57" s="43">
        <f t="shared" ref="C57:N57" si="66">SUM(C58:C59)</f>
        <v>133639169</v>
      </c>
      <c r="D57" s="44">
        <f t="shared" si="66"/>
        <v>0</v>
      </c>
      <c r="E57" s="44">
        <f t="shared" si="66"/>
        <v>176960</v>
      </c>
      <c r="F57" s="44">
        <f t="shared" si="66"/>
        <v>133816129</v>
      </c>
      <c r="G57" s="44">
        <f t="shared" si="66"/>
        <v>195132</v>
      </c>
      <c r="H57" s="44">
        <f t="shared" si="66"/>
        <v>0</v>
      </c>
      <c r="I57" s="44">
        <f t="shared" si="66"/>
        <v>195132</v>
      </c>
      <c r="J57" s="44">
        <f t="shared" si="66"/>
        <v>176960</v>
      </c>
      <c r="K57" s="44">
        <f t="shared" si="66"/>
        <v>0</v>
      </c>
      <c r="L57" s="44">
        <f t="shared" si="66"/>
        <v>176960</v>
      </c>
      <c r="M57" s="44">
        <f t="shared" si="66"/>
        <v>133620997</v>
      </c>
      <c r="N57" s="45">
        <f t="shared" si="66"/>
        <v>133639169</v>
      </c>
      <c r="P57" s="43">
        <f>SUM(P58:P59)</f>
        <v>0</v>
      </c>
      <c r="Q57" s="45">
        <f>SUM(Q58:Q59)</f>
        <v>0</v>
      </c>
      <c r="R57" s="9"/>
      <c r="S57" s="704">
        <f>+IF(ABRIL!S57=0,"",ABRIL!S57)</f>
        <v>1010400</v>
      </c>
      <c r="T57" s="680" t="str">
        <f>+IF(ABRIL!T57=0,"",ABRIL!T57)</f>
        <v>Contribuciones Inherentes nómina del Sector Publico</v>
      </c>
      <c r="U57" s="132">
        <f t="shared" ref="U57:AJ57" si="67">U58+U61</f>
        <v>31192586</v>
      </c>
      <c r="V57" s="122">
        <f t="shared" si="67"/>
        <v>0</v>
      </c>
      <c r="W57" s="122">
        <f t="shared" si="67"/>
        <v>0</v>
      </c>
      <c r="X57" s="129">
        <f t="shared" si="67"/>
        <v>31192586</v>
      </c>
      <c r="Y57" s="128">
        <f t="shared" si="67"/>
        <v>7690641</v>
      </c>
      <c r="Z57" s="122">
        <f t="shared" si="67"/>
        <v>1918353</v>
      </c>
      <c r="AA57" s="129">
        <f t="shared" si="67"/>
        <v>9608994</v>
      </c>
      <c r="AB57" s="128">
        <f t="shared" si="67"/>
        <v>7690641</v>
      </c>
      <c r="AC57" s="122">
        <f t="shared" si="67"/>
        <v>1918353</v>
      </c>
      <c r="AD57" s="129">
        <f t="shared" si="67"/>
        <v>9608994</v>
      </c>
      <c r="AE57" s="128">
        <f t="shared" si="67"/>
        <v>7690641</v>
      </c>
      <c r="AF57" s="122">
        <f t="shared" si="67"/>
        <v>1918353</v>
      </c>
      <c r="AG57" s="129">
        <f t="shared" si="67"/>
        <v>9608994</v>
      </c>
      <c r="AH57" s="128">
        <f t="shared" si="67"/>
        <v>21583592</v>
      </c>
      <c r="AI57" s="122">
        <f t="shared" si="67"/>
        <v>21583592</v>
      </c>
      <c r="AJ57" s="130">
        <f t="shared" si="67"/>
        <v>21583592</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+IF(ABRIL!A58=0,"",ABRIL!A58)</f>
        <v>1130111-1</v>
      </c>
      <c r="B58" s="646" t="str">
        <f>+CONCATENATE("Vigencia ",INSTRUCCIONES!$F$3)</f>
        <v>Vigencia 2017</v>
      </c>
      <c r="C58" s="671">
        <f>+ENERO!C58</f>
        <v>133639169</v>
      </c>
      <c r="D58" s="373">
        <f>ABRIL!D58+MAYO!P58</f>
        <v>0</v>
      </c>
      <c r="E58" s="373">
        <f>ABRIL!E58+MAYO!Q58</f>
        <v>0</v>
      </c>
      <c r="F58" s="373">
        <f>SUM(C58:E58)</f>
        <v>133639169</v>
      </c>
      <c r="G58" s="373">
        <f>ABRIL!I58</f>
        <v>18172</v>
      </c>
      <c r="H58" s="374">
        <v>0</v>
      </c>
      <c r="I58" s="373">
        <f>SUM(G58:H58)</f>
        <v>18172</v>
      </c>
      <c r="J58" s="373">
        <f>ABRIL!L58</f>
        <v>0</v>
      </c>
      <c r="K58" s="374">
        <v>0</v>
      </c>
      <c r="L58" s="373">
        <f>SUM(J58:K58)</f>
        <v>0</v>
      </c>
      <c r="M58" s="373">
        <f>F58-I58</f>
        <v>133620997</v>
      </c>
      <c r="N58" s="143">
        <f>F58-L58</f>
        <v>133639169</v>
      </c>
      <c r="O58" s="382"/>
      <c r="P58" s="372">
        <v>0</v>
      </c>
      <c r="Q58" s="375">
        <v>0</v>
      </c>
      <c r="R58" s="9"/>
      <c r="S58" s="705">
        <f>+IF(ABRIL!S58=0,"",ABRIL!S58)</f>
        <v>1010402</v>
      </c>
      <c r="T58" s="681" t="str">
        <f>+IF(ABRIL!T58=0,"",ABRIL!T58)</f>
        <v>Contribuciones - Otros</v>
      </c>
      <c r="U58" s="27">
        <f t="shared" ref="U58:AJ58" si="68">SUM(U59:U60)</f>
        <v>31192586</v>
      </c>
      <c r="V58" s="15">
        <f t="shared" si="68"/>
        <v>0</v>
      </c>
      <c r="W58" s="15">
        <f t="shared" si="68"/>
        <v>0</v>
      </c>
      <c r="X58" s="18">
        <f t="shared" si="68"/>
        <v>31192586</v>
      </c>
      <c r="Y58" s="19">
        <f t="shared" si="68"/>
        <v>7690641</v>
      </c>
      <c r="Z58" s="142">
        <f t="shared" si="68"/>
        <v>1918353</v>
      </c>
      <c r="AA58" s="18">
        <f t="shared" si="68"/>
        <v>9608994</v>
      </c>
      <c r="AB58" s="19">
        <f t="shared" si="68"/>
        <v>7690641</v>
      </c>
      <c r="AC58" s="142">
        <f t="shared" si="68"/>
        <v>1918353</v>
      </c>
      <c r="AD58" s="18">
        <f t="shared" si="68"/>
        <v>9608994</v>
      </c>
      <c r="AE58" s="19">
        <f t="shared" si="68"/>
        <v>7690641</v>
      </c>
      <c r="AF58" s="142">
        <f t="shared" si="68"/>
        <v>1918353</v>
      </c>
      <c r="AG58" s="18">
        <f t="shared" si="68"/>
        <v>9608994</v>
      </c>
      <c r="AH58" s="19">
        <f t="shared" si="68"/>
        <v>21583592</v>
      </c>
      <c r="AI58" s="15">
        <f t="shared" si="68"/>
        <v>21583592</v>
      </c>
      <c r="AJ58" s="16">
        <f t="shared" si="68"/>
        <v>21583592</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+IF(ABRIL!A59=0,"",ABRIL!A59)</f>
        <v>1130111-2</v>
      </c>
      <c r="B59" s="646" t="str">
        <f>+IF(ABRIL!B59=0,"",ABRIL!B59)</f>
        <v>Vigencia Anterior</v>
      </c>
      <c r="C59" s="671">
        <f>+ENERO!C59</f>
        <v>0</v>
      </c>
      <c r="D59" s="373">
        <f>ABRIL!D59+MAYO!P59</f>
        <v>0</v>
      </c>
      <c r="E59" s="373">
        <f>ABRIL!E59+MAYO!Q59</f>
        <v>176960</v>
      </c>
      <c r="F59" s="373">
        <f>SUM(C59:E59)</f>
        <v>176960</v>
      </c>
      <c r="G59" s="373">
        <f>ABRIL!I59</f>
        <v>176960</v>
      </c>
      <c r="H59" s="374">
        <v>0</v>
      </c>
      <c r="I59" s="373">
        <f>SUM(G59:H59)</f>
        <v>176960</v>
      </c>
      <c r="J59" s="373">
        <f>ABRIL!L59</f>
        <v>176960</v>
      </c>
      <c r="K59" s="374">
        <v>0</v>
      </c>
      <c r="L59" s="373">
        <f>SUM(J59:K59)</f>
        <v>176960</v>
      </c>
      <c r="M59" s="373">
        <f>F59-I59</f>
        <v>0</v>
      </c>
      <c r="N59" s="143">
        <f>F59-L59</f>
        <v>0</v>
      </c>
      <c r="O59" s="382"/>
      <c r="P59" s="372">
        <v>0</v>
      </c>
      <c r="Q59" s="375">
        <v>0</v>
      </c>
      <c r="R59" s="9"/>
      <c r="S59" s="706" t="str">
        <f>+IF(ABRIL!S59=0,"",ABRIL!S59)</f>
        <v>1010402-1</v>
      </c>
      <c r="T59" s="681" t="str">
        <f>+IF(ABRIL!T59=0,"",ABRIL!T59)</f>
        <v>S.E.N.A.</v>
      </c>
      <c r="U59" s="27">
        <f>+ENERO!U59</f>
        <v>18775492</v>
      </c>
      <c r="V59" s="15">
        <f>ABRIL!V59+MAYO!AL59</f>
        <v>0</v>
      </c>
      <c r="W59" s="15">
        <f>ABRIL!W59+MAYO!AM59</f>
        <v>0</v>
      </c>
      <c r="X59" s="18">
        <f>SUM(U59:W59)</f>
        <v>18775492</v>
      </c>
      <c r="Y59" s="19">
        <f>ABRIL!AA59</f>
        <v>3076080</v>
      </c>
      <c r="Z59" s="374">
        <v>767341</v>
      </c>
      <c r="AA59" s="18">
        <f>SUM(Y59:Z59)</f>
        <v>3843421</v>
      </c>
      <c r="AB59" s="19">
        <f>ABRIL!AD59</f>
        <v>3076080</v>
      </c>
      <c r="AC59" s="374">
        <v>767341</v>
      </c>
      <c r="AD59" s="18">
        <f>SUM(AB59:AC59)</f>
        <v>3843421</v>
      </c>
      <c r="AE59" s="19">
        <f>ABRIL!AG59</f>
        <v>3076080</v>
      </c>
      <c r="AF59" s="374">
        <v>767341</v>
      </c>
      <c r="AG59" s="18">
        <f>SUM(AE59:AF59)</f>
        <v>3843421</v>
      </c>
      <c r="AH59" s="19">
        <f>X59-AA59</f>
        <v>14932071</v>
      </c>
      <c r="AI59" s="15">
        <f>X59-AD59</f>
        <v>14932071</v>
      </c>
      <c r="AJ59" s="16">
        <f>X59-AG59</f>
        <v>14932071</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3">
        <f>+IF(ABRIL!A60=0,"",ABRIL!A60)</f>
        <v>1130112</v>
      </c>
      <c r="B60" s="645" t="str">
        <f>+IF(ABRIL!B60=0,"",ABRIL!B60)</f>
        <v>IPS PUBLICAS</v>
      </c>
      <c r="C60" s="43">
        <f t="shared" ref="C60:N60" si="69">SUM(C61:C62)</f>
        <v>45194994</v>
      </c>
      <c r="D60" s="44">
        <f t="shared" si="69"/>
        <v>0</v>
      </c>
      <c r="E60" s="44">
        <f t="shared" si="69"/>
        <v>95525</v>
      </c>
      <c r="F60" s="44">
        <f t="shared" si="69"/>
        <v>45290519</v>
      </c>
      <c r="G60" s="44">
        <f t="shared" si="69"/>
        <v>237397472</v>
      </c>
      <c r="H60" s="44">
        <f t="shared" si="69"/>
        <v>4534321</v>
      </c>
      <c r="I60" s="44">
        <f t="shared" si="69"/>
        <v>241931793</v>
      </c>
      <c r="J60" s="44">
        <f t="shared" si="69"/>
        <v>205212</v>
      </c>
      <c r="K60" s="44">
        <f t="shared" si="69"/>
        <v>0</v>
      </c>
      <c r="L60" s="44">
        <f t="shared" si="69"/>
        <v>205212</v>
      </c>
      <c r="M60" s="44">
        <f t="shared" si="69"/>
        <v>-196641274</v>
      </c>
      <c r="N60" s="45">
        <f t="shared" si="69"/>
        <v>45085307</v>
      </c>
      <c r="P60" s="43">
        <f>SUM(P61:P62)</f>
        <v>0</v>
      </c>
      <c r="Q60" s="45">
        <f>SUM(Q61:Q62)</f>
        <v>0</v>
      </c>
      <c r="R60" s="9"/>
      <c r="S60" s="706" t="str">
        <f>+IF(ABRIL!S60=0,"",ABRIL!S60)</f>
        <v>1010402-2</v>
      </c>
      <c r="T60" s="681" t="str">
        <f>+IF(ABRIL!T60=0,"",ABRIL!T60)</f>
        <v>I.C.B.F.</v>
      </c>
      <c r="U60" s="27">
        <f>+ENERO!U60</f>
        <v>12417094</v>
      </c>
      <c r="V60" s="15">
        <f>ABRIL!V60+MAYO!AL60</f>
        <v>0</v>
      </c>
      <c r="W60" s="15">
        <f>ABRIL!W60+MAYO!AM60</f>
        <v>0</v>
      </c>
      <c r="X60" s="18">
        <f>SUM(U60:W60)</f>
        <v>12417094</v>
      </c>
      <c r="Y60" s="19">
        <f>ABRIL!AA60</f>
        <v>4614561</v>
      </c>
      <c r="Z60" s="374">
        <v>1151012</v>
      </c>
      <c r="AA60" s="18">
        <f>SUM(Y60:Z60)</f>
        <v>5765573</v>
      </c>
      <c r="AB60" s="19">
        <f>ABRIL!AD60</f>
        <v>4614561</v>
      </c>
      <c r="AC60" s="374">
        <v>1151012</v>
      </c>
      <c r="AD60" s="18">
        <f>SUM(AB60:AC60)</f>
        <v>5765573</v>
      </c>
      <c r="AE60" s="19">
        <f>ABRIL!AG60</f>
        <v>4614561</v>
      </c>
      <c r="AF60" s="374">
        <v>1151012</v>
      </c>
      <c r="AG60" s="18">
        <f>SUM(AE60:AF60)</f>
        <v>5765573</v>
      </c>
      <c r="AH60" s="19">
        <f>X60-AA60</f>
        <v>6651521</v>
      </c>
      <c r="AI60" s="15">
        <f>X60-AD60</f>
        <v>6651521</v>
      </c>
      <c r="AJ60" s="16">
        <f>X60-AG60</f>
        <v>6651521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+IF(ABRIL!A61=0,"",ABRIL!A61)</f>
        <v>1130112-1</v>
      </c>
      <c r="B61" s="646" t="str">
        <f>+CONCATENATE("Vigencia ",INSTRUCCIONES!$F$3)</f>
        <v>Vigencia 2017</v>
      </c>
      <c r="C61" s="671">
        <f>+ENERO!C61</f>
        <v>45194994</v>
      </c>
      <c r="D61" s="373">
        <f>ABRIL!D61+MAYO!P61</f>
        <v>0</v>
      </c>
      <c r="E61" s="373">
        <f>ABRIL!E61+MAYO!Q61</f>
        <v>0</v>
      </c>
      <c r="F61" s="373">
        <f>SUM(C61:E61)</f>
        <v>45194994</v>
      </c>
      <c r="G61" s="373">
        <f>ABRIL!I61</f>
        <v>237192260</v>
      </c>
      <c r="H61" s="374">
        <v>4534321</v>
      </c>
      <c r="I61" s="373">
        <f>SUM(G61:H61)</f>
        <v>241726581</v>
      </c>
      <c r="J61" s="373">
        <f>ABRIL!L61</f>
        <v>0</v>
      </c>
      <c r="K61" s="374">
        <v>0</v>
      </c>
      <c r="L61" s="373">
        <f>SUM(J61:K61)</f>
        <v>0</v>
      </c>
      <c r="M61" s="373">
        <f>F61-I61</f>
        <v>-196531587</v>
      </c>
      <c r="N61" s="143">
        <f>F61-L61</f>
        <v>45194994</v>
      </c>
      <c r="O61" s="382"/>
      <c r="P61" s="372">
        <v>0</v>
      </c>
      <c r="Q61" s="375">
        <v>0</v>
      </c>
      <c r="R61" s="9"/>
      <c r="S61" s="705">
        <f>+IF(ABRIL!S61=0,"",ABRIL!S61)</f>
        <v>1010499</v>
      </c>
      <c r="T61" s="681" t="str">
        <f>+IF(ABRIL!T61=0,"",ABRIL!T61)</f>
        <v>Vigencias Anteriores</v>
      </c>
      <c r="U61" s="27">
        <f>+ENERO!U61</f>
        <v>0</v>
      </c>
      <c r="V61" s="15">
        <f>ABRIL!V61+MAYO!AL61</f>
        <v>0</v>
      </c>
      <c r="W61" s="15">
        <f>ABRIL!W61+MAYO!AM61</f>
        <v>0</v>
      </c>
      <c r="X61" s="18">
        <f>SUM(U61:W61)</f>
        <v>0</v>
      </c>
      <c r="Y61" s="19">
        <f>ABRIL!AA61</f>
        <v>0</v>
      </c>
      <c r="Z61" s="374">
        <v>0</v>
      </c>
      <c r="AA61" s="18">
        <f>SUM(Y61:Z61)</f>
        <v>0</v>
      </c>
      <c r="AB61" s="19">
        <f>ABRIL!AD61</f>
        <v>0</v>
      </c>
      <c r="AC61" s="374">
        <v>0</v>
      </c>
      <c r="AD61" s="18">
        <f>SUM(AB61:AC61)</f>
        <v>0</v>
      </c>
      <c r="AE61" s="19">
        <f>ABRIL!AG61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+IF(ABRIL!A62=0,"",ABRIL!A62)</f>
        <v>1130112-2</v>
      </c>
      <c r="B62" s="646" t="str">
        <f>+IF(ABRIL!B62=0,"",ABRIL!B62)</f>
        <v>Vigencia Anterior</v>
      </c>
      <c r="C62" s="671">
        <f>+ENERO!C62</f>
        <v>0</v>
      </c>
      <c r="D62" s="373">
        <f>ABRIL!D62+MAYO!P62</f>
        <v>0</v>
      </c>
      <c r="E62" s="373">
        <f>ABRIL!E62+MAYO!Q62</f>
        <v>95525</v>
      </c>
      <c r="F62" s="373">
        <f>SUM(C62:E62)</f>
        <v>95525</v>
      </c>
      <c r="G62" s="373">
        <f>ABRIL!I62</f>
        <v>205212</v>
      </c>
      <c r="H62" s="374">
        <v>0</v>
      </c>
      <c r="I62" s="373">
        <f>SUM(G62:H62)</f>
        <v>205212</v>
      </c>
      <c r="J62" s="373">
        <f>ABRIL!L62</f>
        <v>205212</v>
      </c>
      <c r="K62" s="374">
        <v>0</v>
      </c>
      <c r="L62" s="373">
        <f>SUM(J62:K62)</f>
        <v>205212</v>
      </c>
      <c r="M62" s="373">
        <f>F62-I62</f>
        <v>-109687</v>
      </c>
      <c r="N62" s="143">
        <f>F62-L62</f>
        <v>-109687</v>
      </c>
      <c r="O62" s="382"/>
      <c r="P62" s="372">
        <v>0</v>
      </c>
      <c r="Q62" s="375">
        <v>0</v>
      </c>
      <c r="R62" s="9"/>
      <c r="S62" s="366" t="str">
        <f>+IF(ABRIL!S62=0,"",ABRIL!S62)</f>
        <v/>
      </c>
      <c r="T62" s="695"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3">
        <f>+IF(ABRIL!A63=0,"",ABRIL!A63)</f>
        <v>1130113</v>
      </c>
      <c r="B63" s="645" t="str">
        <f>+IF(ABRIL!B63=0,"",ABRIL!B63)</f>
        <v>COMPAÑIAS DE SEGUROS  - ACCIDENTES DE TRANSITO (SOAT)</v>
      </c>
      <c r="C63" s="43">
        <f t="shared" ref="C63:N63" si="70">SUM(C64:C65)</f>
        <v>5110724757</v>
      </c>
      <c r="D63" s="44">
        <f t="shared" si="70"/>
        <v>0</v>
      </c>
      <c r="E63" s="44">
        <f t="shared" si="70"/>
        <v>482597321</v>
      </c>
      <c r="F63" s="44">
        <f t="shared" si="70"/>
        <v>5593322078</v>
      </c>
      <c r="G63" s="44">
        <f t="shared" si="70"/>
        <v>1380565314</v>
      </c>
      <c r="H63" s="44">
        <f t="shared" si="70"/>
        <v>288162474</v>
      </c>
      <c r="I63" s="44">
        <f t="shared" si="70"/>
        <v>1668727788</v>
      </c>
      <c r="J63" s="44">
        <f t="shared" si="70"/>
        <v>643667990</v>
      </c>
      <c r="K63" s="44">
        <f t="shared" si="70"/>
        <v>92694179</v>
      </c>
      <c r="L63" s="44">
        <f t="shared" si="70"/>
        <v>736362169</v>
      </c>
      <c r="M63" s="44">
        <f t="shared" si="70"/>
        <v>3924594290</v>
      </c>
      <c r="N63" s="45">
        <f t="shared" si="70"/>
        <v>4856959909</v>
      </c>
      <c r="P63" s="43">
        <f>SUM(P64:P65)</f>
        <v>0</v>
      </c>
      <c r="Q63" s="45">
        <f>SUM(Q64:Q65)</f>
        <v>0</v>
      </c>
      <c r="R63" s="9"/>
      <c r="S63" s="703">
        <f>+IF(ABRIL!S63=0,"",ABRIL!S63)</f>
        <v>1020010</v>
      </c>
      <c r="T63" s="679" t="str">
        <f>+IF(ABRIL!T63=0,"",ABRIL!T63)</f>
        <v>Gastos de Operación</v>
      </c>
      <c r="U63" s="132">
        <f t="shared" ref="U63:AJ63" si="71">U65+U83+U90+U104</f>
        <v>23745928633</v>
      </c>
      <c r="V63" s="122">
        <f t="shared" si="71"/>
        <v>-192411971</v>
      </c>
      <c r="W63" s="122">
        <f t="shared" si="71"/>
        <v>2110995694</v>
      </c>
      <c r="X63" s="129">
        <f t="shared" si="71"/>
        <v>25664512356</v>
      </c>
      <c r="Y63" s="128">
        <f t="shared" si="71"/>
        <v>17761563783</v>
      </c>
      <c r="Z63" s="122">
        <f t="shared" si="71"/>
        <v>590207547</v>
      </c>
      <c r="AA63" s="129">
        <f t="shared" si="71"/>
        <v>18351771330</v>
      </c>
      <c r="AB63" s="128">
        <f t="shared" si="71"/>
        <v>11995588715</v>
      </c>
      <c r="AC63" s="122">
        <f t="shared" si="71"/>
        <v>2547842149</v>
      </c>
      <c r="AD63" s="129">
        <f t="shared" si="71"/>
        <v>14543430864</v>
      </c>
      <c r="AE63" s="128">
        <f t="shared" si="71"/>
        <v>6278174311</v>
      </c>
      <c r="AF63" s="122">
        <f t="shared" si="71"/>
        <v>2251806272</v>
      </c>
      <c r="AG63" s="129">
        <f t="shared" si="71"/>
        <v>8529980583</v>
      </c>
      <c r="AH63" s="128">
        <f t="shared" si="71"/>
        <v>7312741026</v>
      </c>
      <c r="AI63" s="122">
        <f t="shared" si="71"/>
        <v>11121081492</v>
      </c>
      <c r="AJ63" s="130">
        <f t="shared" si="71"/>
        <v>17134531773</v>
      </c>
      <c r="AK63" s="9"/>
      <c r="AL63" s="128">
        <f>AL65+AL83+AL90+AL104</f>
        <v>979000000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+IF(ABRIL!A64=0,"",ABRIL!A64)</f>
        <v>1130113-1</v>
      </c>
      <c r="B64" s="646" t="str">
        <f>+CONCATENATE("Vigencia ",INSTRUCCIONES!$F$3)</f>
        <v>Vigencia 2017</v>
      </c>
      <c r="C64" s="671">
        <f>+ENERO!C64</f>
        <v>5110724757</v>
      </c>
      <c r="D64" s="373">
        <f>ABRIL!D64+MAYO!P64</f>
        <v>0</v>
      </c>
      <c r="E64" s="373">
        <f>ABRIL!E64+MAYO!Q64</f>
        <v>0</v>
      </c>
      <c r="F64" s="373">
        <f>SUM(C64:E64)</f>
        <v>5110724757</v>
      </c>
      <c r="G64" s="373">
        <f>ABRIL!I64</f>
        <v>737558019</v>
      </c>
      <c r="H64" s="374">
        <v>195468295</v>
      </c>
      <c r="I64" s="373">
        <f>SUM(G64:H64)</f>
        <v>933026314</v>
      </c>
      <c r="J64" s="373">
        <f>ABRIL!L64</f>
        <v>660695</v>
      </c>
      <c r="K64" s="374">
        <v>0</v>
      </c>
      <c r="L64" s="373">
        <f>SUM(J64:K64)</f>
        <v>660695</v>
      </c>
      <c r="M64" s="373">
        <f>F64-I64</f>
        <v>4177698443</v>
      </c>
      <c r="N64" s="143">
        <f>F64-L64</f>
        <v>5110064062</v>
      </c>
      <c r="O64" s="382"/>
      <c r="P64" s="372">
        <v>0</v>
      </c>
      <c r="Q64" s="375">
        <v>0</v>
      </c>
      <c r="R64" s="9"/>
      <c r="S64" s="366" t="str">
        <f>+IF(ABRIL!S64=0,"",ABRIL!S64)</f>
        <v/>
      </c>
      <c r="T64" s="695"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+IF(ABRIL!A65=0,"",ABRIL!A65)</f>
        <v>1130113-2</v>
      </c>
      <c r="B65" s="646" t="str">
        <f>+IF(ABRIL!B65=0,"",ABRIL!B65)</f>
        <v>Vigencia Anterior</v>
      </c>
      <c r="C65" s="671">
        <f>+ENERO!C65</f>
        <v>0</v>
      </c>
      <c r="D65" s="373">
        <f>ABRIL!D65+MAYO!P65</f>
        <v>0</v>
      </c>
      <c r="E65" s="373">
        <f>ABRIL!E65+MAYO!Q65</f>
        <v>482597321</v>
      </c>
      <c r="F65" s="373">
        <f>SUM(C65:E65)</f>
        <v>482597321</v>
      </c>
      <c r="G65" s="373">
        <f>ABRIL!I65</f>
        <v>643007295</v>
      </c>
      <c r="H65" s="374">
        <v>92694179</v>
      </c>
      <c r="I65" s="373">
        <f>SUM(G65:H65)</f>
        <v>735701474</v>
      </c>
      <c r="J65" s="373">
        <f>ABRIL!L65</f>
        <v>643007295</v>
      </c>
      <c r="K65" s="374">
        <v>92694179</v>
      </c>
      <c r="L65" s="373">
        <f>SUM(J65:K65)</f>
        <v>735701474</v>
      </c>
      <c r="M65" s="373">
        <f>F65-I65</f>
        <v>-253104153</v>
      </c>
      <c r="N65" s="143">
        <f>F65-L65</f>
        <v>-253104153</v>
      </c>
      <c r="O65" s="382"/>
      <c r="P65" s="372">
        <v>0</v>
      </c>
      <c r="Q65" s="375">
        <v>0</v>
      </c>
      <c r="R65" s="9"/>
      <c r="S65" s="704">
        <f>+IF(ABRIL!S65=0,"",ABRIL!S65)</f>
        <v>1020100</v>
      </c>
      <c r="T65" s="680" t="str">
        <f>+IF(ABRIL!T65=0,"",ABRIL!T65)</f>
        <v>Servicios Personales Asociados a Nómina</v>
      </c>
      <c r="U65" s="132">
        <f t="shared" ref="U65:AJ65" si="72">SUM(U66:U69)+U81</f>
        <v>1210753694</v>
      </c>
      <c r="V65" s="122">
        <f t="shared" si="72"/>
        <v>0</v>
      </c>
      <c r="W65" s="122">
        <f t="shared" si="72"/>
        <v>32455774</v>
      </c>
      <c r="X65" s="129">
        <f t="shared" si="72"/>
        <v>1243209468</v>
      </c>
      <c r="Y65" s="128">
        <f t="shared" si="72"/>
        <v>359367150</v>
      </c>
      <c r="Z65" s="122">
        <f t="shared" si="72"/>
        <v>103323432</v>
      </c>
      <c r="AA65" s="129">
        <f t="shared" si="72"/>
        <v>462690582</v>
      </c>
      <c r="AB65" s="128">
        <f t="shared" si="72"/>
        <v>359367150</v>
      </c>
      <c r="AC65" s="122">
        <f t="shared" si="72"/>
        <v>103323432</v>
      </c>
      <c r="AD65" s="129">
        <f t="shared" si="72"/>
        <v>462690582</v>
      </c>
      <c r="AE65" s="128">
        <f t="shared" si="72"/>
        <v>359367150</v>
      </c>
      <c r="AF65" s="122">
        <f t="shared" si="72"/>
        <v>103323432</v>
      </c>
      <c r="AG65" s="129">
        <f t="shared" si="72"/>
        <v>462690582</v>
      </c>
      <c r="AH65" s="128">
        <f t="shared" si="72"/>
        <v>780518886</v>
      </c>
      <c r="AI65" s="122">
        <f t="shared" si="72"/>
        <v>780518886</v>
      </c>
      <c r="AJ65" s="130">
        <f t="shared" si="72"/>
        <v>780518886</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3">
        <f>+IF(ABRIL!A66=0,"",ABRIL!A66)</f>
        <v>1130114</v>
      </c>
      <c r="B66" s="645" t="str">
        <f>+IF(ABRIL!B66=0,"",ABRIL!B66)</f>
        <v xml:space="preserve">COMPAÑIAS DE SEGUROS  - PLANES DE SALUD  </v>
      </c>
      <c r="C66" s="43">
        <f t="shared" ref="C66:N66" si="73">SUM(C67:C68)</f>
        <v>0</v>
      </c>
      <c r="D66" s="44">
        <f t="shared" si="73"/>
        <v>0</v>
      </c>
      <c r="E66" s="44">
        <f t="shared" si="73"/>
        <v>7105339</v>
      </c>
      <c r="F66" s="44">
        <f t="shared" si="73"/>
        <v>7105339</v>
      </c>
      <c r="G66" s="44">
        <f t="shared" si="73"/>
        <v>227503503</v>
      </c>
      <c r="H66" s="44">
        <f t="shared" si="73"/>
        <v>55430949</v>
      </c>
      <c r="I66" s="44">
        <f t="shared" si="73"/>
        <v>282934452</v>
      </c>
      <c r="J66" s="44">
        <f t="shared" si="73"/>
        <v>15049906</v>
      </c>
      <c r="K66" s="44">
        <f t="shared" si="73"/>
        <v>3506275</v>
      </c>
      <c r="L66" s="44">
        <f t="shared" si="73"/>
        <v>18556181</v>
      </c>
      <c r="M66" s="44">
        <f t="shared" si="73"/>
        <v>-275829113</v>
      </c>
      <c r="N66" s="45">
        <f t="shared" si="73"/>
        <v>-11450842</v>
      </c>
      <c r="P66" s="43">
        <f>SUM(P67:P68)</f>
        <v>0</v>
      </c>
      <c r="Q66" s="45">
        <f>SUM(Q67:Q68)</f>
        <v>0</v>
      </c>
      <c r="R66" s="9"/>
      <c r="S66" s="705">
        <f>+IF(ABRIL!S66=0,"",ABRIL!S66)</f>
        <v>1020101</v>
      </c>
      <c r="T66" s="681" t="str">
        <f>+IF(ABRIL!T66=0,"",ABRIL!T66)</f>
        <v>Sueldos del Personal de nómina</v>
      </c>
      <c r="U66" s="27">
        <f>+ENERO!U66</f>
        <v>893219355</v>
      </c>
      <c r="V66" s="15">
        <f>ABRIL!V66+MAYO!AL66</f>
        <v>0</v>
      </c>
      <c r="W66" s="15">
        <f>ABRIL!W66+MAYO!AM66</f>
        <v>0</v>
      </c>
      <c r="X66" s="18">
        <f>SUM(U66:W66)</f>
        <v>893219355</v>
      </c>
      <c r="Y66" s="19">
        <f>ABRIL!AA66</f>
        <v>258260067</v>
      </c>
      <c r="Z66" s="374">
        <v>77103343</v>
      </c>
      <c r="AA66" s="18">
        <f>SUM(Y66:Z66)</f>
        <v>335363410</v>
      </c>
      <c r="AB66" s="19">
        <f>ABRIL!AD66</f>
        <v>258260067</v>
      </c>
      <c r="AC66" s="374">
        <v>77103343</v>
      </c>
      <c r="AD66" s="18">
        <f>SUM(AB66:AC66)</f>
        <v>335363410</v>
      </c>
      <c r="AE66" s="19">
        <f>ABRIL!AG66</f>
        <v>258260067</v>
      </c>
      <c r="AF66" s="374">
        <v>77103343</v>
      </c>
      <c r="AG66" s="18">
        <f>SUM(AE66:AF66)</f>
        <v>335363410</v>
      </c>
      <c r="AH66" s="19">
        <f>X66-AA66</f>
        <v>557855945</v>
      </c>
      <c r="AI66" s="15">
        <f>X66-AD66</f>
        <v>557855945</v>
      </c>
      <c r="AJ66" s="16">
        <f>X66-AG66</f>
        <v>557855945</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+IF(ABRIL!A67=0,"",ABRIL!A67)</f>
        <v>1130114-1</v>
      </c>
      <c r="B67" s="646" t="str">
        <f>+CONCATENATE("Vigencia ",INSTRUCCIONES!$F$3)</f>
        <v>Vigencia 2017</v>
      </c>
      <c r="C67" s="671">
        <f>+ENERO!C67</f>
        <v>0</v>
      </c>
      <c r="D67" s="373">
        <f>ABRIL!D67+MAYO!P67</f>
        <v>0</v>
      </c>
      <c r="E67" s="373">
        <f>ABRIL!E67+MAYO!Q67</f>
        <v>0</v>
      </c>
      <c r="F67" s="373">
        <f>SUM(C67:E67)</f>
        <v>0</v>
      </c>
      <c r="G67" s="373">
        <f>ABRIL!I67</f>
        <v>212453597</v>
      </c>
      <c r="H67" s="374">
        <v>51924674</v>
      </c>
      <c r="I67" s="373">
        <f>SUM(G67:H67)</f>
        <v>264378271</v>
      </c>
      <c r="J67" s="373">
        <f>ABRIL!L67</f>
        <v>0</v>
      </c>
      <c r="K67" s="374">
        <v>0</v>
      </c>
      <c r="L67" s="373">
        <f>SUM(J67:K67)</f>
        <v>0</v>
      </c>
      <c r="M67" s="373">
        <f>F67-I67</f>
        <v>-264378271</v>
      </c>
      <c r="N67" s="143">
        <f>F67-L67</f>
        <v>0</v>
      </c>
      <c r="O67" s="382"/>
      <c r="P67" s="372">
        <v>0</v>
      </c>
      <c r="Q67" s="375">
        <v>0</v>
      </c>
      <c r="R67" s="9"/>
      <c r="S67" s="705">
        <f>+IF(ABRIL!S67=0,"",ABRIL!S67)</f>
        <v>1020102</v>
      </c>
      <c r="T67" s="681" t="str">
        <f>+IF(ABRIL!T67=0,"",ABRIL!T67)</f>
        <v>Horas Extras,Dominic.,Festivos y Rec. Nocturnos</v>
      </c>
      <c r="U67" s="27">
        <f>+ENERO!U67</f>
        <v>36988810</v>
      </c>
      <c r="V67" s="15">
        <f>ABRIL!V67+MAYO!AL67</f>
        <v>0</v>
      </c>
      <c r="W67" s="15">
        <f>ABRIL!W67+MAYO!AM67</f>
        <v>0</v>
      </c>
      <c r="X67" s="18">
        <f>SUM(U67:W67)</f>
        <v>36988810</v>
      </c>
      <c r="Y67" s="19">
        <f>ABRIL!AA67</f>
        <v>25954158</v>
      </c>
      <c r="Z67" s="374">
        <v>8394106</v>
      </c>
      <c r="AA67" s="18">
        <f>SUM(Y67:Z67)</f>
        <v>34348264</v>
      </c>
      <c r="AB67" s="19">
        <f>ABRIL!AD67</f>
        <v>25954158</v>
      </c>
      <c r="AC67" s="374">
        <v>8394106</v>
      </c>
      <c r="AD67" s="18">
        <f>SUM(AB67:AC67)</f>
        <v>34348264</v>
      </c>
      <c r="AE67" s="19">
        <f>ABRIL!AG67</f>
        <v>25954158</v>
      </c>
      <c r="AF67" s="374">
        <v>8394106</v>
      </c>
      <c r="AG67" s="18">
        <f>SUM(AE67:AF67)</f>
        <v>34348264</v>
      </c>
      <c r="AH67" s="19">
        <f>X67-AA67</f>
        <v>2640546</v>
      </c>
      <c r="AI67" s="15">
        <f>X67-AD67</f>
        <v>2640546</v>
      </c>
      <c r="AJ67" s="16">
        <f>X67-AG67</f>
        <v>2640546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+IF(ABRIL!A68=0,"",ABRIL!A68)</f>
        <v>1130114-2</v>
      </c>
      <c r="B68" s="646" t="str">
        <f>+IF(ABRIL!B68=0,"",ABRIL!B68)</f>
        <v>Vigencia Anterior</v>
      </c>
      <c r="C68" s="671">
        <f>+ENERO!C68</f>
        <v>0</v>
      </c>
      <c r="D68" s="373">
        <f>ABRIL!D68+MAYO!P68</f>
        <v>0</v>
      </c>
      <c r="E68" s="373">
        <f>ABRIL!E68+MAYO!Q68</f>
        <v>7105339</v>
      </c>
      <c r="F68" s="373">
        <f>SUM(C68:E68)</f>
        <v>7105339</v>
      </c>
      <c r="G68" s="373">
        <f>ABRIL!I68</f>
        <v>15049906</v>
      </c>
      <c r="H68" s="374">
        <v>3506275</v>
      </c>
      <c r="I68" s="373">
        <f>SUM(G68:H68)</f>
        <v>18556181</v>
      </c>
      <c r="J68" s="373">
        <f>ABRIL!L68</f>
        <v>15049906</v>
      </c>
      <c r="K68" s="374">
        <v>3506275</v>
      </c>
      <c r="L68" s="373">
        <f>SUM(J68:K68)</f>
        <v>18556181</v>
      </c>
      <c r="M68" s="373">
        <f>F68-I68</f>
        <v>-11450842</v>
      </c>
      <c r="N68" s="143">
        <f>F68-L68</f>
        <v>-11450842</v>
      </c>
      <c r="O68" s="382"/>
      <c r="P68" s="372">
        <v>0</v>
      </c>
      <c r="Q68" s="375">
        <v>0</v>
      </c>
      <c r="R68" s="9"/>
      <c r="S68" s="705">
        <f>+IF(ABRIL!S68=0,"",ABRIL!S68)</f>
        <v>1020103</v>
      </c>
      <c r="T68" s="681" t="str">
        <f>+IF(ABRIL!T68=0,"",ABRIL!T68)</f>
        <v>Prima Técnica</v>
      </c>
      <c r="U68" s="27">
        <f>+ENERO!U68</f>
        <v>0</v>
      </c>
      <c r="V68" s="15">
        <f>ABRIL!V68+MAYO!AL68</f>
        <v>0</v>
      </c>
      <c r="W68" s="15">
        <f>ABRIL!W68+MAYO!AM68</f>
        <v>0</v>
      </c>
      <c r="X68" s="18">
        <f>SUM(U68:W68)</f>
        <v>0</v>
      </c>
      <c r="Y68" s="19">
        <f>ABRIL!AA68</f>
        <v>0</v>
      </c>
      <c r="Z68" s="374">
        <v>0</v>
      </c>
      <c r="AA68" s="18">
        <f>SUM(Y68:Z68)</f>
        <v>0</v>
      </c>
      <c r="AB68" s="19">
        <f>ABRIL!AD68</f>
        <v>0</v>
      </c>
      <c r="AC68" s="374">
        <v>0</v>
      </c>
      <c r="AD68" s="18">
        <f>SUM(AB68:AC68)</f>
        <v>0</v>
      </c>
      <c r="AE68" s="19">
        <f>ABRIL!AG68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3">
        <f>+IF(ABRIL!A69=0,"",ABRIL!A69)</f>
        <v>1130115</v>
      </c>
      <c r="B69" s="645" t="str">
        <f>+IF(ABRIL!B69=0,"",ABRIL!B69)</f>
        <v>ENTIDADES DE REGIMEN ESPECIAL (Magisterio, Fuerza Pca.)</v>
      </c>
      <c r="C69" s="43">
        <f t="shared" ref="C69:N69" si="74">SUM(C70:C71)</f>
        <v>1373481412</v>
      </c>
      <c r="D69" s="44">
        <f t="shared" si="74"/>
        <v>0</v>
      </c>
      <c r="E69" s="44">
        <f t="shared" si="74"/>
        <v>735031075</v>
      </c>
      <c r="F69" s="44">
        <f t="shared" si="74"/>
        <v>2108512487</v>
      </c>
      <c r="G69" s="44">
        <f t="shared" si="74"/>
        <v>2593122401</v>
      </c>
      <c r="H69" s="44">
        <f t="shared" si="74"/>
        <v>590553970</v>
      </c>
      <c r="I69" s="44">
        <f t="shared" si="74"/>
        <v>3183676371</v>
      </c>
      <c r="J69" s="44">
        <f t="shared" si="74"/>
        <v>1397630219</v>
      </c>
      <c r="K69" s="44">
        <f t="shared" si="74"/>
        <v>321039636</v>
      </c>
      <c r="L69" s="44">
        <f t="shared" si="74"/>
        <v>1718669855</v>
      </c>
      <c r="M69" s="44">
        <f t="shared" si="74"/>
        <v>-1075163884</v>
      </c>
      <c r="N69" s="45">
        <f t="shared" si="74"/>
        <v>389842632</v>
      </c>
      <c r="P69" s="43">
        <f>SUM(P70:P71)</f>
        <v>0</v>
      </c>
      <c r="Q69" s="45">
        <f>SUM(Q70:Q71)</f>
        <v>0</v>
      </c>
      <c r="R69" s="9"/>
      <c r="S69" s="705">
        <f>+IF(ABRIL!S69=0,"",ABRIL!S69)</f>
        <v>1020104</v>
      </c>
      <c r="T69" s="681" t="str">
        <f>+IF(ABRIL!T69=0,"",ABRIL!T69)</f>
        <v>Otros</v>
      </c>
      <c r="U69" s="27">
        <f t="shared" ref="U69:AJ69" si="75">SUM(U70:U80)</f>
        <v>280545529</v>
      </c>
      <c r="V69" s="15">
        <f t="shared" si="75"/>
        <v>0</v>
      </c>
      <c r="W69" s="15">
        <f t="shared" si="75"/>
        <v>32455774</v>
      </c>
      <c r="X69" s="18">
        <f t="shared" si="75"/>
        <v>313001303</v>
      </c>
      <c r="Y69" s="19">
        <f t="shared" si="75"/>
        <v>75152925</v>
      </c>
      <c r="Z69" s="142">
        <f t="shared" si="75"/>
        <v>17825983</v>
      </c>
      <c r="AA69" s="18">
        <f t="shared" si="75"/>
        <v>92978908</v>
      </c>
      <c r="AB69" s="19">
        <f t="shared" si="75"/>
        <v>75152925</v>
      </c>
      <c r="AC69" s="142">
        <f t="shared" si="75"/>
        <v>17825983</v>
      </c>
      <c r="AD69" s="18">
        <f t="shared" si="75"/>
        <v>92978908</v>
      </c>
      <c r="AE69" s="19">
        <f t="shared" si="75"/>
        <v>75152925</v>
      </c>
      <c r="AF69" s="142">
        <f t="shared" si="75"/>
        <v>17825983</v>
      </c>
      <c r="AG69" s="18">
        <f t="shared" si="75"/>
        <v>92978908</v>
      </c>
      <c r="AH69" s="19">
        <f t="shared" si="75"/>
        <v>220022395</v>
      </c>
      <c r="AI69" s="15">
        <f t="shared" si="75"/>
        <v>220022395</v>
      </c>
      <c r="AJ69" s="16">
        <f t="shared" si="75"/>
        <v>220022395</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+IF(ABRIL!A70=0,"",ABRIL!A70)</f>
        <v>1130115-1</v>
      </c>
      <c r="B70" s="646" t="str">
        <f>+CONCATENATE("Vigencia ",INSTRUCCIONES!$F$3)</f>
        <v>Vigencia 2017</v>
      </c>
      <c r="C70" s="671">
        <f>+ENERO!C70</f>
        <v>1373481412</v>
      </c>
      <c r="D70" s="373">
        <f>ABRIL!D70+MAYO!P70</f>
        <v>0</v>
      </c>
      <c r="E70" s="373">
        <f>ABRIL!E70+MAYO!Q70</f>
        <v>0</v>
      </c>
      <c r="F70" s="373">
        <f>SUM(C70:E70)</f>
        <v>1373481412</v>
      </c>
      <c r="G70" s="373">
        <f>ABRIL!I70</f>
        <v>1195524782</v>
      </c>
      <c r="H70" s="374">
        <v>269514334</v>
      </c>
      <c r="I70" s="373">
        <f>SUM(G70:H70)</f>
        <v>1465039116</v>
      </c>
      <c r="J70" s="373">
        <f>ABRIL!L70</f>
        <v>32600</v>
      </c>
      <c r="K70" s="374">
        <v>0</v>
      </c>
      <c r="L70" s="373">
        <f>SUM(J70:K70)</f>
        <v>32600</v>
      </c>
      <c r="M70" s="373">
        <f>F70-I70</f>
        <v>-91557704</v>
      </c>
      <c r="N70" s="143">
        <f>F70-L70</f>
        <v>1373448812</v>
      </c>
      <c r="O70" s="382"/>
      <c r="P70" s="372">
        <v>0</v>
      </c>
      <c r="Q70" s="375">
        <v>0</v>
      </c>
      <c r="R70" s="9"/>
      <c r="S70" s="706" t="str">
        <f>+IF(ABRIL!S70=0,"",ABRIL!S70)</f>
        <v>1020104-1</v>
      </c>
      <c r="T70" s="682" t="str">
        <f>+IF(ABRIL!T70=0,"",ABRIL!T70)</f>
        <v xml:space="preserve">Prima de Navidad </v>
      </c>
      <c r="U70" s="27">
        <f>+ENERO!U70</f>
        <v>72165521</v>
      </c>
      <c r="V70" s="15">
        <f>ABRIL!V70+MAYO!AL70</f>
        <v>0</v>
      </c>
      <c r="W70" s="15">
        <f>ABRIL!W70+MAYO!AM70</f>
        <v>0</v>
      </c>
      <c r="X70" s="18">
        <f t="shared" ref="X70:X81" si="76">SUM(U70:W70)</f>
        <v>72165521</v>
      </c>
      <c r="Y70" s="19">
        <f>ABRIL!AA70</f>
        <v>0</v>
      </c>
      <c r="Z70" s="374">
        <v>0</v>
      </c>
      <c r="AA70" s="18">
        <f t="shared" ref="AA70:AA81" si="77">SUM(Y70:Z70)</f>
        <v>0</v>
      </c>
      <c r="AB70" s="19">
        <f>ABRIL!AD70</f>
        <v>0</v>
      </c>
      <c r="AC70" s="374">
        <v>0</v>
      </c>
      <c r="AD70" s="18">
        <f t="shared" ref="AD70:AD81" si="78">SUM(AB70:AC70)</f>
        <v>0</v>
      </c>
      <c r="AE70" s="19">
        <f>ABRIL!AG70</f>
        <v>0</v>
      </c>
      <c r="AF70" s="374">
        <v>0</v>
      </c>
      <c r="AG70" s="18">
        <f t="shared" ref="AG70:AG81" si="79">SUM(AE70:AF70)</f>
        <v>0</v>
      </c>
      <c r="AH70" s="19">
        <f t="shared" ref="AH70:AH81" si="80">X70-AA70</f>
        <v>72165521</v>
      </c>
      <c r="AI70" s="15">
        <f t="shared" ref="AI70:AI81" si="81">X70-AD70</f>
        <v>72165521</v>
      </c>
      <c r="AJ70" s="16">
        <f t="shared" ref="AJ70:AJ81" si="82">X70-AG70</f>
        <v>72165521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+IF(ABRIL!A71=0,"",ABRIL!A71)</f>
        <v>1130115-2</v>
      </c>
      <c r="B71" s="646" t="str">
        <f>+IF(ABRIL!B71=0,"",ABRIL!B71)</f>
        <v>Vigencia Anterior</v>
      </c>
      <c r="C71" s="671">
        <f>+ENERO!C71</f>
        <v>0</v>
      </c>
      <c r="D71" s="373">
        <f>ABRIL!D71+MAYO!P71</f>
        <v>0</v>
      </c>
      <c r="E71" s="373">
        <f>ABRIL!E71+MAYO!Q71</f>
        <v>735031075</v>
      </c>
      <c r="F71" s="373">
        <f>SUM(C71:E71)</f>
        <v>735031075</v>
      </c>
      <c r="G71" s="373">
        <f>ABRIL!I71</f>
        <v>1397597619</v>
      </c>
      <c r="H71" s="374">
        <v>321039636</v>
      </c>
      <c r="I71" s="373">
        <f>SUM(G71:H71)</f>
        <v>1718637255</v>
      </c>
      <c r="J71" s="373">
        <f>ABRIL!L71</f>
        <v>1397597619</v>
      </c>
      <c r="K71" s="374">
        <v>321039636</v>
      </c>
      <c r="L71" s="373">
        <f>SUM(J71:K71)</f>
        <v>1718637255</v>
      </c>
      <c r="M71" s="373">
        <f>F71-I71</f>
        <v>-983606180</v>
      </c>
      <c r="N71" s="143">
        <f>F71-L71</f>
        <v>-983606180</v>
      </c>
      <c r="O71" s="382"/>
      <c r="P71" s="372">
        <v>0</v>
      </c>
      <c r="Q71" s="375">
        <v>0</v>
      </c>
      <c r="R71" s="9"/>
      <c r="S71" s="706" t="str">
        <f>+IF(ABRIL!S71=0,"",ABRIL!S71)</f>
        <v>1020104-2</v>
      </c>
      <c r="T71" s="682" t="str">
        <f>+IF(ABRIL!T71=0,"",ABRIL!T71)</f>
        <v>Prima Vida Cara</v>
      </c>
      <c r="U71" s="27">
        <f>+ENERO!U71</f>
        <v>65329386</v>
      </c>
      <c r="V71" s="15">
        <f>ABRIL!V71+MAYO!AL71</f>
        <v>0</v>
      </c>
      <c r="W71" s="15">
        <f>ABRIL!W71+MAYO!AM71</f>
        <v>32455774</v>
      </c>
      <c r="X71" s="18">
        <f t="shared" si="76"/>
        <v>97785160</v>
      </c>
      <c r="Y71" s="19">
        <f>ABRIL!AA71</f>
        <v>32455774</v>
      </c>
      <c r="Z71" s="374">
        <v>0</v>
      </c>
      <c r="AA71" s="18">
        <f t="shared" si="77"/>
        <v>32455774</v>
      </c>
      <c r="AB71" s="19">
        <f>ABRIL!AD71</f>
        <v>32455774</v>
      </c>
      <c r="AC71" s="374">
        <v>0</v>
      </c>
      <c r="AD71" s="18">
        <f t="shared" si="78"/>
        <v>32455774</v>
      </c>
      <c r="AE71" s="19">
        <f>ABRIL!AG71</f>
        <v>32455774</v>
      </c>
      <c r="AF71" s="374">
        <v>0</v>
      </c>
      <c r="AG71" s="18">
        <f t="shared" si="79"/>
        <v>32455774</v>
      </c>
      <c r="AH71" s="19">
        <f t="shared" si="80"/>
        <v>65329386</v>
      </c>
      <c r="AI71" s="15">
        <f t="shared" si="81"/>
        <v>65329386</v>
      </c>
      <c r="AJ71" s="16">
        <f t="shared" si="82"/>
        <v>65329386</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3">
        <f>+IF(ABRIL!A72=0,"",ABRIL!A72)</f>
        <v>1130116</v>
      </c>
      <c r="B72" s="645" t="str">
        <f>+IF(ABRIL!B72=0,"",ABRIL!B72)</f>
        <v>ADMINISTRADORAS DE RIESGOS PROFESIONALES</v>
      </c>
      <c r="C72" s="43">
        <f t="shared" ref="C72:N72" si="83">SUM(C73:C74)</f>
        <v>474083630</v>
      </c>
      <c r="D72" s="44">
        <f t="shared" si="83"/>
        <v>0</v>
      </c>
      <c r="E72" s="44">
        <f t="shared" si="83"/>
        <v>65744513</v>
      </c>
      <c r="F72" s="44">
        <f t="shared" si="83"/>
        <v>539828143</v>
      </c>
      <c r="G72" s="44">
        <f t="shared" si="83"/>
        <v>174119982</v>
      </c>
      <c r="H72" s="44">
        <f t="shared" si="83"/>
        <v>44710095</v>
      </c>
      <c r="I72" s="44">
        <f t="shared" si="83"/>
        <v>218830077</v>
      </c>
      <c r="J72" s="44">
        <f t="shared" si="83"/>
        <v>95549787</v>
      </c>
      <c r="K72" s="44">
        <f t="shared" si="83"/>
        <v>25836063</v>
      </c>
      <c r="L72" s="44">
        <f t="shared" si="83"/>
        <v>121385850</v>
      </c>
      <c r="M72" s="44">
        <f t="shared" si="83"/>
        <v>320998066</v>
      </c>
      <c r="N72" s="45">
        <f t="shared" si="83"/>
        <v>418442293</v>
      </c>
      <c r="P72" s="43">
        <f>SUM(P73:P74)</f>
        <v>0</v>
      </c>
      <c r="Q72" s="45">
        <f>SUM(Q73:Q74)</f>
        <v>0</v>
      </c>
      <c r="R72" s="9"/>
      <c r="S72" s="706" t="str">
        <f>+IF(ABRIL!S72=0,"",ABRIL!S72)</f>
        <v>1020104-3</v>
      </c>
      <c r="T72" s="682" t="str">
        <f>+IF(ABRIL!T72=0,"",ABRIL!T72)</f>
        <v>Prima de Vacaciones</v>
      </c>
      <c r="U72" s="27">
        <f>+ENERO!U72</f>
        <v>34829886</v>
      </c>
      <c r="V72" s="15">
        <f>ABRIL!V72+MAYO!AL72</f>
        <v>0</v>
      </c>
      <c r="W72" s="15">
        <f>ABRIL!W72+MAYO!AM72</f>
        <v>0</v>
      </c>
      <c r="X72" s="18">
        <f t="shared" si="76"/>
        <v>34829886</v>
      </c>
      <c r="Y72" s="19">
        <f>ABRIL!AA72</f>
        <v>5079957</v>
      </c>
      <c r="Z72" s="374">
        <v>7512176</v>
      </c>
      <c r="AA72" s="18">
        <f t="shared" si="77"/>
        <v>12592133</v>
      </c>
      <c r="AB72" s="19">
        <f>ABRIL!AD72</f>
        <v>5079957</v>
      </c>
      <c r="AC72" s="374">
        <v>7512176</v>
      </c>
      <c r="AD72" s="18">
        <f t="shared" si="78"/>
        <v>12592133</v>
      </c>
      <c r="AE72" s="19">
        <f>ABRIL!AG72</f>
        <v>5079957</v>
      </c>
      <c r="AF72" s="374">
        <v>7512176</v>
      </c>
      <c r="AG72" s="18">
        <f t="shared" si="79"/>
        <v>12592133</v>
      </c>
      <c r="AH72" s="19">
        <f t="shared" si="80"/>
        <v>22237753</v>
      </c>
      <c r="AI72" s="15">
        <f t="shared" si="81"/>
        <v>22237753</v>
      </c>
      <c r="AJ72" s="16">
        <f t="shared" si="82"/>
        <v>22237753</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+IF(ABRIL!A73=0,"",ABRIL!A73)</f>
        <v>1130116-1</v>
      </c>
      <c r="B73" s="646" t="str">
        <f>+CONCATENATE("Vigencia ",INSTRUCCIONES!$F$3)</f>
        <v>Vigencia 2017</v>
      </c>
      <c r="C73" s="671">
        <f>+ENERO!C73</f>
        <v>474083630</v>
      </c>
      <c r="D73" s="373">
        <f>ABRIL!D73+MAYO!P73</f>
        <v>0</v>
      </c>
      <c r="E73" s="373">
        <f>ABRIL!E73+MAYO!Q73</f>
        <v>0</v>
      </c>
      <c r="F73" s="373">
        <f>SUM(C73:E73)</f>
        <v>474083630</v>
      </c>
      <c r="G73" s="373">
        <f>ABRIL!I73</f>
        <v>78570195</v>
      </c>
      <c r="H73" s="374">
        <v>18874032</v>
      </c>
      <c r="I73" s="373">
        <f>SUM(G73:H73)</f>
        <v>97444227</v>
      </c>
      <c r="J73" s="373">
        <f>ABRIL!L73</f>
        <v>0</v>
      </c>
      <c r="K73" s="374">
        <v>0</v>
      </c>
      <c r="L73" s="373">
        <f>SUM(J73:K73)</f>
        <v>0</v>
      </c>
      <c r="M73" s="373">
        <f>F73-I73</f>
        <v>376639403</v>
      </c>
      <c r="N73" s="143">
        <f>F73-L73</f>
        <v>474083630</v>
      </c>
      <c r="O73" s="382"/>
      <c r="P73" s="372">
        <v>0</v>
      </c>
      <c r="Q73" s="375">
        <v>0</v>
      </c>
      <c r="R73" s="9"/>
      <c r="S73" s="706" t="str">
        <f>+IF(ABRIL!S73=0,"",ABRIL!S73)</f>
        <v>1020104-4</v>
      </c>
      <c r="T73" s="682" t="str">
        <f>+IF(ABRIL!T73=0,"",ABRIL!T73)</f>
        <v>Prima Clima</v>
      </c>
      <c r="U73" s="27">
        <f>+ENERO!U73</f>
        <v>0</v>
      </c>
      <c r="V73" s="15">
        <f>ABRIL!V73+MAYO!AL73</f>
        <v>0</v>
      </c>
      <c r="W73" s="15">
        <f>ABRIL!W73+MAYO!AM73</f>
        <v>0</v>
      </c>
      <c r="X73" s="18">
        <f t="shared" si="76"/>
        <v>0</v>
      </c>
      <c r="Y73" s="19">
        <f>ABRIL!AA73</f>
        <v>0</v>
      </c>
      <c r="Z73" s="374">
        <v>0</v>
      </c>
      <c r="AA73" s="18">
        <f t="shared" si="77"/>
        <v>0</v>
      </c>
      <c r="AB73" s="19">
        <f>ABRIL!AD73</f>
        <v>0</v>
      </c>
      <c r="AC73" s="374">
        <v>0</v>
      </c>
      <c r="AD73" s="18">
        <f t="shared" si="78"/>
        <v>0</v>
      </c>
      <c r="AE73" s="19">
        <f>ABRIL!AG73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+IF(ABRIL!A74=0,"",ABRIL!A74)</f>
        <v>1130116-2</v>
      </c>
      <c r="B74" s="646" t="str">
        <f>+IF(ABRIL!B74=0,"",ABRIL!B74)</f>
        <v>Vigencia Anterior</v>
      </c>
      <c r="C74" s="671">
        <f>+ENERO!C74</f>
        <v>0</v>
      </c>
      <c r="D74" s="373">
        <f>ABRIL!D74+MAYO!P74</f>
        <v>0</v>
      </c>
      <c r="E74" s="373">
        <f>ABRIL!E74+MAYO!Q74</f>
        <v>65744513</v>
      </c>
      <c r="F74" s="373">
        <f>SUM(C74:E74)</f>
        <v>65744513</v>
      </c>
      <c r="G74" s="373">
        <f>ABRIL!I74</f>
        <v>95549787</v>
      </c>
      <c r="H74" s="374">
        <v>25836063</v>
      </c>
      <c r="I74" s="373">
        <f>SUM(G74:H74)</f>
        <v>121385850</v>
      </c>
      <c r="J74" s="373">
        <f>ABRIL!L74</f>
        <v>95549787</v>
      </c>
      <c r="K74" s="374">
        <v>25836063</v>
      </c>
      <c r="L74" s="373">
        <f>SUM(J74:K74)</f>
        <v>121385850</v>
      </c>
      <c r="M74" s="373">
        <f>F74-I74</f>
        <v>-55641337</v>
      </c>
      <c r="N74" s="143">
        <f>F74-L74</f>
        <v>-55641337</v>
      </c>
      <c r="O74" s="382"/>
      <c r="P74" s="372">
        <v>0</v>
      </c>
      <c r="Q74" s="375">
        <v>0</v>
      </c>
      <c r="R74" s="9"/>
      <c r="S74" s="706" t="str">
        <f>+IF(ABRIL!S74=0,"",ABRIL!S74)</f>
        <v>1020104-5</v>
      </c>
      <c r="T74" s="682" t="str">
        <f>+IF(ABRIL!T74=0,"",ABRIL!T74)</f>
        <v>Prima de Servicios</v>
      </c>
      <c r="U74" s="27">
        <f>+ENERO!U74</f>
        <v>36082760</v>
      </c>
      <c r="V74" s="15">
        <f>ABRIL!V74+MAYO!AL74</f>
        <v>0</v>
      </c>
      <c r="W74" s="15">
        <f>ABRIL!W74+MAYO!AM74</f>
        <v>0</v>
      </c>
      <c r="X74" s="18">
        <f t="shared" si="76"/>
        <v>36082760</v>
      </c>
      <c r="Y74" s="19">
        <f>ABRIL!AA74</f>
        <v>0</v>
      </c>
      <c r="Z74" s="374">
        <v>0</v>
      </c>
      <c r="AA74" s="18">
        <f t="shared" si="77"/>
        <v>0</v>
      </c>
      <c r="AB74" s="19">
        <f>ABRIL!AD74</f>
        <v>0</v>
      </c>
      <c r="AC74" s="374">
        <v>0</v>
      </c>
      <c r="AD74" s="18">
        <f t="shared" si="78"/>
        <v>0</v>
      </c>
      <c r="AE74" s="19">
        <f>ABRIL!AG74</f>
        <v>0</v>
      </c>
      <c r="AF74" s="374">
        <v>0</v>
      </c>
      <c r="AG74" s="18">
        <f t="shared" si="79"/>
        <v>0</v>
      </c>
      <c r="AH74" s="19">
        <f t="shared" si="80"/>
        <v>36082760</v>
      </c>
      <c r="AI74" s="15">
        <f t="shared" si="81"/>
        <v>36082760</v>
      </c>
      <c r="AJ74" s="16">
        <f t="shared" si="82"/>
        <v>36082760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3">
        <f>+IF(ABRIL!A75=0,"",ABRIL!A75)</f>
        <v>1130117</v>
      </c>
      <c r="B75" s="645" t="str">
        <f>+IF(ABRIL!B75=0,"",ABRIL!B75)</f>
        <v>CUOTAS DE RECUPERACION</v>
      </c>
      <c r="C75" s="43">
        <f t="shared" ref="C75:N75" si="84">SUM(C76:C77)</f>
        <v>52000000</v>
      </c>
      <c r="D75" s="44">
        <f t="shared" si="84"/>
        <v>0</v>
      </c>
      <c r="E75" s="44">
        <f t="shared" si="84"/>
        <v>602749</v>
      </c>
      <c r="F75" s="44">
        <f t="shared" si="84"/>
        <v>52602749</v>
      </c>
      <c r="G75" s="44">
        <f t="shared" si="84"/>
        <v>31207563</v>
      </c>
      <c r="H75" s="44">
        <f t="shared" si="84"/>
        <v>159700</v>
      </c>
      <c r="I75" s="44">
        <f t="shared" si="84"/>
        <v>31367263</v>
      </c>
      <c r="J75" s="44">
        <f t="shared" si="84"/>
        <v>1349349</v>
      </c>
      <c r="K75" s="44">
        <f t="shared" si="84"/>
        <v>159700</v>
      </c>
      <c r="L75" s="44">
        <f t="shared" si="84"/>
        <v>1509049</v>
      </c>
      <c r="M75" s="44">
        <f t="shared" si="84"/>
        <v>21235486</v>
      </c>
      <c r="N75" s="45">
        <f t="shared" si="84"/>
        <v>51093700</v>
      </c>
      <c r="P75" s="43">
        <f>SUM(P76:P77)</f>
        <v>0</v>
      </c>
      <c r="Q75" s="45">
        <f>SUM(Q76:Q77)</f>
        <v>0</v>
      </c>
      <c r="R75" s="9"/>
      <c r="S75" s="706" t="str">
        <f>+IF(ABRIL!S75=0,"",ABRIL!S75)</f>
        <v>1020104-8</v>
      </c>
      <c r="T75" s="682" t="str">
        <f>+IF(ABRIL!T75=0,"",ABRIL!T75)</f>
        <v>Bonific. por Servicios Prestados</v>
      </c>
      <c r="U75" s="27">
        <f>+ENERO!U75</f>
        <v>17770724</v>
      </c>
      <c r="V75" s="15">
        <f>ABRIL!V75+MAYO!AL75</f>
        <v>0</v>
      </c>
      <c r="W75" s="15">
        <f>ABRIL!W75+MAYO!AM75</f>
        <v>0</v>
      </c>
      <c r="X75" s="18">
        <f t="shared" si="76"/>
        <v>17770724</v>
      </c>
      <c r="Y75" s="19">
        <f>ABRIL!AA75</f>
        <v>8376781</v>
      </c>
      <c r="Z75" s="374">
        <v>1656470</v>
      </c>
      <c r="AA75" s="18">
        <f t="shared" si="77"/>
        <v>10033251</v>
      </c>
      <c r="AB75" s="19">
        <f>ABRIL!AD75</f>
        <v>8376781</v>
      </c>
      <c r="AC75" s="374">
        <v>1656470</v>
      </c>
      <c r="AD75" s="18">
        <f t="shared" si="78"/>
        <v>10033251</v>
      </c>
      <c r="AE75" s="19">
        <f>ABRIL!AG75</f>
        <v>8376781</v>
      </c>
      <c r="AF75" s="374">
        <v>1656470</v>
      </c>
      <c r="AG75" s="18">
        <f t="shared" si="79"/>
        <v>10033251</v>
      </c>
      <c r="AH75" s="19">
        <f t="shared" si="80"/>
        <v>7737473</v>
      </c>
      <c r="AI75" s="15">
        <f t="shared" si="81"/>
        <v>7737473</v>
      </c>
      <c r="AJ75" s="16">
        <f t="shared" si="82"/>
        <v>7737473</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+IF(ABRIL!A76=0,"",ABRIL!A76)</f>
        <v>1130117-1</v>
      </c>
      <c r="B76" s="646" t="str">
        <f>+CONCATENATE("Vigencia ",INSTRUCCIONES!$F$3)</f>
        <v>Vigencia 2017</v>
      </c>
      <c r="C76" s="671">
        <f>+ENERO!C76</f>
        <v>52000000</v>
      </c>
      <c r="D76" s="373">
        <f>ABRIL!D76+MAYO!P76</f>
        <v>0</v>
      </c>
      <c r="E76" s="373">
        <f>ABRIL!E76+MAYO!Q76</f>
        <v>0</v>
      </c>
      <c r="F76" s="373">
        <f t="shared" ref="F76:F83" si="85">SUM(C76:E76)</f>
        <v>52000000</v>
      </c>
      <c r="G76" s="373">
        <f>ABRIL!I76</f>
        <v>30604814</v>
      </c>
      <c r="H76" s="374">
        <v>159700</v>
      </c>
      <c r="I76" s="373">
        <f t="shared" ref="I76:I83" si="86">SUM(G76:H76)</f>
        <v>30764514</v>
      </c>
      <c r="J76" s="373">
        <f>ABRIL!L76</f>
        <v>746600</v>
      </c>
      <c r="K76" s="374">
        <v>159700</v>
      </c>
      <c r="L76" s="373">
        <f t="shared" ref="L76:L83" si="87">SUM(J76:K76)</f>
        <v>906300</v>
      </c>
      <c r="M76" s="373">
        <f t="shared" ref="M76:M83" si="88">F76-I76</f>
        <v>21235486</v>
      </c>
      <c r="N76" s="143">
        <f t="shared" ref="N76:N83" si="89">F76-L76</f>
        <v>51093700</v>
      </c>
      <c r="O76" s="382"/>
      <c r="P76" s="372">
        <v>0</v>
      </c>
      <c r="Q76" s="375">
        <v>0</v>
      </c>
      <c r="R76" s="9"/>
      <c r="S76" s="706" t="str">
        <f>+IF(ABRIL!S76=0,"",ABRIL!S76)</f>
        <v>1020104-9</v>
      </c>
      <c r="T76" s="682" t="str">
        <f>+IF(ABRIL!T76=0,"",ABRIL!T76)</f>
        <v>Auxilio de Transporte</v>
      </c>
      <c r="U76" s="27">
        <f>+ENERO!U76</f>
        <v>1703268</v>
      </c>
      <c r="V76" s="15">
        <f>ABRIL!V76+MAYO!AL76</f>
        <v>0</v>
      </c>
      <c r="W76" s="15">
        <f>ABRIL!W76+MAYO!AM76</f>
        <v>0</v>
      </c>
      <c r="X76" s="18">
        <f t="shared" si="76"/>
        <v>1703268</v>
      </c>
      <c r="Y76" s="19">
        <f>ABRIL!AA76</f>
        <v>723288</v>
      </c>
      <c r="Z76" s="374">
        <v>249420</v>
      </c>
      <c r="AA76" s="18">
        <f t="shared" si="77"/>
        <v>972708</v>
      </c>
      <c r="AB76" s="19">
        <f>ABRIL!AD76</f>
        <v>723288</v>
      </c>
      <c r="AC76" s="374">
        <v>249420</v>
      </c>
      <c r="AD76" s="18">
        <f t="shared" si="78"/>
        <v>972708</v>
      </c>
      <c r="AE76" s="19">
        <f>ABRIL!AG76</f>
        <v>723288</v>
      </c>
      <c r="AF76" s="374">
        <v>249420</v>
      </c>
      <c r="AG76" s="18">
        <f t="shared" si="79"/>
        <v>972708</v>
      </c>
      <c r="AH76" s="19">
        <f t="shared" si="80"/>
        <v>730560</v>
      </c>
      <c r="AI76" s="15">
        <f t="shared" si="81"/>
        <v>730560</v>
      </c>
      <c r="AJ76" s="16">
        <f t="shared" si="82"/>
        <v>730560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+IF(ABRIL!A77=0,"",ABRIL!A77)</f>
        <v>1130117-2</v>
      </c>
      <c r="B77" s="646" t="str">
        <f>+IF(ABRIL!B77=0,"",ABRIL!B77)</f>
        <v>Vigencia Anterior</v>
      </c>
      <c r="C77" s="671">
        <f>+ENERO!C77</f>
        <v>0</v>
      </c>
      <c r="D77" s="373">
        <f>ABRIL!D77+MAYO!P77</f>
        <v>0</v>
      </c>
      <c r="E77" s="373">
        <f>ABRIL!E77+MAYO!Q77</f>
        <v>602749</v>
      </c>
      <c r="F77" s="373">
        <f t="shared" si="85"/>
        <v>602749</v>
      </c>
      <c r="G77" s="373">
        <f>ABRIL!I77</f>
        <v>602749</v>
      </c>
      <c r="H77" s="374">
        <v>0</v>
      </c>
      <c r="I77" s="373">
        <f t="shared" si="86"/>
        <v>602749</v>
      </c>
      <c r="J77" s="373">
        <f>ABRIL!L77</f>
        <v>602749</v>
      </c>
      <c r="K77" s="374">
        <v>0</v>
      </c>
      <c r="L77" s="373">
        <f t="shared" si="87"/>
        <v>602749</v>
      </c>
      <c r="M77" s="373">
        <f t="shared" si="88"/>
        <v>0</v>
      </c>
      <c r="N77" s="143">
        <f t="shared" si="89"/>
        <v>0</v>
      </c>
      <c r="O77" s="382"/>
      <c r="P77" s="372">
        <v>0</v>
      </c>
      <c r="Q77" s="375">
        <v>0</v>
      </c>
      <c r="R77" s="9"/>
      <c r="S77" s="706" t="str">
        <f>+IF(ABRIL!S77=0,"",ABRIL!S77)</f>
        <v>1020104-10</v>
      </c>
      <c r="T77" s="682" t="str">
        <f>+IF(ABRIL!T77=0,"",ABRIL!T77)</f>
        <v>Subsidio de Alimentación</v>
      </c>
      <c r="U77" s="27">
        <f>+ENERO!U77</f>
        <v>1200000</v>
      </c>
      <c r="V77" s="15">
        <f>ABRIL!V77+MAYO!AL77</f>
        <v>0</v>
      </c>
      <c r="W77" s="15">
        <f>ABRIL!W77+MAYO!AM77</f>
        <v>0</v>
      </c>
      <c r="X77" s="18">
        <f t="shared" si="76"/>
        <v>1200000</v>
      </c>
      <c r="Y77" s="19">
        <f>ABRIL!AA77</f>
        <v>412987</v>
      </c>
      <c r="Z77" s="374">
        <v>107268</v>
      </c>
      <c r="AA77" s="18">
        <f t="shared" si="77"/>
        <v>520255</v>
      </c>
      <c r="AB77" s="19">
        <f>ABRIL!AD77</f>
        <v>412987</v>
      </c>
      <c r="AC77" s="374">
        <v>107268</v>
      </c>
      <c r="AD77" s="18">
        <f t="shared" si="78"/>
        <v>520255</v>
      </c>
      <c r="AE77" s="19">
        <f>ABRIL!AG77</f>
        <v>412987</v>
      </c>
      <c r="AF77" s="374">
        <v>107268</v>
      </c>
      <c r="AG77" s="18">
        <f t="shared" si="79"/>
        <v>520255</v>
      </c>
      <c r="AH77" s="19">
        <f t="shared" si="80"/>
        <v>679745</v>
      </c>
      <c r="AI77" s="15">
        <f t="shared" si="81"/>
        <v>679745</v>
      </c>
      <c r="AJ77" s="16">
        <f t="shared" si="82"/>
        <v>679745</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3">
        <f>+IF(ABRIL!A78=0,"",ABRIL!A78)</f>
        <v>1130118</v>
      </c>
      <c r="B78" s="645" t="str">
        <f>+IF(ABRIL!B78=0,"",ABRIL!B78)</f>
        <v>PARTICULARES   (Venta de Contado)</v>
      </c>
      <c r="C78" s="43">
        <f>SUM(C79:C80)</f>
        <v>435000000</v>
      </c>
      <c r="D78" s="44">
        <f>SUM(D79:D80)</f>
        <v>0</v>
      </c>
      <c r="E78" s="44">
        <f>SUM(E79:E80)</f>
        <v>1730200</v>
      </c>
      <c r="F78" s="44">
        <f t="shared" si="85"/>
        <v>436730200</v>
      </c>
      <c r="G78" s="44">
        <f>SUM(G79:G80)</f>
        <v>262756579</v>
      </c>
      <c r="H78" s="44">
        <f>SUM(H79:H80)</f>
        <v>18687973</v>
      </c>
      <c r="I78" s="44">
        <f t="shared" si="86"/>
        <v>281444552</v>
      </c>
      <c r="J78" s="44">
        <f>SUM(J79:J80)</f>
        <v>262756579</v>
      </c>
      <c r="K78" s="44">
        <f>SUM(K79:K80)</f>
        <v>18687973</v>
      </c>
      <c r="L78" s="44">
        <f t="shared" si="87"/>
        <v>281444552</v>
      </c>
      <c r="M78" s="44">
        <f t="shared" si="88"/>
        <v>155285648</v>
      </c>
      <c r="N78" s="45">
        <f t="shared" si="89"/>
        <v>155285648</v>
      </c>
      <c r="O78" s="382"/>
      <c r="P78" s="43">
        <f>SUM(P79:P80)</f>
        <v>0</v>
      </c>
      <c r="Q78" s="45">
        <f>SUM(Q79:Q80)</f>
        <v>0</v>
      </c>
      <c r="R78" s="9"/>
      <c r="S78" s="706" t="str">
        <f>+IF(ABRIL!S78=0,"",ABRIL!S78)</f>
        <v>1020104-12</v>
      </c>
      <c r="T78" s="682" t="str">
        <f>+IF(ABRIL!T78=0,"",ABRIL!T78)</f>
        <v>Indemnizaciones por Vacaciones o Supresión de Cargos por Reestructuración</v>
      </c>
      <c r="U78" s="27">
        <f>+ENERO!U78</f>
        <v>0</v>
      </c>
      <c r="V78" s="15">
        <f>ABRIL!V78+MAYO!AL78</f>
        <v>0</v>
      </c>
      <c r="W78" s="15">
        <f>ABRIL!W78+MAYO!AM78</f>
        <v>0</v>
      </c>
      <c r="X78" s="18">
        <f t="shared" si="76"/>
        <v>0</v>
      </c>
      <c r="Y78" s="19">
        <f>ABRIL!AA78</f>
        <v>0</v>
      </c>
      <c r="Z78" s="374">
        <v>0</v>
      </c>
      <c r="AA78" s="18">
        <f t="shared" si="77"/>
        <v>0</v>
      </c>
      <c r="AB78" s="19">
        <f>ABRIL!AD78</f>
        <v>0</v>
      </c>
      <c r="AC78" s="374">
        <v>0</v>
      </c>
      <c r="AD78" s="18">
        <f t="shared" si="78"/>
        <v>0</v>
      </c>
      <c r="AE78" s="19">
        <f>ABRIL!AG78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+IF(ABRIL!A79=0,"",ABRIL!A79)</f>
        <v>1130118-1</v>
      </c>
      <c r="B79" s="646" t="str">
        <f>+CONCATENATE("Vigencia ",INSTRUCCIONES!$F$3)</f>
        <v>Vigencia 2017</v>
      </c>
      <c r="C79" s="671">
        <f>+ENERO!C79</f>
        <v>435000000</v>
      </c>
      <c r="D79" s="373">
        <f>ABRIL!D79+MAYO!P79</f>
        <v>0</v>
      </c>
      <c r="E79" s="373">
        <f>ABRIL!E79+MAYO!Q79</f>
        <v>0</v>
      </c>
      <c r="F79" s="373">
        <f t="shared" si="85"/>
        <v>435000000</v>
      </c>
      <c r="G79" s="373">
        <f>ABRIL!I79</f>
        <v>260983179</v>
      </c>
      <c r="H79" s="374">
        <v>18628373</v>
      </c>
      <c r="I79" s="373">
        <f t="shared" si="86"/>
        <v>279611552</v>
      </c>
      <c r="J79" s="373">
        <f>ABRIL!L79</f>
        <v>260983179</v>
      </c>
      <c r="K79" s="374">
        <v>18628373</v>
      </c>
      <c r="L79" s="373">
        <f t="shared" si="87"/>
        <v>279611552</v>
      </c>
      <c r="M79" s="373">
        <f t="shared" si="88"/>
        <v>155388448</v>
      </c>
      <c r="N79" s="143">
        <f t="shared" si="89"/>
        <v>155388448</v>
      </c>
      <c r="P79" s="372">
        <v>0</v>
      </c>
      <c r="Q79" s="375">
        <v>0</v>
      </c>
      <c r="R79" s="9"/>
      <c r="S79" s="706" t="str">
        <f>+IF(ABRIL!S79=0,"",ABRIL!S79)</f>
        <v>1020104-13</v>
      </c>
      <c r="T79" s="682" t="str">
        <f>+IF(ABRIL!T79=0,"",ABRIL!T79)</f>
        <v>Bonificación Especial por Recreación</v>
      </c>
      <c r="U79" s="27">
        <f>+ENERO!U79</f>
        <v>2582164</v>
      </c>
      <c r="V79" s="15">
        <f>ABRIL!V79+MAYO!AL79</f>
        <v>0</v>
      </c>
      <c r="W79" s="15">
        <f>ABRIL!W79+MAYO!AM79</f>
        <v>0</v>
      </c>
      <c r="X79" s="18">
        <f t="shared" si="76"/>
        <v>2582164</v>
      </c>
      <c r="Y79" s="19">
        <f>ABRIL!AA79</f>
        <v>674108</v>
      </c>
      <c r="Z79" s="374">
        <v>1071637</v>
      </c>
      <c r="AA79" s="18">
        <f t="shared" si="77"/>
        <v>1745745</v>
      </c>
      <c r="AB79" s="19">
        <f>ABRIL!AD79</f>
        <v>674108</v>
      </c>
      <c r="AC79" s="374">
        <v>1071637</v>
      </c>
      <c r="AD79" s="18">
        <f t="shared" si="78"/>
        <v>1745745</v>
      </c>
      <c r="AE79" s="19">
        <f>ABRIL!AG79</f>
        <v>674108</v>
      </c>
      <c r="AF79" s="374">
        <v>1071637</v>
      </c>
      <c r="AG79" s="18">
        <f t="shared" si="79"/>
        <v>1745745</v>
      </c>
      <c r="AH79" s="19">
        <f t="shared" si="80"/>
        <v>836419</v>
      </c>
      <c r="AI79" s="15">
        <f t="shared" si="81"/>
        <v>836419</v>
      </c>
      <c r="AJ79" s="16">
        <f t="shared" si="82"/>
        <v>836419</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+IF(ABRIL!A80=0,"",ABRIL!A80)</f>
        <v>1130118-2</v>
      </c>
      <c r="B80" s="646" t="str">
        <f>+IF(ABRIL!B80=0,"",ABRIL!B80)</f>
        <v>Vigencia Anterior</v>
      </c>
      <c r="C80" s="671">
        <f>+ENERO!C80</f>
        <v>0</v>
      </c>
      <c r="D80" s="373">
        <f>ABRIL!D80+MAYO!P80</f>
        <v>0</v>
      </c>
      <c r="E80" s="373">
        <f>ABRIL!E80+MAYO!Q80</f>
        <v>1730200</v>
      </c>
      <c r="F80" s="373">
        <f t="shared" si="85"/>
        <v>1730200</v>
      </c>
      <c r="G80" s="373">
        <f>ABRIL!I80</f>
        <v>1773400</v>
      </c>
      <c r="H80" s="374">
        <v>59600</v>
      </c>
      <c r="I80" s="373">
        <f t="shared" si="86"/>
        <v>1833000</v>
      </c>
      <c r="J80" s="373">
        <f>ABRIL!L80</f>
        <v>1773400</v>
      </c>
      <c r="K80" s="374">
        <v>59600</v>
      </c>
      <c r="L80" s="373">
        <f t="shared" si="87"/>
        <v>1833000</v>
      </c>
      <c r="M80" s="373">
        <f t="shared" si="88"/>
        <v>-102800</v>
      </c>
      <c r="N80" s="143">
        <f t="shared" si="89"/>
        <v>-102800</v>
      </c>
      <c r="O80" s="382"/>
      <c r="P80" s="372">
        <v>0</v>
      </c>
      <c r="Q80" s="375">
        <v>0</v>
      </c>
      <c r="S80" s="706" t="str">
        <f>+IF(ABRIL!S80=0,"",ABRIL!S80)</f>
        <v>1020104-14</v>
      </c>
      <c r="T80" s="682" t="str">
        <f>+IF(ABRIL!T80=0,"",ABRIL!T80)</f>
        <v/>
      </c>
      <c r="U80" s="27">
        <f>+ENERO!U80</f>
        <v>48881820</v>
      </c>
      <c r="V80" s="15">
        <f>ABRIL!V80+MAYO!AL80</f>
        <v>0</v>
      </c>
      <c r="W80" s="15">
        <f>ABRIL!W80+MAYO!AM80</f>
        <v>0</v>
      </c>
      <c r="X80" s="18">
        <f t="shared" si="76"/>
        <v>48881820</v>
      </c>
      <c r="Y80" s="19">
        <f>ABRIL!AA80</f>
        <v>27430030</v>
      </c>
      <c r="Z80" s="374">
        <v>7229012</v>
      </c>
      <c r="AA80" s="18">
        <f t="shared" si="77"/>
        <v>34659042</v>
      </c>
      <c r="AB80" s="19">
        <f>ABRIL!AD80</f>
        <v>27430030</v>
      </c>
      <c r="AC80" s="374">
        <v>7229012</v>
      </c>
      <c r="AD80" s="18">
        <f t="shared" si="78"/>
        <v>34659042</v>
      </c>
      <c r="AE80" s="19">
        <f>ABRIL!AG80</f>
        <v>27430030</v>
      </c>
      <c r="AF80" s="374">
        <v>7229012</v>
      </c>
      <c r="AG80" s="18">
        <f t="shared" si="79"/>
        <v>34659042</v>
      </c>
      <c r="AH80" s="19">
        <f t="shared" si="80"/>
        <v>14222778</v>
      </c>
      <c r="AI80" s="15">
        <f t="shared" si="81"/>
        <v>14222778</v>
      </c>
      <c r="AJ80" s="16">
        <f t="shared" si="82"/>
        <v>14222778</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3">
        <f>+IF(ABRIL!A81=0,"",ABRIL!A81)</f>
        <v>1130119</v>
      </c>
      <c r="B81" s="649"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5">
        <f>+IF(ABRIL!S81=0,"",ABRIL!S81)</f>
        <v>1020199</v>
      </c>
      <c r="T81" s="681" t="str">
        <f>+IF(ABRIL!T81=0,"",ABRIL!T81)</f>
        <v>Vigencias Anteriores</v>
      </c>
      <c r="U81" s="27">
        <f>+ENERO!U81</f>
        <v>0</v>
      </c>
      <c r="V81" s="15">
        <f>ABRIL!V81+MAYO!AL81</f>
        <v>0</v>
      </c>
      <c r="W81" s="15">
        <f>ABRIL!W81+MAYO!AM81</f>
        <v>0</v>
      </c>
      <c r="X81" s="18">
        <f t="shared" si="76"/>
        <v>0</v>
      </c>
      <c r="Y81" s="19">
        <f>ABRIL!AA81</f>
        <v>0</v>
      </c>
      <c r="Z81" s="374">
        <v>0</v>
      </c>
      <c r="AA81" s="18">
        <f t="shared" si="77"/>
        <v>0</v>
      </c>
      <c r="AB81" s="19">
        <f>ABRIL!AD81</f>
        <v>0</v>
      </c>
      <c r="AC81" s="374">
        <v>0</v>
      </c>
      <c r="AD81" s="18">
        <f t="shared" si="78"/>
        <v>0</v>
      </c>
      <c r="AE81" s="19">
        <f>ABRIL!AG81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+IF(ABRIL!A82=0,"",ABRIL!A82)</f>
        <v>1130119-1</v>
      </c>
      <c r="B82" s="646" t="str">
        <f>+CONCATENATE("Vigencia ",INSTRUCCIONES!$F$3)</f>
        <v>Vigencia 2017</v>
      </c>
      <c r="C82" s="671">
        <f>+ENERO!C82</f>
        <v>0</v>
      </c>
      <c r="D82" s="373">
        <f>ABRIL!D82+MAYO!P82</f>
        <v>0</v>
      </c>
      <c r="E82" s="373">
        <f>ABRIL!E82+MAYO!Q82</f>
        <v>0</v>
      </c>
      <c r="F82" s="373">
        <f t="shared" si="85"/>
        <v>0</v>
      </c>
      <c r="G82" s="373">
        <f>ABRIL!I82</f>
        <v>0</v>
      </c>
      <c r="H82" s="374">
        <v>0</v>
      </c>
      <c r="I82" s="373">
        <f t="shared" si="86"/>
        <v>0</v>
      </c>
      <c r="J82" s="373">
        <f>ABRIL!L82</f>
        <v>0</v>
      </c>
      <c r="K82" s="374">
        <v>0</v>
      </c>
      <c r="L82" s="373">
        <f t="shared" si="87"/>
        <v>0</v>
      </c>
      <c r="M82" s="373">
        <f t="shared" si="88"/>
        <v>0</v>
      </c>
      <c r="N82" s="143">
        <f t="shared" si="89"/>
        <v>0</v>
      </c>
      <c r="P82" s="372">
        <v>0</v>
      </c>
      <c r="Q82" s="375">
        <v>0</v>
      </c>
      <c r="R82" s="9"/>
      <c r="S82" s="366" t="str">
        <f>+IF(ABRIL!S82=0,"",ABRIL!S82)</f>
        <v/>
      </c>
      <c r="T82" s="695"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+IF(ABRIL!A83=0,"",ABRIL!A83)</f>
        <v>1130119-2</v>
      </c>
      <c r="B83" s="650" t="str">
        <f>+IF(ABRIL!B83=0,"",ABRIL!B83)</f>
        <v>Vigencia Anterior</v>
      </c>
      <c r="C83" s="769">
        <f>+ENERO!C83</f>
        <v>0</v>
      </c>
      <c r="D83" s="385">
        <f>ABRIL!D83+MAYO!P83</f>
        <v>0</v>
      </c>
      <c r="E83" s="385">
        <f>ABRIL!E83+MAYO!Q83</f>
        <v>0</v>
      </c>
      <c r="F83" s="385">
        <f t="shared" si="85"/>
        <v>0</v>
      </c>
      <c r="G83" s="385">
        <f>ABRIL!I83</f>
        <v>0</v>
      </c>
      <c r="H83" s="388">
        <v>0</v>
      </c>
      <c r="I83" s="385">
        <f t="shared" si="86"/>
        <v>0</v>
      </c>
      <c r="J83" s="385">
        <f>ABRIL!L83</f>
        <v>0</v>
      </c>
      <c r="K83" s="388">
        <v>0</v>
      </c>
      <c r="L83" s="385">
        <f t="shared" si="87"/>
        <v>0</v>
      </c>
      <c r="M83" s="385">
        <f t="shared" si="88"/>
        <v>0</v>
      </c>
      <c r="N83" s="386">
        <f t="shared" si="89"/>
        <v>0</v>
      </c>
      <c r="P83" s="372">
        <v>0</v>
      </c>
      <c r="Q83" s="375">
        <v>0</v>
      </c>
      <c r="R83" s="9"/>
      <c r="S83" s="704">
        <f>+IF(ABRIL!S83=0,"",ABRIL!S83)</f>
        <v>1020200</v>
      </c>
      <c r="T83" s="680" t="str">
        <f>+IF(ABRIL!T83=0,"",ABRIL!T83)</f>
        <v>Servicios Personales Indirectos</v>
      </c>
      <c r="U83" s="132">
        <f t="shared" ref="U83:AJ83" si="91">SUM(U84:U88)</f>
        <v>22232471701</v>
      </c>
      <c r="V83" s="122">
        <f t="shared" si="91"/>
        <v>-119872051</v>
      </c>
      <c r="W83" s="122">
        <f t="shared" si="91"/>
        <v>2000000000</v>
      </c>
      <c r="X83" s="129">
        <f t="shared" si="91"/>
        <v>24112599650</v>
      </c>
      <c r="Y83" s="128">
        <f t="shared" si="91"/>
        <v>17312384138</v>
      </c>
      <c r="Z83" s="122">
        <f t="shared" si="91"/>
        <v>465009773</v>
      </c>
      <c r="AA83" s="129">
        <f t="shared" si="91"/>
        <v>17777393911</v>
      </c>
      <c r="AB83" s="128">
        <f t="shared" si="91"/>
        <v>11546409070</v>
      </c>
      <c r="AC83" s="122">
        <f t="shared" si="91"/>
        <v>2422644375</v>
      </c>
      <c r="AD83" s="129">
        <f t="shared" si="91"/>
        <v>13969053445</v>
      </c>
      <c r="AE83" s="128">
        <f t="shared" si="91"/>
        <v>5828994666</v>
      </c>
      <c r="AF83" s="122">
        <f t="shared" si="91"/>
        <v>2126608498</v>
      </c>
      <c r="AG83" s="129">
        <f t="shared" si="91"/>
        <v>7955603164</v>
      </c>
      <c r="AH83" s="128">
        <f t="shared" si="91"/>
        <v>6335205739</v>
      </c>
      <c r="AI83" s="122">
        <f t="shared" si="91"/>
        <v>10143546205</v>
      </c>
      <c r="AJ83" s="130">
        <f t="shared" si="91"/>
        <v>16156996486</v>
      </c>
      <c r="AK83" s="9"/>
      <c r="AL83" s="128">
        <f>SUM(AL84:AL88)</f>
        <v>973000000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6" t="str">
        <f>+IF(ABRIL!A84=0,"",ABRIL!A84)</f>
        <v/>
      </c>
      <c r="B84" s="651" t="str">
        <f>+IF(ABRIL!B84=0,"",ABRIL!B84)</f>
        <v/>
      </c>
      <c r="C84" s="294"/>
      <c r="D84" s="294"/>
      <c r="E84" s="294"/>
      <c r="F84" s="294"/>
      <c r="G84" s="294"/>
      <c r="H84" s="294"/>
      <c r="I84" s="294"/>
      <c r="J84" s="294"/>
      <c r="K84" s="294"/>
      <c r="L84" s="294"/>
      <c r="M84" s="294"/>
      <c r="N84" s="463"/>
      <c r="O84" s="461"/>
      <c r="P84" s="467"/>
      <c r="Q84" s="391"/>
      <c r="R84" s="9"/>
      <c r="S84" s="705" t="str">
        <f>+IF(ABRIL!S84=0,"",ABRIL!S84)</f>
        <v>1020200-1</v>
      </c>
      <c r="T84" s="681" t="str">
        <f>+IF(ABRIL!T84=0,"",ABRIL!T84)</f>
        <v>Remuneración y Honorarios por Servicios Técnicos y Profesionales</v>
      </c>
      <c r="U84" s="27">
        <f>+ENERO!U84</f>
        <v>1000000000</v>
      </c>
      <c r="V84" s="15">
        <f>ABRIL!V84+MAYO!AL84</f>
        <v>1291000000</v>
      </c>
      <c r="W84" s="15">
        <f>ABRIL!W84+MAYO!AM84</f>
        <v>0</v>
      </c>
      <c r="X84" s="18">
        <f>SUM(U84:W84)</f>
        <v>2291000000</v>
      </c>
      <c r="Y84" s="19">
        <f>ABRIL!AA84</f>
        <v>2228234058</v>
      </c>
      <c r="Z84" s="374">
        <v>-4238000</v>
      </c>
      <c r="AA84" s="18">
        <f>SUM(Y84:Z84)</f>
        <v>2223996058</v>
      </c>
      <c r="AB84" s="19">
        <f>ABRIL!AD84</f>
        <v>1042366452</v>
      </c>
      <c r="AC84" s="374">
        <v>334771307</v>
      </c>
      <c r="AD84" s="18">
        <f>SUM(AB84:AC84)</f>
        <v>1377137759</v>
      </c>
      <c r="AE84" s="19">
        <f>ABRIL!AG84</f>
        <v>675404392</v>
      </c>
      <c r="AF84" s="374">
        <v>283313790</v>
      </c>
      <c r="AG84" s="18">
        <f>SUM(AE84:AF84)</f>
        <v>958718182</v>
      </c>
      <c r="AH84" s="19">
        <f>X84-AA84</f>
        <v>67003942</v>
      </c>
      <c r="AI84" s="15">
        <f>X84-AD84</f>
        <v>913862241</v>
      </c>
      <c r="AJ84" s="16">
        <f>X84-AG84</f>
        <v>1332281818</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7">
        <f>+IF(ABRIL!A85=0,"",ABRIL!A85)</f>
        <v>11302</v>
      </c>
      <c r="B85" s="652" t="str">
        <f>+IF(ABRIL!B85=0,"",ABRIL!B85)</f>
        <v>Otras Ventas de Servicios de Salud</v>
      </c>
      <c r="C85" s="617">
        <f t="shared" ref="C85:N85" si="92">SUM(C86:C92)</f>
        <v>0</v>
      </c>
      <c r="D85" s="615">
        <f t="shared" si="92"/>
        <v>0</v>
      </c>
      <c r="E85" s="615">
        <f t="shared" si="92"/>
        <v>0</v>
      </c>
      <c r="F85" s="615">
        <f t="shared" si="92"/>
        <v>0</v>
      </c>
      <c r="G85" s="615">
        <f t="shared" si="92"/>
        <v>0</v>
      </c>
      <c r="H85" s="615">
        <f t="shared" si="92"/>
        <v>0</v>
      </c>
      <c r="I85" s="615">
        <f t="shared" si="92"/>
        <v>0</v>
      </c>
      <c r="J85" s="615">
        <f t="shared" si="92"/>
        <v>0</v>
      </c>
      <c r="K85" s="615">
        <f t="shared" si="92"/>
        <v>0</v>
      </c>
      <c r="L85" s="615">
        <f t="shared" si="92"/>
        <v>0</v>
      </c>
      <c r="M85" s="615">
        <f t="shared" si="92"/>
        <v>0</v>
      </c>
      <c r="N85" s="616">
        <f t="shared" si="92"/>
        <v>0</v>
      </c>
      <c r="P85" s="43">
        <f>SUM(P86:P92)</f>
        <v>0</v>
      </c>
      <c r="Q85" s="45">
        <f>SUM(Q86:Q92)</f>
        <v>0</v>
      </c>
      <c r="R85" s="9"/>
      <c r="S85" s="705" t="str">
        <f>+IF(ABRIL!S85=0,"",ABRIL!S85)</f>
        <v>1020200-2</v>
      </c>
      <c r="T85" s="681" t="str">
        <f>+IF(ABRIL!T85=0,"",ABRIL!T85)</f>
        <v>Personal Supernumerario</v>
      </c>
      <c r="U85" s="27">
        <f>+ENERO!U85</f>
        <v>0</v>
      </c>
      <c r="V85" s="15">
        <f>ABRIL!V85+MAYO!AL85</f>
        <v>0</v>
      </c>
      <c r="W85" s="15">
        <f>ABRIL!W85+MAYO!AM85</f>
        <v>0</v>
      </c>
      <c r="X85" s="18">
        <f>SUM(U85:W85)</f>
        <v>0</v>
      </c>
      <c r="Y85" s="19">
        <f>ABRIL!AA85</f>
        <v>0</v>
      </c>
      <c r="Z85" s="374">
        <v>0</v>
      </c>
      <c r="AA85" s="18">
        <f>SUM(Y85:Z85)</f>
        <v>0</v>
      </c>
      <c r="AB85" s="19">
        <f>ABRIL!AD85</f>
        <v>0</v>
      </c>
      <c r="AC85" s="374">
        <v>0</v>
      </c>
      <c r="AD85" s="18">
        <f>SUM(AB85:AC85)</f>
        <v>0</v>
      </c>
      <c r="AE85" s="19">
        <f>ABRIL!AG85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8">
        <f>+IF(ABRIL!A86=0,"",ABRIL!A86)</f>
        <v>1130201</v>
      </c>
      <c r="B86" s="663" t="str">
        <f>+IF(ABRIL!B86=0,"",ABRIL!B86)</f>
        <v/>
      </c>
      <c r="C86" s="669">
        <f>+ENERO!C86</f>
        <v>0</v>
      </c>
      <c r="D86" s="373">
        <f>ABRIL!D86+MAYO!P86</f>
        <v>0</v>
      </c>
      <c r="E86" s="373">
        <f>ABRIL!E86+MAYO!Q86</f>
        <v>0</v>
      </c>
      <c r="F86" s="373">
        <f t="shared" ref="F86:F92" si="93">SUM(C86:E86)</f>
        <v>0</v>
      </c>
      <c r="G86" s="373">
        <f>ABRIL!I86</f>
        <v>0</v>
      </c>
      <c r="H86" s="374">
        <v>0</v>
      </c>
      <c r="I86" s="373">
        <f t="shared" ref="I86:I92" si="94">SUM(G86:H86)</f>
        <v>0</v>
      </c>
      <c r="J86" s="373">
        <f>ABRIL!L86</f>
        <v>0</v>
      </c>
      <c r="K86" s="374">
        <v>0</v>
      </c>
      <c r="L86" s="373">
        <f t="shared" ref="L86:L92" si="95">SUM(J86:K86)</f>
        <v>0</v>
      </c>
      <c r="M86" s="373">
        <f t="shared" ref="M86:M92" si="96">F86-I86</f>
        <v>0</v>
      </c>
      <c r="N86" s="143">
        <f t="shared" ref="N86:N92" si="97">F86-L86</f>
        <v>0</v>
      </c>
      <c r="O86" s="382"/>
      <c r="P86" s="372">
        <v>0</v>
      </c>
      <c r="Q86" s="375">
        <v>0</v>
      </c>
      <c r="S86" s="705" t="str">
        <f>+IF(ABRIL!S86=0,"",ABRIL!S86)</f>
        <v>1020200-4</v>
      </c>
      <c r="T86" s="681" t="str">
        <f>+IF(ABRIL!T86=0,"",ABRIL!T86)</f>
        <v>Otros Honorarios</v>
      </c>
      <c r="U86" s="27">
        <f>+ENERO!U86</f>
        <v>19000000000</v>
      </c>
      <c r="V86" s="15">
        <f>ABRIL!V86+MAYO!AL86</f>
        <v>-2637459976</v>
      </c>
      <c r="W86" s="15">
        <f>ABRIL!W86+MAYO!AM86</f>
        <v>0</v>
      </c>
      <c r="X86" s="18">
        <f>SUM(U86:W86)</f>
        <v>16362540024</v>
      </c>
      <c r="Y86" s="19">
        <f>ABRIL!AA86</f>
        <v>10641810146</v>
      </c>
      <c r="Z86" s="374">
        <v>-536080000</v>
      </c>
      <c r="AA86" s="18">
        <f>SUM(Y86:Z86)</f>
        <v>10105730146</v>
      </c>
      <c r="AB86" s="19">
        <f>ABRIL!AD86</f>
        <v>6061702684</v>
      </c>
      <c r="AC86" s="374">
        <v>1082545295</v>
      </c>
      <c r="AD86" s="18">
        <f>SUM(AB86:AC86)</f>
        <v>7144247979</v>
      </c>
      <c r="AE86" s="19">
        <f>ABRIL!AG86</f>
        <v>711250340</v>
      </c>
      <c r="AF86" s="374">
        <v>837966935</v>
      </c>
      <c r="AG86" s="18">
        <f>SUM(AE86:AF86)</f>
        <v>1549217275</v>
      </c>
      <c r="AH86" s="19">
        <f>X86-AA86</f>
        <v>6256809878</v>
      </c>
      <c r="AI86" s="15">
        <f>X86-AD86</f>
        <v>9218292045</v>
      </c>
      <c r="AJ86" s="16">
        <f>X86-AG86</f>
        <v>14813322749</v>
      </c>
      <c r="AL86" s="372">
        <v>-27000000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8">
        <f>+IF(ABRIL!A87=0,"",ABRIL!A87)</f>
        <v>1130202</v>
      </c>
      <c r="B87" s="663" t="str">
        <f>+IF(ABRIL!B87=0,"",ABRIL!B87)</f>
        <v/>
      </c>
      <c r="C87" s="669">
        <f>+ENERO!C87</f>
        <v>0</v>
      </c>
      <c r="D87" s="373">
        <f>ABRIL!D87+MAYO!P87</f>
        <v>0</v>
      </c>
      <c r="E87" s="373">
        <f>ABRIL!E87+MAYO!Q87</f>
        <v>0</v>
      </c>
      <c r="F87" s="373">
        <f t="shared" si="93"/>
        <v>0</v>
      </c>
      <c r="G87" s="373">
        <f>ABRIL!I87</f>
        <v>0</v>
      </c>
      <c r="H87" s="374">
        <v>0</v>
      </c>
      <c r="I87" s="373">
        <f t="shared" si="94"/>
        <v>0</v>
      </c>
      <c r="J87" s="373">
        <f>ABRIL!L87</f>
        <v>0</v>
      </c>
      <c r="K87" s="374">
        <v>0</v>
      </c>
      <c r="L87" s="373">
        <f t="shared" si="95"/>
        <v>0</v>
      </c>
      <c r="M87" s="373">
        <f t="shared" si="96"/>
        <v>0</v>
      </c>
      <c r="N87" s="143">
        <f t="shared" si="97"/>
        <v>0</v>
      </c>
      <c r="P87" s="372">
        <v>0</v>
      </c>
      <c r="Q87" s="375">
        <v>0</v>
      </c>
      <c r="R87" s="9"/>
      <c r="S87" s="705" t="str">
        <f>+IF(ABRIL!S87=0,"",ABRIL!S87)</f>
        <v/>
      </c>
      <c r="T87" s="681" t="str">
        <f>+IF(ABRIL!T87=0,"",ABRIL!T87)</f>
        <v/>
      </c>
      <c r="U87" s="27">
        <f>+ENERO!U87</f>
        <v>0</v>
      </c>
      <c r="V87" s="15">
        <f>ABRIL!V87+MAYO!AL87</f>
        <v>0</v>
      </c>
      <c r="W87" s="15">
        <f>ABRIL!W87+MAYO!AM87</f>
        <v>0</v>
      </c>
      <c r="X87" s="18">
        <f>SUM(U87:W87)</f>
        <v>0</v>
      </c>
      <c r="Y87" s="19">
        <f>ABRIL!AA87</f>
        <v>0</v>
      </c>
      <c r="Z87" s="374">
        <v>0</v>
      </c>
      <c r="AA87" s="18">
        <f>SUM(Y87:Z87)</f>
        <v>0</v>
      </c>
      <c r="AB87" s="19">
        <f>ABRIL!AD87</f>
        <v>0</v>
      </c>
      <c r="AC87" s="374">
        <v>0</v>
      </c>
      <c r="AD87" s="18">
        <f>SUM(AB87:AC87)</f>
        <v>0</v>
      </c>
      <c r="AE87" s="19">
        <f>ABRIL!AG87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9.25" customHeight="1">
      <c r="A88" s="738">
        <f>+IF(ABRIL!A88=0,"",ABRIL!A88)</f>
        <v>1130203</v>
      </c>
      <c r="B88" s="664" t="str">
        <f>+IF(ABRIL!B88=0,"",ABRIL!B88)</f>
        <v>CONVENIOS CON LA NACION LIGADOS A LA VENTA DE SERVICIOS</v>
      </c>
      <c r="C88" s="669">
        <f>+ENERO!C88</f>
        <v>0</v>
      </c>
      <c r="D88" s="373">
        <f>ABRIL!D88+MAYO!P88</f>
        <v>0</v>
      </c>
      <c r="E88" s="373">
        <f>ABRIL!E88+MAYO!Q88</f>
        <v>0</v>
      </c>
      <c r="F88" s="373">
        <f t="shared" si="93"/>
        <v>0</v>
      </c>
      <c r="G88" s="373">
        <f>ABRIL!I88</f>
        <v>0</v>
      </c>
      <c r="H88" s="374">
        <v>0</v>
      </c>
      <c r="I88" s="373">
        <f t="shared" si="94"/>
        <v>0</v>
      </c>
      <c r="J88" s="373">
        <f>ABRIL!L88</f>
        <v>0</v>
      </c>
      <c r="K88" s="374">
        <v>0</v>
      </c>
      <c r="L88" s="373">
        <f t="shared" si="95"/>
        <v>0</v>
      </c>
      <c r="M88" s="373">
        <f t="shared" si="96"/>
        <v>0</v>
      </c>
      <c r="N88" s="143">
        <f t="shared" si="97"/>
        <v>0</v>
      </c>
      <c r="P88" s="372">
        <v>0</v>
      </c>
      <c r="Q88" s="375">
        <v>0</v>
      </c>
      <c r="R88" s="9"/>
      <c r="S88" s="705">
        <f>+IF(ABRIL!S88=0,"",ABRIL!S88)</f>
        <v>1020299</v>
      </c>
      <c r="T88" s="681" t="str">
        <f>+IF(ABRIL!T88=0,"",ABRIL!T88)</f>
        <v>Vigencias Anteriores</v>
      </c>
      <c r="U88" s="27">
        <f>+ENERO!U88</f>
        <v>2232471701</v>
      </c>
      <c r="V88" s="15">
        <f>ABRIL!V88+MAYO!AL88</f>
        <v>1226587925</v>
      </c>
      <c r="W88" s="15">
        <f>ABRIL!W88+MAYO!AM88</f>
        <v>2000000000</v>
      </c>
      <c r="X88" s="18">
        <f>SUM(U88:W88)</f>
        <v>5459059626</v>
      </c>
      <c r="Y88" s="19">
        <f>ABRIL!AA88</f>
        <v>4442339934</v>
      </c>
      <c r="Z88" s="374">
        <v>1005327773</v>
      </c>
      <c r="AA88" s="18">
        <f>SUM(Y88:Z88)</f>
        <v>5447667707</v>
      </c>
      <c r="AB88" s="19">
        <f>ABRIL!AD88</f>
        <v>4442339934</v>
      </c>
      <c r="AC88" s="374">
        <v>1005327773</v>
      </c>
      <c r="AD88" s="18">
        <f>SUM(AB88:AC88)</f>
        <v>5447667707</v>
      </c>
      <c r="AE88" s="19">
        <f>ABRIL!AG88</f>
        <v>4442339934</v>
      </c>
      <c r="AF88" s="374">
        <v>1005327773</v>
      </c>
      <c r="AG88" s="18">
        <f>SUM(AE88:AF88)</f>
        <v>5447667707</v>
      </c>
      <c r="AH88" s="19">
        <f>X88-AA88</f>
        <v>11391919</v>
      </c>
      <c r="AI88" s="15">
        <f>X88-AD88</f>
        <v>11391919</v>
      </c>
      <c r="AJ88" s="16">
        <f>X88-AG88</f>
        <v>11391919</v>
      </c>
      <c r="AK88" s="9"/>
      <c r="AL88" s="372">
        <v>1000000000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31.5" customHeight="1">
      <c r="A89" s="738">
        <f>+IF(ABRIL!A89=0,"",ABRIL!A89)</f>
        <v>1130204</v>
      </c>
      <c r="B89" s="664" t="str">
        <f>+IF(ABRIL!B89=0,"",ABRIL!B89)</f>
        <v>CONVENIOS CON EL DEPARTAMENTO LIGADOS A LA VENTA SERVICIOS</v>
      </c>
      <c r="C89" s="669">
        <f>+ENERO!C89</f>
        <v>0</v>
      </c>
      <c r="D89" s="373">
        <f>ABRIL!D89+MAYO!P89</f>
        <v>0</v>
      </c>
      <c r="E89" s="373">
        <f>ABRIL!E89+MAYO!Q89</f>
        <v>0</v>
      </c>
      <c r="F89" s="373">
        <f t="shared" si="93"/>
        <v>0</v>
      </c>
      <c r="G89" s="373">
        <f>ABRIL!I89</f>
        <v>0</v>
      </c>
      <c r="H89" s="374">
        <v>0</v>
      </c>
      <c r="I89" s="373">
        <f t="shared" si="94"/>
        <v>0</v>
      </c>
      <c r="J89" s="373">
        <f>ABRIL!L89</f>
        <v>0</v>
      </c>
      <c r="K89" s="374">
        <v>0</v>
      </c>
      <c r="L89" s="373">
        <f t="shared" si="95"/>
        <v>0</v>
      </c>
      <c r="M89" s="373">
        <f t="shared" si="96"/>
        <v>0</v>
      </c>
      <c r="N89" s="143">
        <f t="shared" si="97"/>
        <v>0</v>
      </c>
      <c r="P89" s="372">
        <v>0</v>
      </c>
      <c r="Q89" s="375">
        <v>0</v>
      </c>
      <c r="R89" s="9"/>
      <c r="S89" s="366" t="str">
        <f>+IF(ABRIL!S89=0,"",ABRIL!S89)</f>
        <v/>
      </c>
      <c r="T89" s="695"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2.25" customHeight="1">
      <c r="A90" s="738">
        <f>+IF(ABRIL!A90=0,"",ABRIL!A90)</f>
        <v>1130205</v>
      </c>
      <c r="B90" s="664" t="str">
        <f>+IF(ABRIL!B90=0,"",ABRIL!B90)</f>
        <v>CONVENIOS CON EL MUNICIPIO LIGADOS A LA VENTA DE SERVICIOS</v>
      </c>
      <c r="C90" s="669">
        <f>+ENERO!C90</f>
        <v>0</v>
      </c>
      <c r="D90" s="373">
        <f>ABRIL!D90+MAYO!P90</f>
        <v>0</v>
      </c>
      <c r="E90" s="373">
        <f>ABRIL!E90+MAYO!Q90</f>
        <v>0</v>
      </c>
      <c r="F90" s="373">
        <f t="shared" si="93"/>
        <v>0</v>
      </c>
      <c r="G90" s="373">
        <f>ABRIL!I90</f>
        <v>0</v>
      </c>
      <c r="H90" s="374">
        <v>0</v>
      </c>
      <c r="I90" s="373">
        <f t="shared" si="94"/>
        <v>0</v>
      </c>
      <c r="J90" s="373">
        <f>ABRIL!L90</f>
        <v>0</v>
      </c>
      <c r="K90" s="374">
        <v>0</v>
      </c>
      <c r="L90" s="373">
        <f t="shared" si="95"/>
        <v>0</v>
      </c>
      <c r="M90" s="373">
        <f t="shared" si="96"/>
        <v>0</v>
      </c>
      <c r="N90" s="143">
        <f t="shared" si="97"/>
        <v>0</v>
      </c>
      <c r="O90" s="382"/>
      <c r="P90" s="372">
        <v>0</v>
      </c>
      <c r="Q90" s="375">
        <v>0</v>
      </c>
      <c r="R90" s="30"/>
      <c r="S90" s="704">
        <f>+IF(ABRIL!S90=0,"",ABRIL!S90)</f>
        <v>1020300</v>
      </c>
      <c r="T90" s="680" t="str">
        <f>+IF(ABRIL!T90=0,"",ABRIL!T90)</f>
        <v>Contribuciones Inherentes nómina al Sector Privado</v>
      </c>
      <c r="U90" s="132">
        <f t="shared" ref="U90:AJ90" si="98">U91+U96+U102</f>
        <v>259627762</v>
      </c>
      <c r="V90" s="122">
        <f t="shared" si="98"/>
        <v>-72539920</v>
      </c>
      <c r="W90" s="122">
        <f t="shared" si="98"/>
        <v>78539920</v>
      </c>
      <c r="X90" s="129">
        <f t="shared" si="98"/>
        <v>265627762</v>
      </c>
      <c r="Y90" s="128">
        <f t="shared" si="98"/>
        <v>75174799</v>
      </c>
      <c r="Z90" s="122">
        <f t="shared" si="98"/>
        <v>18406667</v>
      </c>
      <c r="AA90" s="129">
        <f t="shared" si="98"/>
        <v>93581466</v>
      </c>
      <c r="AB90" s="128">
        <f t="shared" si="98"/>
        <v>75174799</v>
      </c>
      <c r="AC90" s="122">
        <f t="shared" si="98"/>
        <v>18406667</v>
      </c>
      <c r="AD90" s="129">
        <f t="shared" si="98"/>
        <v>93581466</v>
      </c>
      <c r="AE90" s="128">
        <f t="shared" si="98"/>
        <v>75174799</v>
      </c>
      <c r="AF90" s="122">
        <f t="shared" si="98"/>
        <v>18406667</v>
      </c>
      <c r="AG90" s="129">
        <f t="shared" si="98"/>
        <v>93581466</v>
      </c>
      <c r="AH90" s="128">
        <f t="shared" si="98"/>
        <v>172046296</v>
      </c>
      <c r="AI90" s="122">
        <f t="shared" si="98"/>
        <v>172046296</v>
      </c>
      <c r="AJ90" s="130">
        <f t="shared" si="98"/>
        <v>172046296</v>
      </c>
      <c r="AK90" s="9"/>
      <c r="AL90" s="128">
        <f>AL91+AL96+AL102</f>
        <v>6000000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9.25" customHeight="1">
      <c r="A91" s="738">
        <f>+IF(ABRIL!A91=0,"",ABRIL!A91)</f>
        <v>1130206</v>
      </c>
      <c r="B91" s="664" t="str">
        <f>+IF(ABRIL!B91=0,"",ABRIL!B91)</f>
        <v>OTROS CONVENIOS LIGADOS A LA VENTA DE SERVICIOS</v>
      </c>
      <c r="C91" s="669">
        <f>+ENERO!C91</f>
        <v>0</v>
      </c>
      <c r="D91" s="373">
        <f>ABRIL!D91+MAYO!P91</f>
        <v>0</v>
      </c>
      <c r="E91" s="373">
        <f>ABRIL!E91+MAYO!Q91</f>
        <v>0</v>
      </c>
      <c r="F91" s="373">
        <f t="shared" si="93"/>
        <v>0</v>
      </c>
      <c r="G91" s="373">
        <f>ABRIL!I91</f>
        <v>0</v>
      </c>
      <c r="H91" s="374">
        <v>0</v>
      </c>
      <c r="I91" s="373">
        <f t="shared" si="94"/>
        <v>0</v>
      </c>
      <c r="J91" s="373">
        <f>ABRIL!L91</f>
        <v>0</v>
      </c>
      <c r="K91" s="374">
        <v>0</v>
      </c>
      <c r="L91" s="373">
        <f t="shared" si="95"/>
        <v>0</v>
      </c>
      <c r="M91" s="373">
        <f t="shared" si="96"/>
        <v>0</v>
      </c>
      <c r="N91" s="143">
        <f t="shared" si="97"/>
        <v>0</v>
      </c>
      <c r="O91" s="382"/>
      <c r="P91" s="372">
        <v>0</v>
      </c>
      <c r="Q91" s="375">
        <v>0</v>
      </c>
      <c r="R91" s="30"/>
      <c r="S91" s="705">
        <f>+IF(ABRIL!S91=0,"",ABRIL!S91)</f>
        <v>1020301</v>
      </c>
      <c r="T91" s="681" t="str">
        <f>+IF(ABRIL!T91=0,"",ABRIL!T91)</f>
        <v>Contribuciones - SGP - Aportes Patronales - Cuentas Maestras</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8">
        <f>+IF(ABRIL!A92=0,"",ABRIL!A92)</f>
        <v>1130207</v>
      </c>
      <c r="B92" s="654" t="str">
        <f>+IF(ABRIL!B92=0,"",ABRIL!B92)</f>
        <v>Vigencia Anterior</v>
      </c>
      <c r="C92" s="770">
        <f>+ENERO!C92</f>
        <v>0</v>
      </c>
      <c r="D92" s="385">
        <f>ABRIL!D92+MAYO!P92</f>
        <v>0</v>
      </c>
      <c r="E92" s="385">
        <f>ABRIL!E92+MAYO!Q92</f>
        <v>0</v>
      </c>
      <c r="F92" s="385">
        <f t="shared" si="93"/>
        <v>0</v>
      </c>
      <c r="G92" s="385">
        <f>ABRIL!I92</f>
        <v>0</v>
      </c>
      <c r="H92" s="388">
        <v>0</v>
      </c>
      <c r="I92" s="385">
        <f t="shared" si="94"/>
        <v>0</v>
      </c>
      <c r="J92" s="385">
        <f>ABRIL!L92</f>
        <v>0</v>
      </c>
      <c r="K92" s="388">
        <v>0</v>
      </c>
      <c r="L92" s="385">
        <f t="shared" si="95"/>
        <v>0</v>
      </c>
      <c r="M92" s="385">
        <f t="shared" si="96"/>
        <v>0</v>
      </c>
      <c r="N92" s="386">
        <f t="shared" si="97"/>
        <v>0</v>
      </c>
      <c r="O92" s="382"/>
      <c r="P92" s="372">
        <v>0</v>
      </c>
      <c r="Q92" s="375">
        <v>0</v>
      </c>
      <c r="R92" s="30"/>
      <c r="S92" s="706" t="str">
        <f>+IF(ABRIL!S92=0,"",ABRIL!S92)</f>
        <v>1020301-1</v>
      </c>
      <c r="T92" s="682" t="str">
        <f>+IF(ABRIL!T92=0,"",ABRIL!T92)</f>
        <v>E.P.S. - Aportes cuentas maestras</v>
      </c>
      <c r="U92" s="27">
        <f>+ENERO!U92</f>
        <v>0</v>
      </c>
      <c r="V92" s="15">
        <f>ABRIL!V92+MAYO!AL92</f>
        <v>0</v>
      </c>
      <c r="W92" s="15">
        <f>ABRIL!W92+MAYO!AM92</f>
        <v>0</v>
      </c>
      <c r="X92" s="18">
        <f>SUM(U92:W92)</f>
        <v>0</v>
      </c>
      <c r="Y92" s="19">
        <f>ABRIL!AA92</f>
        <v>0</v>
      </c>
      <c r="Z92" s="374">
        <v>0</v>
      </c>
      <c r="AA92" s="18">
        <f>SUM(Y92:Z92)</f>
        <v>0</v>
      </c>
      <c r="AB92" s="19">
        <f>ABRIL!AD92</f>
        <v>0</v>
      </c>
      <c r="AC92" s="374">
        <v>0</v>
      </c>
      <c r="AD92" s="18">
        <f>SUM(AB92:AC92)</f>
        <v>0</v>
      </c>
      <c r="AE92" s="19">
        <f>ABRIL!AG92</f>
        <v>0</v>
      </c>
      <c r="AF92" s="374">
        <v>0</v>
      </c>
      <c r="AG92" s="18">
        <f>SUM(AE92:AF92)</f>
        <v>0</v>
      </c>
      <c r="AH92" s="19">
        <f>X92-AA92</f>
        <v>0</v>
      </c>
      <c r="AI92" s="15">
        <f>X92-AD92</f>
        <v>0</v>
      </c>
      <c r="AJ92" s="16">
        <f>X92-AG92</f>
        <v>0</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6" t="str">
        <f>+IF(ABRIL!A93=0,"",ABRIL!A93)</f>
        <v/>
      </c>
      <c r="B93" s="651" t="str">
        <f>+IF(ABRIL!B93=0,"",ABRIL!B93)</f>
        <v/>
      </c>
      <c r="C93" s="294"/>
      <c r="D93" s="294"/>
      <c r="E93" s="294"/>
      <c r="F93" s="294"/>
      <c r="G93" s="294"/>
      <c r="H93" s="294"/>
      <c r="I93" s="294"/>
      <c r="J93" s="294"/>
      <c r="K93" s="294"/>
      <c r="L93" s="294"/>
      <c r="M93" s="294"/>
      <c r="N93" s="463"/>
      <c r="P93" s="467"/>
      <c r="Q93" s="391"/>
      <c r="R93" s="30"/>
      <c r="S93" s="706" t="str">
        <f>+IF(ABRIL!S93=0,"",ABRIL!S93)</f>
        <v>1020301-2</v>
      </c>
      <c r="T93" s="682" t="str">
        <f>+IF(ABRIL!T93=0,"",ABRIL!T93)</f>
        <v>Fondos pensionales - Aportes cuentas maestras</v>
      </c>
      <c r="U93" s="27">
        <f>+ENERO!U93</f>
        <v>0</v>
      </c>
      <c r="V93" s="15">
        <f>ABRIL!V93+MAYO!AL93</f>
        <v>0</v>
      </c>
      <c r="W93" s="15">
        <f>ABRIL!W93+MAYO!AM93</f>
        <v>0</v>
      </c>
      <c r="X93" s="18">
        <f>SUM(U93:W93)</f>
        <v>0</v>
      </c>
      <c r="Y93" s="19">
        <f>ABRIL!AA93</f>
        <v>0</v>
      </c>
      <c r="Z93" s="374">
        <v>0</v>
      </c>
      <c r="AA93" s="18">
        <f>SUM(Y93:Z93)</f>
        <v>0</v>
      </c>
      <c r="AB93" s="19">
        <f>ABRIL!AD93</f>
        <v>0</v>
      </c>
      <c r="AC93" s="374">
        <v>0</v>
      </c>
      <c r="AD93" s="18">
        <f>SUM(AB93:AC93)</f>
        <v>0</v>
      </c>
      <c r="AE93" s="19">
        <f>ABRIL!AG93</f>
        <v>0</v>
      </c>
      <c r="AF93" s="374">
        <v>0</v>
      </c>
      <c r="AG93" s="18">
        <f>SUM(AE93:AF93)</f>
        <v>0</v>
      </c>
      <c r="AH93" s="19">
        <f>X93-AA93</f>
        <v>0</v>
      </c>
      <c r="AI93" s="15">
        <f>X93-AD93</f>
        <v>0</v>
      </c>
      <c r="AJ93" s="16">
        <f>X93-AG93</f>
        <v>0</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c r="A94" s="739">
        <f>+IF(ABRIL!A94=0,"",ABRIL!A94)</f>
        <v>11303</v>
      </c>
      <c r="B94" s="618" t="str">
        <f>+IF(ABRIL!B94=0,"",ABRIL!B94)</f>
        <v>Aportes (No ligados a la venta de servicios de salud)</v>
      </c>
      <c r="C94" s="617">
        <f>SUM(C95:C102)</f>
        <v>0</v>
      </c>
      <c r="D94" s="615">
        <f t="shared" ref="D94:N94" si="100">SUM(D95:D102)</f>
        <v>0</v>
      </c>
      <c r="E94" s="615">
        <f t="shared" si="100"/>
        <v>51666127</v>
      </c>
      <c r="F94" s="615">
        <f t="shared" si="100"/>
        <v>51666127</v>
      </c>
      <c r="G94" s="615">
        <f t="shared" si="100"/>
        <v>51666127</v>
      </c>
      <c r="H94" s="615">
        <f t="shared" si="100"/>
        <v>0</v>
      </c>
      <c r="I94" s="615">
        <f t="shared" si="100"/>
        <v>51666127</v>
      </c>
      <c r="J94" s="615">
        <f t="shared" si="100"/>
        <v>51666127</v>
      </c>
      <c r="K94" s="615">
        <f t="shared" si="100"/>
        <v>0</v>
      </c>
      <c r="L94" s="615">
        <f t="shared" si="100"/>
        <v>51666127</v>
      </c>
      <c r="M94" s="615">
        <f t="shared" si="100"/>
        <v>0</v>
      </c>
      <c r="N94" s="616">
        <f t="shared" si="100"/>
        <v>0</v>
      </c>
      <c r="O94" s="382"/>
      <c r="P94" s="43">
        <f>SUM(P95:P102)</f>
        <v>0</v>
      </c>
      <c r="Q94" s="45">
        <f>SUM(Q95:Q102)</f>
        <v>0</v>
      </c>
      <c r="R94" s="30"/>
      <c r="S94" s="706" t="str">
        <f>+IF(ABRIL!S94=0,"",ABRIL!S94)</f>
        <v>1020301-3</v>
      </c>
      <c r="T94" s="682" t="str">
        <f>+IF(ABRIL!T94=0,"",ABRIL!T94)</f>
        <v>Fondos de cesantías - Aportes cuentas maestras</v>
      </c>
      <c r="U94" s="27">
        <f>+ENERO!U94</f>
        <v>0</v>
      </c>
      <c r="V94" s="15">
        <f>ABRIL!V94+MAYO!AL94</f>
        <v>0</v>
      </c>
      <c r="W94" s="15">
        <f>ABRIL!W94+MAYO!AM94</f>
        <v>0</v>
      </c>
      <c r="X94" s="18">
        <f>SUM(U94:W94)</f>
        <v>0</v>
      </c>
      <c r="Y94" s="19">
        <f>ABRIL!AA94</f>
        <v>0</v>
      </c>
      <c r="Z94" s="374">
        <v>0</v>
      </c>
      <c r="AA94" s="18">
        <f>SUM(Y94:Z94)</f>
        <v>0</v>
      </c>
      <c r="AB94" s="19">
        <f>ABRIL!AD94</f>
        <v>0</v>
      </c>
      <c r="AC94" s="374">
        <v>0</v>
      </c>
      <c r="AD94" s="18">
        <f>SUM(AB94:AC94)</f>
        <v>0</v>
      </c>
      <c r="AE94" s="19">
        <f>ABRIL!AG94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0" t="str">
        <f>+IF(ABRIL!A95=0,"",ABRIL!A95)</f>
        <v>11303-1</v>
      </c>
      <c r="B95" s="619" t="str">
        <f>+IF(ABRIL!B95=0,"",ABRIL!B95)</f>
        <v>CONVENIOS CON LA NACION NO LIGADOS A LA VENTA DE SERVICIOS</v>
      </c>
      <c r="C95" s="669">
        <f>+ENERO!C95</f>
        <v>0</v>
      </c>
      <c r="D95" s="373">
        <f>ABRIL!D95+MAYO!P95</f>
        <v>0</v>
      </c>
      <c r="E95" s="373">
        <f>ABRIL!E95+MAYO!Q95</f>
        <v>0</v>
      </c>
      <c r="F95" s="373">
        <f t="shared" ref="F95:F102" si="101">SUM(C95:E95)</f>
        <v>0</v>
      </c>
      <c r="G95" s="373">
        <f>ABRIL!I95</f>
        <v>0</v>
      </c>
      <c r="H95" s="374">
        <v>0</v>
      </c>
      <c r="I95" s="373">
        <f t="shared" ref="I95:I102" si="102">SUM(G95:H95)</f>
        <v>0</v>
      </c>
      <c r="J95" s="373">
        <f>ABRIL!L95</f>
        <v>0</v>
      </c>
      <c r="K95" s="374">
        <v>0</v>
      </c>
      <c r="L95" s="373">
        <f t="shared" ref="L95:L102" si="103">SUM(J95:K95)</f>
        <v>0</v>
      </c>
      <c r="M95" s="373">
        <f t="shared" ref="M95:M102" si="104">F95-I95</f>
        <v>0</v>
      </c>
      <c r="N95" s="143">
        <f t="shared" ref="N95:N102" si="105">F95-L95</f>
        <v>0</v>
      </c>
      <c r="O95" s="382"/>
      <c r="P95" s="372">
        <v>0</v>
      </c>
      <c r="Q95" s="375">
        <v>0</v>
      </c>
      <c r="R95" s="30"/>
      <c r="S95" s="706" t="str">
        <f>+IF(ABRIL!S95=0,"",ABRIL!S95)</f>
        <v>1020301-4</v>
      </c>
      <c r="T95" s="682" t="str">
        <f>+IF(ABRIL!T95=0,"",ABRIL!T95)</f>
        <v>Riesgos laborales - Aportes cuentas maestras</v>
      </c>
      <c r="U95" s="27">
        <f>+ENERO!U95</f>
        <v>0</v>
      </c>
      <c r="V95" s="15">
        <f>ABRIL!V95+MAYO!AL95</f>
        <v>0</v>
      </c>
      <c r="W95" s="15">
        <f>ABRIL!W95+MAYO!AM95</f>
        <v>0</v>
      </c>
      <c r="X95" s="18">
        <f>SUM(U95:W95)</f>
        <v>0</v>
      </c>
      <c r="Y95" s="19">
        <f>ABRIL!AA95</f>
        <v>0</v>
      </c>
      <c r="Z95" s="374">
        <v>0</v>
      </c>
      <c r="AA95" s="18">
        <f>SUM(Y95:Z95)</f>
        <v>0</v>
      </c>
      <c r="AB95" s="19">
        <f>ABRIL!AD95</f>
        <v>0</v>
      </c>
      <c r="AC95" s="374">
        <v>0</v>
      </c>
      <c r="AD95" s="18">
        <f>SUM(AB95:AC95)</f>
        <v>0</v>
      </c>
      <c r="AE95" s="19">
        <f>ABRIL!AG95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0" t="str">
        <f>+IF(ABRIL!A96=0,"",ABRIL!A96)</f>
        <v>11303-2</v>
      </c>
      <c r="B96" s="619" t="str">
        <f>+IF(ABRIL!B96=0,"",ABRIL!B96)</f>
        <v>CONVENIOS CON EL DEPARTAMENTO NO LIGADOS A LA VENTA SERVICIOS</v>
      </c>
      <c r="C96" s="669">
        <f>+ENERO!C96</f>
        <v>0</v>
      </c>
      <c r="D96" s="373">
        <f>ABRIL!D96+MAYO!P96</f>
        <v>0</v>
      </c>
      <c r="E96" s="373">
        <f>ABRIL!E96+MAYO!Q96</f>
        <v>0</v>
      </c>
      <c r="F96" s="373">
        <f t="shared" si="101"/>
        <v>0</v>
      </c>
      <c r="G96" s="373">
        <f>ABRIL!I96</f>
        <v>0</v>
      </c>
      <c r="H96" s="374">
        <v>0</v>
      </c>
      <c r="I96" s="373">
        <f t="shared" si="102"/>
        <v>0</v>
      </c>
      <c r="J96" s="373">
        <f>ABRIL!L96</f>
        <v>0</v>
      </c>
      <c r="K96" s="374">
        <v>0</v>
      </c>
      <c r="L96" s="373">
        <f t="shared" si="103"/>
        <v>0</v>
      </c>
      <c r="M96" s="373">
        <f t="shared" si="104"/>
        <v>0</v>
      </c>
      <c r="N96" s="143">
        <f t="shared" si="105"/>
        <v>0</v>
      </c>
      <c r="O96" s="382"/>
      <c r="P96" s="372">
        <v>0</v>
      </c>
      <c r="Q96" s="375">
        <v>0</v>
      </c>
      <c r="S96" s="705">
        <f>+IF(ABRIL!S96=0,"",ABRIL!S96)</f>
        <v>1020302</v>
      </c>
      <c r="T96" s="681" t="str">
        <f>+IF(ABRIL!T96=0,"",ABRIL!T96)</f>
        <v>Contribuciones - Otros</v>
      </c>
      <c r="U96" s="27">
        <f t="shared" ref="U96:AJ96" si="106">SUM(U97:U101)</f>
        <v>259627762</v>
      </c>
      <c r="V96" s="15">
        <f t="shared" si="106"/>
        <v>6000000</v>
      </c>
      <c r="W96" s="15">
        <f t="shared" si="106"/>
        <v>0</v>
      </c>
      <c r="X96" s="18">
        <f t="shared" si="106"/>
        <v>265627762</v>
      </c>
      <c r="Y96" s="19">
        <f t="shared" si="106"/>
        <v>75174799</v>
      </c>
      <c r="Z96" s="142">
        <f t="shared" si="106"/>
        <v>18406667</v>
      </c>
      <c r="AA96" s="18">
        <f t="shared" si="106"/>
        <v>93581466</v>
      </c>
      <c r="AB96" s="19">
        <f t="shared" si="106"/>
        <v>75174799</v>
      </c>
      <c r="AC96" s="142">
        <f t="shared" si="106"/>
        <v>18406667</v>
      </c>
      <c r="AD96" s="18">
        <f t="shared" si="106"/>
        <v>93581466</v>
      </c>
      <c r="AE96" s="19">
        <f t="shared" si="106"/>
        <v>75174799</v>
      </c>
      <c r="AF96" s="142">
        <f t="shared" si="106"/>
        <v>18406667</v>
      </c>
      <c r="AG96" s="18">
        <f t="shared" si="106"/>
        <v>93581466</v>
      </c>
      <c r="AH96" s="19">
        <f t="shared" si="106"/>
        <v>172046296</v>
      </c>
      <c r="AI96" s="15">
        <f t="shared" si="106"/>
        <v>172046296</v>
      </c>
      <c r="AJ96" s="16">
        <f t="shared" si="106"/>
        <v>172046296</v>
      </c>
      <c r="AL96" s="32">
        <f>SUM(AL97:AL101)</f>
        <v>6000000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0" t="str">
        <f>+IF(ABRIL!A97=0,"",ABRIL!A97)</f>
        <v>11303-3</v>
      </c>
      <c r="B97" s="619" t="str">
        <f>+IF(ABRIL!B97=0,"",ABRIL!B97)</f>
        <v>CONVENIOS CON EL MUNICIPIO NO LIGADOS A LA VENTA DE SERVICIOS</v>
      </c>
      <c r="C97" s="669">
        <f>+ENERO!C97</f>
        <v>0</v>
      </c>
      <c r="D97" s="373">
        <f>ABRIL!D97+MAYO!P97</f>
        <v>0</v>
      </c>
      <c r="E97" s="373">
        <f>ABRIL!E97+MAYO!Q97</f>
        <v>0</v>
      </c>
      <c r="F97" s="373">
        <f t="shared" si="101"/>
        <v>0</v>
      </c>
      <c r="G97" s="373">
        <f>ABRIL!I97</f>
        <v>0</v>
      </c>
      <c r="H97" s="374">
        <v>0</v>
      </c>
      <c r="I97" s="373">
        <f t="shared" si="102"/>
        <v>0</v>
      </c>
      <c r="J97" s="373">
        <f>ABRIL!L97</f>
        <v>0</v>
      </c>
      <c r="K97" s="374">
        <v>0</v>
      </c>
      <c r="L97" s="373">
        <f t="shared" si="103"/>
        <v>0</v>
      </c>
      <c r="M97" s="373">
        <f t="shared" si="104"/>
        <v>0</v>
      </c>
      <c r="N97" s="143">
        <f t="shared" si="105"/>
        <v>0</v>
      </c>
      <c r="O97" s="382"/>
      <c r="P97" s="372">
        <v>0</v>
      </c>
      <c r="Q97" s="375">
        <v>0</v>
      </c>
      <c r="R97" s="30"/>
      <c r="S97" s="706" t="str">
        <f>+IF(ABRIL!S97=0,"",ABRIL!S97)</f>
        <v>1020302-1</v>
      </c>
      <c r="T97" s="682" t="str">
        <f>+IF(ABRIL!T97=0,"",ABRIL!T97)</f>
        <v>Aportes a E.P.S.- Con sit. Fondos</v>
      </c>
      <c r="U97" s="27">
        <f>+ENERO!U97</f>
        <v>52772649</v>
      </c>
      <c r="V97" s="15">
        <f>ABRIL!V97+MAYO!AL97</f>
        <v>0</v>
      </c>
      <c r="W97" s="15">
        <f>ABRIL!W97+MAYO!AM97</f>
        <v>0</v>
      </c>
      <c r="X97" s="18">
        <f t="shared" ref="X97:X102" si="107">SUM(U97:W97)</f>
        <v>52772649</v>
      </c>
      <c r="Y97" s="19">
        <f>ABRIL!AA97</f>
        <v>24822907</v>
      </c>
      <c r="Z97" s="374">
        <v>5954714</v>
      </c>
      <c r="AA97" s="18">
        <f t="shared" ref="AA97:AA102" si="108">SUM(Y97:Z97)</f>
        <v>30777621</v>
      </c>
      <c r="AB97" s="19">
        <f>ABRIL!AD97</f>
        <v>24822907</v>
      </c>
      <c r="AC97" s="374">
        <v>5954714</v>
      </c>
      <c r="AD97" s="18">
        <f t="shared" ref="AD97:AD102" si="109">SUM(AB97:AC97)</f>
        <v>30777621</v>
      </c>
      <c r="AE97" s="19">
        <f>ABRIL!AG97</f>
        <v>24822907</v>
      </c>
      <c r="AF97" s="374">
        <v>5954714</v>
      </c>
      <c r="AG97" s="18">
        <f t="shared" ref="AG97:AG102" si="110">SUM(AE97:AF97)</f>
        <v>30777621</v>
      </c>
      <c r="AH97" s="19">
        <f t="shared" ref="AH97:AH102" si="111">X97-AA97</f>
        <v>21995028</v>
      </c>
      <c r="AI97" s="15">
        <f t="shared" ref="AI97:AI102" si="112">X97-AD97</f>
        <v>21995028</v>
      </c>
      <c r="AJ97" s="16">
        <f t="shared" ref="AJ97:AJ102" si="113">X97-AG97</f>
        <v>21995028</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0" t="str">
        <f>+IF(ABRIL!A98=0,"",ABRIL!A98)</f>
        <v>11303-4</v>
      </c>
      <c r="B98" s="619" t="str">
        <f>+IF(ABRIL!B98=0,"",ABRIL!B98)</f>
        <v>OTROS CONVENIOS NO LIGADOS A LA VENTA DE SERVICIOS</v>
      </c>
      <c r="C98" s="669">
        <f>+ENERO!C98</f>
        <v>0</v>
      </c>
      <c r="D98" s="373">
        <f>ABRIL!D98+MAYO!P98</f>
        <v>0</v>
      </c>
      <c r="E98" s="373">
        <f>ABRIL!E98+MAYO!Q98</f>
        <v>0</v>
      </c>
      <c r="F98" s="373">
        <f t="shared" si="101"/>
        <v>0</v>
      </c>
      <c r="G98" s="373">
        <f>ABRIL!I98</f>
        <v>0</v>
      </c>
      <c r="H98" s="374">
        <v>0</v>
      </c>
      <c r="I98" s="373">
        <f t="shared" si="102"/>
        <v>0</v>
      </c>
      <c r="J98" s="373">
        <f>ABRIL!L98</f>
        <v>0</v>
      </c>
      <c r="K98" s="374">
        <v>0</v>
      </c>
      <c r="L98" s="373">
        <f t="shared" si="103"/>
        <v>0</v>
      </c>
      <c r="M98" s="373">
        <f t="shared" si="104"/>
        <v>0</v>
      </c>
      <c r="N98" s="143">
        <f t="shared" si="105"/>
        <v>0</v>
      </c>
      <c r="O98" s="382"/>
      <c r="P98" s="372">
        <v>0</v>
      </c>
      <c r="Q98" s="375">
        <v>0</v>
      </c>
      <c r="R98" s="30"/>
      <c r="S98" s="706" t="str">
        <f>+IF(ABRIL!S98=0,"",ABRIL!S98)</f>
        <v>1020302-2</v>
      </c>
      <c r="T98" s="682" t="str">
        <f>+IF(ABRIL!T98=0,"",ABRIL!T98)</f>
        <v>Aportes Fondos Pensionales - Con Sit. Fondos</v>
      </c>
      <c r="U98" s="27">
        <f>+ENERO!U98</f>
        <v>103712246</v>
      </c>
      <c r="V98" s="15">
        <f>ABRIL!V98+MAYO!AL98</f>
        <v>0</v>
      </c>
      <c r="W98" s="15">
        <f>ABRIL!W98+MAYO!AM98</f>
        <v>0</v>
      </c>
      <c r="X98" s="18">
        <f t="shared" si="107"/>
        <v>103712246</v>
      </c>
      <c r="Y98" s="19">
        <f>ABRIL!AA98</f>
        <v>33842569</v>
      </c>
      <c r="Z98" s="374">
        <v>8000413</v>
      </c>
      <c r="AA98" s="18">
        <f t="shared" si="108"/>
        <v>41842982</v>
      </c>
      <c r="AB98" s="19">
        <f>ABRIL!AD98</f>
        <v>33842569</v>
      </c>
      <c r="AC98" s="374">
        <v>8000413</v>
      </c>
      <c r="AD98" s="18">
        <f t="shared" si="109"/>
        <v>41842982</v>
      </c>
      <c r="AE98" s="19">
        <f>ABRIL!AG98</f>
        <v>33842569</v>
      </c>
      <c r="AF98" s="374">
        <v>8000413</v>
      </c>
      <c r="AG98" s="18">
        <f t="shared" si="110"/>
        <v>41842982</v>
      </c>
      <c r="AH98" s="19">
        <f t="shared" si="111"/>
        <v>61869264</v>
      </c>
      <c r="AI98" s="15">
        <f t="shared" si="112"/>
        <v>61869264</v>
      </c>
      <c r="AJ98" s="16">
        <f t="shared" si="113"/>
        <v>61869264</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0" t="str">
        <f>+IF(ABRIL!A99=0,"",ABRIL!A99)</f>
        <v>11303-5</v>
      </c>
      <c r="B99" s="619" t="str">
        <f>+IF(ABRIL!B99=0,"",ABRIL!B99)</f>
        <v>APORTES PATRONALES - MUNICIPIO / DEPARTAMENTO</v>
      </c>
      <c r="C99" s="669">
        <f>+ENERO!C99</f>
        <v>0</v>
      </c>
      <c r="D99" s="373">
        <f>ABRIL!D99+MAYO!P99</f>
        <v>0</v>
      </c>
      <c r="E99" s="373">
        <f>ABRIL!E99+MAYO!Q99</f>
        <v>0</v>
      </c>
      <c r="F99" s="373">
        <f t="shared" si="101"/>
        <v>0</v>
      </c>
      <c r="G99" s="373">
        <f>ABRIL!I99</f>
        <v>0</v>
      </c>
      <c r="H99" s="670">
        <v>0</v>
      </c>
      <c r="I99" s="373">
        <f t="shared" si="102"/>
        <v>0</v>
      </c>
      <c r="J99" s="373">
        <f>ABRIL!L99</f>
        <v>0</v>
      </c>
      <c r="K99" s="670">
        <v>0</v>
      </c>
      <c r="L99" s="373">
        <f t="shared" si="103"/>
        <v>0</v>
      </c>
      <c r="M99" s="373">
        <f t="shared" si="104"/>
        <v>0</v>
      </c>
      <c r="N99" s="143">
        <f t="shared" si="105"/>
        <v>0</v>
      </c>
      <c r="O99" s="382"/>
      <c r="P99" s="671">
        <v>0</v>
      </c>
      <c r="Q99" s="672">
        <v>0</v>
      </c>
      <c r="R99" s="30"/>
      <c r="S99" s="706" t="str">
        <f>+IF(ABRIL!S99=0,"",ABRIL!S99)</f>
        <v>1020302-3</v>
      </c>
      <c r="T99" s="682" t="str">
        <f>+IF(ABRIL!T99=0,"",ABRIL!T99)</f>
        <v xml:space="preserve">Aportes a Fondos de Cesantia - Con Sit. de Fondos </v>
      </c>
      <c r="U99" s="27">
        <f>+ENERO!U99</f>
        <v>72193404</v>
      </c>
      <c r="V99" s="15">
        <f>ABRIL!V99+MAYO!AL99</f>
        <v>0</v>
      </c>
      <c r="W99" s="15">
        <f>ABRIL!W99+MAYO!AM99</f>
        <v>0</v>
      </c>
      <c r="X99" s="18">
        <f t="shared" si="107"/>
        <v>72193404</v>
      </c>
      <c r="Y99" s="19">
        <f>ABRIL!AA99</f>
        <v>0</v>
      </c>
      <c r="Z99" s="374">
        <v>0</v>
      </c>
      <c r="AA99" s="18">
        <f t="shared" si="108"/>
        <v>0</v>
      </c>
      <c r="AB99" s="19">
        <f>ABRIL!AD99</f>
        <v>0</v>
      </c>
      <c r="AC99" s="374">
        <v>0</v>
      </c>
      <c r="AD99" s="18">
        <f t="shared" si="109"/>
        <v>0</v>
      </c>
      <c r="AE99" s="19">
        <f>ABRIL!AG99</f>
        <v>0</v>
      </c>
      <c r="AF99" s="374">
        <v>0</v>
      </c>
      <c r="AG99" s="18">
        <f t="shared" si="110"/>
        <v>0</v>
      </c>
      <c r="AH99" s="19">
        <f t="shared" si="111"/>
        <v>72193404</v>
      </c>
      <c r="AI99" s="15">
        <f t="shared" si="112"/>
        <v>72193404</v>
      </c>
      <c r="AJ99" s="16">
        <f t="shared" si="113"/>
        <v>72193404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0" t="str">
        <f>+IF(ABRIL!A100=0,"",ABRIL!A100)</f>
        <v>11303-6</v>
      </c>
      <c r="B100" s="619" t="str">
        <f>+IF(ABRIL!B100=0,"",ABRIL!B100)</f>
        <v>RECURSOS PARA PROGRAMA DE SANEAMIENTO FINANCIERO</v>
      </c>
      <c r="C100" s="669">
        <f>+ENERO!C100</f>
        <v>0</v>
      </c>
      <c r="D100" s="373">
        <f>ABRIL!D100+MAYO!P100</f>
        <v>0</v>
      </c>
      <c r="E100" s="373">
        <f>ABRIL!E100+MAYO!Q100</f>
        <v>0</v>
      </c>
      <c r="F100" s="373">
        <f t="shared" si="101"/>
        <v>0</v>
      </c>
      <c r="G100" s="373">
        <f>ABRIL!I100</f>
        <v>0</v>
      </c>
      <c r="H100" s="374">
        <v>0</v>
      </c>
      <c r="I100" s="373">
        <f t="shared" si="102"/>
        <v>0</v>
      </c>
      <c r="J100" s="373">
        <f>ABRIL!L100</f>
        <v>0</v>
      </c>
      <c r="K100" s="374">
        <v>0</v>
      </c>
      <c r="L100" s="373">
        <f t="shared" si="103"/>
        <v>0</v>
      </c>
      <c r="M100" s="373">
        <f t="shared" si="104"/>
        <v>0</v>
      </c>
      <c r="N100" s="143">
        <f t="shared" si="105"/>
        <v>0</v>
      </c>
      <c r="P100" s="372">
        <v>0</v>
      </c>
      <c r="Q100" s="375">
        <v>0</v>
      </c>
      <c r="R100" s="9"/>
      <c r="S100" s="706" t="str">
        <f>+IF(ABRIL!S100=0,"",ABRIL!S100)</f>
        <v>1020302-4</v>
      </c>
      <c r="T100" s="682" t="str">
        <f>+IF(ABRIL!T100=0,"",ABRIL!T100)</f>
        <v>Aporte a ARL. - Con Sit. de Fondos</v>
      </c>
      <c r="U100" s="27">
        <f>+ENERO!U100</f>
        <v>20885552</v>
      </c>
      <c r="V100" s="15">
        <f>ABRIL!V100+MAYO!AL100</f>
        <v>0</v>
      </c>
      <c r="W100" s="15">
        <f>ABRIL!W100+MAYO!AM100</f>
        <v>0</v>
      </c>
      <c r="X100" s="18">
        <f t="shared" si="107"/>
        <v>20885552</v>
      </c>
      <c r="Y100" s="19">
        <f>ABRIL!AA100</f>
        <v>6445412</v>
      </c>
      <c r="Z100" s="374">
        <v>1677400</v>
      </c>
      <c r="AA100" s="18">
        <f t="shared" si="108"/>
        <v>8122812</v>
      </c>
      <c r="AB100" s="19">
        <f>ABRIL!AD100</f>
        <v>6445412</v>
      </c>
      <c r="AC100" s="374">
        <v>1677400</v>
      </c>
      <c r="AD100" s="18">
        <f t="shared" si="109"/>
        <v>8122812</v>
      </c>
      <c r="AE100" s="19">
        <f>ABRIL!AG100</f>
        <v>6445412</v>
      </c>
      <c r="AF100" s="374">
        <v>1677400</v>
      </c>
      <c r="AG100" s="18">
        <f t="shared" si="110"/>
        <v>8122812</v>
      </c>
      <c r="AH100" s="19">
        <f t="shared" si="111"/>
        <v>12762740</v>
      </c>
      <c r="AI100" s="15">
        <f t="shared" si="112"/>
        <v>12762740</v>
      </c>
      <c r="AJ100" s="16">
        <f t="shared" si="113"/>
        <v>12762740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0" t="str">
        <f>+IF(ABRIL!A101=0,"",ABRIL!A101)</f>
        <v>11303-7</v>
      </c>
      <c r="B101" s="619" t="str">
        <f>+IF(ABRIL!B101=0,"",ABRIL!B101)</f>
        <v/>
      </c>
      <c r="C101" s="669">
        <f>+ENERO!C101</f>
        <v>0</v>
      </c>
      <c r="D101" s="373">
        <f>ABRIL!D101+MAYO!P101</f>
        <v>0</v>
      </c>
      <c r="E101" s="373">
        <f>ABRIL!E101+MAYO!Q101</f>
        <v>0</v>
      </c>
      <c r="F101" s="373">
        <f t="shared" si="101"/>
        <v>0</v>
      </c>
      <c r="G101" s="373">
        <f>ABRIL!I101</f>
        <v>0</v>
      </c>
      <c r="H101" s="374">
        <v>0</v>
      </c>
      <c r="I101" s="373">
        <f t="shared" si="102"/>
        <v>0</v>
      </c>
      <c r="J101" s="373">
        <f>ABRIL!L101</f>
        <v>0</v>
      </c>
      <c r="K101" s="374">
        <v>0</v>
      </c>
      <c r="L101" s="373">
        <f t="shared" si="103"/>
        <v>0</v>
      </c>
      <c r="M101" s="373">
        <f t="shared" si="104"/>
        <v>0</v>
      </c>
      <c r="N101" s="143">
        <f t="shared" si="105"/>
        <v>0</v>
      </c>
      <c r="P101" s="372">
        <v>0</v>
      </c>
      <c r="Q101" s="375">
        <v>0</v>
      </c>
      <c r="R101" s="9"/>
      <c r="S101" s="706" t="str">
        <f>+IF(ABRIL!S101=0,"",ABRIL!S101)</f>
        <v>1020302-5</v>
      </c>
      <c r="T101" s="682" t="str">
        <f>+IF(ABRIL!T101=0,"",ABRIL!T101)</f>
        <v>Aporte a Caja Compensación Familiar</v>
      </c>
      <c r="U101" s="27">
        <f>+ENERO!U101</f>
        <v>10063911</v>
      </c>
      <c r="V101" s="15">
        <f>ABRIL!V101+MAYO!AL101</f>
        <v>6000000</v>
      </c>
      <c r="W101" s="15">
        <f>ABRIL!W101+MAYO!AM101</f>
        <v>0</v>
      </c>
      <c r="X101" s="18">
        <f t="shared" si="107"/>
        <v>16063911</v>
      </c>
      <c r="Y101" s="19">
        <f>ABRIL!AA101</f>
        <v>10063911</v>
      </c>
      <c r="Z101" s="374">
        <v>2774140</v>
      </c>
      <c r="AA101" s="18">
        <f t="shared" si="108"/>
        <v>12838051</v>
      </c>
      <c r="AB101" s="19">
        <f>ABRIL!AD101</f>
        <v>10063911</v>
      </c>
      <c r="AC101" s="374">
        <v>2774140</v>
      </c>
      <c r="AD101" s="18">
        <f t="shared" si="109"/>
        <v>12838051</v>
      </c>
      <c r="AE101" s="19">
        <f>ABRIL!AG101</f>
        <v>10063911</v>
      </c>
      <c r="AF101" s="374">
        <v>2774140</v>
      </c>
      <c r="AG101" s="18">
        <f t="shared" si="110"/>
        <v>12838051</v>
      </c>
      <c r="AH101" s="19">
        <f t="shared" si="111"/>
        <v>3225860</v>
      </c>
      <c r="AI101" s="15">
        <f t="shared" si="112"/>
        <v>3225860</v>
      </c>
      <c r="AJ101" s="16">
        <f t="shared" si="113"/>
        <v>3225860</v>
      </c>
      <c r="AK101" s="30"/>
      <c r="AL101" s="372">
        <v>6000000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tr">
        <f>+IF(ABRIL!A102=0,"",ABRIL!A102)</f>
        <v>11303-8</v>
      </c>
      <c r="B102" s="628" t="str">
        <f>+IF(ABRIL!B102=0,"",ABRIL!B102)</f>
        <v>Vigencia Anterior</v>
      </c>
      <c r="C102" s="770">
        <f>+ENERO!C102</f>
        <v>0</v>
      </c>
      <c r="D102" s="385">
        <f>ABRIL!D102+MAYO!P102</f>
        <v>0</v>
      </c>
      <c r="E102" s="385">
        <f>ABRIL!E102+MAYO!Q102</f>
        <v>51666127</v>
      </c>
      <c r="F102" s="385">
        <f t="shared" si="101"/>
        <v>51666127</v>
      </c>
      <c r="G102" s="385">
        <f>ABRIL!I102</f>
        <v>51666127</v>
      </c>
      <c r="H102" s="388">
        <v>0</v>
      </c>
      <c r="I102" s="385">
        <f t="shared" si="102"/>
        <v>51666127</v>
      </c>
      <c r="J102" s="385">
        <f>ABRIL!L102</f>
        <v>51666127</v>
      </c>
      <c r="K102" s="388">
        <v>0</v>
      </c>
      <c r="L102" s="385">
        <f t="shared" si="103"/>
        <v>51666127</v>
      </c>
      <c r="M102" s="385">
        <f t="shared" si="104"/>
        <v>0</v>
      </c>
      <c r="N102" s="386">
        <f t="shared" si="105"/>
        <v>0</v>
      </c>
      <c r="P102" s="372">
        <v>0</v>
      </c>
      <c r="Q102" s="375">
        <v>0</v>
      </c>
      <c r="R102" s="9"/>
      <c r="S102" s="705">
        <f>+IF(ABRIL!S102=0,"",ABRIL!S102)</f>
        <v>1020399</v>
      </c>
      <c r="T102" s="681" t="str">
        <f>+IF(ABRIL!T102=0,"",ABRIL!T102)</f>
        <v>Vigencias Anteriores</v>
      </c>
      <c r="U102" s="27">
        <f>+ENERO!U102</f>
        <v>0</v>
      </c>
      <c r="V102" s="15">
        <f>ABRIL!V102+MAYO!AL102</f>
        <v>-78539920</v>
      </c>
      <c r="W102" s="15">
        <f>ABRIL!W102+MAYO!AM102</f>
        <v>78539920</v>
      </c>
      <c r="X102" s="18">
        <f t="shared" si="107"/>
        <v>0</v>
      </c>
      <c r="Y102" s="19">
        <f>ABRIL!AA102</f>
        <v>0</v>
      </c>
      <c r="Z102" s="374">
        <v>0</v>
      </c>
      <c r="AA102" s="18">
        <f t="shared" si="108"/>
        <v>0</v>
      </c>
      <c r="AB102" s="19">
        <f>ABRIL!AD102</f>
        <v>0</v>
      </c>
      <c r="AC102" s="374">
        <v>0</v>
      </c>
      <c r="AD102" s="18">
        <f t="shared" si="109"/>
        <v>0</v>
      </c>
      <c r="AE102" s="19">
        <f>ABRIL!AG102</f>
        <v>0</v>
      </c>
      <c r="AF102" s="374">
        <v>0</v>
      </c>
      <c r="AG102" s="18">
        <f t="shared" si="110"/>
        <v>0</v>
      </c>
      <c r="AH102" s="19">
        <f t="shared" si="111"/>
        <v>0</v>
      </c>
      <c r="AI102" s="15">
        <f t="shared" si="112"/>
        <v>0</v>
      </c>
      <c r="AJ102" s="16">
        <f t="shared" si="113"/>
        <v>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1" t="str">
        <f>+IF(ABRIL!A103=0,"",ABRIL!A103)</f>
        <v/>
      </c>
      <c r="B103" s="653" t="str">
        <f>+IF(ABRIL!B103=0,"",ABRIL!B103)</f>
        <v/>
      </c>
      <c r="C103" s="480"/>
      <c r="D103" s="480"/>
      <c r="E103" s="480"/>
      <c r="F103" s="480"/>
      <c r="G103" s="480"/>
      <c r="H103" s="480"/>
      <c r="I103" s="480"/>
      <c r="J103" s="480"/>
      <c r="K103" s="480"/>
      <c r="L103" s="480"/>
      <c r="M103" s="480"/>
      <c r="N103" s="481"/>
      <c r="P103" s="482"/>
      <c r="Q103" s="481"/>
      <c r="R103" s="9"/>
      <c r="S103" s="366" t="str">
        <f>+IF(ABRIL!S103=0,"",ABRIL!S103)</f>
        <v/>
      </c>
      <c r="T103" s="695"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39">
        <f>+IF(ABRIL!A104=0,"",ABRIL!A104)</f>
        <v>11304</v>
      </c>
      <c r="B104" s="618" t="str">
        <f>+IF(ABRIL!B104=0,"",ABRIL!B104)</f>
        <v>Otros ingresos corrientes</v>
      </c>
      <c r="C104" s="617">
        <f>SUM(C105:C111)</f>
        <v>667440000</v>
      </c>
      <c r="D104" s="615">
        <f t="shared" ref="D104:N104" si="114">SUM(D105:D111)</f>
        <v>0</v>
      </c>
      <c r="E104" s="615">
        <f t="shared" si="114"/>
        <v>10022226</v>
      </c>
      <c r="F104" s="615">
        <f t="shared" si="114"/>
        <v>677462226</v>
      </c>
      <c r="G104" s="615">
        <f t="shared" si="114"/>
        <v>956283126</v>
      </c>
      <c r="H104" s="615">
        <f t="shared" si="114"/>
        <v>72825325</v>
      </c>
      <c r="I104" s="615">
        <f t="shared" si="114"/>
        <v>1029108451</v>
      </c>
      <c r="J104" s="615">
        <f t="shared" si="114"/>
        <v>165622498</v>
      </c>
      <c r="K104" s="615">
        <f t="shared" si="114"/>
        <v>114234062</v>
      </c>
      <c r="L104" s="615">
        <f t="shared" si="114"/>
        <v>279856560</v>
      </c>
      <c r="M104" s="615">
        <f t="shared" si="114"/>
        <v>-351646225</v>
      </c>
      <c r="N104" s="616">
        <f t="shared" si="114"/>
        <v>397605666</v>
      </c>
      <c r="P104" s="43">
        <f>SUM(P105:P111)</f>
        <v>0</v>
      </c>
      <c r="Q104" s="45">
        <f>SUM(Q105:Q111)</f>
        <v>0</v>
      </c>
      <c r="R104" s="9"/>
      <c r="S104" s="704">
        <f>+IF(ABRIL!S104=0,"",ABRIL!S104)</f>
        <v>1020400</v>
      </c>
      <c r="T104" s="680" t="str">
        <f>+IF(ABRIL!T104=0,"",ABRIL!T104)</f>
        <v>Contribuciones Inherentes nómina del Sector Publico</v>
      </c>
      <c r="U104" s="132">
        <f t="shared" ref="U104:AJ104" si="115">U105+U108</f>
        <v>43075476</v>
      </c>
      <c r="V104" s="122">
        <f t="shared" si="115"/>
        <v>0</v>
      </c>
      <c r="W104" s="122">
        <f t="shared" si="115"/>
        <v>0</v>
      </c>
      <c r="X104" s="129">
        <f t="shared" si="115"/>
        <v>43075476</v>
      </c>
      <c r="Y104" s="128">
        <f t="shared" si="115"/>
        <v>14637696</v>
      </c>
      <c r="Z104" s="122">
        <f t="shared" si="115"/>
        <v>3467675</v>
      </c>
      <c r="AA104" s="129">
        <f t="shared" si="115"/>
        <v>18105371</v>
      </c>
      <c r="AB104" s="128">
        <f t="shared" si="115"/>
        <v>14637696</v>
      </c>
      <c r="AC104" s="122">
        <f t="shared" si="115"/>
        <v>3467675</v>
      </c>
      <c r="AD104" s="129">
        <f t="shared" si="115"/>
        <v>18105371</v>
      </c>
      <c r="AE104" s="128">
        <f t="shared" si="115"/>
        <v>14637696</v>
      </c>
      <c r="AF104" s="122">
        <f t="shared" si="115"/>
        <v>3467675</v>
      </c>
      <c r="AG104" s="129">
        <f t="shared" si="115"/>
        <v>18105371</v>
      </c>
      <c r="AH104" s="128">
        <f t="shared" si="115"/>
        <v>24970105</v>
      </c>
      <c r="AI104" s="122">
        <f t="shared" si="115"/>
        <v>24970105</v>
      </c>
      <c r="AJ104" s="130">
        <f t="shared" si="115"/>
        <v>24970105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0" t="str">
        <f>+IF(ABRIL!A105=0,"",ABRIL!A105)</f>
        <v>11304-1</v>
      </c>
      <c r="B105" s="619" t="str">
        <f>+IF(ABRIL!B105=0,"",ABRIL!B105)</f>
        <v>ARRENDAMIENTO Y ALQUILER DE BIENES MUEBLES E INMUEBLES</v>
      </c>
      <c r="C105" s="669">
        <f>+ENERO!C105</f>
        <v>667440000</v>
      </c>
      <c r="D105" s="373">
        <f>ABRIL!D105+MAYO!P105</f>
        <v>0</v>
      </c>
      <c r="E105" s="373">
        <f>ABRIL!E105+MAYO!Q105</f>
        <v>0</v>
      </c>
      <c r="F105" s="373">
        <f t="shared" ref="F105:F111" si="116">SUM(C105:E105)</f>
        <v>667440000</v>
      </c>
      <c r="G105" s="373">
        <f>ABRIL!I105</f>
        <v>879337531</v>
      </c>
      <c r="H105" s="374">
        <v>58483173</v>
      </c>
      <c r="I105" s="373">
        <f t="shared" ref="I105:I111" si="117">SUM(G105:H105)</f>
        <v>937820704</v>
      </c>
      <c r="J105" s="373">
        <f>ABRIL!L105</f>
        <v>88676903</v>
      </c>
      <c r="K105" s="374">
        <v>106829667</v>
      </c>
      <c r="L105" s="373">
        <f t="shared" ref="L105:L111" si="118">SUM(J105:K105)</f>
        <v>195506570</v>
      </c>
      <c r="M105" s="373">
        <f t="shared" ref="M105:M111" si="119">F105-I105</f>
        <v>-270380704</v>
      </c>
      <c r="N105" s="143">
        <f t="shared" ref="N105:N111" si="120">F105-L105</f>
        <v>471933430</v>
      </c>
      <c r="P105" s="372">
        <v>0</v>
      </c>
      <c r="Q105" s="375">
        <v>0</v>
      </c>
      <c r="R105" s="9"/>
      <c r="S105" s="705">
        <f>+IF(ABRIL!S105=0,"",ABRIL!S105)</f>
        <v>1020402</v>
      </c>
      <c r="T105" s="681" t="str">
        <f>+IF(ABRIL!T105=0,"",ABRIL!T105)</f>
        <v>Contribuciones - Otros</v>
      </c>
      <c r="U105" s="27">
        <f t="shared" ref="U105:AJ105" si="121">SUM(U106:U107)</f>
        <v>43075476</v>
      </c>
      <c r="V105" s="15">
        <f t="shared" si="121"/>
        <v>0</v>
      </c>
      <c r="W105" s="15">
        <f t="shared" si="121"/>
        <v>0</v>
      </c>
      <c r="X105" s="18">
        <f t="shared" si="121"/>
        <v>43075476</v>
      </c>
      <c r="Y105" s="19">
        <f t="shared" si="121"/>
        <v>14637696</v>
      </c>
      <c r="Z105" s="142">
        <f t="shared" si="121"/>
        <v>3467675</v>
      </c>
      <c r="AA105" s="18">
        <f t="shared" si="121"/>
        <v>18105371</v>
      </c>
      <c r="AB105" s="19">
        <f t="shared" si="121"/>
        <v>14637696</v>
      </c>
      <c r="AC105" s="142">
        <f t="shared" si="121"/>
        <v>3467675</v>
      </c>
      <c r="AD105" s="18">
        <f t="shared" si="121"/>
        <v>18105371</v>
      </c>
      <c r="AE105" s="19">
        <f t="shared" si="121"/>
        <v>14637696</v>
      </c>
      <c r="AF105" s="142">
        <f t="shared" si="121"/>
        <v>3467675</v>
      </c>
      <c r="AG105" s="18">
        <f t="shared" si="121"/>
        <v>18105371</v>
      </c>
      <c r="AH105" s="19">
        <f t="shared" si="121"/>
        <v>24970105</v>
      </c>
      <c r="AI105" s="15">
        <f t="shared" si="121"/>
        <v>24970105</v>
      </c>
      <c r="AJ105" s="16">
        <f t="shared" si="121"/>
        <v>24970105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0" t="str">
        <f>+IF(ABRIL!A106=0,"",ABRIL!A106)</f>
        <v>11304-2</v>
      </c>
      <c r="B106" s="620" t="str">
        <f>+IF(ABRIL!B106=0,"",ABRIL!B106)</f>
        <v>COMERCIALIZACIÓN DE MERCANCÍAS</v>
      </c>
      <c r="C106" s="669">
        <f>+ENERO!C106</f>
        <v>0</v>
      </c>
      <c r="D106" s="373">
        <f>ABRIL!D106+MAYO!P106</f>
        <v>0</v>
      </c>
      <c r="E106" s="373">
        <f>ABRIL!E106+MAYO!Q106</f>
        <v>0</v>
      </c>
      <c r="F106" s="373">
        <f t="shared" si="116"/>
        <v>0</v>
      </c>
      <c r="G106" s="373">
        <f>ABRIL!I106</f>
        <v>0</v>
      </c>
      <c r="H106" s="374">
        <v>0</v>
      </c>
      <c r="I106" s="373">
        <f t="shared" si="117"/>
        <v>0</v>
      </c>
      <c r="J106" s="373">
        <f>ABRIL!L106</f>
        <v>0</v>
      </c>
      <c r="K106" s="374">
        <v>0</v>
      </c>
      <c r="L106" s="373">
        <f t="shared" si="118"/>
        <v>0</v>
      </c>
      <c r="M106" s="373">
        <f t="shared" si="119"/>
        <v>0</v>
      </c>
      <c r="N106" s="143">
        <f t="shared" si="120"/>
        <v>0</v>
      </c>
      <c r="P106" s="372">
        <v>0</v>
      </c>
      <c r="Q106" s="375">
        <v>0</v>
      </c>
      <c r="R106" s="9"/>
      <c r="S106" s="706" t="str">
        <f>+IF(ABRIL!S106=0,"",ABRIL!S106)</f>
        <v>1020402-1</v>
      </c>
      <c r="T106" s="681" t="str">
        <f>+IF(ABRIL!T106=0,"",ABRIL!T106)</f>
        <v>S.E.N.A.</v>
      </c>
      <c r="U106" s="27">
        <f>+ENERO!U106</f>
        <v>25928061</v>
      </c>
      <c r="V106" s="15">
        <f>ABRIL!V106+MAYO!AL106</f>
        <v>0</v>
      </c>
      <c r="W106" s="15">
        <f>ABRIL!W106+MAYO!AM106</f>
        <v>0</v>
      </c>
      <c r="X106" s="18">
        <f>SUM(U106:W106)</f>
        <v>25928061</v>
      </c>
      <c r="Y106" s="19">
        <f>ABRIL!AA106</f>
        <v>6023864</v>
      </c>
      <c r="Z106" s="374">
        <v>1387070</v>
      </c>
      <c r="AA106" s="18">
        <f>SUM(Y106:Z106)</f>
        <v>7410934</v>
      </c>
      <c r="AB106" s="19">
        <f>ABRIL!AD106</f>
        <v>6023864</v>
      </c>
      <c r="AC106" s="374">
        <v>1387070</v>
      </c>
      <c r="AD106" s="18">
        <f>SUM(AB106:AC106)</f>
        <v>7410934</v>
      </c>
      <c r="AE106" s="19">
        <f>ABRIL!AG106</f>
        <v>6023864</v>
      </c>
      <c r="AF106" s="374">
        <v>1387070</v>
      </c>
      <c r="AG106" s="18">
        <f>SUM(AE106:AF106)</f>
        <v>7410934</v>
      </c>
      <c r="AH106" s="19">
        <f>X106-AA106</f>
        <v>18517127</v>
      </c>
      <c r="AI106" s="15">
        <f>X106-AD106</f>
        <v>18517127</v>
      </c>
      <c r="AJ106" s="16">
        <f>X106-AG106</f>
        <v>18517127</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0" t="str">
        <f>+IF(ABRIL!A107=0,"",ABRIL!A107)</f>
        <v>11304-3</v>
      </c>
      <c r="B107" s="619" t="str">
        <f>+IF(ABRIL!B107=0,"",ABRIL!B107)</f>
        <v>Bienestar Social</v>
      </c>
      <c r="C107" s="669">
        <f>+ENERO!C107</f>
        <v>0</v>
      </c>
      <c r="D107" s="373">
        <f>ABRIL!D107+MAYO!P107</f>
        <v>0</v>
      </c>
      <c r="E107" s="373">
        <f>ABRIL!E107+MAYO!Q107</f>
        <v>0</v>
      </c>
      <c r="F107" s="373">
        <f t="shared" si="116"/>
        <v>0</v>
      </c>
      <c r="G107" s="373">
        <f>ABRIL!I107</f>
        <v>445983</v>
      </c>
      <c r="H107" s="374">
        <v>0</v>
      </c>
      <c r="I107" s="373">
        <f t="shared" si="117"/>
        <v>445983</v>
      </c>
      <c r="J107" s="373">
        <f>ABRIL!L107</f>
        <v>445983</v>
      </c>
      <c r="K107" s="374">
        <v>0</v>
      </c>
      <c r="L107" s="373">
        <f t="shared" si="118"/>
        <v>445983</v>
      </c>
      <c r="M107" s="373">
        <f t="shared" si="119"/>
        <v>-445983</v>
      </c>
      <c r="N107" s="143">
        <f t="shared" si="120"/>
        <v>-445983</v>
      </c>
      <c r="P107" s="372">
        <v>0</v>
      </c>
      <c r="Q107" s="375">
        <v>0</v>
      </c>
      <c r="R107" s="9"/>
      <c r="S107" s="706" t="str">
        <f>+IF(ABRIL!S107=0,"",ABRIL!S107)</f>
        <v>1020402-2</v>
      </c>
      <c r="T107" s="681" t="str">
        <f>+IF(ABRIL!T107=0,"",ABRIL!T107)</f>
        <v>I.C.B.F.</v>
      </c>
      <c r="U107" s="27">
        <f>+ENERO!U107</f>
        <v>17147415</v>
      </c>
      <c r="V107" s="15">
        <f>ABRIL!V107+MAYO!AL107</f>
        <v>0</v>
      </c>
      <c r="W107" s="15">
        <f>ABRIL!W107+MAYO!AM107</f>
        <v>0</v>
      </c>
      <c r="X107" s="18">
        <f>SUM(U107:W107)</f>
        <v>17147415</v>
      </c>
      <c r="Y107" s="19">
        <f>ABRIL!AA107</f>
        <v>8613832</v>
      </c>
      <c r="Z107" s="374">
        <v>2080605</v>
      </c>
      <c r="AA107" s="18">
        <f>SUM(Y107:Z107)</f>
        <v>10694437</v>
      </c>
      <c r="AB107" s="19">
        <f>ABRIL!AD107</f>
        <v>8613832</v>
      </c>
      <c r="AC107" s="374">
        <v>2080605</v>
      </c>
      <c r="AD107" s="18">
        <f>SUM(AB107:AC107)</f>
        <v>10694437</v>
      </c>
      <c r="AE107" s="19">
        <f>ABRIL!AG107</f>
        <v>8613832</v>
      </c>
      <c r="AF107" s="374">
        <v>2080605</v>
      </c>
      <c r="AG107" s="18">
        <f>SUM(AE107:AF107)</f>
        <v>10694437</v>
      </c>
      <c r="AH107" s="19">
        <f>X107-AA107</f>
        <v>6452978</v>
      </c>
      <c r="AI107" s="15">
        <f>X107-AD107</f>
        <v>6452978</v>
      </c>
      <c r="AJ107" s="16">
        <f>X107-AG107</f>
        <v>6452978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0" t="str">
        <f>+IF(ABRIL!A108=0,"",ABRIL!A108)</f>
        <v>11304-4</v>
      </c>
      <c r="B108" s="619" t="str">
        <f>+IF(ABRIL!B108=0,"",ABRIL!B108)</f>
        <v>Fondo de la Vivienda</v>
      </c>
      <c r="C108" s="669">
        <f>+ENERO!C108</f>
        <v>0</v>
      </c>
      <c r="D108" s="373">
        <f>ABRIL!D108+MAYO!P108</f>
        <v>0</v>
      </c>
      <c r="E108" s="373">
        <f>ABRIL!E108+MAYO!Q108</f>
        <v>0</v>
      </c>
      <c r="F108" s="373">
        <f t="shared" si="116"/>
        <v>0</v>
      </c>
      <c r="G108" s="373">
        <f>ABRIL!I108</f>
        <v>9992817</v>
      </c>
      <c r="H108" s="374">
        <v>1891880</v>
      </c>
      <c r="I108" s="373">
        <f t="shared" si="117"/>
        <v>11884697</v>
      </c>
      <c r="J108" s="373">
        <f>ABRIL!L108</f>
        <v>9992817</v>
      </c>
      <c r="K108" s="374">
        <v>1891880</v>
      </c>
      <c r="L108" s="373">
        <f t="shared" si="118"/>
        <v>11884697</v>
      </c>
      <c r="M108" s="373">
        <f t="shared" si="119"/>
        <v>-11884697</v>
      </c>
      <c r="N108" s="143">
        <f t="shared" si="120"/>
        <v>-11884697</v>
      </c>
      <c r="P108" s="372">
        <v>0</v>
      </c>
      <c r="Q108" s="375">
        <v>0</v>
      </c>
      <c r="R108" s="9"/>
      <c r="S108" s="705">
        <f>+IF(ABRIL!S108=0,"",ABRIL!S108)</f>
        <v>1020499</v>
      </c>
      <c r="T108" s="681" t="str">
        <f>+IF(ABRIL!T108=0,"",ABRIL!T108)</f>
        <v>Vigencias Anteriores</v>
      </c>
      <c r="U108" s="27">
        <f>+ENERO!U108</f>
        <v>0</v>
      </c>
      <c r="V108" s="15">
        <f>ABRIL!V108+MAYO!AL108</f>
        <v>0</v>
      </c>
      <c r="W108" s="15">
        <f>ABRIL!W108+MAYO!AM108</f>
        <v>0</v>
      </c>
      <c r="X108" s="18">
        <f>SUM(U108:W108)</f>
        <v>0</v>
      </c>
      <c r="Y108" s="19">
        <f>ABRIL!AA108</f>
        <v>0</v>
      </c>
      <c r="Z108" s="374">
        <v>0</v>
      </c>
      <c r="AA108" s="18">
        <f>SUM(Y108:Z108)</f>
        <v>0</v>
      </c>
      <c r="AB108" s="19">
        <f>ABRIL!AD108</f>
        <v>0</v>
      </c>
      <c r="AC108" s="374">
        <v>0</v>
      </c>
      <c r="AD108" s="18">
        <f>SUM(AB108:AC108)</f>
        <v>0</v>
      </c>
      <c r="AE108" s="19">
        <f>ABRIL!AG108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0" t="str">
        <f>+IF(ABRIL!A109=0,"",ABRIL!A109)</f>
        <v>11304-5</v>
      </c>
      <c r="B109" s="619" t="str">
        <f>+IF(ABRIL!B109=0,"",ABRIL!B109)</f>
        <v xml:space="preserve">Aprovechamientos </v>
      </c>
      <c r="C109" s="669">
        <f>+ENERO!C109</f>
        <v>0</v>
      </c>
      <c r="D109" s="373">
        <f>ABRIL!D109+MAYO!P109</f>
        <v>0</v>
      </c>
      <c r="E109" s="373">
        <f>ABRIL!E109+MAYO!Q109</f>
        <v>0</v>
      </c>
      <c r="F109" s="373">
        <f t="shared" si="116"/>
        <v>0</v>
      </c>
      <c r="G109" s="373">
        <f>ABRIL!I109</f>
        <v>0</v>
      </c>
      <c r="H109" s="374">
        <v>0</v>
      </c>
      <c r="I109" s="373">
        <f t="shared" si="117"/>
        <v>0</v>
      </c>
      <c r="J109" s="373">
        <f>ABRIL!L109</f>
        <v>0</v>
      </c>
      <c r="K109" s="374">
        <v>0</v>
      </c>
      <c r="L109" s="373">
        <f t="shared" si="118"/>
        <v>0</v>
      </c>
      <c r="M109" s="373">
        <f t="shared" si="119"/>
        <v>0</v>
      </c>
      <c r="N109" s="143">
        <f t="shared" si="120"/>
        <v>0</v>
      </c>
      <c r="P109" s="372">
        <v>0</v>
      </c>
      <c r="Q109" s="375">
        <v>0</v>
      </c>
      <c r="R109" s="9"/>
      <c r="S109" s="366" t="str">
        <f>+IF(ABRIL!S109=0,"",ABRIL!S109)</f>
        <v/>
      </c>
      <c r="T109" s="695"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0" t="str">
        <f>+IF(ABRIL!A110=0,"",ABRIL!A110)</f>
        <v>11304-6</v>
      </c>
      <c r="B110" s="619" t="str">
        <f>+IF(ABRIL!B110=0,"",ABRIL!B110)</f>
        <v>Otros</v>
      </c>
      <c r="C110" s="669">
        <f>+ENERO!C110</f>
        <v>0</v>
      </c>
      <c r="D110" s="373">
        <f>ABRIL!D110+MAYO!P110</f>
        <v>0</v>
      </c>
      <c r="E110" s="373">
        <f>ABRIL!E110+MAYO!Q110</f>
        <v>10022226</v>
      </c>
      <c r="F110" s="373">
        <f t="shared" si="116"/>
        <v>10022226</v>
      </c>
      <c r="G110" s="373">
        <f>ABRIL!I110</f>
        <v>66506795</v>
      </c>
      <c r="H110" s="374">
        <v>12450272</v>
      </c>
      <c r="I110" s="373">
        <f t="shared" si="117"/>
        <v>78957067</v>
      </c>
      <c r="J110" s="373">
        <f>ABRIL!L110</f>
        <v>66506795</v>
      </c>
      <c r="K110" s="374">
        <v>5512515</v>
      </c>
      <c r="L110" s="373">
        <f t="shared" si="118"/>
        <v>72019310</v>
      </c>
      <c r="M110" s="373">
        <f t="shared" si="119"/>
        <v>-68934841</v>
      </c>
      <c r="N110" s="143">
        <f t="shared" si="120"/>
        <v>-61997084</v>
      </c>
      <c r="P110" s="372">
        <v>0</v>
      </c>
      <c r="Q110" s="375">
        <v>0</v>
      </c>
      <c r="R110" s="9"/>
      <c r="S110" s="703">
        <f>+IF(ABRIL!S110=0,"",ABRIL!S110)</f>
        <v>2000000</v>
      </c>
      <c r="T110" s="685" t="str">
        <f>+IF(ABRIL!T110=0,"",ABRIL!T110)</f>
        <v>GASTOS GENERALES</v>
      </c>
      <c r="U110" s="470">
        <f t="shared" ref="U110:AJ110" si="122">U112+U145</f>
        <v>7574161274</v>
      </c>
      <c r="V110" s="471">
        <f t="shared" si="122"/>
        <v>-960319672</v>
      </c>
      <c r="W110" s="471">
        <f t="shared" si="122"/>
        <v>3086156707</v>
      </c>
      <c r="X110" s="472">
        <f t="shared" si="122"/>
        <v>9699998309</v>
      </c>
      <c r="Y110" s="379">
        <f t="shared" si="122"/>
        <v>6572086008</v>
      </c>
      <c r="Z110" s="471">
        <f t="shared" si="122"/>
        <v>541505909</v>
      </c>
      <c r="AA110" s="472">
        <f t="shared" si="122"/>
        <v>7113591917</v>
      </c>
      <c r="AB110" s="379">
        <f t="shared" si="122"/>
        <v>3325130237</v>
      </c>
      <c r="AC110" s="471">
        <f t="shared" si="122"/>
        <v>832710934</v>
      </c>
      <c r="AD110" s="472">
        <f t="shared" si="122"/>
        <v>4157841171</v>
      </c>
      <c r="AE110" s="379">
        <f t="shared" si="122"/>
        <v>1862980867</v>
      </c>
      <c r="AF110" s="471">
        <f t="shared" si="122"/>
        <v>741705820</v>
      </c>
      <c r="AG110" s="472">
        <f t="shared" si="122"/>
        <v>2604686687</v>
      </c>
      <c r="AH110" s="379">
        <f t="shared" si="122"/>
        <v>2586406392</v>
      </c>
      <c r="AI110" s="471">
        <f t="shared" si="122"/>
        <v>5542157138</v>
      </c>
      <c r="AJ110" s="380">
        <f t="shared" si="122"/>
        <v>7095311622</v>
      </c>
      <c r="AK110" s="10"/>
      <c r="AL110" s="128">
        <f>AL112+AL145</f>
        <v>-1350000000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0" t="str">
        <f>+IF(ABRIL!A111=0,"",ABRIL!A111)</f>
        <v>11304-7</v>
      </c>
      <c r="B111" s="654" t="str">
        <f>+IF(ABRIL!B111=0,"",ABRIL!B111)</f>
        <v>Vigencia Anterior</v>
      </c>
      <c r="C111" s="770">
        <f>+ENERO!C111</f>
        <v>0</v>
      </c>
      <c r="D111" s="385">
        <f>ABRIL!D111+MAYO!P111</f>
        <v>0</v>
      </c>
      <c r="E111" s="385">
        <f>ABRIL!E111+MAYO!Q111</f>
        <v>0</v>
      </c>
      <c r="F111" s="385">
        <f t="shared" si="116"/>
        <v>0</v>
      </c>
      <c r="G111" s="385">
        <f>ABRIL!I111</f>
        <v>0</v>
      </c>
      <c r="H111" s="388">
        <v>0</v>
      </c>
      <c r="I111" s="385">
        <f t="shared" si="117"/>
        <v>0</v>
      </c>
      <c r="J111" s="385">
        <f>ABRIL!L111</f>
        <v>0</v>
      </c>
      <c r="K111" s="388">
        <v>0</v>
      </c>
      <c r="L111" s="385">
        <f t="shared" si="118"/>
        <v>0</v>
      </c>
      <c r="M111" s="385">
        <f t="shared" si="119"/>
        <v>0</v>
      </c>
      <c r="N111" s="386">
        <f t="shared" si="120"/>
        <v>0</v>
      </c>
      <c r="P111" s="372">
        <v>0</v>
      </c>
      <c r="Q111" s="375">
        <v>0</v>
      </c>
      <c r="R111" s="9"/>
      <c r="S111" s="366" t="str">
        <f>+IF(ABRIL!S111=0,"",ABRIL!S111)</f>
        <v/>
      </c>
      <c r="T111" s="695" t="str">
        <f>+IF(ABRIL!T111=0,"",ABRIL!T111)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1" t="str">
        <f>+IF(ABRIL!A112=0,"",ABRIL!A112)</f>
        <v/>
      </c>
      <c r="B112" s="653" t="str">
        <f>+IF(ABRIL!B112=0,"",ABRIL!B112)</f>
        <v/>
      </c>
      <c r="C112" s="480"/>
      <c r="D112" s="480"/>
      <c r="E112" s="480"/>
      <c r="F112" s="480"/>
      <c r="G112" s="480"/>
      <c r="H112" s="480"/>
      <c r="I112" s="480"/>
      <c r="J112" s="480"/>
      <c r="K112" s="480"/>
      <c r="L112" s="480"/>
      <c r="M112" s="480"/>
      <c r="N112" s="481"/>
      <c r="P112" s="482"/>
      <c r="Q112" s="481"/>
      <c r="R112" s="9"/>
      <c r="S112" s="703">
        <f>+IF(ABRIL!S112=0,"",ABRIL!S112)</f>
        <v>2010000</v>
      </c>
      <c r="T112" s="679" t="str">
        <f>+IF(ABRIL!T112=0,"",ABRIL!T112)</f>
        <v>Gastos de Administración</v>
      </c>
      <c r="U112" s="132">
        <f t="shared" ref="U112:AJ112" si="123">U114+U123+U141</f>
        <v>4915028612</v>
      </c>
      <c r="V112" s="122">
        <f t="shared" si="123"/>
        <v>435627907</v>
      </c>
      <c r="W112" s="122">
        <f t="shared" si="123"/>
        <v>1436156707</v>
      </c>
      <c r="X112" s="129">
        <f t="shared" si="123"/>
        <v>6786813226</v>
      </c>
      <c r="Y112" s="128">
        <f t="shared" si="123"/>
        <v>5191910338</v>
      </c>
      <c r="Z112" s="122">
        <f t="shared" si="123"/>
        <v>249815044</v>
      </c>
      <c r="AA112" s="129">
        <f t="shared" si="123"/>
        <v>5441725382</v>
      </c>
      <c r="AB112" s="128">
        <f t="shared" si="123"/>
        <v>2519477667</v>
      </c>
      <c r="AC112" s="122">
        <f t="shared" si="123"/>
        <v>635318575</v>
      </c>
      <c r="AD112" s="129">
        <f t="shared" si="123"/>
        <v>3154796242</v>
      </c>
      <c r="AE112" s="128">
        <f t="shared" si="123"/>
        <v>1452130753</v>
      </c>
      <c r="AF112" s="122">
        <f t="shared" si="123"/>
        <v>634941330</v>
      </c>
      <c r="AG112" s="129">
        <f t="shared" si="123"/>
        <v>2087072083</v>
      </c>
      <c r="AH112" s="128">
        <f t="shared" si="123"/>
        <v>1345087844</v>
      </c>
      <c r="AI112" s="122">
        <f t="shared" si="123"/>
        <v>3632016984</v>
      </c>
      <c r="AJ112" s="130">
        <f t="shared" si="123"/>
        <v>4699741143</v>
      </c>
      <c r="AK112" s="9"/>
      <c r="AL112" s="128">
        <f>AL114+AL123+AL141</f>
        <v>-170000000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0">
        <f>+IF(ABRIL!A113=0,"",ABRIL!A113)</f>
        <v>2000</v>
      </c>
      <c r="B113" s="640" t="str">
        <f>+IF(ABRIL!B113=0,"",ABRIL!B113)</f>
        <v>INGRESOS DE CAPITAL</v>
      </c>
      <c r="C113" s="623">
        <f>SUM(C115:C124)</f>
        <v>9052927194</v>
      </c>
      <c r="D113" s="624">
        <f>SUM(D115:D124)</f>
        <v>0</v>
      </c>
      <c r="E113" s="624">
        <f t="shared" ref="E113:N113" si="124">SUM(E115:E124)</f>
        <v>1411839</v>
      </c>
      <c r="F113" s="624">
        <f t="shared" si="124"/>
        <v>9054339033</v>
      </c>
      <c r="G113" s="624">
        <f t="shared" si="124"/>
        <v>1599074</v>
      </c>
      <c r="H113" s="624">
        <f t="shared" si="124"/>
        <v>792243</v>
      </c>
      <c r="I113" s="624">
        <f t="shared" si="124"/>
        <v>2391317</v>
      </c>
      <c r="J113" s="624">
        <f t="shared" si="124"/>
        <v>1599074</v>
      </c>
      <c r="K113" s="624">
        <f t="shared" si="124"/>
        <v>792243</v>
      </c>
      <c r="L113" s="624">
        <f t="shared" si="124"/>
        <v>2391317</v>
      </c>
      <c r="M113" s="624">
        <f t="shared" si="124"/>
        <v>9051947716</v>
      </c>
      <c r="N113" s="625">
        <f t="shared" si="124"/>
        <v>9051947716</v>
      </c>
      <c r="O113" s="461"/>
      <c r="P113" s="174">
        <f>SUM(P115:P124)</f>
        <v>0</v>
      </c>
      <c r="Q113" s="175">
        <f>SUM(Q115:Q124)</f>
        <v>0</v>
      </c>
      <c r="R113" s="9"/>
      <c r="S113" s="366" t="str">
        <f>+IF(ABRIL!S113=0,"",ABRIL!S113)</f>
        <v/>
      </c>
      <c r="T113" s="695" t="str">
        <f>+IF(ABRIL!T113=0,"",ABRIL!T113)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1" t="str">
        <f>+IF(ABRIL!A114=0,"",ABRIL!A114)</f>
        <v/>
      </c>
      <c r="B114" s="653" t="str">
        <f>+IF(ABRIL!B114=0,"",ABRIL!B114)</f>
        <v/>
      </c>
      <c r="C114" s="480"/>
      <c r="D114" s="480"/>
      <c r="E114" s="480"/>
      <c r="F114" s="480"/>
      <c r="G114" s="480"/>
      <c r="H114" s="480"/>
      <c r="I114" s="480"/>
      <c r="J114" s="480"/>
      <c r="K114" s="480"/>
      <c r="L114" s="480"/>
      <c r="M114" s="480"/>
      <c r="N114" s="481"/>
      <c r="P114" s="482"/>
      <c r="Q114" s="481"/>
      <c r="R114" s="9"/>
      <c r="S114" s="704">
        <f>+IF(ABRIL!S114=0,"",ABRIL!S114)</f>
        <v>2010100</v>
      </c>
      <c r="T114" s="680" t="str">
        <f>+IF(ABRIL!T114=0,"",ABRIL!T114)</f>
        <v>Adquisición de bienes</v>
      </c>
      <c r="U114" s="132">
        <f t="shared" ref="U114:AJ114" si="125">SUM(U115:U121)</f>
        <v>256200000</v>
      </c>
      <c r="V114" s="122">
        <f t="shared" si="125"/>
        <v>-7200430</v>
      </c>
      <c r="W114" s="122">
        <f t="shared" si="125"/>
        <v>280000000</v>
      </c>
      <c r="X114" s="129">
        <f t="shared" si="125"/>
        <v>528999570</v>
      </c>
      <c r="Y114" s="128">
        <f t="shared" si="125"/>
        <v>279022497</v>
      </c>
      <c r="Z114" s="122">
        <f t="shared" si="125"/>
        <v>2461785</v>
      </c>
      <c r="AA114" s="129">
        <f t="shared" si="125"/>
        <v>281484282</v>
      </c>
      <c r="AB114" s="128">
        <f t="shared" si="125"/>
        <v>208536034</v>
      </c>
      <c r="AC114" s="122">
        <f t="shared" si="125"/>
        <v>7231424</v>
      </c>
      <c r="AD114" s="129">
        <f t="shared" si="125"/>
        <v>215767458</v>
      </c>
      <c r="AE114" s="128">
        <f t="shared" si="125"/>
        <v>166593311</v>
      </c>
      <c r="AF114" s="122">
        <f t="shared" si="125"/>
        <v>17602326</v>
      </c>
      <c r="AG114" s="129">
        <f t="shared" si="125"/>
        <v>184195637</v>
      </c>
      <c r="AH114" s="128">
        <f t="shared" si="125"/>
        <v>247515288</v>
      </c>
      <c r="AI114" s="122">
        <f t="shared" si="125"/>
        <v>313232112</v>
      </c>
      <c r="AJ114" s="130">
        <f t="shared" si="125"/>
        <v>344803933</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2">
        <f>+IF(ABRIL!A115=0,"",ABRIL!A115)</f>
        <v>2100</v>
      </c>
      <c r="B115" s="626" t="str">
        <f>+IF(ABRIL!B115=0,"",ABRIL!B115)</f>
        <v>CREDITO INTERNO</v>
      </c>
      <c r="C115" s="671">
        <f>+ENERO!C115</f>
        <v>0</v>
      </c>
      <c r="D115" s="464">
        <f>ABRIL!D115+MAYO!P115</f>
        <v>0</v>
      </c>
      <c r="E115" s="464">
        <f>ABRIL!E115+MAYO!Q115</f>
        <v>0</v>
      </c>
      <c r="F115" s="468">
        <f t="shared" ref="F115:F124" si="126">SUM(C115:E115)</f>
        <v>0</v>
      </c>
      <c r="G115" s="466">
        <f>ABRIL!I115</f>
        <v>0</v>
      </c>
      <c r="H115" s="374">
        <v>0</v>
      </c>
      <c r="I115" s="468">
        <f t="shared" ref="I115:I124" si="127">SUM(G115:H115)</f>
        <v>0</v>
      </c>
      <c r="J115" s="466">
        <f>ABRIL!L115</f>
        <v>0</v>
      </c>
      <c r="K115" s="374">
        <v>0</v>
      </c>
      <c r="L115" s="465">
        <f t="shared" ref="L115:L124" si="128">SUM(J115:K115)</f>
        <v>0</v>
      </c>
      <c r="M115" s="469">
        <f t="shared" ref="M115:M124" si="129">F115-I115</f>
        <v>0</v>
      </c>
      <c r="N115" s="465">
        <f t="shared" ref="N115:N124" si="130">F115-L115</f>
        <v>0</v>
      </c>
      <c r="O115" s="461"/>
      <c r="P115" s="372">
        <v>0</v>
      </c>
      <c r="Q115" s="375">
        <v>0</v>
      </c>
      <c r="R115" s="9"/>
      <c r="S115" s="705" t="str">
        <f>+IF(ABRIL!S115=0,"",ABRIL!S115)</f>
        <v>2010100-1</v>
      </c>
      <c r="T115" s="681" t="str">
        <f>+IF(ABRIL!T115=0,"",ABRIL!T115)</f>
        <v>Compra de Equipos</v>
      </c>
      <c r="U115" s="27">
        <f>+ENERO!U115</f>
        <v>175000000</v>
      </c>
      <c r="V115" s="15">
        <f>ABRIL!V115+MAYO!AL115</f>
        <v>0</v>
      </c>
      <c r="W115" s="15">
        <f>ABRIL!W115+MAYO!AM115</f>
        <v>0</v>
      </c>
      <c r="X115" s="18">
        <f t="shared" ref="X115:X121" si="131">SUM(U115:W115)</f>
        <v>175000000</v>
      </c>
      <c r="Y115" s="19">
        <f>ABRIL!AA115</f>
        <v>47516470</v>
      </c>
      <c r="Z115" s="374">
        <v>-2749495</v>
      </c>
      <c r="AA115" s="18">
        <f t="shared" ref="AA115:AA121" si="132">SUM(Y115:Z115)</f>
        <v>44766975</v>
      </c>
      <c r="AB115" s="19">
        <f>ABRIL!AD115</f>
        <v>42482770</v>
      </c>
      <c r="AC115" s="374">
        <v>0</v>
      </c>
      <c r="AD115" s="18">
        <f t="shared" ref="AD115:AD121" si="133">SUM(AB115:AC115)</f>
        <v>42482770</v>
      </c>
      <c r="AE115" s="19">
        <f>ABRIL!AG115</f>
        <v>42251807</v>
      </c>
      <c r="AF115" s="374">
        <v>0</v>
      </c>
      <c r="AG115" s="18">
        <f t="shared" ref="AG115:AG121" si="134">SUM(AE115:AF115)</f>
        <v>42251807</v>
      </c>
      <c r="AH115" s="19">
        <f t="shared" ref="AH115:AH121" si="135">X115-AA115</f>
        <v>130233025</v>
      </c>
      <c r="AI115" s="15">
        <f t="shared" ref="AI115:AI121" si="136">X115-AD115</f>
        <v>132517230</v>
      </c>
      <c r="AJ115" s="16">
        <f t="shared" ref="AJ115:AJ121" si="137">X115-AG115</f>
        <v>132748193</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2" t="str">
        <f>+IF(ABRIL!A116=0,"",ABRIL!A116)</f>
        <v>2100-1</v>
      </c>
      <c r="B116" s="627" t="str">
        <f>+IF(ABRIL!B116=0,"",ABRIL!B116)</f>
        <v>Vigencia Anterior</v>
      </c>
      <c r="C116" s="671">
        <f>+ENERO!C116</f>
        <v>0</v>
      </c>
      <c r="D116" s="464">
        <f>ABRIL!D116+MAYO!P116</f>
        <v>0</v>
      </c>
      <c r="E116" s="464">
        <f>ABRIL!E116+MAYO!Q116</f>
        <v>0</v>
      </c>
      <c r="F116" s="468">
        <f t="shared" si="126"/>
        <v>0</v>
      </c>
      <c r="G116" s="466">
        <f>ABRIL!I116</f>
        <v>0</v>
      </c>
      <c r="H116" s="374">
        <v>0</v>
      </c>
      <c r="I116" s="468">
        <f t="shared" si="127"/>
        <v>0</v>
      </c>
      <c r="J116" s="466">
        <f>ABRIL!L116</f>
        <v>0</v>
      </c>
      <c r="K116" s="374">
        <v>0</v>
      </c>
      <c r="L116" s="465">
        <f t="shared" si="128"/>
        <v>0</v>
      </c>
      <c r="M116" s="469">
        <f t="shared" si="129"/>
        <v>0</v>
      </c>
      <c r="N116" s="465">
        <f t="shared" si="130"/>
        <v>0</v>
      </c>
      <c r="O116" s="461"/>
      <c r="P116" s="372">
        <v>0</v>
      </c>
      <c r="Q116" s="375">
        <v>0</v>
      </c>
      <c r="R116" s="9"/>
      <c r="S116" s="705" t="str">
        <f>+IF(ABRIL!S116=0,"",ABRIL!S116)</f>
        <v>2010100-2</v>
      </c>
      <c r="T116" s="681" t="str">
        <f>+IF(ABRIL!T116=0,"",ABRIL!T116)</f>
        <v>Materiales</v>
      </c>
      <c r="U116" s="27">
        <f>+ENERO!U116</f>
        <v>76200000</v>
      </c>
      <c r="V116" s="15">
        <f>ABRIL!V116+MAYO!AL116</f>
        <v>0</v>
      </c>
      <c r="W116" s="15">
        <f>ABRIL!W116+MAYO!AM116</f>
        <v>80000000</v>
      </c>
      <c r="X116" s="18">
        <f t="shared" si="131"/>
        <v>156200000</v>
      </c>
      <c r="Y116" s="19">
        <f>ABRIL!AA116</f>
        <v>120273463</v>
      </c>
      <c r="Z116" s="374">
        <v>3253380</v>
      </c>
      <c r="AA116" s="18">
        <f t="shared" si="132"/>
        <v>123526843</v>
      </c>
      <c r="AB116" s="19">
        <f>ABRIL!AD116</f>
        <v>54820700</v>
      </c>
      <c r="AC116" s="374">
        <v>5273524</v>
      </c>
      <c r="AD116" s="18">
        <f t="shared" si="133"/>
        <v>60094224</v>
      </c>
      <c r="AE116" s="19">
        <f>ABRIL!AG116</f>
        <v>13306940</v>
      </c>
      <c r="AF116" s="374">
        <v>17602326</v>
      </c>
      <c r="AG116" s="18">
        <f t="shared" si="134"/>
        <v>30909266</v>
      </c>
      <c r="AH116" s="19">
        <f t="shared" si="135"/>
        <v>32673157</v>
      </c>
      <c r="AI116" s="15">
        <f t="shared" si="136"/>
        <v>96105776</v>
      </c>
      <c r="AJ116" s="16">
        <f t="shared" si="137"/>
        <v>125290734</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2">
        <f>+IF(ABRIL!A117=0,"",ABRIL!A117)</f>
        <v>2200</v>
      </c>
      <c r="B117" s="626" t="str">
        <f>+IF(ABRIL!B117=0,"",ABRIL!B117)</f>
        <v>CREDITO EXTERNO</v>
      </c>
      <c r="C117" s="671">
        <f>+ENERO!C117</f>
        <v>0</v>
      </c>
      <c r="D117" s="464">
        <f>ABRIL!D117+MAYO!P117</f>
        <v>0</v>
      </c>
      <c r="E117" s="464">
        <f>ABRIL!E117+MAYO!Q117</f>
        <v>0</v>
      </c>
      <c r="F117" s="468">
        <f t="shared" si="126"/>
        <v>0</v>
      </c>
      <c r="G117" s="466">
        <f>ABRIL!I117</f>
        <v>0</v>
      </c>
      <c r="H117" s="374">
        <v>0</v>
      </c>
      <c r="I117" s="468">
        <f t="shared" si="127"/>
        <v>0</v>
      </c>
      <c r="J117" s="466">
        <f>ABRIL!L117</f>
        <v>0</v>
      </c>
      <c r="K117" s="374">
        <v>0</v>
      </c>
      <c r="L117" s="465">
        <f t="shared" si="128"/>
        <v>0</v>
      </c>
      <c r="M117" s="469">
        <f t="shared" si="129"/>
        <v>0</v>
      </c>
      <c r="N117" s="465">
        <f t="shared" si="130"/>
        <v>0</v>
      </c>
      <c r="O117" s="461"/>
      <c r="P117" s="372">
        <v>0</v>
      </c>
      <c r="Q117" s="375">
        <v>0</v>
      </c>
      <c r="R117" s="9"/>
      <c r="S117" s="705" t="str">
        <f>+IF(ABRIL!S117=0,"",ABRIL!S117)</f>
        <v>2010100-3</v>
      </c>
      <c r="T117" s="681" t="str">
        <f>+IF(ABRIL!T117=0,"",ABRIL!T117)</f>
        <v>Salud Ocupacional</v>
      </c>
      <c r="U117" s="27">
        <f>+ENERO!U117</f>
        <v>5000000</v>
      </c>
      <c r="V117" s="15">
        <f>ABRIL!V117+MAYO!AL117</f>
        <v>0</v>
      </c>
      <c r="W117" s="15">
        <f>ABRIL!W117+MAYO!AM117</f>
        <v>0</v>
      </c>
      <c r="X117" s="18">
        <f t="shared" si="131"/>
        <v>5000000</v>
      </c>
      <c r="Y117" s="19">
        <f>ABRIL!AA117</f>
        <v>273145</v>
      </c>
      <c r="Z117" s="374">
        <v>1957900</v>
      </c>
      <c r="AA117" s="18">
        <f t="shared" si="132"/>
        <v>2231045</v>
      </c>
      <c r="AB117" s="19">
        <f>ABRIL!AD117</f>
        <v>273145</v>
      </c>
      <c r="AC117" s="374">
        <v>1957900</v>
      </c>
      <c r="AD117" s="18">
        <f t="shared" si="133"/>
        <v>2231045</v>
      </c>
      <c r="AE117" s="19">
        <f>ABRIL!AG117</f>
        <v>75145</v>
      </c>
      <c r="AF117" s="374">
        <v>0</v>
      </c>
      <c r="AG117" s="18">
        <f t="shared" si="134"/>
        <v>75145</v>
      </c>
      <c r="AH117" s="19">
        <f t="shared" si="135"/>
        <v>2768955</v>
      </c>
      <c r="AI117" s="15">
        <f t="shared" si="136"/>
        <v>2768955</v>
      </c>
      <c r="AJ117" s="16">
        <f t="shared" si="137"/>
        <v>4924855</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3" t="str">
        <f>+IF(ABRIL!A118=0,"",ABRIL!A118)</f>
        <v>2200-1</v>
      </c>
      <c r="B118" s="627" t="str">
        <f>+IF(ABRIL!B118=0,"",ABRIL!B118)</f>
        <v>Vigencia Anterior</v>
      </c>
      <c r="C118" s="671">
        <f>+ENERO!C118</f>
        <v>0</v>
      </c>
      <c r="D118" s="464">
        <f>ABRIL!D118+MAYO!P118</f>
        <v>0</v>
      </c>
      <c r="E118" s="464">
        <f>ABRIL!E118+MAYO!Q118</f>
        <v>0</v>
      </c>
      <c r="F118" s="468">
        <f t="shared" si="126"/>
        <v>0</v>
      </c>
      <c r="G118" s="466">
        <f>ABRIL!I118</f>
        <v>0</v>
      </c>
      <c r="H118" s="374">
        <v>0</v>
      </c>
      <c r="I118" s="468">
        <f t="shared" si="127"/>
        <v>0</v>
      </c>
      <c r="J118" s="466">
        <f>ABRIL!L118</f>
        <v>0</v>
      </c>
      <c r="K118" s="374">
        <v>0</v>
      </c>
      <c r="L118" s="465">
        <f t="shared" si="128"/>
        <v>0</v>
      </c>
      <c r="M118" s="469">
        <f t="shared" si="129"/>
        <v>0</v>
      </c>
      <c r="N118" s="465">
        <f t="shared" si="130"/>
        <v>0</v>
      </c>
      <c r="O118" s="461"/>
      <c r="P118" s="372">
        <v>0</v>
      </c>
      <c r="Q118" s="375">
        <v>0</v>
      </c>
      <c r="R118" s="9"/>
      <c r="S118" s="705" t="str">
        <f>+IF(ABRIL!S118=0,"",ABRIL!S118)</f>
        <v>2010100-4</v>
      </c>
      <c r="T118" s="681" t="str">
        <f>+IF(ABRIL!T118=0,"",ABRIL!T118)</f>
        <v/>
      </c>
      <c r="U118" s="27">
        <f>+ENERO!U118</f>
        <v>0</v>
      </c>
      <c r="V118" s="15">
        <f>ABRIL!V118+MAYO!AL118</f>
        <v>0</v>
      </c>
      <c r="W118" s="15">
        <f>ABRIL!W118+MAYO!AM118</f>
        <v>0</v>
      </c>
      <c r="X118" s="18">
        <f t="shared" si="131"/>
        <v>0</v>
      </c>
      <c r="Y118" s="19">
        <f>ABRIL!AA118</f>
        <v>0</v>
      </c>
      <c r="Z118" s="374">
        <v>0</v>
      </c>
      <c r="AA118" s="18">
        <f t="shared" si="132"/>
        <v>0</v>
      </c>
      <c r="AB118" s="19">
        <f>ABRIL!AD118</f>
        <v>0</v>
      </c>
      <c r="AC118" s="374">
        <v>0</v>
      </c>
      <c r="AD118" s="18">
        <f t="shared" si="133"/>
        <v>0</v>
      </c>
      <c r="AE118" s="19">
        <f>ABRIL!AG118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2">
        <f>+IF(ABRIL!A119=0,"",ABRIL!A119)</f>
        <v>2300</v>
      </c>
      <c r="B119" s="626" t="str">
        <f>+IF(ABRIL!B119=0,"",ABRIL!B119)</f>
        <v>RENDIMIENTOS FINANCIEROS</v>
      </c>
      <c r="C119" s="671">
        <f>+ENERO!C119</f>
        <v>0</v>
      </c>
      <c r="D119" s="464">
        <f>ABRIL!D119+MAYO!P119</f>
        <v>0</v>
      </c>
      <c r="E119" s="464">
        <f>ABRIL!E119+MAYO!Q119</f>
        <v>1411839</v>
      </c>
      <c r="F119" s="468">
        <f t="shared" si="126"/>
        <v>1411839</v>
      </c>
      <c r="G119" s="219">
        <f>ABRIL!I119</f>
        <v>1599074</v>
      </c>
      <c r="H119" s="374">
        <v>792243</v>
      </c>
      <c r="I119" s="473">
        <f t="shared" si="127"/>
        <v>2391317</v>
      </c>
      <c r="J119" s="219">
        <f>ABRIL!L119</f>
        <v>1599074</v>
      </c>
      <c r="K119" s="374">
        <v>792243</v>
      </c>
      <c r="L119" s="143">
        <f t="shared" si="128"/>
        <v>2391317</v>
      </c>
      <c r="M119" s="438">
        <f t="shared" si="129"/>
        <v>-979478</v>
      </c>
      <c r="N119" s="143">
        <f t="shared" si="130"/>
        <v>-979478</v>
      </c>
      <c r="O119" s="461"/>
      <c r="P119" s="372">
        <v>0</v>
      </c>
      <c r="Q119" s="375">
        <v>0</v>
      </c>
      <c r="R119" s="9"/>
      <c r="S119" s="705" t="str">
        <f>+IF(ABRIL!S119=0,"",ABRIL!S119)</f>
        <v>2010100-5</v>
      </c>
      <c r="T119" s="681" t="str">
        <f>+IF(ABRIL!T119=0,"",ABRIL!T119)</f>
        <v/>
      </c>
      <c r="U119" s="27">
        <f>+ENERO!U119</f>
        <v>0</v>
      </c>
      <c r="V119" s="15">
        <f>ABRIL!V119+MAYO!AL119</f>
        <v>0</v>
      </c>
      <c r="W119" s="15">
        <f>ABRIL!W119+MAYO!AM119</f>
        <v>0</v>
      </c>
      <c r="X119" s="18">
        <f t="shared" si="131"/>
        <v>0</v>
      </c>
      <c r="Y119" s="19">
        <f>ABRIL!AA119</f>
        <v>0</v>
      </c>
      <c r="Z119" s="374">
        <v>0</v>
      </c>
      <c r="AA119" s="18">
        <f t="shared" si="132"/>
        <v>0</v>
      </c>
      <c r="AB119" s="19">
        <f>ABRIL!AD119</f>
        <v>0</v>
      </c>
      <c r="AC119" s="374">
        <v>0</v>
      </c>
      <c r="AD119" s="18">
        <f t="shared" si="133"/>
        <v>0</v>
      </c>
      <c r="AE119" s="19">
        <f>ABRIL!AG119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4">
        <f>+IF(ABRIL!A120=0,"",ABRIL!A120)</f>
        <v>2400</v>
      </c>
      <c r="B120" s="627" t="str">
        <f>+IF(ABRIL!B120=0,"",ABRIL!B120)</f>
        <v>VENTA DE ACTIVOS</v>
      </c>
      <c r="C120" s="671">
        <f>+ENERO!C120</f>
        <v>0</v>
      </c>
      <c r="D120" s="464">
        <f>ABRIL!D120+MAYO!P120</f>
        <v>0</v>
      </c>
      <c r="E120" s="464">
        <f>ABRIL!E120+MAYO!Q120</f>
        <v>0</v>
      </c>
      <c r="F120" s="468">
        <f t="shared" si="126"/>
        <v>0</v>
      </c>
      <c r="G120" s="219">
        <f>ABRIL!I120</f>
        <v>0</v>
      </c>
      <c r="H120" s="374">
        <v>0</v>
      </c>
      <c r="I120" s="473">
        <f t="shared" si="127"/>
        <v>0</v>
      </c>
      <c r="J120" s="219">
        <f>ABRIL!L120</f>
        <v>0</v>
      </c>
      <c r="K120" s="374">
        <v>0</v>
      </c>
      <c r="L120" s="143">
        <f t="shared" si="128"/>
        <v>0</v>
      </c>
      <c r="M120" s="438">
        <f t="shared" si="129"/>
        <v>0</v>
      </c>
      <c r="N120" s="143">
        <f t="shared" si="130"/>
        <v>0</v>
      </c>
      <c r="P120" s="372">
        <v>0</v>
      </c>
      <c r="Q120" s="375">
        <v>0</v>
      </c>
      <c r="R120" s="9"/>
      <c r="S120" s="705" t="str">
        <f>+IF(ABRIL!S120=0,"",ABRIL!S120)</f>
        <v>2010100-6</v>
      </c>
      <c r="T120" s="681" t="str">
        <f>+IF(ABRIL!T120=0,"",ABRIL!T120)</f>
        <v/>
      </c>
      <c r="U120" s="27">
        <f>+ENERO!U120</f>
        <v>0</v>
      </c>
      <c r="V120" s="15">
        <f>ABRIL!V120+MAYO!AL120</f>
        <v>0</v>
      </c>
      <c r="W120" s="15">
        <f>ABRIL!W120+MAYO!AM120</f>
        <v>0</v>
      </c>
      <c r="X120" s="18">
        <f t="shared" si="131"/>
        <v>0</v>
      </c>
      <c r="Y120" s="19">
        <f>ABRIL!AA120</f>
        <v>0</v>
      </c>
      <c r="Z120" s="374">
        <v>0</v>
      </c>
      <c r="AA120" s="18">
        <f t="shared" si="132"/>
        <v>0</v>
      </c>
      <c r="AB120" s="19">
        <f>ABRIL!AD120</f>
        <v>0</v>
      </c>
      <c r="AC120" s="374">
        <v>0</v>
      </c>
      <c r="AD120" s="18">
        <f t="shared" si="133"/>
        <v>0</v>
      </c>
      <c r="AE120" s="19">
        <f>ABRIL!AG120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4">
        <f>+IF(ABRIL!A121=0,"",ABRIL!A121)</f>
        <v>2500</v>
      </c>
      <c r="B121" s="627" t="str">
        <f>+IF(ABRIL!B121=0,"",ABRIL!B121)</f>
        <v>DONACIONES</v>
      </c>
      <c r="C121" s="671">
        <f>+ENERO!C121</f>
        <v>0</v>
      </c>
      <c r="D121" s="464">
        <f>ABRIL!D121+MAYO!P121</f>
        <v>0</v>
      </c>
      <c r="E121" s="464">
        <f>ABRIL!E121+MAYO!Q121</f>
        <v>0</v>
      </c>
      <c r="F121" s="468">
        <f t="shared" si="126"/>
        <v>0</v>
      </c>
      <c r="G121" s="219">
        <f>ABRIL!I121</f>
        <v>0</v>
      </c>
      <c r="H121" s="374">
        <v>0</v>
      </c>
      <c r="I121" s="473">
        <f t="shared" si="127"/>
        <v>0</v>
      </c>
      <c r="J121" s="219">
        <f>ABRIL!L121</f>
        <v>0</v>
      </c>
      <c r="K121" s="374">
        <v>0</v>
      </c>
      <c r="L121" s="143">
        <f t="shared" si="128"/>
        <v>0</v>
      </c>
      <c r="M121" s="438">
        <f t="shared" si="129"/>
        <v>0</v>
      </c>
      <c r="N121" s="143">
        <f t="shared" si="130"/>
        <v>0</v>
      </c>
      <c r="P121" s="372">
        <v>0</v>
      </c>
      <c r="Q121" s="375">
        <v>0</v>
      </c>
      <c r="R121" s="9"/>
      <c r="S121" s="705">
        <f>+IF(ABRIL!S121=0,"",ABRIL!S121)</f>
        <v>2010199</v>
      </c>
      <c r="T121" s="681" t="str">
        <f>+IF(ABRIL!T121=0,"",ABRIL!T121)</f>
        <v>Vigencias Anteriores</v>
      </c>
      <c r="U121" s="27">
        <f>+ENERO!U121</f>
        <v>0</v>
      </c>
      <c r="V121" s="15">
        <f>ABRIL!V121+MAYO!AL121</f>
        <v>-7200430</v>
      </c>
      <c r="W121" s="15">
        <f>ABRIL!W121+MAYO!AM121</f>
        <v>200000000</v>
      </c>
      <c r="X121" s="18">
        <f t="shared" si="131"/>
        <v>192799570</v>
      </c>
      <c r="Y121" s="19">
        <f>ABRIL!AA121</f>
        <v>110959419</v>
      </c>
      <c r="Z121" s="374">
        <v>0</v>
      </c>
      <c r="AA121" s="18">
        <f t="shared" si="132"/>
        <v>110959419</v>
      </c>
      <c r="AB121" s="19">
        <f>ABRIL!AD121</f>
        <v>110959419</v>
      </c>
      <c r="AC121" s="374">
        <v>0</v>
      </c>
      <c r="AD121" s="18">
        <f t="shared" si="133"/>
        <v>110959419</v>
      </c>
      <c r="AE121" s="19">
        <f>ABRIL!AG121</f>
        <v>110959419</v>
      </c>
      <c r="AF121" s="374">
        <v>0</v>
      </c>
      <c r="AG121" s="18">
        <f t="shared" si="134"/>
        <v>110959419</v>
      </c>
      <c r="AH121" s="19">
        <f t="shared" si="135"/>
        <v>81840151</v>
      </c>
      <c r="AI121" s="15">
        <f t="shared" si="136"/>
        <v>81840151</v>
      </c>
      <c r="AJ121" s="16">
        <f t="shared" si="137"/>
        <v>81840151</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4">
        <f>+IF(ABRIL!A122=0,"",ABRIL!A122)</f>
        <v>2600</v>
      </c>
      <c r="B122" s="627" t="str">
        <f>+IF(ABRIL!B122=0,"",ABRIL!B122)</f>
        <v>RECUPERACIÓN DE CARTERA (AÑO 2015 Y ANTERIORES)</v>
      </c>
      <c r="C122" s="671">
        <f>+ENERO!C122</f>
        <v>9052927194</v>
      </c>
      <c r="D122" s="464">
        <f>ABRIL!D122+MAYO!P122</f>
        <v>0</v>
      </c>
      <c r="E122" s="464">
        <f>ABRIL!E122+MAYO!Q122</f>
        <v>0</v>
      </c>
      <c r="F122" s="468">
        <f t="shared" si="126"/>
        <v>9052927194</v>
      </c>
      <c r="G122" s="219">
        <f>ABRIL!I122</f>
        <v>0</v>
      </c>
      <c r="H122" s="374">
        <v>0</v>
      </c>
      <c r="I122" s="473">
        <f t="shared" si="127"/>
        <v>0</v>
      </c>
      <c r="J122" s="219">
        <f>ABRIL!L122</f>
        <v>0</v>
      </c>
      <c r="K122" s="374">
        <v>0</v>
      </c>
      <c r="L122" s="143">
        <f t="shared" si="128"/>
        <v>0</v>
      </c>
      <c r="M122" s="438">
        <f t="shared" si="129"/>
        <v>9052927194</v>
      </c>
      <c r="N122" s="143">
        <f t="shared" si="130"/>
        <v>9052927194</v>
      </c>
      <c r="P122" s="372">
        <v>0</v>
      </c>
      <c r="Q122" s="375">
        <v>0</v>
      </c>
      <c r="R122" s="9"/>
      <c r="S122" s="366" t="str">
        <f>+IF(ABRIL!S122=0,"",ABRIL!S122)</f>
        <v/>
      </c>
      <c r="T122" s="695"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5">
        <f>+IF(ABRIL!A123=0,"",ABRIL!A123)</f>
        <v>2700</v>
      </c>
      <c r="B123" s="627" t="str">
        <f>+IF(ABRIL!B123=0,"",ABRIL!B123)</f>
        <v>OTROS INGRESOS DE CAPITAL</v>
      </c>
      <c r="C123" s="671">
        <f>+ENERO!C123</f>
        <v>0</v>
      </c>
      <c r="D123" s="464">
        <f>ABRIL!D123+MAYO!P123</f>
        <v>0</v>
      </c>
      <c r="E123" s="464">
        <f>ABRIL!E123+MAYO!Q123</f>
        <v>0</v>
      </c>
      <c r="F123" s="468">
        <f t="shared" si="126"/>
        <v>0</v>
      </c>
      <c r="G123" s="219">
        <f>ABRIL!I123</f>
        <v>0</v>
      </c>
      <c r="H123" s="374">
        <v>0</v>
      </c>
      <c r="I123" s="473">
        <f t="shared" si="127"/>
        <v>0</v>
      </c>
      <c r="J123" s="219">
        <f>ABRIL!L123</f>
        <v>0</v>
      </c>
      <c r="K123" s="374">
        <v>0</v>
      </c>
      <c r="L123" s="143">
        <f t="shared" si="128"/>
        <v>0</v>
      </c>
      <c r="M123" s="438">
        <f t="shared" si="129"/>
        <v>0</v>
      </c>
      <c r="N123" s="143">
        <f t="shared" si="130"/>
        <v>0</v>
      </c>
      <c r="P123" s="372">
        <v>0</v>
      </c>
      <c r="Q123" s="375">
        <v>0</v>
      </c>
      <c r="R123" s="9"/>
      <c r="S123" s="704">
        <f>+IF(ABRIL!S123=0,"",ABRIL!S123)</f>
        <v>2010200</v>
      </c>
      <c r="T123" s="680" t="str">
        <f>+IF(ABRIL!T123=0,"",ABRIL!T123)</f>
        <v>Adquisición de Servicios</v>
      </c>
      <c r="U123" s="132">
        <f t="shared" ref="U123:AJ123" si="138">SUM(U124:U139)</f>
        <v>4658828612</v>
      </c>
      <c r="V123" s="122">
        <f t="shared" si="138"/>
        <v>442828337</v>
      </c>
      <c r="W123" s="122">
        <f t="shared" si="138"/>
        <v>1156156707</v>
      </c>
      <c r="X123" s="129">
        <f t="shared" si="138"/>
        <v>6257813656</v>
      </c>
      <c r="Y123" s="128">
        <f t="shared" si="138"/>
        <v>4912887841</v>
      </c>
      <c r="Z123" s="122">
        <f t="shared" si="138"/>
        <v>247353259</v>
      </c>
      <c r="AA123" s="129">
        <f t="shared" si="138"/>
        <v>5160241100</v>
      </c>
      <c r="AB123" s="128">
        <f t="shared" si="138"/>
        <v>2310941633</v>
      </c>
      <c r="AC123" s="122">
        <f t="shared" si="138"/>
        <v>628087151</v>
      </c>
      <c r="AD123" s="129">
        <f t="shared" si="138"/>
        <v>2939028784</v>
      </c>
      <c r="AE123" s="128">
        <f t="shared" si="138"/>
        <v>1285537442</v>
      </c>
      <c r="AF123" s="122">
        <f t="shared" si="138"/>
        <v>617339004</v>
      </c>
      <c r="AG123" s="129">
        <f t="shared" si="138"/>
        <v>1902876446</v>
      </c>
      <c r="AH123" s="128">
        <f t="shared" si="138"/>
        <v>1097572556</v>
      </c>
      <c r="AI123" s="122">
        <f t="shared" si="138"/>
        <v>3318784872</v>
      </c>
      <c r="AJ123" s="130">
        <f t="shared" si="138"/>
        <v>4354937210</v>
      </c>
      <c r="AK123" s="9"/>
      <c r="AL123" s="128">
        <f>SUM(AL124:AL139)</f>
        <v>-170000000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6">
        <f>+IF(ABRIL!A124=0,"",ABRIL!A124)</f>
        <v>2800</v>
      </c>
      <c r="B124" s="655" t="str">
        <f>+IF(ABRIL!B124=0,"",ABRIL!B124)</f>
        <v/>
      </c>
      <c r="C124" s="769">
        <f>+ENERO!C124</f>
        <v>0</v>
      </c>
      <c r="D124" s="462">
        <f>ABRIL!D124+MAYO!P124</f>
        <v>0</v>
      </c>
      <c r="E124" s="462">
        <f>ABRIL!E124+MAYO!Q124</f>
        <v>0</v>
      </c>
      <c r="F124" s="474">
        <f t="shared" si="126"/>
        <v>0</v>
      </c>
      <c r="G124" s="387">
        <f>ABRIL!I124</f>
        <v>0</v>
      </c>
      <c r="H124" s="388">
        <v>0</v>
      </c>
      <c r="I124" s="475">
        <f t="shared" si="127"/>
        <v>0</v>
      </c>
      <c r="J124" s="387">
        <f>ABRIL!L124</f>
        <v>0</v>
      </c>
      <c r="K124" s="388">
        <v>0</v>
      </c>
      <c r="L124" s="386">
        <f t="shared" si="128"/>
        <v>0</v>
      </c>
      <c r="M124" s="476">
        <f t="shared" si="129"/>
        <v>0</v>
      </c>
      <c r="N124" s="386">
        <f t="shared" si="130"/>
        <v>0</v>
      </c>
      <c r="P124" s="384">
        <v>0</v>
      </c>
      <c r="Q124" s="389">
        <v>0</v>
      </c>
      <c r="R124" s="9"/>
      <c r="S124" s="705" t="str">
        <f>+IF(ABRIL!S124=0,"",ABRIL!S124)</f>
        <v>2010200-1</v>
      </c>
      <c r="T124" s="681" t="str">
        <f>+IF(ABRIL!T124=0,"",ABRIL!T124)</f>
        <v>Seguros</v>
      </c>
      <c r="U124" s="27">
        <f>+ENERO!U124</f>
        <v>350000000</v>
      </c>
      <c r="V124" s="15">
        <f>ABRIL!V124+MAYO!AL124</f>
        <v>21168059</v>
      </c>
      <c r="W124" s="15">
        <f>ABRIL!W124+MAYO!AM124</f>
        <v>0</v>
      </c>
      <c r="X124" s="18">
        <f t="shared" ref="X124:X139" si="139">SUM(U124:W124)</f>
        <v>371168059</v>
      </c>
      <c r="Y124" s="19">
        <f>ABRIL!AA124</f>
        <v>371162371</v>
      </c>
      <c r="Z124" s="374">
        <v>5688</v>
      </c>
      <c r="AA124" s="18">
        <f t="shared" ref="AA124:AA139" si="140">SUM(Y124:Z124)</f>
        <v>371168059</v>
      </c>
      <c r="AB124" s="19">
        <f>ABRIL!AD124</f>
        <v>371127514</v>
      </c>
      <c r="AC124" s="374">
        <v>5688</v>
      </c>
      <c r="AD124" s="18">
        <f t="shared" ref="AD124:AD139" si="141">SUM(AB124:AC124)</f>
        <v>371133202</v>
      </c>
      <c r="AE124" s="19">
        <f>ABRIL!AG124</f>
        <v>269832188</v>
      </c>
      <c r="AF124" s="374">
        <v>98653029</v>
      </c>
      <c r="AG124" s="18">
        <f t="shared" ref="AG124:AG139" si="142">SUM(AE124:AF124)</f>
        <v>368485217</v>
      </c>
      <c r="AH124" s="19">
        <f t="shared" ref="AH124:AH139" si="143">X124-AA124</f>
        <v>0</v>
      </c>
      <c r="AI124" s="15">
        <f t="shared" ref="AI124:AI139" si="144">X124-AD124</f>
        <v>34857</v>
      </c>
      <c r="AJ124" s="16">
        <f t="shared" ref="AJ124:AJ139" si="145">X124-AG124</f>
        <v>2682842</v>
      </c>
      <c r="AK124" s="9"/>
      <c r="AL124" s="372">
        <v>5688</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tr">
        <f>+IF(ABRIL!S125=0,"",ABRIL!S125)</f>
        <v>2010200-2</v>
      </c>
      <c r="T125" s="681" t="str">
        <f>+IF(ABRIL!T125=0,"",ABRIL!T125)</f>
        <v>Impresos y Publicaciones</v>
      </c>
      <c r="U125" s="27">
        <f>+ENERO!U125</f>
        <v>60000000</v>
      </c>
      <c r="V125" s="15">
        <f>ABRIL!V125+MAYO!AL125</f>
        <v>-5688</v>
      </c>
      <c r="W125" s="15">
        <f>ABRIL!W125+MAYO!AM125</f>
        <v>0</v>
      </c>
      <c r="X125" s="18">
        <f t="shared" si="139"/>
        <v>59994312</v>
      </c>
      <c r="Y125" s="19">
        <f>ABRIL!AA125</f>
        <v>48655000</v>
      </c>
      <c r="Z125" s="374">
        <v>0</v>
      </c>
      <c r="AA125" s="18">
        <f t="shared" si="140"/>
        <v>48655000</v>
      </c>
      <c r="AB125" s="19">
        <f>ABRIL!AD125</f>
        <v>19300000</v>
      </c>
      <c r="AC125" s="374">
        <v>24000000</v>
      </c>
      <c r="AD125" s="18">
        <f t="shared" si="141"/>
        <v>43300000</v>
      </c>
      <c r="AE125" s="19">
        <f>ABRIL!AG125</f>
        <v>9710000</v>
      </c>
      <c r="AF125" s="374">
        <v>17272728</v>
      </c>
      <c r="AG125" s="18">
        <f t="shared" si="142"/>
        <v>26982728</v>
      </c>
      <c r="AH125" s="19">
        <f t="shared" si="143"/>
        <v>11339312</v>
      </c>
      <c r="AI125" s="15">
        <f t="shared" si="144"/>
        <v>16694312</v>
      </c>
      <c r="AJ125" s="16">
        <f t="shared" si="145"/>
        <v>33011584</v>
      </c>
      <c r="AK125" s="9"/>
      <c r="AL125" s="372">
        <v>-5688</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5" t="s">
        <v>246</v>
      </c>
      <c r="B126" s="656"/>
      <c r="C126" s="477">
        <f t="shared" ref="C126:N126" si="146">C8-C128</f>
        <v>41169250887</v>
      </c>
      <c r="D126" s="477">
        <f t="shared" si="146"/>
        <v>0</v>
      </c>
      <c r="E126" s="477">
        <f t="shared" si="146"/>
        <v>628763987</v>
      </c>
      <c r="F126" s="477">
        <f t="shared" si="146"/>
        <v>41798014874</v>
      </c>
      <c r="G126" s="477">
        <f t="shared" si="146"/>
        <v>15094723022</v>
      </c>
      <c r="H126" s="477">
        <f t="shared" si="146"/>
        <v>3925477193</v>
      </c>
      <c r="I126" s="477">
        <f t="shared" si="146"/>
        <v>19020200215</v>
      </c>
      <c r="J126" s="477">
        <f t="shared" si="146"/>
        <v>1250935768</v>
      </c>
      <c r="K126" s="477">
        <f t="shared" si="146"/>
        <v>1794262291</v>
      </c>
      <c r="L126" s="477">
        <f t="shared" si="146"/>
        <v>3045198059</v>
      </c>
      <c r="M126" s="477">
        <f t="shared" si="146"/>
        <v>31830741853</v>
      </c>
      <c r="N126" s="613">
        <f t="shared" si="146"/>
        <v>38752816815</v>
      </c>
      <c r="P126" s="478">
        <f>P8-P128</f>
        <v>0</v>
      </c>
      <c r="Q126" s="479">
        <f>Q8-Q128</f>
        <v>0</v>
      </c>
      <c r="R126" s="9"/>
      <c r="S126" s="705" t="str">
        <f>+IF(ABRIL!S126=0,"",ABRIL!S126)</f>
        <v>2010200-3</v>
      </c>
      <c r="T126" s="681" t="str">
        <f>+IF(ABRIL!T126=0,"",ABRIL!T126)</f>
        <v xml:space="preserve">Servicios Públicos </v>
      </c>
      <c r="U126" s="27">
        <f>+ENERO!U126</f>
        <v>904500000</v>
      </c>
      <c r="V126" s="15">
        <f>ABRIL!V126+MAYO!AL126</f>
        <v>0</v>
      </c>
      <c r="W126" s="15">
        <f>ABRIL!W126+MAYO!AM126</f>
        <v>0</v>
      </c>
      <c r="X126" s="18">
        <f t="shared" si="139"/>
        <v>904500000</v>
      </c>
      <c r="Y126" s="19">
        <f>ABRIL!AA126</f>
        <v>385597959</v>
      </c>
      <c r="Z126" s="374">
        <v>94238110</v>
      </c>
      <c r="AA126" s="18">
        <f t="shared" si="140"/>
        <v>479836069</v>
      </c>
      <c r="AB126" s="19">
        <f>ABRIL!AD126</f>
        <v>385555012</v>
      </c>
      <c r="AC126" s="374">
        <v>94212772</v>
      </c>
      <c r="AD126" s="18">
        <f t="shared" si="141"/>
        <v>479767784</v>
      </c>
      <c r="AE126" s="19">
        <f>ABRIL!AG126</f>
        <v>358184289</v>
      </c>
      <c r="AF126" s="374">
        <v>71348369</v>
      </c>
      <c r="AG126" s="18">
        <f t="shared" si="142"/>
        <v>429532658</v>
      </c>
      <c r="AH126" s="19">
        <f t="shared" si="143"/>
        <v>424663931</v>
      </c>
      <c r="AI126" s="15">
        <f t="shared" si="144"/>
        <v>424732216</v>
      </c>
      <c r="AJ126" s="16">
        <f t="shared" si="145"/>
        <v>474967342</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68"/>
      <c r="B127" s="653"/>
      <c r="C127" s="480"/>
      <c r="D127" s="480"/>
      <c r="E127" s="480"/>
      <c r="F127" s="480"/>
      <c r="G127" s="480"/>
      <c r="H127" s="480"/>
      <c r="I127" s="480"/>
      <c r="J127" s="480"/>
      <c r="K127" s="480"/>
      <c r="L127" s="480"/>
      <c r="M127" s="480"/>
      <c r="N127" s="481"/>
      <c r="P127" s="482"/>
      <c r="Q127" s="481"/>
      <c r="R127" s="9"/>
      <c r="S127" s="705" t="str">
        <f>+IF(ABRIL!S127=0,"",ABRIL!S127)</f>
        <v>2010200-4</v>
      </c>
      <c r="T127" s="681" t="str">
        <f>+IF(ABRIL!T127=0,"",ABRIL!T127)</f>
        <v>Comunicaciones y Transportes</v>
      </c>
      <c r="U127" s="27">
        <f>+ENERO!U127</f>
        <v>35257108</v>
      </c>
      <c r="V127" s="15">
        <f>ABRIL!V127+MAYO!AL127</f>
        <v>0</v>
      </c>
      <c r="W127" s="15">
        <f>ABRIL!W127+MAYO!AM127</f>
        <v>0</v>
      </c>
      <c r="X127" s="18">
        <f t="shared" si="139"/>
        <v>35257108</v>
      </c>
      <c r="Y127" s="19">
        <f>ABRIL!AA127</f>
        <v>26033171</v>
      </c>
      <c r="Z127" s="374">
        <v>933900</v>
      </c>
      <c r="AA127" s="18">
        <f t="shared" si="140"/>
        <v>26967071</v>
      </c>
      <c r="AB127" s="19">
        <f>ABRIL!AD127</f>
        <v>6851353</v>
      </c>
      <c r="AC127" s="374">
        <v>2842992</v>
      </c>
      <c r="AD127" s="18">
        <f t="shared" si="141"/>
        <v>9694345</v>
      </c>
      <c r="AE127" s="19">
        <f>ABRIL!AG127</f>
        <v>5818367</v>
      </c>
      <c r="AF127" s="374">
        <v>1966886</v>
      </c>
      <c r="AG127" s="18">
        <f t="shared" si="142"/>
        <v>7785253</v>
      </c>
      <c r="AH127" s="19">
        <f t="shared" si="143"/>
        <v>8290037</v>
      </c>
      <c r="AI127" s="15">
        <f t="shared" si="144"/>
        <v>25562763</v>
      </c>
      <c r="AJ127" s="16">
        <f t="shared" si="145"/>
        <v>27471855</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6" t="s">
        <v>249</v>
      </c>
      <c r="B128" s="657"/>
      <c r="C128" s="483">
        <f>SUMIF($B8:$B$122,$B$24,C8:C122)+C122</f>
        <v>9052927194</v>
      </c>
      <c r="D128" s="483">
        <f>SUMIF($B8:$B$122,$B$24,D8:D122)+D122</f>
        <v>0</v>
      </c>
      <c r="E128" s="483">
        <f>SUMIF($B8:$B$122,$B$24,E8:E122)+E122</f>
        <v>7584548614</v>
      </c>
      <c r="F128" s="483">
        <f>SUMIF($B8:$B$122,$B$24,F8:F122)+F122</f>
        <v>16637475808</v>
      </c>
      <c r="G128" s="483">
        <f>SUMIF($B8:$B$122,$B$24,G8:G122)+G122</f>
        <v>11883801151</v>
      </c>
      <c r="H128" s="483">
        <f>SUMIF($B8:$B$122,$B$24,H8:H122)+H122</f>
        <v>1610124506</v>
      </c>
      <c r="I128" s="483">
        <f>SUMIF($B8:$B$122,$B$24,I8:I122)+I122</f>
        <v>13493925657</v>
      </c>
      <c r="J128" s="483">
        <f>SUMIF($B8:$B$122,$B$24,J8:J122)+J1212</f>
        <v>11883801151</v>
      </c>
      <c r="K128" s="483">
        <f>SUMIF($B8:$B$122,$B$24,K8:K122)+K122</f>
        <v>1610124506</v>
      </c>
      <c r="L128" s="483">
        <f>SUMIF($B8:$B$122,$B$24,L8:L122)+L122</f>
        <v>13493925657</v>
      </c>
      <c r="M128" s="483">
        <f>SUMIF($B8:$B$122,$B$24,M8:M122)+M12</f>
        <v>-5909377043</v>
      </c>
      <c r="N128" s="614">
        <f>SUMIF($B8:$B$122,$B$24,N8:N122)+N122</f>
        <v>3143550151</v>
      </c>
      <c r="O128" s="461"/>
      <c r="P128" s="483">
        <f>SUMIF($B8:$B$122,$B$24,P8:P122)+P122</f>
        <v>0</v>
      </c>
      <c r="Q128" s="484">
        <f>SUMIF($B8:$B$122,$B$24,Q8:Q122)+Q122</f>
        <v>0</v>
      </c>
      <c r="R128" s="9"/>
      <c r="S128" s="705" t="str">
        <f>+IF(ABRIL!S128=0,"",ABRIL!S128)</f>
        <v>2010200-5</v>
      </c>
      <c r="T128" s="681" t="str">
        <f>+IF(ABRIL!T128=0,"",ABRIL!T128)</f>
        <v>Viáticos y Gastos de Viaje</v>
      </c>
      <c r="U128" s="27">
        <f>+ENERO!U128</f>
        <v>12609000</v>
      </c>
      <c r="V128" s="15">
        <f>ABRIL!V128+MAYO!AL128</f>
        <v>0</v>
      </c>
      <c r="W128" s="15">
        <f>ABRIL!W128+MAYO!AM128</f>
        <v>0</v>
      </c>
      <c r="X128" s="18">
        <f t="shared" si="139"/>
        <v>12609000</v>
      </c>
      <c r="Y128" s="19">
        <f>ABRIL!AA128</f>
        <v>1704874</v>
      </c>
      <c r="Z128" s="374">
        <v>0</v>
      </c>
      <c r="AA128" s="18">
        <f t="shared" si="140"/>
        <v>1704874</v>
      </c>
      <c r="AB128" s="19">
        <f>ABRIL!AD128</f>
        <v>1704874</v>
      </c>
      <c r="AC128" s="374">
        <v>0</v>
      </c>
      <c r="AD128" s="18">
        <f t="shared" si="141"/>
        <v>1704874</v>
      </c>
      <c r="AE128" s="19">
        <f>ABRIL!AG128</f>
        <v>1704874</v>
      </c>
      <c r="AF128" s="374">
        <v>0</v>
      </c>
      <c r="AG128" s="18">
        <f t="shared" si="142"/>
        <v>1704874</v>
      </c>
      <c r="AH128" s="19">
        <f t="shared" si="143"/>
        <v>10904126</v>
      </c>
      <c r="AI128" s="15">
        <f t="shared" si="144"/>
        <v>10904126</v>
      </c>
      <c r="AJ128" s="16">
        <f t="shared" si="145"/>
        <v>10904126</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68"/>
      <c r="B129" s="653"/>
      <c r="C129" s="480"/>
      <c r="D129" s="480"/>
      <c r="E129" s="480"/>
      <c r="F129" s="480"/>
      <c r="G129" s="480"/>
      <c r="H129" s="480"/>
      <c r="I129" s="480"/>
      <c r="J129" s="480"/>
      <c r="K129" s="480"/>
      <c r="L129" s="480"/>
      <c r="M129" s="480"/>
      <c r="N129" s="481"/>
      <c r="P129" s="482"/>
      <c r="Q129" s="481"/>
      <c r="R129" s="9"/>
      <c r="S129" s="705" t="str">
        <f>+IF(ABRIL!S129=0,"",ABRIL!S129)</f>
        <v>2010200-6</v>
      </c>
      <c r="T129" s="681" t="str">
        <f>+IF(ABRIL!T129=0,"",ABRIL!T129)</f>
        <v>Arrendamientos</v>
      </c>
      <c r="U129" s="27">
        <f>+ENERO!U129</f>
        <v>1100000000</v>
      </c>
      <c r="V129" s="15">
        <f>ABRIL!V129+MAYO!AL129</f>
        <v>1164817483</v>
      </c>
      <c r="W129" s="15">
        <f>ABRIL!W129+MAYO!AM129</f>
        <v>10000000</v>
      </c>
      <c r="X129" s="18">
        <f t="shared" si="139"/>
        <v>2274817483</v>
      </c>
      <c r="Y129" s="19">
        <f>ABRIL!AA129</f>
        <v>2269107100</v>
      </c>
      <c r="Z129" s="374">
        <v>0</v>
      </c>
      <c r="AA129" s="18">
        <f t="shared" si="140"/>
        <v>2269107100</v>
      </c>
      <c r="AB129" s="19">
        <f>ABRIL!AD129</f>
        <v>812349464</v>
      </c>
      <c r="AC129" s="374">
        <v>203373527</v>
      </c>
      <c r="AD129" s="18">
        <f t="shared" si="141"/>
        <v>1015722991</v>
      </c>
      <c r="AE129" s="19">
        <f>ABRIL!AG129</f>
        <v>351121555</v>
      </c>
      <c r="AF129" s="374">
        <v>278471652</v>
      </c>
      <c r="AG129" s="18">
        <f t="shared" si="142"/>
        <v>629593207</v>
      </c>
      <c r="AH129" s="19">
        <f t="shared" si="143"/>
        <v>5710383</v>
      </c>
      <c r="AI129" s="15">
        <f t="shared" si="144"/>
        <v>1259094492</v>
      </c>
      <c r="AJ129" s="16">
        <f t="shared" si="145"/>
        <v>1645224276</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7" t="s">
        <v>252</v>
      </c>
      <c r="B130" s="658"/>
      <c r="C130" s="485">
        <f t="shared" ref="C130:N130" si="147">C128+C126</f>
        <v>50222178081</v>
      </c>
      <c r="D130" s="486">
        <f t="shared" si="147"/>
        <v>0</v>
      </c>
      <c r="E130" s="486">
        <f t="shared" si="147"/>
        <v>8213312601</v>
      </c>
      <c r="F130" s="487">
        <f t="shared" si="147"/>
        <v>58435490682</v>
      </c>
      <c r="G130" s="485">
        <f t="shared" si="147"/>
        <v>26978524173</v>
      </c>
      <c r="H130" s="486">
        <f t="shared" si="147"/>
        <v>5535601699</v>
      </c>
      <c r="I130" s="487">
        <f t="shared" si="147"/>
        <v>32514125872</v>
      </c>
      <c r="J130" s="485">
        <f t="shared" si="147"/>
        <v>13134736919</v>
      </c>
      <c r="K130" s="486">
        <f t="shared" si="147"/>
        <v>3404386797</v>
      </c>
      <c r="L130" s="487">
        <f t="shared" si="147"/>
        <v>16539123716</v>
      </c>
      <c r="M130" s="485">
        <f t="shared" si="147"/>
        <v>25921364810</v>
      </c>
      <c r="N130" s="487">
        <f t="shared" si="147"/>
        <v>41896366966</v>
      </c>
      <c r="P130" s="478">
        <f>P128+P126</f>
        <v>0</v>
      </c>
      <c r="Q130" s="479">
        <f>Q128+Q126</f>
        <v>0</v>
      </c>
      <c r="R130" s="9"/>
      <c r="S130" s="705" t="str">
        <f>+IF(ABRIL!S130=0,"",ABRIL!S130)</f>
        <v>2010200-7</v>
      </c>
      <c r="T130" s="681" t="str">
        <f>+IF(ABRIL!T130=0,"",ABRIL!T130)</f>
        <v>Vigilancia y Aseo</v>
      </c>
      <c r="U130" s="27">
        <f>+ENERO!U130</f>
        <v>2121073970</v>
      </c>
      <c r="V130" s="15">
        <f>ABRIL!V130+MAYO!AL130</f>
        <v>-16025517</v>
      </c>
      <c r="W130" s="15">
        <f>ABRIL!W130+MAYO!AM130</f>
        <v>0</v>
      </c>
      <c r="X130" s="18">
        <f t="shared" si="139"/>
        <v>2105048453</v>
      </c>
      <c r="Y130" s="19">
        <f>ABRIL!AA130</f>
        <v>1644784174</v>
      </c>
      <c r="Z130" s="374">
        <v>0</v>
      </c>
      <c r="AA130" s="18">
        <f t="shared" si="140"/>
        <v>1644784174</v>
      </c>
      <c r="AB130" s="19">
        <f>ABRIL!AD130</f>
        <v>551518224</v>
      </c>
      <c r="AC130" s="374">
        <v>149212934</v>
      </c>
      <c r="AD130" s="18">
        <f t="shared" si="141"/>
        <v>700731158</v>
      </c>
      <c r="AE130" s="19">
        <f>ABRIL!AG130</f>
        <v>130014249</v>
      </c>
      <c r="AF130" s="374">
        <v>0</v>
      </c>
      <c r="AG130" s="18">
        <f t="shared" si="142"/>
        <v>130014249</v>
      </c>
      <c r="AH130" s="19">
        <f t="shared" si="143"/>
        <v>460264279</v>
      </c>
      <c r="AI130" s="15">
        <f t="shared" si="144"/>
        <v>1404317295</v>
      </c>
      <c r="AJ130" s="16">
        <f t="shared" si="145"/>
        <v>1975034204</v>
      </c>
      <c r="AK130" s="9"/>
      <c r="AL130" s="372">
        <v>-12000000</v>
      </c>
      <c r="AM130" s="375">
        <v>0</v>
      </c>
      <c r="AN130" s="9"/>
      <c r="AO130" s="294"/>
      <c r="AP130" s="294"/>
      <c r="AQ130" s="294"/>
      <c r="AR130" s="294"/>
      <c r="AS130" s="294"/>
      <c r="AT130" s="294"/>
      <c r="AU130" s="294"/>
      <c r="AV130" s="294"/>
      <c r="AW130" s="294"/>
      <c r="AX130" s="294"/>
      <c r="AY130" s="294"/>
      <c r="AZ130" s="294"/>
    </row>
    <row r="131" spans="1:52" s="382" customFormat="1" ht="24.95" customHeight="1">
      <c r="A131" s="752"/>
      <c r="B131" s="660"/>
      <c r="N131" s="9"/>
      <c r="R131" s="9"/>
      <c r="S131" s="705" t="str">
        <f>+IF(ABRIL!S131=0,"",ABRIL!S131)</f>
        <v>2010200-8</v>
      </c>
      <c r="T131" s="681" t="str">
        <f>+IF(ABRIL!T131=0,"",ABRIL!T131)</f>
        <v>Bienestar Social</v>
      </c>
      <c r="U131" s="27">
        <f>+ENERO!U131</f>
        <v>45388534</v>
      </c>
      <c r="V131" s="15">
        <f>ABRIL!V131+MAYO!AL131</f>
        <v>0</v>
      </c>
      <c r="W131" s="15">
        <f>ABRIL!W131+MAYO!AM131</f>
        <v>26156707</v>
      </c>
      <c r="X131" s="18">
        <f t="shared" si="139"/>
        <v>71545241</v>
      </c>
      <c r="Y131" s="19">
        <f>ABRIL!AA131</f>
        <v>13029000</v>
      </c>
      <c r="Z131" s="374">
        <v>2347415</v>
      </c>
      <c r="AA131" s="18">
        <f t="shared" si="140"/>
        <v>15376415</v>
      </c>
      <c r="AB131" s="19">
        <f>ABRIL!AD131</f>
        <v>9721000</v>
      </c>
      <c r="AC131" s="374">
        <v>4611092</v>
      </c>
      <c r="AD131" s="18">
        <f t="shared" si="141"/>
        <v>14332092</v>
      </c>
      <c r="AE131" s="19">
        <f>ABRIL!AG131</f>
        <v>6606800</v>
      </c>
      <c r="AF131" s="374">
        <v>0</v>
      </c>
      <c r="AG131" s="18">
        <f t="shared" si="142"/>
        <v>6606800</v>
      </c>
      <c r="AH131" s="19">
        <f t="shared" si="143"/>
        <v>56168826</v>
      </c>
      <c r="AI131" s="15">
        <f t="shared" si="144"/>
        <v>57213149</v>
      </c>
      <c r="AJ131" s="16">
        <f t="shared" si="145"/>
        <v>64938441</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2"/>
      <c r="B132" s="660"/>
      <c r="N132" s="9"/>
      <c r="R132" s="9"/>
      <c r="S132" s="705" t="str">
        <f>+IF(ABRIL!S132=0,"",ABRIL!S132)</f>
        <v>2010200-9</v>
      </c>
      <c r="T132" s="681" t="str">
        <f>+IF(ABRIL!T132=0,"",ABRIL!T132)</f>
        <v>Capacitación, estimulos, incentivos, programa de calidad</v>
      </c>
      <c r="U132" s="27">
        <f>+ENERO!U132</f>
        <v>15000000</v>
      </c>
      <c r="V132" s="15">
        <f>ABRIL!V132+MAYO!AL132</f>
        <v>0</v>
      </c>
      <c r="W132" s="15">
        <f>ABRIL!W132+MAYO!AM132</f>
        <v>0</v>
      </c>
      <c r="X132" s="18">
        <f t="shared" si="139"/>
        <v>15000000</v>
      </c>
      <c r="Y132" s="19">
        <f>ABRIL!AA132</f>
        <v>0</v>
      </c>
      <c r="Z132" s="374">
        <v>0</v>
      </c>
      <c r="AA132" s="18">
        <f t="shared" si="140"/>
        <v>0</v>
      </c>
      <c r="AB132" s="19">
        <f>ABRIL!AD132</f>
        <v>0</v>
      </c>
      <c r="AC132" s="374">
        <v>0</v>
      </c>
      <c r="AD132" s="18">
        <f t="shared" si="141"/>
        <v>0</v>
      </c>
      <c r="AE132" s="19">
        <f>ABRIL!AG132</f>
        <v>0</v>
      </c>
      <c r="AF132" s="374">
        <v>0</v>
      </c>
      <c r="AG132" s="18">
        <f t="shared" si="142"/>
        <v>0</v>
      </c>
      <c r="AH132" s="19">
        <f t="shared" si="143"/>
        <v>15000000</v>
      </c>
      <c r="AI132" s="15">
        <f t="shared" si="144"/>
        <v>15000000</v>
      </c>
      <c r="AJ132" s="16">
        <f t="shared" si="145"/>
        <v>15000000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2"/>
      <c r="B133" s="660"/>
      <c r="N133" s="9"/>
      <c r="R133" s="9"/>
      <c r="S133" s="705" t="str">
        <f>+IF(ABRIL!S133=0,"",ABRIL!S133)</f>
        <v>2010200-10</v>
      </c>
      <c r="T133" s="681" t="str">
        <f>+IF(ABRIL!T133=0,"",ABRIL!T133)</f>
        <v>Pagos otras IPS</v>
      </c>
      <c r="U133" s="27">
        <f>+ENERO!U133</f>
        <v>5000000</v>
      </c>
      <c r="V133" s="15">
        <f>ABRIL!V133+MAYO!AL133</f>
        <v>0</v>
      </c>
      <c r="W133" s="15">
        <f>ABRIL!W133+MAYO!AM133</f>
        <v>0</v>
      </c>
      <c r="X133" s="18">
        <f t="shared" si="139"/>
        <v>5000000</v>
      </c>
      <c r="Y133" s="19">
        <f>ABRIL!AA133</f>
        <v>0</v>
      </c>
      <c r="Z133" s="374">
        <v>0</v>
      </c>
      <c r="AA133" s="18">
        <f t="shared" si="140"/>
        <v>0</v>
      </c>
      <c r="AB133" s="19">
        <f>ABRIL!AD133</f>
        <v>0</v>
      </c>
      <c r="AC133" s="374">
        <v>0</v>
      </c>
      <c r="AD133" s="18">
        <f t="shared" si="141"/>
        <v>0</v>
      </c>
      <c r="AE133" s="19">
        <f>ABRIL!AG133</f>
        <v>0</v>
      </c>
      <c r="AF133" s="374">
        <v>0</v>
      </c>
      <c r="AG133" s="18">
        <f t="shared" si="142"/>
        <v>0</v>
      </c>
      <c r="AH133" s="19">
        <f t="shared" si="143"/>
        <v>5000000</v>
      </c>
      <c r="AI133" s="15">
        <f t="shared" si="144"/>
        <v>5000000</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2"/>
      <c r="B134" s="660"/>
      <c r="N134" s="9"/>
      <c r="R134" s="9"/>
      <c r="S134" s="705" t="str">
        <f>+IF(ABRIL!S134=0,"",ABRIL!S134)</f>
        <v>2010200-11</v>
      </c>
      <c r="T134" s="681" t="str">
        <f>+IF(ABRIL!T134=0,"",ABRIL!T134)</f>
        <v>Gastos financieros</v>
      </c>
      <c r="U134" s="27">
        <f>+ENERO!U134</f>
        <v>10000000</v>
      </c>
      <c r="V134" s="15">
        <f>ABRIL!V134+MAYO!AL134</f>
        <v>12000000</v>
      </c>
      <c r="W134" s="15">
        <f>ABRIL!W134+MAYO!AM134</f>
        <v>0</v>
      </c>
      <c r="X134" s="18">
        <f t="shared" si="139"/>
        <v>22000000</v>
      </c>
      <c r="Y134" s="19">
        <f>ABRIL!AA134</f>
        <v>1840192</v>
      </c>
      <c r="Z134" s="374">
        <v>17957577</v>
      </c>
      <c r="AA134" s="18">
        <f t="shared" si="140"/>
        <v>19797769</v>
      </c>
      <c r="AB134" s="19">
        <f>ABRIL!AD134</f>
        <v>1840192</v>
      </c>
      <c r="AC134" s="374">
        <v>17957577</v>
      </c>
      <c r="AD134" s="18">
        <f t="shared" si="141"/>
        <v>19797769</v>
      </c>
      <c r="AE134" s="19">
        <f>ABRIL!AG134</f>
        <v>1571120</v>
      </c>
      <c r="AF134" s="374">
        <v>17755771</v>
      </c>
      <c r="AG134" s="18">
        <f t="shared" si="142"/>
        <v>19326891</v>
      </c>
      <c r="AH134" s="19">
        <f t="shared" si="143"/>
        <v>2202231</v>
      </c>
      <c r="AI134" s="15">
        <f t="shared" si="144"/>
        <v>2202231</v>
      </c>
      <c r="AJ134" s="16">
        <f t="shared" si="145"/>
        <v>2673109</v>
      </c>
      <c r="AK134" s="9"/>
      <c r="AL134" s="372">
        <f>4000000+8000000</f>
        <v>12000000</v>
      </c>
      <c r="AM134" s="375">
        <v>0</v>
      </c>
      <c r="AN134" s="9"/>
      <c r="AO134" s="294"/>
      <c r="AP134" s="294"/>
      <c r="AQ134" s="294"/>
      <c r="AR134" s="294"/>
      <c r="AS134" s="294"/>
      <c r="AT134" s="294"/>
      <c r="AU134" s="294"/>
      <c r="AV134" s="294"/>
      <c r="AW134" s="294"/>
      <c r="AX134" s="294"/>
      <c r="AY134" s="294"/>
      <c r="AZ134" s="294"/>
    </row>
    <row r="135" spans="1:52" s="382" customFormat="1" ht="24.95" customHeight="1">
      <c r="A135" s="752"/>
      <c r="B135" s="660"/>
      <c r="N135" s="9"/>
      <c r="R135" s="9"/>
      <c r="S135" s="705" t="str">
        <f>+IF(ABRIL!S135=0,"",ABRIL!S135)</f>
        <v>2010200-12</v>
      </c>
      <c r="T135" s="681" t="str">
        <f>+IF(ABRIL!T135=0,"",ABRIL!T135)</f>
        <v/>
      </c>
      <c r="U135" s="27">
        <f>+ENERO!U135</f>
        <v>0</v>
      </c>
      <c r="V135" s="15">
        <f>ABRIL!V135+MAYO!AL135</f>
        <v>0</v>
      </c>
      <c r="W135" s="15">
        <f>ABRIL!W135+MAYO!AM135</f>
        <v>0</v>
      </c>
      <c r="X135" s="18">
        <f t="shared" si="139"/>
        <v>0</v>
      </c>
      <c r="Y135" s="19">
        <f>ABRIL!AA135</f>
        <v>0</v>
      </c>
      <c r="Z135" s="374">
        <v>0</v>
      </c>
      <c r="AA135" s="18">
        <f t="shared" si="140"/>
        <v>0</v>
      </c>
      <c r="AB135" s="19">
        <f>ABRIL!AD135</f>
        <v>0</v>
      </c>
      <c r="AC135" s="374">
        <v>0</v>
      </c>
      <c r="AD135" s="18">
        <f t="shared" si="141"/>
        <v>0</v>
      </c>
      <c r="AE135" s="19">
        <f>ABRIL!AG135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2"/>
      <c r="B136" s="660"/>
      <c r="N136" s="9"/>
      <c r="R136" s="9"/>
      <c r="S136" s="705" t="str">
        <f>+IF(ABRIL!S136=0,"",ABRIL!S136)</f>
        <v>2010200-13</v>
      </c>
      <c r="T136" s="681" t="str">
        <f>+IF(ABRIL!T136=0,"",ABRIL!T136)</f>
        <v/>
      </c>
      <c r="U136" s="27">
        <f>+ENERO!U136</f>
        <v>0</v>
      </c>
      <c r="V136" s="15">
        <f>ABRIL!V136+MAYO!AL136</f>
        <v>0</v>
      </c>
      <c r="W136" s="15">
        <f>ABRIL!W136+MAYO!AM136</f>
        <v>0</v>
      </c>
      <c r="X136" s="18">
        <f t="shared" si="139"/>
        <v>0</v>
      </c>
      <c r="Y136" s="19">
        <f>ABRIL!AA136</f>
        <v>0</v>
      </c>
      <c r="Z136" s="374">
        <v>0</v>
      </c>
      <c r="AA136" s="18">
        <f t="shared" si="140"/>
        <v>0</v>
      </c>
      <c r="AB136" s="19">
        <f>ABRIL!AD136</f>
        <v>0</v>
      </c>
      <c r="AC136" s="374">
        <v>0</v>
      </c>
      <c r="AD136" s="18">
        <f t="shared" si="141"/>
        <v>0</v>
      </c>
      <c r="AE136" s="19">
        <f>ABRIL!AG136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2"/>
      <c r="B137" s="660"/>
      <c r="N137" s="9"/>
      <c r="R137" s="9"/>
      <c r="S137" s="705" t="str">
        <f>+IF(ABRIL!S137=0,"",ABRIL!S137)</f>
        <v>2010020-14</v>
      </c>
      <c r="T137" s="681" t="str">
        <f>+IF(ABRIL!T137=0,"",ABRIL!T137)</f>
        <v/>
      </c>
      <c r="U137" s="27">
        <f>+ENERO!U137</f>
        <v>0</v>
      </c>
      <c r="V137" s="15">
        <f>ABRIL!V137+MAYO!AL137</f>
        <v>0</v>
      </c>
      <c r="W137" s="15">
        <f>ABRIL!W137+MAYO!AM137</f>
        <v>0</v>
      </c>
      <c r="X137" s="18">
        <f t="shared" si="139"/>
        <v>0</v>
      </c>
      <c r="Y137" s="19">
        <f>ABRIL!AA137</f>
        <v>0</v>
      </c>
      <c r="Z137" s="374">
        <v>0</v>
      </c>
      <c r="AA137" s="18">
        <f t="shared" si="140"/>
        <v>0</v>
      </c>
      <c r="AB137" s="19">
        <f>ABRIL!AD137</f>
        <v>0</v>
      </c>
      <c r="AC137" s="374">
        <v>0</v>
      </c>
      <c r="AD137" s="18">
        <f t="shared" si="141"/>
        <v>0</v>
      </c>
      <c r="AE137" s="19">
        <f>ABRIL!AG137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2"/>
      <c r="B138" s="660"/>
      <c r="N138" s="9"/>
      <c r="R138" s="9"/>
      <c r="S138" s="705" t="str">
        <f>+IF(ABRIL!S138=0,"",ABRIL!S138)</f>
        <v>2010200-15</v>
      </c>
      <c r="T138" s="681" t="str">
        <f>+IF(ABRIL!T138=0,"",ABRIL!T138)</f>
        <v/>
      </c>
      <c r="U138" s="27">
        <f>+ENERO!U138</f>
        <v>0</v>
      </c>
      <c r="V138" s="15">
        <f>ABRIL!V138+MAYO!AL138</f>
        <v>0</v>
      </c>
      <c r="W138" s="15">
        <f>ABRIL!W138+MAYO!AM138</f>
        <v>0</v>
      </c>
      <c r="X138" s="18">
        <f t="shared" si="139"/>
        <v>0</v>
      </c>
      <c r="Y138" s="19">
        <f>ABRIL!AA138</f>
        <v>0</v>
      </c>
      <c r="Z138" s="374">
        <v>0</v>
      </c>
      <c r="AA138" s="18">
        <f t="shared" si="140"/>
        <v>0</v>
      </c>
      <c r="AB138" s="19">
        <f>ABRIL!AD138</f>
        <v>0</v>
      </c>
      <c r="AC138" s="374">
        <v>0</v>
      </c>
      <c r="AD138" s="18">
        <f t="shared" si="141"/>
        <v>0</v>
      </c>
      <c r="AE138" s="19">
        <f>ABRIL!AG138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2"/>
      <c r="B139" s="660"/>
      <c r="N139" s="9"/>
      <c r="R139" s="9"/>
      <c r="S139" s="705">
        <f>+IF(ABRIL!S139=0,"",ABRIL!S139)</f>
        <v>2010299</v>
      </c>
      <c r="T139" s="681" t="str">
        <f>+IF(ABRIL!T139=0,"",ABRIL!T139)</f>
        <v>Vigencias Anteriores</v>
      </c>
      <c r="U139" s="27">
        <f>+ENERO!U139</f>
        <v>0</v>
      </c>
      <c r="V139" s="15">
        <f>ABRIL!V139+MAYO!AL139</f>
        <v>-739126000</v>
      </c>
      <c r="W139" s="15">
        <f>ABRIL!W139+MAYO!AM139</f>
        <v>1120000000</v>
      </c>
      <c r="X139" s="18">
        <f t="shared" si="139"/>
        <v>380874000</v>
      </c>
      <c r="Y139" s="19">
        <f>ABRIL!AA139</f>
        <v>150974000</v>
      </c>
      <c r="Z139" s="374">
        <v>131870569</v>
      </c>
      <c r="AA139" s="18">
        <f t="shared" si="140"/>
        <v>282844569</v>
      </c>
      <c r="AB139" s="19">
        <f>ABRIL!AD139</f>
        <v>150974000</v>
      </c>
      <c r="AC139" s="374">
        <v>131870569</v>
      </c>
      <c r="AD139" s="18">
        <f t="shared" si="141"/>
        <v>282844569</v>
      </c>
      <c r="AE139" s="19">
        <f>ABRIL!AG139</f>
        <v>150974000</v>
      </c>
      <c r="AF139" s="374">
        <v>131870569</v>
      </c>
      <c r="AG139" s="18">
        <f t="shared" si="142"/>
        <v>282844569</v>
      </c>
      <c r="AH139" s="19">
        <f t="shared" si="143"/>
        <v>98029431</v>
      </c>
      <c r="AI139" s="15">
        <f t="shared" si="144"/>
        <v>98029431</v>
      </c>
      <c r="AJ139" s="16">
        <f t="shared" si="145"/>
        <v>98029431</v>
      </c>
      <c r="AK139" s="9"/>
      <c r="AL139" s="372">
        <v>-170000000</v>
      </c>
      <c r="AM139" s="375">
        <v>0</v>
      </c>
      <c r="AN139" s="9"/>
      <c r="AO139" s="294"/>
      <c r="AP139" s="294"/>
      <c r="AQ139" s="294"/>
    </row>
    <row r="140" spans="1:52" s="382" customFormat="1" ht="24.95" customHeight="1">
      <c r="A140" s="752"/>
      <c r="B140" s="660"/>
      <c r="N140" s="9"/>
      <c r="R140" s="9"/>
      <c r="S140" s="366" t="str">
        <f>+IF(ABRIL!S140=0,"",ABRIL!S140)</f>
        <v/>
      </c>
      <c r="T140" s="695"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2"/>
      <c r="B141" s="660"/>
      <c r="N141" s="9"/>
      <c r="R141" s="9"/>
      <c r="S141" s="704">
        <f>+IF(ABRIL!S141=0,"",ABRIL!S141)</f>
        <v>2010300</v>
      </c>
      <c r="T141" s="680" t="str">
        <f>+IF(ABRIL!T141=0,"",ABRIL!T141)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c r="A142" s="752"/>
      <c r="B142" s="660"/>
      <c r="N142" s="9"/>
      <c r="R142" s="9"/>
      <c r="S142" s="705" t="str">
        <f>+IF(ABRIL!S142=0,"",ABRIL!S142)</f>
        <v>2010300-1</v>
      </c>
      <c r="T142" s="681" t="str">
        <f>+IF(ABRIL!T142=0,"",ABRIL!T142)</f>
        <v>Impuestos (Predial, Vehiculos, Otros)</v>
      </c>
      <c r="U142" s="27">
        <f>+ENERO!U142</f>
        <v>0</v>
      </c>
      <c r="V142" s="15">
        <f>ABRIL!V142+MAYO!AL142</f>
        <v>0</v>
      </c>
      <c r="W142" s="15">
        <f>ABRIL!W142+MAYO!AM142</f>
        <v>0</v>
      </c>
      <c r="X142" s="18">
        <f>SUM(U142:W142)</f>
        <v>0</v>
      </c>
      <c r="Y142" s="19">
        <f>ABRIL!AA142</f>
        <v>0</v>
      </c>
      <c r="Z142" s="374">
        <v>0</v>
      </c>
      <c r="AA142" s="18">
        <f>SUM(Y142:Z142)</f>
        <v>0</v>
      </c>
      <c r="AB142" s="19">
        <f>ABRIL!AD142</f>
        <v>0</v>
      </c>
      <c r="AC142" s="374">
        <v>0</v>
      </c>
      <c r="AD142" s="18">
        <f>SUM(AB142:AC142)</f>
        <v>0</v>
      </c>
      <c r="AE142" s="19">
        <f>ABRIL!AG142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2"/>
      <c r="B143" s="660"/>
      <c r="N143" s="9"/>
      <c r="R143" s="9"/>
      <c r="S143" s="705">
        <f>+IF(ABRIL!S143=0,"",ABRIL!S143)</f>
        <v>2010399</v>
      </c>
      <c r="T143" s="681" t="str">
        <f>+IF(ABRIL!T143=0,"",ABRIL!T143)</f>
        <v>Vigencias Anteriores</v>
      </c>
      <c r="U143" s="27">
        <f>+ENERO!U143</f>
        <v>0</v>
      </c>
      <c r="V143" s="15">
        <f>ABRIL!V143+MAYO!AL143</f>
        <v>0</v>
      </c>
      <c r="W143" s="15">
        <f>ABRIL!W143+MAYO!AM143</f>
        <v>0</v>
      </c>
      <c r="X143" s="18">
        <f>SUM(U143:W143)</f>
        <v>0</v>
      </c>
      <c r="Y143" s="19">
        <f>ABRIL!AA143</f>
        <v>0</v>
      </c>
      <c r="Z143" s="374">
        <v>0</v>
      </c>
      <c r="AA143" s="18">
        <f>SUM(Y143:Z143)</f>
        <v>0</v>
      </c>
      <c r="AB143" s="19">
        <f>ABRIL!AD143</f>
        <v>0</v>
      </c>
      <c r="AC143" s="374">
        <v>0</v>
      </c>
      <c r="AD143" s="18">
        <f>SUM(AB143:AC143)</f>
        <v>0</v>
      </c>
      <c r="AE143" s="19">
        <f>ABRIL!AG143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2"/>
      <c r="B144" s="660"/>
      <c r="N144" s="9"/>
      <c r="R144" s="9"/>
      <c r="S144" s="366" t="str">
        <f>+IF(ABRIL!S144=0,"",ABRIL!S144)</f>
        <v/>
      </c>
      <c r="T144" s="695"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2"/>
      <c r="B145" s="660"/>
      <c r="N145" s="9"/>
      <c r="R145" s="9"/>
      <c r="S145" s="703">
        <f>+IF(ABRIL!S145=0,"",ABRIL!S145)</f>
        <v>2020010</v>
      </c>
      <c r="T145" s="679" t="str">
        <f>+IF(ABRIL!T145=0,"",ABRIL!T145)</f>
        <v>Gastos de Operación</v>
      </c>
      <c r="U145" s="132">
        <f t="shared" ref="U145:AJ145" si="149">U147+U155</f>
        <v>2659132662</v>
      </c>
      <c r="V145" s="122">
        <f t="shared" si="149"/>
        <v>-1395947579</v>
      </c>
      <c r="W145" s="122">
        <f t="shared" si="149"/>
        <v>1650000000</v>
      </c>
      <c r="X145" s="129">
        <f t="shared" si="149"/>
        <v>2913185083</v>
      </c>
      <c r="Y145" s="128">
        <f t="shared" si="149"/>
        <v>1380175670</v>
      </c>
      <c r="Z145" s="122">
        <f t="shared" si="149"/>
        <v>291690865</v>
      </c>
      <c r="AA145" s="129">
        <f t="shared" si="149"/>
        <v>1671866535</v>
      </c>
      <c r="AB145" s="128">
        <f t="shared" si="149"/>
        <v>805652570</v>
      </c>
      <c r="AC145" s="122">
        <f t="shared" si="149"/>
        <v>197392359</v>
      </c>
      <c r="AD145" s="129">
        <f t="shared" si="149"/>
        <v>1003044929</v>
      </c>
      <c r="AE145" s="128">
        <f t="shared" si="149"/>
        <v>410850114</v>
      </c>
      <c r="AF145" s="122">
        <f t="shared" si="149"/>
        <v>106764490</v>
      </c>
      <c r="AG145" s="129">
        <f t="shared" si="149"/>
        <v>517614604</v>
      </c>
      <c r="AH145" s="128">
        <f t="shared" si="149"/>
        <v>1241318548</v>
      </c>
      <c r="AI145" s="122">
        <f t="shared" si="149"/>
        <v>1910140154</v>
      </c>
      <c r="AJ145" s="130">
        <f t="shared" si="149"/>
        <v>2395570479</v>
      </c>
      <c r="AK145" s="10"/>
      <c r="AL145" s="128">
        <f>AL147+AL155</f>
        <v>-1180000000</v>
      </c>
      <c r="AM145" s="130">
        <f>AM147+AM155</f>
        <v>0</v>
      </c>
      <c r="AN145" s="9"/>
    </row>
    <row r="146" spans="1:40" s="382" customFormat="1" ht="24.95" customHeight="1">
      <c r="A146" s="752"/>
      <c r="B146" s="660"/>
      <c r="N146" s="9"/>
      <c r="R146" s="9"/>
      <c r="S146" s="706" t="str">
        <f>+IF(ABRIL!S146=0,"",ABRIL!S146)</f>
        <v/>
      </c>
      <c r="T146" s="682"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2"/>
      <c r="B147" s="660"/>
      <c r="N147" s="9"/>
      <c r="R147" s="9"/>
      <c r="S147" s="704">
        <f>+IF(ABRIL!S147=0,"",ABRIL!S147)</f>
        <v>2020100</v>
      </c>
      <c r="T147" s="680" t="str">
        <f>+IF(ABRIL!T147=0,"",ABRIL!T147)</f>
        <v>Adquisición de bienes</v>
      </c>
      <c r="U147" s="132">
        <f t="shared" ref="U147:AJ147" si="150">SUM(U148:U149)+U153</f>
        <v>1878602056</v>
      </c>
      <c r="V147" s="122">
        <f t="shared" si="150"/>
        <v>-576947579</v>
      </c>
      <c r="W147" s="122">
        <f t="shared" si="150"/>
        <v>550000000</v>
      </c>
      <c r="X147" s="129">
        <f t="shared" si="150"/>
        <v>1851654477</v>
      </c>
      <c r="Y147" s="128">
        <f t="shared" si="150"/>
        <v>646317936</v>
      </c>
      <c r="Z147" s="122">
        <f t="shared" si="150"/>
        <v>208206244</v>
      </c>
      <c r="AA147" s="129">
        <f t="shared" si="150"/>
        <v>854524180</v>
      </c>
      <c r="AB147" s="128">
        <f t="shared" si="150"/>
        <v>491009111</v>
      </c>
      <c r="AC147" s="122">
        <f t="shared" si="150"/>
        <v>131423966</v>
      </c>
      <c r="AD147" s="129">
        <f t="shared" si="150"/>
        <v>622433077</v>
      </c>
      <c r="AE147" s="128">
        <f t="shared" si="150"/>
        <v>257268365</v>
      </c>
      <c r="AF147" s="122">
        <f t="shared" si="150"/>
        <v>90043979</v>
      </c>
      <c r="AG147" s="129">
        <f t="shared" si="150"/>
        <v>347312344</v>
      </c>
      <c r="AH147" s="128">
        <f t="shared" si="150"/>
        <v>997130297</v>
      </c>
      <c r="AI147" s="122">
        <f t="shared" si="150"/>
        <v>1229221400</v>
      </c>
      <c r="AJ147" s="130">
        <f t="shared" si="150"/>
        <v>1504342133</v>
      </c>
      <c r="AK147" s="9"/>
      <c r="AL147" s="128">
        <f>SUM(AL148:AL149)+AL153</f>
        <v>-380000000</v>
      </c>
      <c r="AM147" s="130">
        <f>SUM(AM148:AM149)+AM153</f>
        <v>0</v>
      </c>
      <c r="AN147" s="9"/>
    </row>
    <row r="148" spans="1:40" s="382" customFormat="1" ht="24.95" customHeight="1">
      <c r="A148" s="752"/>
      <c r="B148" s="660"/>
      <c r="N148" s="9"/>
      <c r="R148" s="9"/>
      <c r="S148" s="705">
        <f>+IF(ABRIL!S148=0,"",ABRIL!S148)</f>
        <v>2020101</v>
      </c>
      <c r="T148" s="681" t="str">
        <f>+IF(ABRIL!T148=0,"",ABRIL!T148)</f>
        <v>Mantenimiento Hospitalario</v>
      </c>
      <c r="U148" s="27">
        <f>+ENERO!U148</f>
        <v>780530606</v>
      </c>
      <c r="V148" s="15">
        <f>ABRIL!V148+MAYO!AL148</f>
        <v>0</v>
      </c>
      <c r="W148" s="15">
        <f>ABRIL!W148+MAYO!AM148</f>
        <v>0</v>
      </c>
      <c r="X148" s="18">
        <f>SUM(U148:W148)</f>
        <v>780530606</v>
      </c>
      <c r="Y148" s="19">
        <f>ABRIL!AA148</f>
        <v>166148342</v>
      </c>
      <c r="Z148" s="374">
        <v>73035688</v>
      </c>
      <c r="AA148" s="18">
        <f>SUM(Y148:Z148)</f>
        <v>239184030</v>
      </c>
      <c r="AB148" s="19">
        <f>ABRIL!AD148</f>
        <v>38607508</v>
      </c>
      <c r="AC148" s="374">
        <v>28291867</v>
      </c>
      <c r="AD148" s="18">
        <f>SUM(AB148:AC148)</f>
        <v>66899375</v>
      </c>
      <c r="AE148" s="19">
        <f>ABRIL!AG148</f>
        <v>7284533</v>
      </c>
      <c r="AF148" s="374">
        <v>25133861</v>
      </c>
      <c r="AG148" s="18">
        <f>SUM(AE148:AF148)</f>
        <v>32418394</v>
      </c>
      <c r="AH148" s="19">
        <f>X148-AA148</f>
        <v>541346576</v>
      </c>
      <c r="AI148" s="15">
        <f>X148-AD148</f>
        <v>713631231</v>
      </c>
      <c r="AJ148" s="16">
        <f>X148-AG148</f>
        <v>748112212</v>
      </c>
      <c r="AK148" s="9"/>
      <c r="AL148" s="372">
        <v>0</v>
      </c>
      <c r="AM148" s="375">
        <v>0</v>
      </c>
      <c r="AN148" s="9"/>
    </row>
    <row r="149" spans="1:40" s="382" customFormat="1" ht="24.95" customHeight="1">
      <c r="A149" s="752"/>
      <c r="B149" s="660"/>
      <c r="N149" s="9"/>
      <c r="R149" s="9"/>
      <c r="S149" s="705">
        <f>+IF(ABRIL!S149=0,"",ABRIL!S149)</f>
        <v>2020102</v>
      </c>
      <c r="T149" s="681" t="str">
        <f>+IF(ABRIL!T149=0,"",ABRIL!T149)</f>
        <v>Otros</v>
      </c>
      <c r="U149" s="27">
        <f t="shared" ref="U149:AJ149" si="151">SUM(U150:U152)</f>
        <v>1098071450</v>
      </c>
      <c r="V149" s="15">
        <f t="shared" si="151"/>
        <v>-364218476</v>
      </c>
      <c r="W149" s="15">
        <f t="shared" si="151"/>
        <v>0</v>
      </c>
      <c r="X149" s="18">
        <f t="shared" si="151"/>
        <v>733852974</v>
      </c>
      <c r="Y149" s="19">
        <f t="shared" si="151"/>
        <v>270757781</v>
      </c>
      <c r="Z149" s="142">
        <f t="shared" si="151"/>
        <v>109743955</v>
      </c>
      <c r="AA149" s="18">
        <f t="shared" si="151"/>
        <v>380501736</v>
      </c>
      <c r="AB149" s="19">
        <f t="shared" si="151"/>
        <v>242989790</v>
      </c>
      <c r="AC149" s="142">
        <f t="shared" si="151"/>
        <v>77705498</v>
      </c>
      <c r="AD149" s="18">
        <f t="shared" si="151"/>
        <v>320695288</v>
      </c>
      <c r="AE149" s="19">
        <f t="shared" si="151"/>
        <v>40572019</v>
      </c>
      <c r="AF149" s="142">
        <f t="shared" si="151"/>
        <v>39483517</v>
      </c>
      <c r="AG149" s="18">
        <f t="shared" si="151"/>
        <v>80055536</v>
      </c>
      <c r="AH149" s="19">
        <f t="shared" si="151"/>
        <v>353351238</v>
      </c>
      <c r="AI149" s="15">
        <f t="shared" si="151"/>
        <v>413157686</v>
      </c>
      <c r="AJ149" s="16">
        <f t="shared" si="151"/>
        <v>653797438</v>
      </c>
      <c r="AK149" s="9"/>
      <c r="AL149" s="29">
        <f>SUM(AL150:AL152)</f>
        <v>0</v>
      </c>
      <c r="AM149" s="26">
        <f>SUM(AM150:AM152)</f>
        <v>0</v>
      </c>
      <c r="AN149" s="9"/>
    </row>
    <row r="150" spans="1:40" s="382" customFormat="1" ht="24.95" customHeight="1">
      <c r="A150" s="752"/>
      <c r="B150" s="660"/>
      <c r="N150" s="9"/>
      <c r="R150" s="9"/>
      <c r="S150" s="706" t="str">
        <f>+IF(ABRIL!S150=0,"",ABRIL!S150)</f>
        <v>2020102-1</v>
      </c>
      <c r="T150" s="681" t="str">
        <f>+IF(ABRIL!T150=0,"",ABRIL!T150)</f>
        <v>Compra de Equipo e Instr. Mco. y Laborat.</v>
      </c>
      <c r="U150" s="27">
        <f>+ENERO!U150</f>
        <v>514625084</v>
      </c>
      <c r="V150" s="15">
        <f>ABRIL!V150+MAYO!AL150</f>
        <v>-339050000</v>
      </c>
      <c r="W150" s="15">
        <f>ABRIL!W150+MAYO!AM150</f>
        <v>0</v>
      </c>
      <c r="X150" s="18">
        <f>SUM(U150:W150)</f>
        <v>175575084</v>
      </c>
      <c r="Y150" s="19">
        <f>ABRIL!AA150</f>
        <v>18585389</v>
      </c>
      <c r="Z150" s="374">
        <v>8753640</v>
      </c>
      <c r="AA150" s="18">
        <f>SUM(Y150:Z150)</f>
        <v>27339029</v>
      </c>
      <c r="AB150" s="19">
        <f>ABRIL!AD150</f>
        <v>10993958</v>
      </c>
      <c r="AC150" s="374">
        <v>2788646</v>
      </c>
      <c r="AD150" s="18">
        <f>SUM(AB150:AC150)</f>
        <v>13782604</v>
      </c>
      <c r="AE150" s="19">
        <f>ABRIL!AG150</f>
        <v>10184958</v>
      </c>
      <c r="AF150" s="374">
        <v>2788646</v>
      </c>
      <c r="AG150" s="18">
        <f>SUM(AE150:AF150)</f>
        <v>12973604</v>
      </c>
      <c r="AH150" s="19">
        <f>X150-AA150</f>
        <v>148236055</v>
      </c>
      <c r="AI150" s="15">
        <f>X150-AD150</f>
        <v>161792480</v>
      </c>
      <c r="AJ150" s="16">
        <f>X150-AG150</f>
        <v>162601480</v>
      </c>
      <c r="AK150" s="9"/>
      <c r="AL150" s="372">
        <v>0</v>
      </c>
      <c r="AM150" s="375">
        <v>0</v>
      </c>
      <c r="AN150" s="9"/>
    </row>
    <row r="151" spans="1:40" s="382" customFormat="1" ht="24.95" customHeight="1">
      <c r="A151" s="752"/>
      <c r="B151" s="660"/>
      <c r="N151" s="9"/>
      <c r="R151" s="9"/>
      <c r="S151" s="706" t="str">
        <f>+IF(ABRIL!S151=0,"",ABRIL!S151)</f>
        <v>2020102-2</v>
      </c>
      <c r="T151" s="681" t="str">
        <f>+IF(ABRIL!T151=0,"",ABRIL!T151)</f>
        <v>Materiales</v>
      </c>
      <c r="U151" s="27">
        <f>+ENERO!U151</f>
        <v>583446366</v>
      </c>
      <c r="V151" s="15">
        <f>ABRIL!V151+MAYO!AL151</f>
        <v>-25168476</v>
      </c>
      <c r="W151" s="15">
        <f>ABRIL!W151+MAYO!AM151</f>
        <v>0</v>
      </c>
      <c r="X151" s="18">
        <f>SUM(U151:W151)</f>
        <v>558277890</v>
      </c>
      <c r="Y151" s="19">
        <f>ABRIL!AA151</f>
        <v>252172392</v>
      </c>
      <c r="Z151" s="374">
        <v>100990315</v>
      </c>
      <c r="AA151" s="18">
        <f>SUM(Y151:Z151)</f>
        <v>353162707</v>
      </c>
      <c r="AB151" s="19">
        <f>ABRIL!AD151</f>
        <v>231995832</v>
      </c>
      <c r="AC151" s="374">
        <v>74916852</v>
      </c>
      <c r="AD151" s="18">
        <f>SUM(AB151:AC151)</f>
        <v>306912684</v>
      </c>
      <c r="AE151" s="19">
        <f>ABRIL!AG151</f>
        <v>30387061</v>
      </c>
      <c r="AF151" s="374">
        <v>36694871</v>
      </c>
      <c r="AG151" s="18">
        <f>SUM(AE151:AF151)</f>
        <v>67081932</v>
      </c>
      <c r="AH151" s="19">
        <f>X151-AA151</f>
        <v>205115183</v>
      </c>
      <c r="AI151" s="15">
        <f>X151-AD151</f>
        <v>251365206</v>
      </c>
      <c r="AJ151" s="16">
        <f>X151-AG151</f>
        <v>491195958</v>
      </c>
      <c r="AK151" s="9"/>
      <c r="AL151" s="372">
        <v>0</v>
      </c>
      <c r="AM151" s="375">
        <v>0</v>
      </c>
      <c r="AN151" s="9"/>
    </row>
    <row r="152" spans="1:40" s="382" customFormat="1" ht="24.95" customHeight="1">
      <c r="A152" s="752"/>
      <c r="B152" s="660"/>
      <c r="N152" s="9"/>
      <c r="R152" s="9"/>
      <c r="S152" s="706" t="str">
        <f>+IF(ABRIL!S152=0,"",ABRIL!S152)</f>
        <v>2020102-3</v>
      </c>
      <c r="T152" s="681" t="str">
        <f>+IF(ABRIL!T152=0,"",ABRIL!T152)</f>
        <v/>
      </c>
      <c r="U152" s="27">
        <f>+ENERO!U152</f>
        <v>0</v>
      </c>
      <c r="V152" s="15">
        <f>ABRIL!V152+MAYO!AL152</f>
        <v>0</v>
      </c>
      <c r="W152" s="15">
        <f>ABRIL!W152+MAYO!AM152</f>
        <v>0</v>
      </c>
      <c r="X152" s="18">
        <f>SUM(U152:W152)</f>
        <v>0</v>
      </c>
      <c r="Y152" s="19">
        <f>ABRIL!AA152</f>
        <v>0</v>
      </c>
      <c r="Z152" s="374">
        <v>0</v>
      </c>
      <c r="AA152" s="18">
        <f>SUM(Y152:Z152)</f>
        <v>0</v>
      </c>
      <c r="AB152" s="19">
        <f>ABRIL!AD152</f>
        <v>0</v>
      </c>
      <c r="AC152" s="374">
        <v>0</v>
      </c>
      <c r="AD152" s="18">
        <f>SUM(AB152:AC152)</f>
        <v>0</v>
      </c>
      <c r="AE152" s="19">
        <f>ABRIL!AG152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2"/>
      <c r="B153" s="660"/>
      <c r="N153" s="9"/>
      <c r="R153" s="9"/>
      <c r="S153" s="705">
        <f>+IF(ABRIL!S153=0,"",ABRIL!S153)</f>
        <v>2020199</v>
      </c>
      <c r="T153" s="681" t="str">
        <f>+IF(ABRIL!T153=0,"",ABRIL!T153)</f>
        <v>Vigencias Anteriores</v>
      </c>
      <c r="U153" s="27">
        <f>+ENERO!U153</f>
        <v>0</v>
      </c>
      <c r="V153" s="15">
        <f>ABRIL!V153+MAYO!AL153</f>
        <v>-212729103</v>
      </c>
      <c r="W153" s="15">
        <f>ABRIL!W153+MAYO!AM153</f>
        <v>550000000</v>
      </c>
      <c r="X153" s="18">
        <f>SUM(U153:W153)</f>
        <v>337270897</v>
      </c>
      <c r="Y153" s="19">
        <f>ABRIL!AA153</f>
        <v>209411813</v>
      </c>
      <c r="Z153" s="374">
        <v>25426601</v>
      </c>
      <c r="AA153" s="18">
        <f>SUM(Y153:Z153)</f>
        <v>234838414</v>
      </c>
      <c r="AB153" s="19">
        <f>ABRIL!AD153</f>
        <v>209411813</v>
      </c>
      <c r="AC153" s="374">
        <v>25426601</v>
      </c>
      <c r="AD153" s="18">
        <f>SUM(AB153:AC153)</f>
        <v>234838414</v>
      </c>
      <c r="AE153" s="19">
        <f>ABRIL!AG153</f>
        <v>209411813</v>
      </c>
      <c r="AF153" s="374">
        <v>25426601</v>
      </c>
      <c r="AG153" s="18">
        <f>SUM(AE153:AF153)</f>
        <v>234838414</v>
      </c>
      <c r="AH153" s="19">
        <f>X153-AA153</f>
        <v>102432483</v>
      </c>
      <c r="AI153" s="15">
        <f>X153-AD153</f>
        <v>102432483</v>
      </c>
      <c r="AJ153" s="16">
        <f>X153-AG153</f>
        <v>102432483</v>
      </c>
      <c r="AK153" s="9"/>
      <c r="AL153" s="372">
        <v>-380000000</v>
      </c>
      <c r="AM153" s="375">
        <v>0</v>
      </c>
      <c r="AN153" s="9"/>
    </row>
    <row r="154" spans="1:40" s="382" customFormat="1" ht="24.95" customHeight="1">
      <c r="A154" s="752"/>
      <c r="B154" s="660"/>
      <c r="N154" s="9"/>
      <c r="R154" s="9"/>
      <c r="S154" s="366" t="str">
        <f>+IF(ABRIL!S154=0,"",ABRIL!S154)</f>
        <v/>
      </c>
      <c r="T154" s="695"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2"/>
      <c r="B155" s="660"/>
      <c r="N155" s="9"/>
      <c r="R155" s="9"/>
      <c r="S155" s="704">
        <f>+IF(ABRIL!S155=0,"",ABRIL!S155)</f>
        <v>2020200</v>
      </c>
      <c r="T155" s="680" t="str">
        <f>+IF(ABRIL!T155=0,"",ABRIL!T155)</f>
        <v>Adquisición de Servicios</v>
      </c>
      <c r="U155" s="132">
        <f t="shared" ref="U155:AJ155" si="152">SUM(U156:U157)+U168</f>
        <v>780530606</v>
      </c>
      <c r="V155" s="122">
        <f t="shared" si="152"/>
        <v>-819000000</v>
      </c>
      <c r="W155" s="122">
        <f t="shared" si="152"/>
        <v>1100000000</v>
      </c>
      <c r="X155" s="129">
        <f t="shared" si="152"/>
        <v>1061530606</v>
      </c>
      <c r="Y155" s="128">
        <f t="shared" si="152"/>
        <v>733857734</v>
      </c>
      <c r="Z155" s="122">
        <f t="shared" si="152"/>
        <v>83484621</v>
      </c>
      <c r="AA155" s="129">
        <f t="shared" si="152"/>
        <v>817342355</v>
      </c>
      <c r="AB155" s="128">
        <f t="shared" si="152"/>
        <v>314643459</v>
      </c>
      <c r="AC155" s="122">
        <f t="shared" si="152"/>
        <v>65968393</v>
      </c>
      <c r="AD155" s="129">
        <f t="shared" si="152"/>
        <v>380611852</v>
      </c>
      <c r="AE155" s="128">
        <f t="shared" si="152"/>
        <v>153581749</v>
      </c>
      <c r="AF155" s="122">
        <f t="shared" si="152"/>
        <v>16720511</v>
      </c>
      <c r="AG155" s="129">
        <f t="shared" si="152"/>
        <v>170302260</v>
      </c>
      <c r="AH155" s="128">
        <f t="shared" si="152"/>
        <v>244188251</v>
      </c>
      <c r="AI155" s="122">
        <f t="shared" si="152"/>
        <v>680918754</v>
      </c>
      <c r="AJ155" s="130">
        <f t="shared" si="152"/>
        <v>891228346</v>
      </c>
      <c r="AK155" s="9"/>
      <c r="AL155" s="128">
        <f>SUM(AL156:AL157)+AL168</f>
        <v>-800000000</v>
      </c>
      <c r="AM155" s="130">
        <f>SUM(AM156:AM157)+AM168</f>
        <v>0</v>
      </c>
      <c r="AN155" s="9"/>
    </row>
    <row r="156" spans="1:40" s="382" customFormat="1" ht="24.95" customHeight="1">
      <c r="A156" s="752"/>
      <c r="B156" s="660"/>
      <c r="N156" s="9"/>
      <c r="P156" s="9"/>
      <c r="Q156" s="9"/>
      <c r="R156" s="9"/>
      <c r="S156" s="705">
        <f>+IF(ABRIL!S156=0,"",ABRIL!S156)</f>
        <v>2020201</v>
      </c>
      <c r="T156" s="681" t="str">
        <f>+IF(ABRIL!T156=0,"",ABRIL!T156)</f>
        <v>Mantenimiento Hospitalario</v>
      </c>
      <c r="U156" s="27">
        <f>+ENERO!U156</f>
        <v>780530606</v>
      </c>
      <c r="V156" s="15">
        <f>ABRIL!V156+MAYO!AL156</f>
        <v>0</v>
      </c>
      <c r="W156" s="15">
        <f>ABRIL!W156+MAYO!AM156</f>
        <v>0</v>
      </c>
      <c r="X156" s="18">
        <f>SUM(U156:W156)</f>
        <v>780530606</v>
      </c>
      <c r="Y156" s="19">
        <f>ABRIL!AA156</f>
        <v>636768184</v>
      </c>
      <c r="Z156" s="374">
        <v>66764110</v>
      </c>
      <c r="AA156" s="18">
        <f>SUM(Y156:Z156)</f>
        <v>703532294</v>
      </c>
      <c r="AB156" s="19">
        <f>ABRIL!AD156</f>
        <v>217553909</v>
      </c>
      <c r="AC156" s="374">
        <v>49247882</v>
      </c>
      <c r="AD156" s="18">
        <f>SUM(AB156:AC156)</f>
        <v>266801791</v>
      </c>
      <c r="AE156" s="19">
        <f>ABRIL!AG156</f>
        <v>56492199</v>
      </c>
      <c r="AF156" s="374">
        <v>0</v>
      </c>
      <c r="AG156" s="18">
        <f>SUM(AE156:AF156)</f>
        <v>56492199</v>
      </c>
      <c r="AH156" s="19">
        <f>X156-AA156</f>
        <v>76998312</v>
      </c>
      <c r="AI156" s="15">
        <f>X156-AD156</f>
        <v>513728815</v>
      </c>
      <c r="AJ156" s="16">
        <f>X156-AG156</f>
        <v>724038407</v>
      </c>
      <c r="AK156" s="9"/>
      <c r="AL156" s="372">
        <v>0</v>
      </c>
      <c r="AM156" s="375">
        <v>0</v>
      </c>
      <c r="AN156" s="9"/>
    </row>
    <row r="157" spans="1:40" s="382" customFormat="1" ht="24.95" customHeight="1">
      <c r="A157" s="752"/>
      <c r="B157" s="660"/>
      <c r="N157" s="9"/>
      <c r="P157" s="9"/>
      <c r="Q157" s="9"/>
      <c r="R157" s="9"/>
      <c r="S157" s="705">
        <f>+IF(ABRIL!S157=0,"",ABRIL!S157)</f>
        <v>2020202</v>
      </c>
      <c r="T157" s="681" t="str">
        <f>+IF(ABRIL!T157=0,"",ABRIL!T157)</f>
        <v>Otros</v>
      </c>
      <c r="U157" s="27">
        <f t="shared" ref="U157:AJ157" si="153">SUM(U158:U167)</f>
        <v>0</v>
      </c>
      <c r="V157" s="15">
        <f t="shared" si="153"/>
        <v>0</v>
      </c>
      <c r="W157" s="15">
        <f t="shared" si="153"/>
        <v>0</v>
      </c>
      <c r="X157" s="18">
        <f t="shared" si="153"/>
        <v>0</v>
      </c>
      <c r="Y157" s="19">
        <f t="shared" si="153"/>
        <v>0</v>
      </c>
      <c r="Z157" s="142">
        <f t="shared" si="153"/>
        <v>0</v>
      </c>
      <c r="AA157" s="18">
        <f t="shared" si="153"/>
        <v>0</v>
      </c>
      <c r="AB157" s="19">
        <f t="shared" si="153"/>
        <v>0</v>
      </c>
      <c r="AC157" s="142">
        <f t="shared" si="153"/>
        <v>0</v>
      </c>
      <c r="AD157" s="18">
        <f t="shared" si="153"/>
        <v>0</v>
      </c>
      <c r="AE157" s="19">
        <f t="shared" si="153"/>
        <v>0</v>
      </c>
      <c r="AF157" s="142">
        <f t="shared" si="153"/>
        <v>0</v>
      </c>
      <c r="AG157" s="18">
        <f t="shared" si="153"/>
        <v>0</v>
      </c>
      <c r="AH157" s="19">
        <f t="shared" si="153"/>
        <v>0</v>
      </c>
      <c r="AI157" s="15">
        <f t="shared" si="153"/>
        <v>0</v>
      </c>
      <c r="AJ157" s="16">
        <f t="shared" si="153"/>
        <v>0</v>
      </c>
      <c r="AK157" s="10"/>
      <c r="AL157" s="29">
        <f>SUM(AL158:AL167)</f>
        <v>0</v>
      </c>
      <c r="AM157" s="26">
        <f>SUM(AM158:AM167)</f>
        <v>0</v>
      </c>
      <c r="AN157" s="9"/>
    </row>
    <row r="158" spans="1:40" s="382" customFormat="1" ht="24.95" customHeight="1">
      <c r="A158" s="752"/>
      <c r="B158" s="660"/>
      <c r="N158" s="9"/>
      <c r="P158" s="9"/>
      <c r="Q158" s="9"/>
      <c r="R158" s="9"/>
      <c r="S158" s="706" t="str">
        <f>+IF(ABRIL!S158=0,"",ABRIL!S158)</f>
        <v>2020202-1</v>
      </c>
      <c r="T158" s="682" t="str">
        <f>+IF(ABRIL!T158=0,"",ABRIL!T158)</f>
        <v>Seguros</v>
      </c>
      <c r="U158" s="27">
        <f>+ENERO!U158</f>
        <v>0</v>
      </c>
      <c r="V158" s="15">
        <f>ABRIL!V158+MAYO!AL158</f>
        <v>0</v>
      </c>
      <c r="W158" s="15">
        <f>ABRIL!W158+MAYO!AM158</f>
        <v>0</v>
      </c>
      <c r="X158" s="18">
        <f t="shared" ref="X158:X168" si="154">SUM(U158:W158)</f>
        <v>0</v>
      </c>
      <c r="Y158" s="19">
        <f>ABRIL!AA158</f>
        <v>0</v>
      </c>
      <c r="Z158" s="374">
        <v>0</v>
      </c>
      <c r="AA158" s="18">
        <f t="shared" ref="AA158:AA168" si="155">SUM(Y158:Z158)</f>
        <v>0</v>
      </c>
      <c r="AB158" s="19">
        <f>ABRIL!AD158</f>
        <v>0</v>
      </c>
      <c r="AC158" s="374">
        <v>0</v>
      </c>
      <c r="AD158" s="18">
        <f t="shared" ref="AD158:AD168" si="156">SUM(AB158:AC158)</f>
        <v>0</v>
      </c>
      <c r="AE158" s="19">
        <f>ABRIL!AG158</f>
        <v>0</v>
      </c>
      <c r="AF158" s="374">
        <v>0</v>
      </c>
      <c r="AG158" s="18">
        <f t="shared" ref="AG158:AG168" si="157">SUM(AE158:AF158)</f>
        <v>0</v>
      </c>
      <c r="AH158" s="19">
        <f t="shared" ref="AH158:AH168" si="158">X158-AA158</f>
        <v>0</v>
      </c>
      <c r="AI158" s="15">
        <f t="shared" ref="AI158:AI168" si="159">X158-AD158</f>
        <v>0</v>
      </c>
      <c r="AJ158" s="16">
        <f t="shared" ref="AJ158:AJ168" si="160">X158-AG158</f>
        <v>0</v>
      </c>
      <c r="AK158" s="9"/>
      <c r="AL158" s="372">
        <v>0</v>
      </c>
      <c r="AM158" s="375">
        <v>0</v>
      </c>
      <c r="AN158" s="9"/>
    </row>
    <row r="159" spans="1:40" s="382" customFormat="1" ht="24.95" customHeight="1">
      <c r="A159" s="752"/>
      <c r="B159" s="660"/>
      <c r="N159" s="9"/>
      <c r="P159" s="9"/>
      <c r="Q159" s="9"/>
      <c r="R159" s="9"/>
      <c r="S159" s="706" t="str">
        <f>+IF(ABRIL!S159=0,"",ABRIL!S159)</f>
        <v>2020202-2</v>
      </c>
      <c r="T159" s="682" t="str">
        <f>+IF(ABRIL!T159=0,"",ABRIL!T159)</f>
        <v>Impresos y Publicaciones</v>
      </c>
      <c r="U159" s="27">
        <f>+ENERO!U159</f>
        <v>0</v>
      </c>
      <c r="V159" s="15">
        <f>ABRIL!V159+MAYO!AL159</f>
        <v>0</v>
      </c>
      <c r="W159" s="15">
        <f>ABRIL!W159+MAYO!AM159</f>
        <v>0</v>
      </c>
      <c r="X159" s="18">
        <f t="shared" si="154"/>
        <v>0</v>
      </c>
      <c r="Y159" s="19">
        <f>ABRIL!AA159</f>
        <v>0</v>
      </c>
      <c r="Z159" s="374">
        <v>0</v>
      </c>
      <c r="AA159" s="18">
        <f t="shared" si="155"/>
        <v>0</v>
      </c>
      <c r="AB159" s="19">
        <f>ABRIL!AD159</f>
        <v>0</v>
      </c>
      <c r="AC159" s="374">
        <v>0</v>
      </c>
      <c r="AD159" s="18">
        <f t="shared" si="156"/>
        <v>0</v>
      </c>
      <c r="AE159" s="19">
        <f>ABRIL!AG159</f>
        <v>0</v>
      </c>
      <c r="AF159" s="374">
        <v>0</v>
      </c>
      <c r="AG159" s="18">
        <f t="shared" si="157"/>
        <v>0</v>
      </c>
      <c r="AH159" s="19">
        <f t="shared" si="158"/>
        <v>0</v>
      </c>
      <c r="AI159" s="15">
        <f t="shared" si="159"/>
        <v>0</v>
      </c>
      <c r="AJ159" s="16">
        <f t="shared" si="160"/>
        <v>0</v>
      </c>
      <c r="AK159" s="9"/>
      <c r="AL159" s="372">
        <v>0</v>
      </c>
      <c r="AM159" s="375">
        <v>0</v>
      </c>
      <c r="AN159" s="9"/>
    </row>
    <row r="160" spans="1:40" s="382" customFormat="1" ht="24.95" customHeight="1">
      <c r="A160" s="752"/>
      <c r="B160" s="660"/>
      <c r="N160" s="9"/>
      <c r="P160" s="9"/>
      <c r="Q160" s="9"/>
      <c r="R160" s="9"/>
      <c r="S160" s="706" t="str">
        <f>+IF(ABRIL!S160=0,"",ABRIL!S160)</f>
        <v>2020202-3</v>
      </c>
      <c r="T160" s="682" t="str">
        <f>+IF(ABRIL!T160=0,"",ABRIL!T160)</f>
        <v>Pago a otras IPS</v>
      </c>
      <c r="U160" s="27">
        <f>+ENERO!U160</f>
        <v>0</v>
      </c>
      <c r="V160" s="15">
        <f>ABRIL!V160+MAYO!AL160</f>
        <v>0</v>
      </c>
      <c r="W160" s="15">
        <f>ABRIL!W160+MAYO!AM160</f>
        <v>0</v>
      </c>
      <c r="X160" s="18">
        <f t="shared" si="154"/>
        <v>0</v>
      </c>
      <c r="Y160" s="19">
        <f>ABRIL!AA160</f>
        <v>0</v>
      </c>
      <c r="Z160" s="374">
        <v>0</v>
      </c>
      <c r="AA160" s="18">
        <f t="shared" si="155"/>
        <v>0</v>
      </c>
      <c r="AB160" s="19">
        <f>ABRIL!AD160</f>
        <v>0</v>
      </c>
      <c r="AC160" s="374">
        <v>0</v>
      </c>
      <c r="AD160" s="18">
        <f t="shared" si="156"/>
        <v>0</v>
      </c>
      <c r="AE160" s="19">
        <f>ABRIL!AG160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2"/>
      <c r="B161" s="660"/>
      <c r="N161" s="9"/>
      <c r="P161" s="9"/>
      <c r="Q161" s="9"/>
      <c r="R161" s="9"/>
      <c r="S161" s="706" t="str">
        <f>+IF(ABRIL!S161=0,"",ABRIL!S161)</f>
        <v>2020202-4</v>
      </c>
      <c r="T161" s="682" t="str">
        <f>+IF(ABRIL!T161=0,"",ABRIL!T161)</f>
        <v>Comunicaciones y Transportes</v>
      </c>
      <c r="U161" s="27">
        <f>+ENERO!U161</f>
        <v>0</v>
      </c>
      <c r="V161" s="15">
        <f>ABRIL!V161+MAYO!AL161</f>
        <v>0</v>
      </c>
      <c r="W161" s="15">
        <f>ABRIL!W161+MAYO!AM161</f>
        <v>0</v>
      </c>
      <c r="X161" s="18">
        <f t="shared" si="154"/>
        <v>0</v>
      </c>
      <c r="Y161" s="19">
        <f>ABRIL!AA161</f>
        <v>0</v>
      </c>
      <c r="Z161" s="374">
        <v>0</v>
      </c>
      <c r="AA161" s="18">
        <f t="shared" si="155"/>
        <v>0</v>
      </c>
      <c r="AB161" s="19">
        <f>ABRIL!AD161</f>
        <v>0</v>
      </c>
      <c r="AC161" s="374">
        <v>0</v>
      </c>
      <c r="AD161" s="18">
        <f t="shared" si="156"/>
        <v>0</v>
      </c>
      <c r="AE161" s="19">
        <f>ABRIL!AG161</f>
        <v>0</v>
      </c>
      <c r="AF161" s="374">
        <v>0</v>
      </c>
      <c r="AG161" s="18">
        <f t="shared" si="157"/>
        <v>0</v>
      </c>
      <c r="AH161" s="19">
        <f t="shared" si="158"/>
        <v>0</v>
      </c>
      <c r="AI161" s="15">
        <f t="shared" si="159"/>
        <v>0</v>
      </c>
      <c r="AJ161" s="16">
        <f t="shared" si="160"/>
        <v>0</v>
      </c>
      <c r="AK161" s="9"/>
      <c r="AL161" s="372">
        <v>0</v>
      </c>
      <c r="AM161" s="375">
        <v>0</v>
      </c>
      <c r="AN161" s="9"/>
    </row>
    <row r="162" spans="1:40" s="382" customFormat="1" ht="24.95" customHeight="1">
      <c r="A162" s="752"/>
      <c r="B162" s="660"/>
      <c r="N162" s="9"/>
      <c r="P162" s="9"/>
      <c r="Q162" s="9"/>
      <c r="R162" s="9"/>
      <c r="S162" s="706" t="str">
        <f>+IF(ABRIL!S162=0,"",ABRIL!S162)</f>
        <v>2020202-5</v>
      </c>
      <c r="T162" s="682" t="str">
        <f>+IF(ABRIL!T162=0,"",ABRIL!T162)</f>
        <v>Viáticos y Gastos de Viaje</v>
      </c>
      <c r="U162" s="27">
        <f>+ENERO!U162</f>
        <v>0</v>
      </c>
      <c r="V162" s="15">
        <f>ABRIL!V162+MAYO!AL162</f>
        <v>0</v>
      </c>
      <c r="W162" s="15">
        <f>ABRIL!W162+MAYO!AM162</f>
        <v>0</v>
      </c>
      <c r="X162" s="18">
        <f t="shared" si="154"/>
        <v>0</v>
      </c>
      <c r="Y162" s="19">
        <f>ABRIL!AA162</f>
        <v>0</v>
      </c>
      <c r="Z162" s="374">
        <v>0</v>
      </c>
      <c r="AA162" s="18">
        <f t="shared" si="155"/>
        <v>0</v>
      </c>
      <c r="AB162" s="19">
        <f>ABRIL!AD162</f>
        <v>0</v>
      </c>
      <c r="AC162" s="374">
        <v>0</v>
      </c>
      <c r="AD162" s="18">
        <f t="shared" si="156"/>
        <v>0</v>
      </c>
      <c r="AE162" s="19">
        <f>ABRIL!AG162</f>
        <v>0</v>
      </c>
      <c r="AF162" s="374">
        <v>0</v>
      </c>
      <c r="AG162" s="18">
        <f t="shared" si="157"/>
        <v>0</v>
      </c>
      <c r="AH162" s="19">
        <f t="shared" si="158"/>
        <v>0</v>
      </c>
      <c r="AI162" s="15">
        <f t="shared" si="159"/>
        <v>0</v>
      </c>
      <c r="AJ162" s="16">
        <f t="shared" si="160"/>
        <v>0</v>
      </c>
      <c r="AK162" s="9"/>
      <c r="AL162" s="372">
        <v>0</v>
      </c>
      <c r="AM162" s="375">
        <v>0</v>
      </c>
      <c r="AN162" s="9"/>
    </row>
    <row r="163" spans="1:40" s="382" customFormat="1" ht="24.95" customHeight="1">
      <c r="A163" s="752"/>
      <c r="B163" s="660"/>
      <c r="N163" s="9"/>
      <c r="P163" s="9"/>
      <c r="Q163" s="9"/>
      <c r="R163" s="9"/>
      <c r="S163" s="706" t="str">
        <f>+IF(ABRIL!S163=0,"",ABRIL!S163)</f>
        <v>2020202-6</v>
      </c>
      <c r="T163" s="682" t="str">
        <f>+IF(ABRIL!T163=0,"",ABRIL!T163)</f>
        <v>Plan Integral de Manejo de Residuos Sólidos Hospitalarios</v>
      </c>
      <c r="U163" s="27">
        <f>+ENERO!U163</f>
        <v>0</v>
      </c>
      <c r="V163" s="15">
        <f>ABRIL!V163+MAYO!AL163</f>
        <v>0</v>
      </c>
      <c r="W163" s="15">
        <f>ABRIL!W163+MAYO!AM163</f>
        <v>0</v>
      </c>
      <c r="X163" s="18">
        <f t="shared" si="154"/>
        <v>0</v>
      </c>
      <c r="Y163" s="19">
        <f>ABRIL!AA163</f>
        <v>0</v>
      </c>
      <c r="Z163" s="374">
        <v>0</v>
      </c>
      <c r="AA163" s="18">
        <f t="shared" si="155"/>
        <v>0</v>
      </c>
      <c r="AB163" s="19">
        <f>ABRIL!AD163</f>
        <v>0</v>
      </c>
      <c r="AC163" s="374">
        <v>0</v>
      </c>
      <c r="AD163" s="18">
        <f t="shared" si="156"/>
        <v>0</v>
      </c>
      <c r="AE163" s="19">
        <f>ABRIL!AG163</f>
        <v>0</v>
      </c>
      <c r="AF163" s="374">
        <v>0</v>
      </c>
      <c r="AG163" s="18">
        <f t="shared" si="157"/>
        <v>0</v>
      </c>
      <c r="AH163" s="19">
        <f t="shared" si="158"/>
        <v>0</v>
      </c>
      <c r="AI163" s="15">
        <f t="shared" si="159"/>
        <v>0</v>
      </c>
      <c r="AJ163" s="16">
        <f t="shared" si="160"/>
        <v>0</v>
      </c>
      <c r="AK163" s="9"/>
      <c r="AL163" s="372">
        <v>0</v>
      </c>
      <c r="AM163" s="375">
        <v>0</v>
      </c>
      <c r="AN163" s="9"/>
    </row>
    <row r="164" spans="1:40" s="382" customFormat="1" ht="24.95" customHeight="1">
      <c r="A164" s="752"/>
      <c r="B164" s="660"/>
      <c r="N164" s="9"/>
      <c r="P164" s="9"/>
      <c r="Q164" s="9"/>
      <c r="R164" s="9"/>
      <c r="S164" s="706" t="str">
        <f>+IF(ABRIL!S164=0,"",ABRIL!S164)</f>
        <v>2020202-7</v>
      </c>
      <c r="T164" s="682" t="str">
        <f>+IF(ABRIL!T164=0,"",ABRIL!T164)</f>
        <v>Servicios de Laboratorio contratados con terceros</v>
      </c>
      <c r="U164" s="27">
        <f>+ENERO!U164</f>
        <v>0</v>
      </c>
      <c r="V164" s="15">
        <f>ABRIL!V164+MAYO!AL164</f>
        <v>0</v>
      </c>
      <c r="W164" s="15">
        <f>ABRIL!W164+MAYO!AM164</f>
        <v>0</v>
      </c>
      <c r="X164" s="18">
        <f t="shared" si="154"/>
        <v>0</v>
      </c>
      <c r="Y164" s="19">
        <f>ABRIL!AA164</f>
        <v>0</v>
      </c>
      <c r="Z164" s="374">
        <v>0</v>
      </c>
      <c r="AA164" s="18">
        <f t="shared" si="155"/>
        <v>0</v>
      </c>
      <c r="AB164" s="19">
        <f>ABRIL!AD164</f>
        <v>0</v>
      </c>
      <c r="AC164" s="374">
        <v>0</v>
      </c>
      <c r="AD164" s="18">
        <f t="shared" si="156"/>
        <v>0</v>
      </c>
      <c r="AE164" s="19">
        <f>ABRIL!AG164</f>
        <v>0</v>
      </c>
      <c r="AF164" s="374">
        <v>0</v>
      </c>
      <c r="AG164" s="18">
        <f t="shared" si="157"/>
        <v>0</v>
      </c>
      <c r="AH164" s="19">
        <f t="shared" si="158"/>
        <v>0</v>
      </c>
      <c r="AI164" s="15">
        <f t="shared" si="159"/>
        <v>0</v>
      </c>
      <c r="AJ164" s="16">
        <f t="shared" si="160"/>
        <v>0</v>
      </c>
      <c r="AK164" s="9"/>
      <c r="AL164" s="372">
        <v>0</v>
      </c>
      <c r="AM164" s="375">
        <v>0</v>
      </c>
      <c r="AN164" s="9"/>
    </row>
    <row r="165" spans="1:40" s="382" customFormat="1" ht="24.95" customHeight="1">
      <c r="A165" s="752"/>
      <c r="B165" s="660"/>
      <c r="N165" s="9"/>
      <c r="P165" s="9"/>
      <c r="Q165" s="9"/>
      <c r="R165" s="9"/>
      <c r="S165" s="706" t="str">
        <f>+IF(ABRIL!S165=0,"",ABRIL!S165)</f>
        <v>2020202-8</v>
      </c>
      <c r="T165" s="682" t="str">
        <f>+IF(ABRIL!T165=0,"",ABRIL!T165)</f>
        <v>Servicios de Rayos X e Imaginología contratado con terceros</v>
      </c>
      <c r="U165" s="27">
        <f>+ENERO!U165</f>
        <v>0</v>
      </c>
      <c r="V165" s="15">
        <f>ABRIL!V165+MAYO!AL165</f>
        <v>0</v>
      </c>
      <c r="W165" s="15">
        <f>ABRIL!W165+MAYO!AM165</f>
        <v>0</v>
      </c>
      <c r="X165" s="18">
        <f t="shared" si="154"/>
        <v>0</v>
      </c>
      <c r="Y165" s="19">
        <f>ABRIL!AA165</f>
        <v>0</v>
      </c>
      <c r="Z165" s="374">
        <v>0</v>
      </c>
      <c r="AA165" s="18">
        <f t="shared" si="155"/>
        <v>0</v>
      </c>
      <c r="AB165" s="19">
        <f>ABRIL!AD165</f>
        <v>0</v>
      </c>
      <c r="AC165" s="374">
        <v>0</v>
      </c>
      <c r="AD165" s="18">
        <f t="shared" si="156"/>
        <v>0</v>
      </c>
      <c r="AE165" s="19">
        <f>ABRIL!AG165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c r="A166" s="752"/>
      <c r="B166" s="660"/>
      <c r="N166" s="9"/>
      <c r="P166" s="9"/>
      <c r="Q166" s="9"/>
      <c r="R166" s="9"/>
      <c r="S166" s="706" t="str">
        <f>+IF(ABRIL!S166=0,"",ABRIL!S166)</f>
        <v>2020202-9</v>
      </c>
      <c r="T166" s="682" t="str">
        <f>+IF(ABRIL!T166=0,"",ABRIL!T166)</f>
        <v>Arrendamientos</v>
      </c>
      <c r="U166" s="27">
        <f>+ENERO!U166</f>
        <v>0</v>
      </c>
      <c r="V166" s="15">
        <f>ABRIL!V166+MAYO!AL166</f>
        <v>0</v>
      </c>
      <c r="W166" s="15">
        <f>ABRIL!W166+MAYO!AM166</f>
        <v>0</v>
      </c>
      <c r="X166" s="18">
        <f t="shared" si="154"/>
        <v>0</v>
      </c>
      <c r="Y166" s="19">
        <f>ABRIL!AA166</f>
        <v>0</v>
      </c>
      <c r="Z166" s="374">
        <v>0</v>
      </c>
      <c r="AA166" s="18">
        <f t="shared" si="155"/>
        <v>0</v>
      </c>
      <c r="AB166" s="19">
        <f>ABRIL!AD166</f>
        <v>0</v>
      </c>
      <c r="AC166" s="374">
        <v>0</v>
      </c>
      <c r="AD166" s="18">
        <f t="shared" si="156"/>
        <v>0</v>
      </c>
      <c r="AE166" s="19">
        <f>ABRIL!AG166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c r="A167" s="752"/>
      <c r="B167" s="660"/>
      <c r="N167" s="9"/>
      <c r="P167" s="9"/>
      <c r="Q167" s="9"/>
      <c r="R167" s="9"/>
      <c r="S167" s="706" t="str">
        <f>+IF(ABRIL!S167=0,"",ABRIL!S167)</f>
        <v>2020202-10</v>
      </c>
      <c r="T167" s="682" t="str">
        <f>+IF(ABRIL!T167=0,"",ABRIL!T167)</f>
        <v>Servicios Públicos</v>
      </c>
      <c r="U167" s="27">
        <f>+ENERO!U167</f>
        <v>0</v>
      </c>
      <c r="V167" s="15">
        <f>ABRIL!V167+MAYO!AL167</f>
        <v>0</v>
      </c>
      <c r="W167" s="15">
        <f>ABRIL!W167+MAYO!AM167</f>
        <v>0</v>
      </c>
      <c r="X167" s="18">
        <f>SUM(U167:W167)</f>
        <v>0</v>
      </c>
      <c r="Y167" s="19">
        <f>ABRIL!AA167</f>
        <v>0</v>
      </c>
      <c r="Z167" s="374">
        <v>0</v>
      </c>
      <c r="AA167" s="18">
        <f>SUM(Y167:Z167)</f>
        <v>0</v>
      </c>
      <c r="AB167" s="19">
        <f>ABRIL!AD167</f>
        <v>0</v>
      </c>
      <c r="AC167" s="374">
        <v>0</v>
      </c>
      <c r="AD167" s="18">
        <f>SUM(AB167:AC167)</f>
        <v>0</v>
      </c>
      <c r="AE167" s="19">
        <f>ABRIL!AG167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2"/>
      <c r="B168" s="660"/>
      <c r="N168" s="9"/>
      <c r="P168" s="9"/>
      <c r="Q168" s="9"/>
      <c r="R168" s="9"/>
      <c r="S168" s="705">
        <f>+IF(ABRIL!S168=0,"",ABRIL!S168)</f>
        <v>2020299</v>
      </c>
      <c r="T168" s="681" t="str">
        <f>+IF(ABRIL!T168=0,"",ABRIL!T168)</f>
        <v>Vigencias Anteriores</v>
      </c>
      <c r="U168" s="27">
        <f>+ENERO!U168</f>
        <v>0</v>
      </c>
      <c r="V168" s="15">
        <f>ABRIL!V168+MAYO!AL168</f>
        <v>-819000000</v>
      </c>
      <c r="W168" s="15">
        <f>ABRIL!W168+MAYO!AM168</f>
        <v>1100000000</v>
      </c>
      <c r="X168" s="18">
        <f t="shared" si="154"/>
        <v>281000000</v>
      </c>
      <c r="Y168" s="19">
        <f>ABRIL!AA168</f>
        <v>97089550</v>
      </c>
      <c r="Z168" s="374">
        <v>16720511</v>
      </c>
      <c r="AA168" s="18">
        <f t="shared" si="155"/>
        <v>113810061</v>
      </c>
      <c r="AB168" s="19">
        <f>ABRIL!AD168</f>
        <v>97089550</v>
      </c>
      <c r="AC168" s="374">
        <v>16720511</v>
      </c>
      <c r="AD168" s="18">
        <f t="shared" si="156"/>
        <v>113810061</v>
      </c>
      <c r="AE168" s="19">
        <f>ABRIL!AG168</f>
        <v>97089550</v>
      </c>
      <c r="AF168" s="374">
        <v>16720511</v>
      </c>
      <c r="AG168" s="18">
        <f t="shared" si="157"/>
        <v>113810061</v>
      </c>
      <c r="AH168" s="19">
        <f t="shared" si="158"/>
        <v>167189939</v>
      </c>
      <c r="AI168" s="15">
        <f t="shared" si="159"/>
        <v>167189939</v>
      </c>
      <c r="AJ168" s="16">
        <f t="shared" si="160"/>
        <v>167189939</v>
      </c>
      <c r="AK168" s="9"/>
      <c r="AL168" s="372">
        <v>-800000000</v>
      </c>
      <c r="AM168" s="375">
        <v>0</v>
      </c>
      <c r="AN168" s="9"/>
    </row>
    <row r="169" spans="1:40" s="382" customFormat="1" ht="24.95" customHeight="1">
      <c r="A169" s="752"/>
      <c r="B169" s="660"/>
      <c r="N169" s="9"/>
      <c r="P169" s="9"/>
      <c r="Q169" s="9"/>
      <c r="R169" s="9"/>
      <c r="S169" s="366" t="str">
        <f>+IF(ABRIL!S169=0,"",ABRIL!S169)</f>
        <v/>
      </c>
      <c r="T169" s="695"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2"/>
      <c r="B170" s="660"/>
      <c r="N170" s="9"/>
      <c r="P170" s="9"/>
      <c r="Q170" s="9"/>
      <c r="R170" s="9"/>
      <c r="S170" s="703">
        <f>+IF(ABRIL!S170=0,"",ABRIL!S170)</f>
        <v>3000000</v>
      </c>
      <c r="T170" s="685" t="str">
        <f>+IF(ABRIL!T170=0,"",ABRIL!T170)</f>
        <v>TRANSFERENCIAS CORRIENTES</v>
      </c>
      <c r="U170" s="470">
        <f t="shared" ref="U170:AJ170" si="161">U172+U176+U185</f>
        <v>139736565</v>
      </c>
      <c r="V170" s="471">
        <f t="shared" si="161"/>
        <v>0</v>
      </c>
      <c r="W170" s="471">
        <f t="shared" si="161"/>
        <v>22950868</v>
      </c>
      <c r="X170" s="472">
        <f t="shared" si="161"/>
        <v>162687433</v>
      </c>
      <c r="Y170" s="379">
        <f t="shared" si="161"/>
        <v>89309278</v>
      </c>
      <c r="Z170" s="471">
        <f t="shared" si="161"/>
        <v>420687</v>
      </c>
      <c r="AA170" s="472">
        <f t="shared" si="161"/>
        <v>89729965</v>
      </c>
      <c r="AB170" s="379">
        <f t="shared" si="161"/>
        <v>89014191</v>
      </c>
      <c r="AC170" s="471">
        <f t="shared" si="161"/>
        <v>-10159355</v>
      </c>
      <c r="AD170" s="472">
        <f t="shared" si="161"/>
        <v>78854836</v>
      </c>
      <c r="AE170" s="379">
        <f t="shared" si="161"/>
        <v>35360181</v>
      </c>
      <c r="AF170" s="471">
        <f t="shared" si="161"/>
        <v>11868600</v>
      </c>
      <c r="AG170" s="472">
        <f t="shared" si="161"/>
        <v>47228781</v>
      </c>
      <c r="AH170" s="379">
        <f t="shared" si="161"/>
        <v>72957468</v>
      </c>
      <c r="AI170" s="471">
        <f t="shared" si="161"/>
        <v>83832597</v>
      </c>
      <c r="AJ170" s="380">
        <f t="shared" si="161"/>
        <v>115458652</v>
      </c>
      <c r="AK170" s="9"/>
      <c r="AL170" s="128">
        <f>AL172+AL176+AL185</f>
        <v>0</v>
      </c>
      <c r="AM170" s="130">
        <f>AM172+AM176+AM185</f>
        <v>0</v>
      </c>
      <c r="AN170" s="9"/>
    </row>
    <row r="171" spans="1:40" s="382" customFormat="1" ht="24.95" customHeight="1">
      <c r="A171" s="752"/>
      <c r="B171" s="660"/>
      <c r="N171" s="9"/>
      <c r="P171" s="9"/>
      <c r="Q171" s="9"/>
      <c r="R171" s="9"/>
      <c r="S171" s="366" t="str">
        <f>+IF(ABRIL!S171=0,"",ABRIL!S171)</f>
        <v/>
      </c>
      <c r="T171" s="695"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2"/>
      <c r="B172" s="660"/>
      <c r="N172" s="9"/>
      <c r="P172" s="9"/>
      <c r="Q172" s="9"/>
      <c r="R172" s="9"/>
      <c r="S172" s="704">
        <f>+IF(ABRIL!S172=0,"",ABRIL!S172)</f>
        <v>3100000</v>
      </c>
      <c r="T172" s="680" t="str">
        <f>+IF(ABRIL!T172=0,"",ABRIL!T172)</f>
        <v>Transferencias al Sector Público</v>
      </c>
      <c r="U172" s="132">
        <f t="shared" ref="U172:AJ172" si="162">SUM(U173:U174)</f>
        <v>39651901</v>
      </c>
      <c r="V172" s="122">
        <f t="shared" si="162"/>
        <v>300000</v>
      </c>
      <c r="W172" s="122">
        <f t="shared" si="162"/>
        <v>20000000</v>
      </c>
      <c r="X172" s="129">
        <f t="shared" si="162"/>
        <v>59951901</v>
      </c>
      <c r="Y172" s="128">
        <f t="shared" si="162"/>
        <v>58966694</v>
      </c>
      <c r="Z172" s="122">
        <f t="shared" si="162"/>
        <v>240099</v>
      </c>
      <c r="AA172" s="129">
        <f t="shared" si="162"/>
        <v>59206793</v>
      </c>
      <c r="AB172" s="128">
        <f t="shared" si="162"/>
        <v>58966694</v>
      </c>
      <c r="AC172" s="122">
        <f t="shared" si="162"/>
        <v>-10339943</v>
      </c>
      <c r="AD172" s="129">
        <f t="shared" si="162"/>
        <v>48626751</v>
      </c>
      <c r="AE172" s="128">
        <f t="shared" si="162"/>
        <v>15168373</v>
      </c>
      <c r="AF172" s="122">
        <f t="shared" si="162"/>
        <v>5106579</v>
      </c>
      <c r="AG172" s="129">
        <f t="shared" si="162"/>
        <v>20274952</v>
      </c>
      <c r="AH172" s="128">
        <f t="shared" si="162"/>
        <v>745108</v>
      </c>
      <c r="AI172" s="122">
        <f t="shared" si="162"/>
        <v>11325150</v>
      </c>
      <c r="AJ172" s="130">
        <f t="shared" si="162"/>
        <v>39676949</v>
      </c>
      <c r="AK172" s="9"/>
      <c r="AL172" s="128">
        <f>SUM(AL173:AL174)</f>
        <v>300000</v>
      </c>
      <c r="AM172" s="130">
        <f>SUM(AM173:AM174)</f>
        <v>0</v>
      </c>
      <c r="AN172" s="9"/>
    </row>
    <row r="173" spans="1:40" s="382" customFormat="1" ht="24.95" customHeight="1">
      <c r="A173" s="752"/>
      <c r="B173" s="660"/>
      <c r="N173" s="9"/>
      <c r="P173" s="9"/>
      <c r="Q173" s="9"/>
      <c r="R173" s="9"/>
      <c r="S173" s="705">
        <f>+IF(ABRIL!S173=0,"",ABRIL!S173)</f>
        <v>3100003</v>
      </c>
      <c r="T173" s="681" t="str">
        <f>+IF(ABRIL!T173=0,"",ABRIL!T173)</f>
        <v>Entidades Públicas (Contraloria, Supersalud,…)</v>
      </c>
      <c r="U173" s="27">
        <f>+ENERO!U173</f>
        <v>39651901</v>
      </c>
      <c r="V173" s="15">
        <f>ABRIL!V173+MAYO!AL173</f>
        <v>-357430</v>
      </c>
      <c r="W173" s="15">
        <f>ABRIL!W173+MAYO!AM173</f>
        <v>20000000</v>
      </c>
      <c r="X173" s="18">
        <f>SUM(U173:W173)</f>
        <v>59294471</v>
      </c>
      <c r="Y173" s="19">
        <f>ABRIL!AA173</f>
        <v>58966694</v>
      </c>
      <c r="Z173" s="374">
        <v>240099</v>
      </c>
      <c r="AA173" s="18">
        <f>SUM(Y173:Z173)</f>
        <v>59206793</v>
      </c>
      <c r="AB173" s="19">
        <f>ABRIL!AD173</f>
        <v>58966694</v>
      </c>
      <c r="AC173" s="374">
        <v>-10339943</v>
      </c>
      <c r="AD173" s="18">
        <f>SUM(AB173:AC173)</f>
        <v>48626751</v>
      </c>
      <c r="AE173" s="19">
        <f>ABRIL!AG173</f>
        <v>15168373</v>
      </c>
      <c r="AF173" s="374">
        <v>5106579</v>
      </c>
      <c r="AG173" s="18">
        <f>SUM(AE173:AF173)</f>
        <v>20274952</v>
      </c>
      <c r="AH173" s="19">
        <f>X173-AA173</f>
        <v>87678</v>
      </c>
      <c r="AI173" s="15">
        <f>X173-AD173</f>
        <v>10667720</v>
      </c>
      <c r="AJ173" s="16">
        <f>X173-AG173</f>
        <v>39019519</v>
      </c>
      <c r="AK173" s="9"/>
      <c r="AL173" s="372">
        <v>300000</v>
      </c>
      <c r="AM173" s="375">
        <v>0</v>
      </c>
      <c r="AN173" s="9"/>
    </row>
    <row r="174" spans="1:40" s="382" customFormat="1" ht="24.95" customHeight="1">
      <c r="A174" s="752"/>
      <c r="B174" s="660"/>
      <c r="N174" s="9"/>
      <c r="P174" s="9"/>
      <c r="Q174" s="9"/>
      <c r="R174" s="9"/>
      <c r="S174" s="705">
        <f>+IF(ABRIL!S174=0,"",ABRIL!S174)</f>
        <v>3199999</v>
      </c>
      <c r="T174" s="681" t="str">
        <f>+IF(ABRIL!T174=0,"",ABRIL!T174)</f>
        <v>Vigencias Anteriores</v>
      </c>
      <c r="U174" s="27">
        <f>+ENERO!U174</f>
        <v>0</v>
      </c>
      <c r="V174" s="15">
        <f>ABRIL!V174+MAYO!AL174</f>
        <v>657430</v>
      </c>
      <c r="W174" s="15">
        <f>ABRIL!W174+MAYO!AM174</f>
        <v>0</v>
      </c>
      <c r="X174" s="18">
        <f>SUM(U174:W174)</f>
        <v>657430</v>
      </c>
      <c r="Y174" s="19">
        <f>ABRIL!AA174</f>
        <v>0</v>
      </c>
      <c r="Z174" s="374">
        <v>0</v>
      </c>
      <c r="AA174" s="18">
        <f>SUM(Y174:Z174)</f>
        <v>0</v>
      </c>
      <c r="AB174" s="19">
        <f>ABRIL!AD174</f>
        <v>0</v>
      </c>
      <c r="AC174" s="374">
        <v>0</v>
      </c>
      <c r="AD174" s="18">
        <f>SUM(AB174:AC174)</f>
        <v>0</v>
      </c>
      <c r="AE174" s="19">
        <f>ABRIL!AG174</f>
        <v>0</v>
      </c>
      <c r="AF174" s="374">
        <v>0</v>
      </c>
      <c r="AG174" s="18">
        <f>SUM(AE174:AF174)</f>
        <v>0</v>
      </c>
      <c r="AH174" s="19">
        <f>X174-AA174</f>
        <v>657430</v>
      </c>
      <c r="AI174" s="15">
        <f>X174-AD174</f>
        <v>657430</v>
      </c>
      <c r="AJ174" s="16">
        <f>X174-AG174</f>
        <v>657430</v>
      </c>
      <c r="AK174" s="9"/>
      <c r="AL174" s="372">
        <v>0</v>
      </c>
      <c r="AM174" s="375">
        <v>0</v>
      </c>
      <c r="AN174" s="9"/>
    </row>
    <row r="175" spans="1:40" s="382" customFormat="1" ht="24.95" customHeight="1">
      <c r="A175" s="752"/>
      <c r="B175" s="660"/>
      <c r="N175" s="9"/>
      <c r="P175" s="9"/>
      <c r="Q175" s="9"/>
      <c r="R175" s="9"/>
      <c r="S175" s="366" t="str">
        <f>+IF(ABRIL!S175=0,"",ABRIL!S175)</f>
        <v/>
      </c>
      <c r="T175" s="695"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2"/>
      <c r="B176" s="660"/>
      <c r="N176" s="9"/>
      <c r="P176" s="9"/>
      <c r="Q176" s="9"/>
      <c r="R176" s="9"/>
      <c r="S176" s="704">
        <f>+IF(ABRIL!S176=0,"",ABRIL!S176)</f>
        <v>320000</v>
      </c>
      <c r="T176" s="680" t="str">
        <f>+IF(ABRIL!T176=0,"",ABRIL!T176)</f>
        <v>Transf. Previsión y Seguridad Social</v>
      </c>
      <c r="U176" s="132">
        <f t="shared" ref="U176:AJ176" si="163">SUM(U177:U183)</f>
        <v>50084664</v>
      </c>
      <c r="V176" s="122">
        <f t="shared" si="163"/>
        <v>0</v>
      </c>
      <c r="W176" s="122">
        <f t="shared" si="163"/>
        <v>0</v>
      </c>
      <c r="X176" s="129">
        <f t="shared" si="163"/>
        <v>50084664</v>
      </c>
      <c r="Y176" s="128">
        <f t="shared" si="163"/>
        <v>18092962</v>
      </c>
      <c r="Z176" s="122">
        <f t="shared" si="163"/>
        <v>180588</v>
      </c>
      <c r="AA176" s="129">
        <f t="shared" si="163"/>
        <v>18273550</v>
      </c>
      <c r="AB176" s="128">
        <f t="shared" si="163"/>
        <v>18092962</v>
      </c>
      <c r="AC176" s="122">
        <f t="shared" si="163"/>
        <v>180588</v>
      </c>
      <c r="AD176" s="129">
        <f t="shared" si="163"/>
        <v>18273550</v>
      </c>
      <c r="AE176" s="128">
        <f t="shared" si="163"/>
        <v>17536027</v>
      </c>
      <c r="AF176" s="122">
        <f t="shared" si="163"/>
        <v>556935</v>
      </c>
      <c r="AG176" s="129">
        <f t="shared" si="163"/>
        <v>18092962</v>
      </c>
      <c r="AH176" s="128">
        <f t="shared" si="163"/>
        <v>31811114</v>
      </c>
      <c r="AI176" s="122">
        <f t="shared" si="163"/>
        <v>31811114</v>
      </c>
      <c r="AJ176" s="130">
        <f t="shared" si="163"/>
        <v>31991702</v>
      </c>
      <c r="AK176" s="9"/>
      <c r="AL176" s="128">
        <f>SUM(AL177:AL183)</f>
        <v>0</v>
      </c>
      <c r="AM176" s="130">
        <f>SUM(AM177:AM183)</f>
        <v>0</v>
      </c>
      <c r="AN176" s="9"/>
    </row>
    <row r="177" spans="1:40" s="382" customFormat="1" ht="24.95" customHeight="1">
      <c r="A177" s="752"/>
      <c r="B177" s="660"/>
      <c r="N177" s="9"/>
      <c r="P177" s="9"/>
      <c r="Q177" s="9"/>
      <c r="R177" s="9"/>
      <c r="S177" s="705">
        <f>+IF(ABRIL!S177=0,"",ABRIL!S177)</f>
        <v>3200100</v>
      </c>
      <c r="T177" s="681" t="str">
        <f>+IF(ABRIL!T177=0,"",ABRIL!T177)</f>
        <v>Pensiones y Jubilaciones (Pago Directo)</v>
      </c>
      <c r="U177" s="27">
        <f>+ENERO!U177</f>
        <v>18619412</v>
      </c>
      <c r="V177" s="15">
        <f>ABRIL!V177+MAYO!AL177</f>
        <v>0</v>
      </c>
      <c r="W177" s="15">
        <f>ABRIL!W177+MAYO!AM177</f>
        <v>0</v>
      </c>
      <c r="X177" s="18">
        <f t="shared" ref="X177:X183" si="164">SUM(U177:W177)</f>
        <v>18619412</v>
      </c>
      <c r="Y177" s="19">
        <f>ABRIL!AA177</f>
        <v>5307284</v>
      </c>
      <c r="Z177" s="374">
        <v>0</v>
      </c>
      <c r="AA177" s="18">
        <f t="shared" ref="AA177:AA183" si="165">SUM(Y177:Z177)</f>
        <v>5307284</v>
      </c>
      <c r="AB177" s="19">
        <f>ABRIL!AD177</f>
        <v>5307284</v>
      </c>
      <c r="AC177" s="374">
        <v>0</v>
      </c>
      <c r="AD177" s="18">
        <f t="shared" ref="AD177:AD183" si="166">SUM(AB177:AC177)</f>
        <v>5307284</v>
      </c>
      <c r="AE177" s="19">
        <f>ABRIL!AG177</f>
        <v>5307284</v>
      </c>
      <c r="AF177" s="374">
        <v>0</v>
      </c>
      <c r="AG177" s="18">
        <f t="shared" ref="AG177:AG183" si="167">SUM(AE177:AF177)</f>
        <v>5307284</v>
      </c>
      <c r="AH177" s="19">
        <f t="shared" ref="AH177:AH183" si="168">X177-AA177</f>
        <v>13312128</v>
      </c>
      <c r="AI177" s="15">
        <f t="shared" ref="AI177:AI183" si="169">X177-AD177</f>
        <v>13312128</v>
      </c>
      <c r="AJ177" s="16">
        <f t="shared" ref="AJ177:AJ183" si="170">X177-AG177</f>
        <v>13312128</v>
      </c>
      <c r="AK177" s="9"/>
      <c r="AL177" s="372">
        <v>0</v>
      </c>
      <c r="AM177" s="375">
        <v>0</v>
      </c>
      <c r="AN177" s="9"/>
    </row>
    <row r="178" spans="1:40" s="382" customFormat="1" ht="24.95" customHeight="1">
      <c r="A178" s="752"/>
      <c r="B178" s="660"/>
      <c r="N178" s="9"/>
      <c r="P178" s="9"/>
      <c r="Q178" s="9"/>
      <c r="R178" s="9"/>
      <c r="S178" s="705">
        <f>+IF(ABRIL!S178=0,"",ABRIL!S178)</f>
        <v>3200200</v>
      </c>
      <c r="T178" s="681" t="str">
        <f>+IF(ABRIL!T178=0,"",ABRIL!T178)</f>
        <v>Cesantías Pago Directo (Pago Directo)</v>
      </c>
      <c r="U178" s="27">
        <f>+ENERO!U178</f>
        <v>14936566</v>
      </c>
      <c r="V178" s="15">
        <f>ABRIL!V178+MAYO!AL178</f>
        <v>0</v>
      </c>
      <c r="W178" s="15">
        <f>ABRIL!W178+MAYO!AM178</f>
        <v>0</v>
      </c>
      <c r="X178" s="18">
        <f t="shared" si="164"/>
        <v>14936566</v>
      </c>
      <c r="Y178" s="19">
        <f>ABRIL!AA178</f>
        <v>331170</v>
      </c>
      <c r="Z178" s="374">
        <v>0</v>
      </c>
      <c r="AA178" s="18">
        <f t="shared" si="165"/>
        <v>331170</v>
      </c>
      <c r="AB178" s="19">
        <f>ABRIL!AD178</f>
        <v>331170</v>
      </c>
      <c r="AC178" s="374">
        <v>0</v>
      </c>
      <c r="AD178" s="18">
        <f t="shared" si="166"/>
        <v>331170</v>
      </c>
      <c r="AE178" s="19">
        <f>ABRIL!AG178</f>
        <v>0</v>
      </c>
      <c r="AF178" s="374">
        <v>331170</v>
      </c>
      <c r="AG178" s="18">
        <f t="shared" si="167"/>
        <v>331170</v>
      </c>
      <c r="AH178" s="19">
        <f t="shared" si="168"/>
        <v>14605396</v>
      </c>
      <c r="AI178" s="15">
        <f t="shared" si="169"/>
        <v>14605396</v>
      </c>
      <c r="AJ178" s="16">
        <f t="shared" si="170"/>
        <v>14605396</v>
      </c>
      <c r="AK178" s="9"/>
      <c r="AL178" s="372">
        <v>0</v>
      </c>
      <c r="AM178" s="375">
        <v>0</v>
      </c>
      <c r="AN178" s="9"/>
    </row>
    <row r="179" spans="1:40" s="382" customFormat="1" ht="24.95" customHeight="1">
      <c r="A179" s="752"/>
      <c r="B179" s="660"/>
      <c r="N179" s="9"/>
      <c r="P179" s="9"/>
      <c r="Q179" s="9"/>
      <c r="R179" s="9"/>
      <c r="S179" s="705">
        <f>+IF(ABRIL!S179=0,"",ABRIL!S179)</f>
        <v>3200300</v>
      </c>
      <c r="T179" s="681" t="str">
        <f>+IF(ABRIL!T179=0,"",ABRIL!T179)</f>
        <v>Bonos, Cuotas de Bonos y cuotas partes jubilatorias</v>
      </c>
      <c r="U179" s="27">
        <f>+ENERO!U179</f>
        <v>0</v>
      </c>
      <c r="V179" s="15">
        <f>ABRIL!V179+MAYO!AL179</f>
        <v>4000000</v>
      </c>
      <c r="W179" s="15">
        <f>ABRIL!W179+MAYO!AM179</f>
        <v>0</v>
      </c>
      <c r="X179" s="18">
        <f t="shared" si="164"/>
        <v>4000000</v>
      </c>
      <c r="Y179" s="19">
        <f>ABRIL!AA179</f>
        <v>888547</v>
      </c>
      <c r="Z179" s="374">
        <v>180588</v>
      </c>
      <c r="AA179" s="18">
        <f t="shared" si="165"/>
        <v>1069135</v>
      </c>
      <c r="AB179" s="19">
        <f>ABRIL!AD179</f>
        <v>888547</v>
      </c>
      <c r="AC179" s="374">
        <v>180588</v>
      </c>
      <c r="AD179" s="18">
        <f t="shared" si="166"/>
        <v>1069135</v>
      </c>
      <c r="AE179" s="19">
        <f>ABRIL!AG179</f>
        <v>699521</v>
      </c>
      <c r="AF179" s="374">
        <v>189026</v>
      </c>
      <c r="AG179" s="18">
        <f t="shared" si="167"/>
        <v>888547</v>
      </c>
      <c r="AH179" s="19">
        <f t="shared" si="168"/>
        <v>2930865</v>
      </c>
      <c r="AI179" s="15">
        <f t="shared" si="169"/>
        <v>2930865</v>
      </c>
      <c r="AJ179" s="16">
        <f t="shared" si="170"/>
        <v>3111453</v>
      </c>
      <c r="AK179" s="9"/>
      <c r="AL179" s="372">
        <v>0</v>
      </c>
      <c r="AM179" s="375">
        <v>0</v>
      </c>
      <c r="AN179" s="9"/>
    </row>
    <row r="180" spans="1:40" s="382" customFormat="1" ht="24.95" customHeight="1">
      <c r="A180" s="752"/>
      <c r="B180" s="660"/>
      <c r="N180" s="9"/>
      <c r="P180" s="9"/>
      <c r="Q180" s="9"/>
      <c r="R180" s="9"/>
      <c r="S180" s="705">
        <f>+IF(ABRIL!S180=0,"",ABRIL!S180)</f>
        <v>3200400</v>
      </c>
      <c r="T180" s="681" t="str">
        <f>+IF(ABRIL!T180=0,"",ABRIL!T180)</f>
        <v>Intereses a las cesantias</v>
      </c>
      <c r="U180" s="27">
        <f>+ENERO!U180</f>
        <v>16528686</v>
      </c>
      <c r="V180" s="15">
        <f>ABRIL!V180+MAYO!AL180</f>
        <v>-4000000</v>
      </c>
      <c r="W180" s="15">
        <f>ABRIL!W180+MAYO!AM180</f>
        <v>0</v>
      </c>
      <c r="X180" s="18">
        <f t="shared" si="164"/>
        <v>12528686</v>
      </c>
      <c r="Y180" s="19">
        <f>ABRIL!AA180</f>
        <v>11565961</v>
      </c>
      <c r="Z180" s="374">
        <v>0</v>
      </c>
      <c r="AA180" s="18">
        <f t="shared" si="165"/>
        <v>11565961</v>
      </c>
      <c r="AB180" s="19">
        <f>ABRIL!AD180</f>
        <v>11565961</v>
      </c>
      <c r="AC180" s="374">
        <v>0</v>
      </c>
      <c r="AD180" s="18">
        <f t="shared" si="166"/>
        <v>11565961</v>
      </c>
      <c r="AE180" s="19">
        <f>ABRIL!AG180</f>
        <v>11529222</v>
      </c>
      <c r="AF180" s="374">
        <v>36739</v>
      </c>
      <c r="AG180" s="18">
        <f t="shared" si="167"/>
        <v>11565961</v>
      </c>
      <c r="AH180" s="19">
        <f t="shared" si="168"/>
        <v>962725</v>
      </c>
      <c r="AI180" s="15">
        <f t="shared" si="169"/>
        <v>962725</v>
      </c>
      <c r="AJ180" s="16">
        <f t="shared" si="170"/>
        <v>962725</v>
      </c>
      <c r="AK180" s="9"/>
      <c r="AL180" s="372">
        <v>0</v>
      </c>
      <c r="AM180" s="375">
        <v>0</v>
      </c>
      <c r="AN180" s="9"/>
    </row>
    <row r="181" spans="1:40" s="382" customFormat="1" ht="24.95" customHeight="1">
      <c r="A181" s="752"/>
      <c r="B181" s="660"/>
      <c r="N181" s="9"/>
      <c r="P181" s="9"/>
      <c r="Q181" s="9"/>
      <c r="R181" s="9"/>
      <c r="S181" s="705" t="str">
        <f>+IF(ABRIL!S181=0,"",ABRIL!S181)</f>
        <v/>
      </c>
      <c r="T181" s="681" t="str">
        <f>+IF(ABRIL!T181=0,"",ABRIL!T181)</f>
        <v/>
      </c>
      <c r="U181" s="27">
        <f>+ENERO!U181</f>
        <v>0</v>
      </c>
      <c r="V181" s="15">
        <f>ABRIL!V181+MAYO!AL181</f>
        <v>0</v>
      </c>
      <c r="W181" s="15">
        <f>ABRIL!W181+MAYO!AM181</f>
        <v>0</v>
      </c>
      <c r="X181" s="18">
        <f t="shared" si="164"/>
        <v>0</v>
      </c>
      <c r="Y181" s="19">
        <f>ABRIL!AA181</f>
        <v>0</v>
      </c>
      <c r="Z181" s="374">
        <v>0</v>
      </c>
      <c r="AA181" s="18">
        <f t="shared" si="165"/>
        <v>0</v>
      </c>
      <c r="AB181" s="19">
        <f>ABRIL!AD181</f>
        <v>0</v>
      </c>
      <c r="AC181" s="374">
        <v>0</v>
      </c>
      <c r="AD181" s="18">
        <f t="shared" si="166"/>
        <v>0</v>
      </c>
      <c r="AE181" s="19">
        <f>ABRIL!AG181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2"/>
      <c r="B182" s="660"/>
      <c r="N182" s="9"/>
      <c r="P182" s="9"/>
      <c r="Q182" s="9"/>
      <c r="R182" s="9"/>
      <c r="S182" s="705" t="str">
        <f>+IF(ABRIL!S182=0,"",ABRIL!S182)</f>
        <v/>
      </c>
      <c r="T182" s="681" t="str">
        <f>+IF(ABRIL!T182=0,"",ABRIL!T182)</f>
        <v/>
      </c>
      <c r="U182" s="27">
        <f>+ENERO!U182</f>
        <v>0</v>
      </c>
      <c r="V182" s="15">
        <f>ABRIL!V182+MAYO!AL182</f>
        <v>0</v>
      </c>
      <c r="W182" s="15">
        <f>ABRIL!W182+MAYO!AM182</f>
        <v>0</v>
      </c>
      <c r="X182" s="18">
        <f t="shared" si="164"/>
        <v>0</v>
      </c>
      <c r="Y182" s="19">
        <f>ABRIL!AA182</f>
        <v>0</v>
      </c>
      <c r="Z182" s="374">
        <v>0</v>
      </c>
      <c r="AA182" s="18">
        <f t="shared" si="165"/>
        <v>0</v>
      </c>
      <c r="AB182" s="19">
        <f>ABRIL!AD182</f>
        <v>0</v>
      </c>
      <c r="AC182" s="374">
        <v>0</v>
      </c>
      <c r="AD182" s="18">
        <f t="shared" si="166"/>
        <v>0</v>
      </c>
      <c r="AE182" s="19">
        <f>ABRIL!AG182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2"/>
      <c r="B183" s="660"/>
      <c r="N183" s="9"/>
      <c r="P183" s="9"/>
      <c r="Q183" s="9"/>
      <c r="R183" s="9"/>
      <c r="S183" s="705">
        <f>+IF(ABRIL!S183=0,"",ABRIL!S183)</f>
        <v>3299999</v>
      </c>
      <c r="T183" s="681" t="str">
        <f>+IF(ABRIL!T183=0,"",ABRIL!T183)</f>
        <v>Vigencias Anteriores</v>
      </c>
      <c r="U183" s="27">
        <f>+ENERO!U183</f>
        <v>0</v>
      </c>
      <c r="V183" s="15">
        <f>ABRIL!V183+MAYO!AL183</f>
        <v>0</v>
      </c>
      <c r="W183" s="15">
        <f>ABRIL!W183+MAYO!AM183</f>
        <v>0</v>
      </c>
      <c r="X183" s="18">
        <f t="shared" si="164"/>
        <v>0</v>
      </c>
      <c r="Y183" s="19">
        <f>ABRIL!AA183</f>
        <v>0</v>
      </c>
      <c r="Z183" s="374">
        <v>0</v>
      </c>
      <c r="AA183" s="18">
        <f t="shared" si="165"/>
        <v>0</v>
      </c>
      <c r="AB183" s="19">
        <f>ABRIL!AD183</f>
        <v>0</v>
      </c>
      <c r="AC183" s="374">
        <v>0</v>
      </c>
      <c r="AD183" s="18">
        <f t="shared" si="166"/>
        <v>0</v>
      </c>
      <c r="AE183" s="19">
        <f>ABRIL!AG183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2"/>
      <c r="B184" s="660"/>
      <c r="N184" s="9"/>
      <c r="P184" s="9"/>
      <c r="Q184" s="9"/>
      <c r="R184" s="9"/>
      <c r="S184" s="366" t="str">
        <f>+IF(ABRIL!S184=0,"",ABRIL!S184)</f>
        <v/>
      </c>
      <c r="T184" s="695"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2"/>
      <c r="B185" s="660"/>
      <c r="N185" s="9"/>
      <c r="P185" s="9"/>
      <c r="Q185" s="9"/>
      <c r="R185" s="9"/>
      <c r="S185" s="704">
        <f>+IF(ABRIL!S185=0,"",ABRIL!S185)</f>
        <v>3300000</v>
      </c>
      <c r="T185" s="680" t="str">
        <f>+IF(ABRIL!T185=0,"",ABRIL!T185)</f>
        <v>Otras Transferencias</v>
      </c>
      <c r="U185" s="132">
        <f t="shared" ref="U185:AJ185" si="171">U186+U187+U191</f>
        <v>50000000</v>
      </c>
      <c r="V185" s="122">
        <f t="shared" si="171"/>
        <v>-300000</v>
      </c>
      <c r="W185" s="122">
        <f t="shared" si="171"/>
        <v>2950868</v>
      </c>
      <c r="X185" s="129">
        <f t="shared" si="171"/>
        <v>52650868</v>
      </c>
      <c r="Y185" s="128">
        <f t="shared" si="171"/>
        <v>12249622</v>
      </c>
      <c r="Z185" s="122">
        <f t="shared" si="171"/>
        <v>0</v>
      </c>
      <c r="AA185" s="129">
        <f t="shared" si="171"/>
        <v>12249622</v>
      </c>
      <c r="AB185" s="128">
        <f t="shared" si="171"/>
        <v>11954535</v>
      </c>
      <c r="AC185" s="122">
        <f t="shared" si="171"/>
        <v>0</v>
      </c>
      <c r="AD185" s="129">
        <f t="shared" si="171"/>
        <v>11954535</v>
      </c>
      <c r="AE185" s="128">
        <f t="shared" si="171"/>
        <v>2655781</v>
      </c>
      <c r="AF185" s="122">
        <f t="shared" si="171"/>
        <v>6205086</v>
      </c>
      <c r="AG185" s="129">
        <f t="shared" si="171"/>
        <v>8860867</v>
      </c>
      <c r="AH185" s="128">
        <f t="shared" si="171"/>
        <v>40401246</v>
      </c>
      <c r="AI185" s="122">
        <f t="shared" si="171"/>
        <v>40696333</v>
      </c>
      <c r="AJ185" s="130">
        <f t="shared" si="171"/>
        <v>43790001</v>
      </c>
      <c r="AK185" s="9"/>
      <c r="AL185" s="128">
        <f>AL186+AL187+AL191</f>
        <v>-300000</v>
      </c>
      <c r="AM185" s="130">
        <f>AM186+AM187+AM191</f>
        <v>0</v>
      </c>
      <c r="AN185" s="9"/>
    </row>
    <row r="186" spans="1:40" s="382" customFormat="1" ht="24.95" customHeight="1">
      <c r="A186" s="752"/>
      <c r="B186" s="660"/>
      <c r="N186" s="9"/>
      <c r="P186" s="9"/>
      <c r="Q186" s="9"/>
      <c r="R186" s="9"/>
      <c r="S186" s="705">
        <f>+IF(ABRIL!S186=0,"",ABRIL!S186)</f>
        <v>3300100</v>
      </c>
      <c r="T186" s="681" t="str">
        <f>+IF(ABRIL!T186=0,"",ABRIL!T186)</f>
        <v>Sentencias y Conciliaciones</v>
      </c>
      <c r="U186" s="27">
        <f>+ENERO!U186</f>
        <v>50000000</v>
      </c>
      <c r="V186" s="15">
        <f>ABRIL!V186+MAYO!AL186</f>
        <v>-3393668</v>
      </c>
      <c r="W186" s="15">
        <f>ABRIL!W186+MAYO!AM186</f>
        <v>0</v>
      </c>
      <c r="X186" s="18">
        <f>SUM(U186:W186)</f>
        <v>46606332</v>
      </c>
      <c r="Y186" s="19">
        <f>ABRIL!AA186</f>
        <v>6205086</v>
      </c>
      <c r="Z186" s="374">
        <v>0</v>
      </c>
      <c r="AA186" s="18">
        <f>SUM(Y186:Z186)</f>
        <v>6205086</v>
      </c>
      <c r="AB186" s="19">
        <f>ABRIL!AD186</f>
        <v>6205086</v>
      </c>
      <c r="AC186" s="374">
        <v>0</v>
      </c>
      <c r="AD186" s="18">
        <f>SUM(AB186:AC186)</f>
        <v>6205086</v>
      </c>
      <c r="AE186" s="19">
        <f>ABRIL!AG186</f>
        <v>0</v>
      </c>
      <c r="AF186" s="374">
        <v>6205086</v>
      </c>
      <c r="AG186" s="18">
        <f>SUM(AE186:AF186)</f>
        <v>6205086</v>
      </c>
      <c r="AH186" s="19">
        <f>X186-AA186</f>
        <v>40401246</v>
      </c>
      <c r="AI186" s="15">
        <f>X186-AD186</f>
        <v>40401246</v>
      </c>
      <c r="AJ186" s="16">
        <f>X186-AG186</f>
        <v>40401246</v>
      </c>
      <c r="AK186" s="9"/>
      <c r="AL186" s="372">
        <v>-300000</v>
      </c>
      <c r="AM186" s="375">
        <v>0</v>
      </c>
      <c r="AN186" s="9"/>
    </row>
    <row r="187" spans="1:40" s="382" customFormat="1" ht="24.95" customHeight="1">
      <c r="A187" s="752"/>
      <c r="B187" s="660"/>
      <c r="N187" s="9"/>
      <c r="P187" s="9"/>
      <c r="Q187" s="9"/>
      <c r="R187" s="9"/>
      <c r="S187" s="705">
        <f>+IF(ABRIL!S187=0,"",ABRIL!S187)</f>
        <v>3300200</v>
      </c>
      <c r="T187" s="681" t="str">
        <f>+IF(ABRIL!T187=0,"",ABRIL!T187)</f>
        <v>Destinatarios de otras transferencias</v>
      </c>
      <c r="U187" s="27">
        <f t="shared" ref="U187:AM187" si="172">SUM(U188:U190)</f>
        <v>0</v>
      </c>
      <c r="V187" s="15">
        <f t="shared" si="172"/>
        <v>3093668</v>
      </c>
      <c r="W187" s="15">
        <f t="shared" si="172"/>
        <v>2950868</v>
      </c>
      <c r="X187" s="18">
        <f t="shared" si="172"/>
        <v>6044536</v>
      </c>
      <c r="Y187" s="19">
        <f t="shared" si="172"/>
        <v>6044536</v>
      </c>
      <c r="Z187" s="142">
        <f t="shared" si="172"/>
        <v>0</v>
      </c>
      <c r="AA187" s="18">
        <f t="shared" si="172"/>
        <v>6044536</v>
      </c>
      <c r="AB187" s="19">
        <f t="shared" si="172"/>
        <v>5749449</v>
      </c>
      <c r="AC187" s="142">
        <f t="shared" si="172"/>
        <v>0</v>
      </c>
      <c r="AD187" s="18">
        <f t="shared" si="172"/>
        <v>5749449</v>
      </c>
      <c r="AE187" s="19">
        <f t="shared" si="172"/>
        <v>2655781</v>
      </c>
      <c r="AF187" s="142">
        <f t="shared" si="172"/>
        <v>0</v>
      </c>
      <c r="AG187" s="18">
        <f t="shared" si="172"/>
        <v>2655781</v>
      </c>
      <c r="AH187" s="19">
        <f t="shared" si="172"/>
        <v>0</v>
      </c>
      <c r="AI187" s="15">
        <f t="shared" si="172"/>
        <v>295087</v>
      </c>
      <c r="AJ187" s="16">
        <f t="shared" si="172"/>
        <v>3388755</v>
      </c>
      <c r="AK187" s="9"/>
      <c r="AL187" s="29">
        <f t="shared" si="172"/>
        <v>0</v>
      </c>
      <c r="AM187" s="26">
        <f t="shared" si="172"/>
        <v>0</v>
      </c>
      <c r="AN187" s="9"/>
    </row>
    <row r="188" spans="1:40" s="382" customFormat="1" ht="24.95" customHeight="1">
      <c r="A188" s="752"/>
      <c r="B188" s="661"/>
      <c r="N188" s="9"/>
      <c r="P188" s="9"/>
      <c r="Q188" s="9"/>
      <c r="R188" s="9"/>
      <c r="S188" s="706" t="str">
        <f>+IF(ABRIL!S188=0,"",ABRIL!S188)</f>
        <v>3300200-1</v>
      </c>
      <c r="T188" s="681" t="str">
        <f>+IF(ABRIL!T188=0,"",ABRIL!T188)</f>
        <v>COHAN</v>
      </c>
      <c r="U188" s="27">
        <f>+ENERO!U188</f>
        <v>0</v>
      </c>
      <c r="V188" s="15">
        <f>ABRIL!V188+MAYO!AL188</f>
        <v>3093668</v>
      </c>
      <c r="W188" s="15">
        <f>ABRIL!W188+MAYO!AM188</f>
        <v>0</v>
      </c>
      <c r="X188" s="18">
        <f>SUM(U188:W188)</f>
        <v>3093668</v>
      </c>
      <c r="Y188" s="19">
        <f>ABRIL!AA188</f>
        <v>3093668</v>
      </c>
      <c r="Z188" s="374">
        <v>0</v>
      </c>
      <c r="AA188" s="18">
        <f>SUM(Y188:Z188)</f>
        <v>3093668</v>
      </c>
      <c r="AB188" s="19">
        <f>ABRIL!AD188</f>
        <v>3093668</v>
      </c>
      <c r="AC188" s="374">
        <v>0</v>
      </c>
      <c r="AD188" s="18">
        <f>SUM(AB188:AC188)</f>
        <v>3093668</v>
      </c>
      <c r="AE188" s="19">
        <f>ABRIL!AG188</f>
        <v>0</v>
      </c>
      <c r="AF188" s="374">
        <v>0</v>
      </c>
      <c r="AG188" s="18">
        <f>SUM(AE188:AF188)</f>
        <v>0</v>
      </c>
      <c r="AH188" s="19">
        <f>X188-AA188</f>
        <v>0</v>
      </c>
      <c r="AI188" s="15">
        <f>X188-AD188</f>
        <v>0</v>
      </c>
      <c r="AJ188" s="16">
        <f>X188-AG188</f>
        <v>3093668</v>
      </c>
      <c r="AK188" s="9"/>
      <c r="AL188" s="372">
        <v>0</v>
      </c>
      <c r="AM188" s="375">
        <v>0</v>
      </c>
      <c r="AN188" s="9"/>
    </row>
    <row r="189" spans="1:40" s="382" customFormat="1" ht="24.95" customHeight="1">
      <c r="A189" s="752"/>
      <c r="B189" s="661"/>
      <c r="N189" s="9"/>
      <c r="P189" s="9"/>
      <c r="Q189" s="9"/>
      <c r="R189" s="9"/>
      <c r="S189" s="706" t="str">
        <f>+IF(ABRIL!S189=0,"",ABRIL!S189)</f>
        <v>3300200-2</v>
      </c>
      <c r="T189" s="681" t="str">
        <f>+IF(ABRIL!T189=0,"",ABRIL!T189)</f>
        <v>AESA</v>
      </c>
      <c r="U189" s="27">
        <f>+ENERO!U189</f>
        <v>0</v>
      </c>
      <c r="V189" s="15">
        <f>ABRIL!V189+MAYO!AL189</f>
        <v>0</v>
      </c>
      <c r="W189" s="15">
        <f>ABRIL!W189+MAYO!AM189</f>
        <v>2950868</v>
      </c>
      <c r="X189" s="18">
        <f>SUM(U189:W189)</f>
        <v>2950868</v>
      </c>
      <c r="Y189" s="19">
        <f>ABRIL!AA189</f>
        <v>2950868</v>
      </c>
      <c r="Z189" s="374">
        <v>0</v>
      </c>
      <c r="AA189" s="18">
        <f>SUM(Y189:Z189)</f>
        <v>2950868</v>
      </c>
      <c r="AB189" s="19">
        <f>ABRIL!AD189</f>
        <v>2655781</v>
      </c>
      <c r="AC189" s="374">
        <v>0</v>
      </c>
      <c r="AD189" s="18">
        <f>SUM(AB189:AC189)</f>
        <v>2655781</v>
      </c>
      <c r="AE189" s="19">
        <f>ABRIL!AG189</f>
        <v>2655781</v>
      </c>
      <c r="AF189" s="374">
        <v>0</v>
      </c>
      <c r="AG189" s="18">
        <f>SUM(AE189:AF189)</f>
        <v>2655781</v>
      </c>
      <c r="AH189" s="19">
        <f>X189-AA189</f>
        <v>0</v>
      </c>
      <c r="AI189" s="15">
        <f>X189-AD189</f>
        <v>295087</v>
      </c>
      <c r="AJ189" s="16">
        <f>X189-AG189</f>
        <v>295087</v>
      </c>
      <c r="AK189" s="9"/>
      <c r="AL189" s="372">
        <v>0</v>
      </c>
      <c r="AM189" s="375">
        <v>0</v>
      </c>
      <c r="AN189" s="9"/>
    </row>
    <row r="190" spans="1:40" s="382" customFormat="1" ht="24.95" customHeight="1">
      <c r="A190" s="752"/>
      <c r="B190" s="661"/>
      <c r="N190" s="9"/>
      <c r="P190" s="9"/>
      <c r="Q190" s="9"/>
      <c r="R190" s="9"/>
      <c r="S190" s="706" t="str">
        <f>+IF(ABRIL!S190=0,"",ABRIL!S190)</f>
        <v>3300200-3</v>
      </c>
      <c r="T190" s="681" t="str">
        <f>+IF(ABRIL!T190=0,"",ABRIL!T190)</f>
        <v xml:space="preserve">OTRAS </v>
      </c>
      <c r="U190" s="27">
        <f>+ENERO!U190</f>
        <v>0</v>
      </c>
      <c r="V190" s="15">
        <f>ABRIL!V190+MAYO!AL190</f>
        <v>0</v>
      </c>
      <c r="W190" s="15">
        <f>ABRIL!W190+MAYO!AM190</f>
        <v>0</v>
      </c>
      <c r="X190" s="18">
        <f>SUM(U190:W190)</f>
        <v>0</v>
      </c>
      <c r="Y190" s="19">
        <f>ABRIL!AA190</f>
        <v>0</v>
      </c>
      <c r="Z190" s="374">
        <v>0</v>
      </c>
      <c r="AA190" s="18">
        <f>SUM(Y190:Z190)</f>
        <v>0</v>
      </c>
      <c r="AB190" s="19">
        <f>ABRIL!AD190</f>
        <v>0</v>
      </c>
      <c r="AC190" s="374">
        <v>0</v>
      </c>
      <c r="AD190" s="18">
        <f>SUM(AB190:AC190)</f>
        <v>0</v>
      </c>
      <c r="AE190" s="19">
        <f>ABRIL!AG190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2"/>
      <c r="B191" s="661"/>
      <c r="N191" s="9"/>
      <c r="P191" s="9"/>
      <c r="Q191" s="9"/>
      <c r="R191" s="9"/>
      <c r="S191" s="705">
        <f>+IF(ABRIL!S191=0,"",ABRIL!S191)</f>
        <v>3399999</v>
      </c>
      <c r="T191" s="681" t="str">
        <f>+IF(ABRIL!T191=0,"",ABRIL!T191)</f>
        <v>Vigencias Anteriores</v>
      </c>
      <c r="U191" s="27">
        <f>+ENERO!U191</f>
        <v>0</v>
      </c>
      <c r="V191" s="15">
        <f>ABRIL!V191+MAYO!AL191</f>
        <v>0</v>
      </c>
      <c r="W191" s="15">
        <f>ABRIL!W191+MAYO!AM191</f>
        <v>0</v>
      </c>
      <c r="X191" s="18">
        <f>SUM(U191:W191)</f>
        <v>0</v>
      </c>
      <c r="Y191" s="19">
        <f>ABRIL!AA191</f>
        <v>0</v>
      </c>
      <c r="Z191" s="374">
        <v>0</v>
      </c>
      <c r="AA191" s="18">
        <f>SUM(Y191:Z191)</f>
        <v>0</v>
      </c>
      <c r="AB191" s="19">
        <f>ABRIL!AD191</f>
        <v>0</v>
      </c>
      <c r="AC191" s="374">
        <v>0</v>
      </c>
      <c r="AD191" s="18">
        <f>SUM(AB191:AC191)</f>
        <v>0</v>
      </c>
      <c r="AE191" s="19">
        <f>ABRIL!AG191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2"/>
      <c r="B192" s="661"/>
      <c r="N192" s="9"/>
      <c r="P192" s="9"/>
      <c r="Q192" s="9"/>
      <c r="R192" s="9"/>
      <c r="S192" s="805"/>
      <c r="T192" s="806"/>
      <c r="U192" s="188"/>
      <c r="V192" s="807"/>
      <c r="W192" s="807"/>
      <c r="X192" s="807"/>
      <c r="Y192" s="807"/>
      <c r="Z192" s="808"/>
      <c r="AA192" s="807"/>
      <c r="AB192" s="807"/>
      <c r="AC192" s="808"/>
      <c r="AD192" s="807"/>
      <c r="AE192" s="807"/>
      <c r="AF192" s="808"/>
      <c r="AG192" s="807"/>
      <c r="AH192" s="807"/>
      <c r="AI192" s="807"/>
      <c r="AJ192" s="173"/>
      <c r="AK192" s="9"/>
      <c r="AL192" s="809"/>
      <c r="AM192" s="810"/>
      <c r="AN192" s="9"/>
    </row>
    <row r="193" spans="1:40" s="382" customFormat="1" ht="44.25" customHeight="1">
      <c r="A193" s="752"/>
      <c r="B193" s="661"/>
      <c r="N193" s="9"/>
      <c r="P193" s="9"/>
      <c r="Q193" s="9"/>
      <c r="R193" s="9"/>
      <c r="S193" s="493" t="s">
        <v>325</v>
      </c>
      <c r="T193" s="689" t="s">
        <v>581</v>
      </c>
      <c r="U193" s="470">
        <f>U195+U209</f>
        <v>14750406346</v>
      </c>
      <c r="V193" s="471">
        <f t="shared" ref="V193:AJ193" si="173">V195+V209</f>
        <v>449588299</v>
      </c>
      <c r="W193" s="471">
        <f t="shared" si="173"/>
        <v>1815318807</v>
      </c>
      <c r="X193" s="380">
        <f t="shared" si="173"/>
        <v>17015313452</v>
      </c>
      <c r="Y193" s="379">
        <f t="shared" si="173"/>
        <v>7816396383</v>
      </c>
      <c r="Z193" s="494">
        <f t="shared" si="173"/>
        <v>1339838013</v>
      </c>
      <c r="AA193" s="380">
        <f t="shared" si="173"/>
        <v>9156234396</v>
      </c>
      <c r="AB193" s="470">
        <f t="shared" si="173"/>
        <v>6148333178</v>
      </c>
      <c r="AC193" s="494">
        <f t="shared" si="173"/>
        <v>1587433878</v>
      </c>
      <c r="AD193" s="472">
        <f t="shared" si="173"/>
        <v>7735767056</v>
      </c>
      <c r="AE193" s="379">
        <f t="shared" si="173"/>
        <v>2731614326</v>
      </c>
      <c r="AF193" s="494">
        <f t="shared" si="173"/>
        <v>619136261</v>
      </c>
      <c r="AG193" s="380">
        <f t="shared" si="173"/>
        <v>3350750587</v>
      </c>
      <c r="AH193" s="379">
        <f t="shared" si="173"/>
        <v>7859079056</v>
      </c>
      <c r="AI193" s="471">
        <f t="shared" si="173"/>
        <v>9279546396</v>
      </c>
      <c r="AJ193" s="380">
        <f t="shared" si="173"/>
        <v>13664562865</v>
      </c>
      <c r="AK193" s="9"/>
      <c r="AL193" s="379">
        <f t="shared" ref="AL193:AM193" si="174">AL195+AL209</f>
        <v>350000000</v>
      </c>
      <c r="AM193" s="380">
        <f t="shared" si="174"/>
        <v>0</v>
      </c>
      <c r="AN193" s="9"/>
    </row>
    <row r="194" spans="1:40" s="382" customFormat="1" ht="24.95" customHeight="1">
      <c r="A194" s="752"/>
      <c r="B194" s="661"/>
      <c r="N194" s="9"/>
      <c r="P194" s="9"/>
      <c r="Q194" s="9"/>
      <c r="R194" s="9"/>
      <c r="S194" s="366" t="str">
        <f>+IF(ABRIL!S194=0,"",ABRIL!S194)</f>
        <v/>
      </c>
      <c r="T194" s="695"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2"/>
      <c r="B195" s="661"/>
      <c r="N195" s="9"/>
      <c r="P195" s="9"/>
      <c r="Q195" s="9"/>
      <c r="R195" s="9"/>
      <c r="S195" s="703">
        <f>+IF(ABRIL!S195=0,"",ABRIL!S195)</f>
        <v>4000000</v>
      </c>
      <c r="T195" s="685" t="str">
        <f>+IF(ABRIL!T195=0,"",ABRIL!T195)</f>
        <v>GASTOS  DE PRESTACION DE SERVICIOS</v>
      </c>
      <c r="U195" s="470">
        <f t="shared" ref="U195:AJ195" si="175">U196</f>
        <v>14750406346</v>
      </c>
      <c r="V195" s="471">
        <f t="shared" si="175"/>
        <v>449588299</v>
      </c>
      <c r="W195" s="471">
        <f t="shared" si="175"/>
        <v>1815318807</v>
      </c>
      <c r="X195" s="472">
        <f t="shared" si="175"/>
        <v>17015313452</v>
      </c>
      <c r="Y195" s="379">
        <f t="shared" si="175"/>
        <v>7816396383</v>
      </c>
      <c r="Z195" s="471">
        <f t="shared" si="175"/>
        <v>1339838013</v>
      </c>
      <c r="AA195" s="472">
        <f t="shared" si="175"/>
        <v>9156234396</v>
      </c>
      <c r="AB195" s="379">
        <f t="shared" si="175"/>
        <v>6148333178</v>
      </c>
      <c r="AC195" s="471">
        <f t="shared" si="175"/>
        <v>1587433878</v>
      </c>
      <c r="AD195" s="472">
        <f t="shared" si="175"/>
        <v>7735767056</v>
      </c>
      <c r="AE195" s="379">
        <f t="shared" si="175"/>
        <v>2731614326</v>
      </c>
      <c r="AF195" s="471">
        <f t="shared" si="175"/>
        <v>619136261</v>
      </c>
      <c r="AG195" s="472">
        <f t="shared" si="175"/>
        <v>3350750587</v>
      </c>
      <c r="AH195" s="379">
        <f t="shared" si="175"/>
        <v>7859079056</v>
      </c>
      <c r="AI195" s="471">
        <f t="shared" si="175"/>
        <v>9279546396</v>
      </c>
      <c r="AJ195" s="380">
        <f t="shared" si="175"/>
        <v>13664562865</v>
      </c>
      <c r="AK195" s="9"/>
      <c r="AL195" s="128">
        <f>AL196</f>
        <v>350000000</v>
      </c>
      <c r="AM195" s="130">
        <f>AM196</f>
        <v>0</v>
      </c>
      <c r="AN195" s="9"/>
    </row>
    <row r="196" spans="1:40" s="382" customFormat="1" ht="24.95" customHeight="1">
      <c r="A196" s="752"/>
      <c r="B196" s="661"/>
      <c r="N196" s="9"/>
      <c r="P196" s="9"/>
      <c r="Q196" s="9"/>
      <c r="R196" s="9"/>
      <c r="S196" s="704">
        <f>+IF(ABRIL!S196=0,"",ABRIL!S196)</f>
        <v>4100000</v>
      </c>
      <c r="T196" s="680" t="str">
        <f>+IF(ABRIL!T196=0,"",ABRIL!T196)</f>
        <v>Insumos y Suministros Hospitalarios</v>
      </c>
      <c r="U196" s="132">
        <f t="shared" ref="U196:AJ196" si="176">U197+U205+U207</f>
        <v>14750406346</v>
      </c>
      <c r="V196" s="122">
        <f t="shared" si="176"/>
        <v>449588299</v>
      </c>
      <c r="W196" s="122">
        <f t="shared" si="176"/>
        <v>1815318807</v>
      </c>
      <c r="X196" s="129">
        <f t="shared" si="176"/>
        <v>17015313452</v>
      </c>
      <c r="Y196" s="128">
        <f t="shared" si="176"/>
        <v>7816396383</v>
      </c>
      <c r="Z196" s="122">
        <f t="shared" si="176"/>
        <v>1339838013</v>
      </c>
      <c r="AA196" s="129">
        <f t="shared" si="176"/>
        <v>9156234396</v>
      </c>
      <c r="AB196" s="128">
        <f t="shared" si="176"/>
        <v>6148333178</v>
      </c>
      <c r="AC196" s="122">
        <f t="shared" si="176"/>
        <v>1587433878</v>
      </c>
      <c r="AD196" s="129">
        <f t="shared" si="176"/>
        <v>7735767056</v>
      </c>
      <c r="AE196" s="128">
        <f t="shared" si="176"/>
        <v>2731614326</v>
      </c>
      <c r="AF196" s="122">
        <f t="shared" si="176"/>
        <v>619136261</v>
      </c>
      <c r="AG196" s="129">
        <f t="shared" si="176"/>
        <v>3350750587</v>
      </c>
      <c r="AH196" s="128">
        <f t="shared" si="176"/>
        <v>7859079056</v>
      </c>
      <c r="AI196" s="122">
        <f t="shared" si="176"/>
        <v>9279546396</v>
      </c>
      <c r="AJ196" s="130">
        <f t="shared" si="176"/>
        <v>13664562865</v>
      </c>
      <c r="AK196" s="10"/>
      <c r="AL196" s="128">
        <f>AL197+AL205+AL207</f>
        <v>350000000</v>
      </c>
      <c r="AM196" s="130">
        <f>AM197+AM205+AM207</f>
        <v>0</v>
      </c>
      <c r="AN196" s="9"/>
    </row>
    <row r="197" spans="1:40" s="382" customFormat="1" ht="24.95" customHeight="1">
      <c r="A197" s="752"/>
      <c r="B197" s="661"/>
      <c r="N197" s="9"/>
      <c r="P197" s="9"/>
      <c r="Q197" s="9"/>
      <c r="R197" s="9"/>
      <c r="S197" s="705">
        <f>+IF(ABRIL!S197=0,"",ABRIL!S197)</f>
        <v>4100100</v>
      </c>
      <c r="T197" s="681" t="str">
        <f>+IF(ABRIL!T197=0,"",ABRIL!T197)</f>
        <v>Compra de Bienes para la Prestacion de servicios</v>
      </c>
      <c r="U197" s="27">
        <f t="shared" ref="U197:AJ197" si="177">SUM(U198:U204)</f>
        <v>13250406346</v>
      </c>
      <c r="V197" s="15">
        <f t="shared" si="177"/>
        <v>-27000000</v>
      </c>
      <c r="W197" s="15">
        <f t="shared" si="177"/>
        <v>0</v>
      </c>
      <c r="X197" s="18">
        <f t="shared" si="177"/>
        <v>13223406346</v>
      </c>
      <c r="Y197" s="19">
        <f t="shared" si="177"/>
        <v>4709069641</v>
      </c>
      <c r="Z197" s="142">
        <f t="shared" si="177"/>
        <v>960765145</v>
      </c>
      <c r="AA197" s="18">
        <f t="shared" si="177"/>
        <v>5669834786</v>
      </c>
      <c r="AB197" s="19">
        <f t="shared" si="177"/>
        <v>3710318739</v>
      </c>
      <c r="AC197" s="142">
        <f t="shared" si="177"/>
        <v>1060379675</v>
      </c>
      <c r="AD197" s="18">
        <f t="shared" si="177"/>
        <v>4770698414</v>
      </c>
      <c r="AE197" s="19">
        <f t="shared" si="177"/>
        <v>727531602</v>
      </c>
      <c r="AF197" s="142">
        <f t="shared" si="177"/>
        <v>242988294</v>
      </c>
      <c r="AG197" s="18">
        <f t="shared" si="177"/>
        <v>970519896</v>
      </c>
      <c r="AH197" s="19">
        <f t="shared" si="177"/>
        <v>7553571560</v>
      </c>
      <c r="AI197" s="15">
        <f t="shared" si="177"/>
        <v>8452707932</v>
      </c>
      <c r="AJ197" s="16">
        <f t="shared" si="177"/>
        <v>12252886450</v>
      </c>
      <c r="AK197" s="9"/>
      <c r="AL197" s="29">
        <f>SUM(AL198:AL204)</f>
        <v>0</v>
      </c>
      <c r="AM197" s="26">
        <f>SUM(AM198:AM204)</f>
        <v>0</v>
      </c>
      <c r="AN197" s="9"/>
    </row>
    <row r="198" spans="1:40" s="382" customFormat="1" ht="24.95" customHeight="1">
      <c r="A198" s="752"/>
      <c r="B198" s="661"/>
      <c r="N198" s="9"/>
      <c r="P198" s="9"/>
      <c r="Q198" s="9"/>
      <c r="R198" s="9"/>
      <c r="S198" s="706" t="str">
        <f>+IF(ABRIL!S198=0,"",ABRIL!S198)</f>
        <v>4100100-1</v>
      </c>
      <c r="T198" s="682" t="str">
        <f>+IF(ABRIL!T198=0,"",ABRIL!T198)</f>
        <v>Productos Farmaceuticos</v>
      </c>
      <c r="U198" s="27">
        <f>+ENERO!U198</f>
        <v>6473158346</v>
      </c>
      <c r="V198" s="15">
        <f>ABRIL!V198+MAYO!AL198</f>
        <v>-27000000</v>
      </c>
      <c r="W198" s="15">
        <f>ABRIL!W198+MAYO!AM198</f>
        <v>0</v>
      </c>
      <c r="X198" s="18">
        <f t="shared" ref="X198:X204" si="178">SUM(U198:W198)</f>
        <v>6446158346</v>
      </c>
      <c r="Y198" s="19">
        <f>ABRIL!AA198</f>
        <v>1785940549</v>
      </c>
      <c r="Z198" s="374">
        <v>397540737</v>
      </c>
      <c r="AA198" s="18">
        <f t="shared" ref="AA198:AA204" si="179">SUM(Y198:Z198)</f>
        <v>2183481286</v>
      </c>
      <c r="AB198" s="19">
        <f>ABRIL!AD198</f>
        <v>1334858852</v>
      </c>
      <c r="AC198" s="374">
        <v>424911807</v>
      </c>
      <c r="AD198" s="18">
        <f t="shared" ref="AD198:AD204" si="180">SUM(AB198:AC198)</f>
        <v>1759770659</v>
      </c>
      <c r="AE198" s="19">
        <f>ABRIL!AG198</f>
        <v>231804742</v>
      </c>
      <c r="AF198" s="374">
        <v>142742864</v>
      </c>
      <c r="AG198" s="18">
        <f t="shared" ref="AG198:AG204" si="181">SUM(AE198:AF198)</f>
        <v>374547606</v>
      </c>
      <c r="AH198" s="19">
        <f t="shared" ref="AH198:AH204" si="182">X198-AA198</f>
        <v>4262677060</v>
      </c>
      <c r="AI198" s="15">
        <f t="shared" ref="AI198:AI204" si="183">X198-AD198</f>
        <v>4686387687</v>
      </c>
      <c r="AJ198" s="16">
        <f t="shared" ref="AJ198:AJ204" si="184">X198-AG198</f>
        <v>6071610740</v>
      </c>
      <c r="AK198" s="9"/>
      <c r="AL198" s="372">
        <v>0</v>
      </c>
      <c r="AM198" s="375">
        <v>0</v>
      </c>
      <c r="AN198" s="9"/>
    </row>
    <row r="199" spans="1:40" s="382" customFormat="1" ht="24.95" customHeight="1">
      <c r="A199" s="752"/>
      <c r="B199" s="661"/>
      <c r="N199" s="9"/>
      <c r="P199" s="9"/>
      <c r="Q199" s="9"/>
      <c r="R199" s="9"/>
      <c r="S199" s="706" t="str">
        <f>+IF(ABRIL!S199=0,"",ABRIL!S199)</f>
        <v>4100100-2</v>
      </c>
      <c r="T199" s="682" t="str">
        <f>+IF(ABRIL!T199=0,"",ABRIL!T199)</f>
        <v>Material Médico Quirúrgico</v>
      </c>
      <c r="U199" s="27">
        <f>+ENERO!U199</f>
        <v>4177248000</v>
      </c>
      <c r="V199" s="15">
        <f>ABRIL!V199+MAYO!AL199</f>
        <v>0</v>
      </c>
      <c r="W199" s="15">
        <f>ABRIL!W199+MAYO!AM199</f>
        <v>0</v>
      </c>
      <c r="X199" s="18">
        <f t="shared" si="178"/>
        <v>4177248000</v>
      </c>
      <c r="Y199" s="19">
        <f>ABRIL!AA199</f>
        <v>1827448424</v>
      </c>
      <c r="Z199" s="374">
        <v>506016424</v>
      </c>
      <c r="AA199" s="18">
        <f t="shared" si="179"/>
        <v>2333464848</v>
      </c>
      <c r="AB199" s="19">
        <f>ABRIL!AD199</f>
        <v>1670634637</v>
      </c>
      <c r="AC199" s="374">
        <v>477027047</v>
      </c>
      <c r="AD199" s="18">
        <f t="shared" si="180"/>
        <v>2147661684</v>
      </c>
      <c r="AE199" s="19">
        <f>ABRIL!AG199</f>
        <v>398054126</v>
      </c>
      <c r="AF199" s="374">
        <v>16317625</v>
      </c>
      <c r="AG199" s="18">
        <f t="shared" si="181"/>
        <v>414371751</v>
      </c>
      <c r="AH199" s="19">
        <f t="shared" si="182"/>
        <v>1843783152</v>
      </c>
      <c r="AI199" s="15">
        <f t="shared" si="183"/>
        <v>2029586316</v>
      </c>
      <c r="AJ199" s="16">
        <f t="shared" si="184"/>
        <v>3762876249</v>
      </c>
      <c r="AK199" s="9"/>
      <c r="AL199" s="372">
        <v>0</v>
      </c>
      <c r="AM199" s="375">
        <v>0</v>
      </c>
      <c r="AN199" s="9"/>
    </row>
    <row r="200" spans="1:40" s="382" customFormat="1" ht="24.95" customHeight="1">
      <c r="A200" s="752"/>
      <c r="B200" s="661"/>
      <c r="N200" s="9"/>
      <c r="P200" s="9"/>
      <c r="Q200" s="9"/>
      <c r="R200" s="9"/>
      <c r="S200" s="706" t="str">
        <f>+IF(ABRIL!S200=0,"",ABRIL!S200)</f>
        <v>4100100-3</v>
      </c>
      <c r="T200" s="682" t="str">
        <f>+IF(ABRIL!T200=0,"",ABRIL!T200)</f>
        <v>Material de Laboratorio</v>
      </c>
      <c r="U200" s="27">
        <f>+ENERO!U200</f>
        <v>1300000000</v>
      </c>
      <c r="V200" s="15">
        <f>ABRIL!V200+MAYO!AL200</f>
        <v>0</v>
      </c>
      <c r="W200" s="15">
        <f>ABRIL!W200+MAYO!AM200</f>
        <v>0</v>
      </c>
      <c r="X200" s="18">
        <f t="shared" si="178"/>
        <v>1300000000</v>
      </c>
      <c r="Y200" s="19">
        <f>ABRIL!AA200</f>
        <v>855680668</v>
      </c>
      <c r="Z200" s="374">
        <v>-22932</v>
      </c>
      <c r="AA200" s="18">
        <f t="shared" si="179"/>
        <v>855657736</v>
      </c>
      <c r="AB200" s="19">
        <f>ABRIL!AD200</f>
        <v>530242688</v>
      </c>
      <c r="AC200" s="374">
        <v>94693273</v>
      </c>
      <c r="AD200" s="18">
        <f t="shared" si="180"/>
        <v>624935961</v>
      </c>
      <c r="AE200" s="19">
        <f>ABRIL!AG200</f>
        <v>97672734</v>
      </c>
      <c r="AF200" s="374">
        <v>61538887</v>
      </c>
      <c r="AG200" s="18">
        <f t="shared" si="181"/>
        <v>159211621</v>
      </c>
      <c r="AH200" s="19">
        <f t="shared" si="182"/>
        <v>444342264</v>
      </c>
      <c r="AI200" s="15">
        <f t="shared" si="183"/>
        <v>675064039</v>
      </c>
      <c r="AJ200" s="16">
        <f t="shared" si="184"/>
        <v>1140788379</v>
      </c>
      <c r="AK200" s="9"/>
      <c r="AL200" s="372">
        <v>0</v>
      </c>
      <c r="AM200" s="375">
        <v>0</v>
      </c>
      <c r="AN200" s="9"/>
    </row>
    <row r="201" spans="1:40" s="382" customFormat="1" ht="24.95" customHeight="1">
      <c r="A201" s="752"/>
      <c r="B201" s="661"/>
      <c r="N201" s="9"/>
      <c r="P201" s="9"/>
      <c r="Q201" s="9"/>
      <c r="R201" s="9"/>
      <c r="S201" s="706" t="str">
        <f>+IF(ABRIL!S201=0,"",ABRIL!S201)</f>
        <v>4100100-4</v>
      </c>
      <c r="T201" s="682" t="str">
        <f>+IF(ABRIL!T201=0,"",ABRIL!T201)</f>
        <v>Material para Odontologia</v>
      </c>
      <c r="U201" s="27">
        <f>+ENERO!U201</f>
        <v>0</v>
      </c>
      <c r="V201" s="15">
        <f>ABRIL!V201+MAYO!AL201</f>
        <v>0</v>
      </c>
      <c r="W201" s="15">
        <f>ABRIL!W201+MAYO!AM201</f>
        <v>0</v>
      </c>
      <c r="X201" s="18">
        <f t="shared" si="178"/>
        <v>0</v>
      </c>
      <c r="Y201" s="19">
        <f>ABRIL!AA201</f>
        <v>0</v>
      </c>
      <c r="Z201" s="374">
        <v>0</v>
      </c>
      <c r="AA201" s="18">
        <f t="shared" si="179"/>
        <v>0</v>
      </c>
      <c r="AB201" s="19">
        <f>ABRIL!AD201</f>
        <v>0</v>
      </c>
      <c r="AC201" s="374">
        <v>0</v>
      </c>
      <c r="AD201" s="18">
        <f t="shared" si="180"/>
        <v>0</v>
      </c>
      <c r="AE201" s="19">
        <f>ABRIL!AG201</f>
        <v>0</v>
      </c>
      <c r="AF201" s="374">
        <v>0</v>
      </c>
      <c r="AG201" s="18">
        <f t="shared" si="181"/>
        <v>0</v>
      </c>
      <c r="AH201" s="19">
        <f t="shared" si="182"/>
        <v>0</v>
      </c>
      <c r="AI201" s="15">
        <f t="shared" si="183"/>
        <v>0</v>
      </c>
      <c r="AJ201" s="16">
        <f t="shared" si="184"/>
        <v>0</v>
      </c>
      <c r="AK201" s="9"/>
      <c r="AL201" s="372">
        <v>0</v>
      </c>
      <c r="AM201" s="375">
        <v>0</v>
      </c>
      <c r="AN201" s="9"/>
    </row>
    <row r="202" spans="1:40" s="382" customFormat="1" ht="24.95" customHeight="1">
      <c r="A202" s="752"/>
      <c r="B202" s="661"/>
      <c r="N202" s="9"/>
      <c r="P202" s="9"/>
      <c r="Q202" s="9"/>
      <c r="R202" s="9"/>
      <c r="S202" s="706" t="str">
        <f>+IF(ABRIL!S202=0,"",ABRIL!S202)</f>
        <v>4100100-5</v>
      </c>
      <c r="T202" s="682" t="str">
        <f>+IF(ABRIL!T202=0,"",ABRIL!T202)</f>
        <v>Material para Rayos X</v>
      </c>
      <c r="U202" s="27">
        <f>+ENERO!U202</f>
        <v>1300000000</v>
      </c>
      <c r="V202" s="15">
        <f>ABRIL!V202+MAYO!AL202</f>
        <v>0</v>
      </c>
      <c r="W202" s="15">
        <f>ABRIL!W202+MAYO!AM202</f>
        <v>0</v>
      </c>
      <c r="X202" s="18">
        <f t="shared" si="178"/>
        <v>1300000000</v>
      </c>
      <c r="Y202" s="19">
        <f>ABRIL!AA202</f>
        <v>240000000</v>
      </c>
      <c r="Z202" s="374">
        <v>57230916</v>
      </c>
      <c r="AA202" s="18">
        <f t="shared" si="179"/>
        <v>297230916</v>
      </c>
      <c r="AB202" s="19">
        <f>ABRIL!AD202</f>
        <v>174582562</v>
      </c>
      <c r="AC202" s="374">
        <v>63747548</v>
      </c>
      <c r="AD202" s="18">
        <f t="shared" si="180"/>
        <v>238330110</v>
      </c>
      <c r="AE202" s="19">
        <f>ABRIL!AG202</f>
        <v>0</v>
      </c>
      <c r="AF202" s="374">
        <v>22388918</v>
      </c>
      <c r="AG202" s="18">
        <f t="shared" si="181"/>
        <v>22388918</v>
      </c>
      <c r="AH202" s="19">
        <f t="shared" si="182"/>
        <v>1002769084</v>
      </c>
      <c r="AI202" s="15">
        <f t="shared" si="183"/>
        <v>1061669890</v>
      </c>
      <c r="AJ202" s="16">
        <f t="shared" si="184"/>
        <v>1277611082</v>
      </c>
      <c r="AK202" s="9"/>
      <c r="AL202" s="372">
        <v>0</v>
      </c>
      <c r="AM202" s="375">
        <v>0</v>
      </c>
      <c r="AN202" s="9"/>
    </row>
    <row r="203" spans="1:40" s="382" customFormat="1" ht="24.95" customHeight="1">
      <c r="A203" s="752"/>
      <c r="B203" s="661"/>
      <c r="N203" s="9"/>
      <c r="P203" s="9"/>
      <c r="Q203" s="9"/>
      <c r="R203" s="9"/>
      <c r="S203" s="706" t="str">
        <f>+IF(ABRIL!S203=0,"",ABRIL!S203)</f>
        <v/>
      </c>
      <c r="T203" s="682" t="str">
        <f>+IF(ABRIL!T203=0,"",ABRIL!T203)</f>
        <v/>
      </c>
      <c r="U203" s="27">
        <f>+ENERO!U203</f>
        <v>0</v>
      </c>
      <c r="V203" s="15">
        <f>ABRIL!V203+MAYO!AL203</f>
        <v>0</v>
      </c>
      <c r="W203" s="15">
        <f>ABRIL!W203+MAYO!AM203</f>
        <v>0</v>
      </c>
      <c r="X203" s="18">
        <f t="shared" si="178"/>
        <v>0</v>
      </c>
      <c r="Y203" s="19">
        <f>ABRIL!AA203</f>
        <v>0</v>
      </c>
      <c r="Z203" s="374">
        <v>0</v>
      </c>
      <c r="AA203" s="18">
        <f t="shared" si="179"/>
        <v>0</v>
      </c>
      <c r="AB203" s="19">
        <f>ABRIL!AD203</f>
        <v>0</v>
      </c>
      <c r="AC203" s="374">
        <v>0</v>
      </c>
      <c r="AD203" s="18">
        <f t="shared" si="180"/>
        <v>0</v>
      </c>
      <c r="AE203" s="19">
        <f>ABRIL!AG203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2"/>
      <c r="B204" s="661"/>
      <c r="N204" s="9"/>
      <c r="P204" s="9"/>
      <c r="Q204" s="9"/>
      <c r="R204" s="9"/>
      <c r="S204" s="706" t="str">
        <f>+IF(ABRIL!S204=0,"",ABRIL!S204)</f>
        <v/>
      </c>
      <c r="T204" s="682" t="str">
        <f>+IF(ABRIL!T204=0,"",ABRIL!T204)</f>
        <v/>
      </c>
      <c r="U204" s="27">
        <f>+ENERO!U204</f>
        <v>0</v>
      </c>
      <c r="V204" s="15">
        <f>ABRIL!V204+MAYO!AL204</f>
        <v>0</v>
      </c>
      <c r="W204" s="15">
        <f>ABRIL!W204+MAYO!AM204</f>
        <v>0</v>
      </c>
      <c r="X204" s="18">
        <f t="shared" si="178"/>
        <v>0</v>
      </c>
      <c r="Y204" s="19">
        <f>ABRIL!AA204</f>
        <v>0</v>
      </c>
      <c r="Z204" s="374">
        <v>0</v>
      </c>
      <c r="AA204" s="18">
        <f t="shared" si="179"/>
        <v>0</v>
      </c>
      <c r="AB204" s="19">
        <f>ABRIL!AD204</f>
        <v>0</v>
      </c>
      <c r="AC204" s="374">
        <v>0</v>
      </c>
      <c r="AD204" s="18">
        <f t="shared" si="180"/>
        <v>0</v>
      </c>
      <c r="AE204" s="19">
        <f>ABRIL!AG204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2"/>
      <c r="B205" s="661"/>
      <c r="N205" s="9"/>
      <c r="P205" s="9"/>
      <c r="Q205" s="9"/>
      <c r="R205" s="9"/>
      <c r="S205" s="705">
        <f>+IF(ABRIL!S205=0,"",ABRIL!S205)</f>
        <v>4100200</v>
      </c>
      <c r="T205" s="681" t="str">
        <f>+IF(ABRIL!T205=0,"",ABRIL!T205)</f>
        <v>Gastos Complementarios e Intermedios</v>
      </c>
      <c r="U205" s="27">
        <f t="shared" ref="U205:AJ205" si="185">U206</f>
        <v>1500000000</v>
      </c>
      <c r="V205" s="15">
        <f t="shared" si="185"/>
        <v>0</v>
      </c>
      <c r="W205" s="15">
        <f t="shared" si="185"/>
        <v>0</v>
      </c>
      <c r="X205" s="18">
        <f t="shared" si="185"/>
        <v>1500000000</v>
      </c>
      <c r="Y205" s="19">
        <f t="shared" si="185"/>
        <v>1210000000</v>
      </c>
      <c r="Z205" s="142">
        <f t="shared" si="185"/>
        <v>2924901</v>
      </c>
      <c r="AA205" s="18">
        <f t="shared" si="185"/>
        <v>1212924901</v>
      </c>
      <c r="AB205" s="19">
        <f t="shared" si="185"/>
        <v>540687697</v>
      </c>
      <c r="AC205" s="142">
        <f t="shared" si="185"/>
        <v>150906236</v>
      </c>
      <c r="AD205" s="18">
        <f t="shared" si="185"/>
        <v>691593933</v>
      </c>
      <c r="AE205" s="19">
        <f t="shared" si="185"/>
        <v>124669982</v>
      </c>
      <c r="AF205" s="142">
        <f t="shared" si="185"/>
        <v>0</v>
      </c>
      <c r="AG205" s="18">
        <f t="shared" si="185"/>
        <v>124669982</v>
      </c>
      <c r="AH205" s="19">
        <f t="shared" si="185"/>
        <v>287075099</v>
      </c>
      <c r="AI205" s="15">
        <f t="shared" si="185"/>
        <v>808406067</v>
      </c>
      <c r="AJ205" s="16">
        <f t="shared" si="185"/>
        <v>1375330018</v>
      </c>
      <c r="AK205" s="9"/>
      <c r="AL205" s="29">
        <f>AL206</f>
        <v>0</v>
      </c>
      <c r="AM205" s="26">
        <f>AM206</f>
        <v>0</v>
      </c>
      <c r="AN205" s="9"/>
    </row>
    <row r="206" spans="1:40" s="382" customFormat="1" ht="24.95" customHeight="1">
      <c r="A206" s="752"/>
      <c r="B206" s="661"/>
      <c r="N206" s="9"/>
      <c r="P206" s="9"/>
      <c r="Q206" s="9"/>
      <c r="R206" s="9"/>
      <c r="S206" s="706" t="str">
        <f>+IF(ABRIL!S206=0,"",ABRIL!S206)</f>
        <v>4100200-1</v>
      </c>
      <c r="T206" s="682" t="str">
        <f>+IF(ABRIL!T206=0,"",ABRIL!T206)</f>
        <v>Alimentación</v>
      </c>
      <c r="U206" s="27">
        <f>+ENERO!U206</f>
        <v>1500000000</v>
      </c>
      <c r="V206" s="15">
        <f>ABRIL!V206+MAYO!AL206</f>
        <v>0</v>
      </c>
      <c r="W206" s="15">
        <f>ABRIL!W206+MAYO!AM206</f>
        <v>0</v>
      </c>
      <c r="X206" s="18">
        <f>SUM(U206:W206)</f>
        <v>1500000000</v>
      </c>
      <c r="Y206" s="19">
        <f>ABRIL!AA206</f>
        <v>1210000000</v>
      </c>
      <c r="Z206" s="374">
        <v>2924901</v>
      </c>
      <c r="AA206" s="18">
        <f>SUM(Y206:Z206)</f>
        <v>1212924901</v>
      </c>
      <c r="AB206" s="19">
        <f>ABRIL!AD206</f>
        <v>540687697</v>
      </c>
      <c r="AC206" s="374">
        <v>150906236</v>
      </c>
      <c r="AD206" s="18">
        <f>SUM(AB206:AC206)</f>
        <v>691593933</v>
      </c>
      <c r="AE206" s="19">
        <f>ABRIL!AG206</f>
        <v>124669982</v>
      </c>
      <c r="AF206" s="374">
        <v>0</v>
      </c>
      <c r="AG206" s="18">
        <f>SUM(AE206:AF206)</f>
        <v>124669982</v>
      </c>
      <c r="AH206" s="19">
        <f>X206-AA206</f>
        <v>287075099</v>
      </c>
      <c r="AI206" s="15">
        <f>X206-AD206</f>
        <v>808406067</v>
      </c>
      <c r="AJ206" s="16">
        <f>X206-AG206</f>
        <v>1375330018</v>
      </c>
      <c r="AK206" s="9"/>
      <c r="AL206" s="372">
        <v>0</v>
      </c>
      <c r="AM206" s="375">
        <v>0</v>
      </c>
      <c r="AN206" s="9"/>
    </row>
    <row r="207" spans="1:40" s="382" customFormat="1" ht="24.95" customHeight="1" thickBot="1">
      <c r="A207" s="752"/>
      <c r="B207" s="661"/>
      <c r="N207" s="9"/>
      <c r="P207" s="9"/>
      <c r="Q207" s="9"/>
      <c r="R207" s="9"/>
      <c r="S207" s="710">
        <f>+IF(ABRIL!S207=0,"",ABRIL!S207)</f>
        <v>4199999</v>
      </c>
      <c r="T207" s="687" t="str">
        <f>+IF(ABRIL!T207=0,"",ABRIL!T207)</f>
        <v>Vigencias Anteriores</v>
      </c>
      <c r="U207" s="133">
        <f>+ENERO!U207</f>
        <v>0</v>
      </c>
      <c r="V207" s="121">
        <f>ABRIL!V207+MAYO!AL207</f>
        <v>476588299</v>
      </c>
      <c r="W207" s="121">
        <f>ABRIL!W207+MAYO!AM207</f>
        <v>1815318807</v>
      </c>
      <c r="X207" s="126">
        <f>SUM(U207:W207)</f>
        <v>2291907106</v>
      </c>
      <c r="Y207" s="124">
        <f>ABRIL!AA207</f>
        <v>1897326742</v>
      </c>
      <c r="Z207" s="388">
        <v>376147967</v>
      </c>
      <c r="AA207" s="126">
        <f>SUM(Y207:Z207)</f>
        <v>2273474709</v>
      </c>
      <c r="AB207" s="124">
        <f>ABRIL!AD207</f>
        <v>1897326742</v>
      </c>
      <c r="AC207" s="388">
        <v>376147967</v>
      </c>
      <c r="AD207" s="126">
        <f>SUM(AB207:AC207)</f>
        <v>2273474709</v>
      </c>
      <c r="AE207" s="124">
        <f>ABRIL!AG207</f>
        <v>1879412742</v>
      </c>
      <c r="AF207" s="388">
        <v>376147967</v>
      </c>
      <c r="AG207" s="126">
        <f>SUM(AE207:AF207)</f>
        <v>2255560709</v>
      </c>
      <c r="AH207" s="124">
        <f>X207-AA207</f>
        <v>18432397</v>
      </c>
      <c r="AI207" s="121">
        <f>X207-AD207</f>
        <v>18432397</v>
      </c>
      <c r="AJ207" s="125">
        <f>X207-AG207</f>
        <v>36346397</v>
      </c>
      <c r="AK207" s="9"/>
      <c r="AL207" s="384">
        <v>350000000</v>
      </c>
      <c r="AM207" s="389">
        <v>0</v>
      </c>
      <c r="AN207" s="9"/>
    </row>
    <row r="208" spans="1:40" s="382" customFormat="1" ht="24.95" customHeight="1">
      <c r="A208" s="752"/>
      <c r="B208" s="661"/>
      <c r="N208" s="9"/>
      <c r="P208" s="9"/>
      <c r="Q208" s="9"/>
      <c r="R208" s="9"/>
      <c r="S208" s="489" t="str">
        <f>+IF(ABRIL!S208=0,"",ABRIL!S208)</f>
        <v/>
      </c>
      <c r="T208" s="688" t="str">
        <f>+IF(ABRIL!T208=0,"",ABRIL!T208)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2"/>
      <c r="B209" s="661"/>
      <c r="N209" s="9"/>
      <c r="P209" s="9"/>
      <c r="Q209" s="9"/>
      <c r="R209" s="9"/>
      <c r="S209" s="703">
        <f>+IF(ABRIL!S209=0,"",ABRIL!S209)</f>
        <v>5000000</v>
      </c>
      <c r="T209" s="685" t="s">
        <v>450</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2"/>
      <c r="B210" s="661"/>
      <c r="N210" s="9"/>
      <c r="P210" s="9"/>
      <c r="Q210" s="9"/>
      <c r="R210" s="9"/>
      <c r="S210" s="704">
        <f>+IF(ABRIL!S210=0,"",ABRIL!S210)</f>
        <v>5100000</v>
      </c>
      <c r="T210" s="680" t="str">
        <f>+IF(ABRIL!T210=0,"",ABRIL!T210)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2"/>
      <c r="B211" s="661"/>
      <c r="N211" s="9"/>
      <c r="P211" s="9"/>
      <c r="Q211" s="9"/>
      <c r="R211" s="9"/>
      <c r="S211" s="705">
        <f>+IF(ABRIL!S211=0,"",ABRIL!S211)</f>
        <v>5100100</v>
      </c>
      <c r="T211" s="681" t="str">
        <f>+IF(ABRIL!T211=0,"",ABRIL!T211)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2"/>
      <c r="B212" s="661"/>
      <c r="N212" s="9"/>
      <c r="P212" s="9"/>
      <c r="Q212" s="9"/>
      <c r="R212" s="9"/>
      <c r="S212" s="706" t="str">
        <f>+IF(ABRIL!S212=0,"",ABRIL!S212)</f>
        <v>5100100-1</v>
      </c>
      <c r="T212" s="682" t="str">
        <f>+IF(ABRIL!T212=0,"",ABRIL!T212)</f>
        <v>Productos Farmaceuticos</v>
      </c>
      <c r="U212" s="27">
        <f>+ENERO!U212</f>
        <v>0</v>
      </c>
      <c r="V212" s="15">
        <f>ABRIL!V212+MAYO!AL212</f>
        <v>0</v>
      </c>
      <c r="W212" s="15">
        <f>ABRIL!W212+MAYO!AM212</f>
        <v>0</v>
      </c>
      <c r="X212" s="18">
        <f t="shared" ref="X212:X218" si="189">SUM(U212:W212)</f>
        <v>0</v>
      </c>
      <c r="Y212" s="19">
        <f>ABRIL!AA212</f>
        <v>0</v>
      </c>
      <c r="Z212" s="374">
        <v>0</v>
      </c>
      <c r="AA212" s="18">
        <f t="shared" ref="AA212:AA218" si="190">SUM(Y212:Z212)</f>
        <v>0</v>
      </c>
      <c r="AB212" s="19">
        <f>ABRIL!AD212</f>
        <v>0</v>
      </c>
      <c r="AC212" s="374">
        <v>0</v>
      </c>
      <c r="AD212" s="18">
        <f t="shared" ref="AD212:AD218" si="191">SUM(AB212:AC212)</f>
        <v>0</v>
      </c>
      <c r="AE212" s="19">
        <f>ABRIL!AG212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2"/>
      <c r="B213" s="661"/>
      <c r="N213" s="9"/>
      <c r="P213" s="9"/>
      <c r="Q213" s="9"/>
      <c r="R213" s="9"/>
      <c r="S213" s="706" t="str">
        <f>+IF(ABRIL!S213=0,"",ABRIL!S213)</f>
        <v>5100100-2</v>
      </c>
      <c r="T213" s="682" t="str">
        <f>+IF(ABRIL!T213=0,"",ABRIL!T213)</f>
        <v>Material Médico Quirúrgico</v>
      </c>
      <c r="U213" s="27">
        <f>+ENERO!U213</f>
        <v>0</v>
      </c>
      <c r="V213" s="15">
        <f>ABRIL!V213+MAYO!AL213</f>
        <v>0</v>
      </c>
      <c r="W213" s="15">
        <f>ABRIL!W213+MAYO!AM213</f>
        <v>0</v>
      </c>
      <c r="X213" s="18">
        <f t="shared" si="189"/>
        <v>0</v>
      </c>
      <c r="Y213" s="19">
        <f>ABRIL!AA213</f>
        <v>0</v>
      </c>
      <c r="Z213" s="374">
        <v>0</v>
      </c>
      <c r="AA213" s="18">
        <f t="shared" si="190"/>
        <v>0</v>
      </c>
      <c r="AB213" s="19">
        <f>ABRIL!AD213</f>
        <v>0</v>
      </c>
      <c r="AC213" s="374">
        <v>0</v>
      </c>
      <c r="AD213" s="18">
        <f t="shared" si="191"/>
        <v>0</v>
      </c>
      <c r="AE213" s="19">
        <f>ABRIL!AG213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2"/>
      <c r="B214" s="661"/>
      <c r="N214" s="9"/>
      <c r="P214" s="9"/>
      <c r="Q214" s="9"/>
      <c r="R214" s="9"/>
      <c r="S214" s="706" t="str">
        <f>+IF(ABRIL!S214=0,"",ABRIL!S214)</f>
        <v>5100100-3</v>
      </c>
      <c r="T214" s="682" t="str">
        <f>+IF(ABRIL!T214=0,"",ABRIL!T214)</f>
        <v>Material de Laboratorio</v>
      </c>
      <c r="U214" s="27">
        <f>+ENERO!U214</f>
        <v>0</v>
      </c>
      <c r="V214" s="15">
        <f>ABRIL!V214+MAYO!AL214</f>
        <v>0</v>
      </c>
      <c r="W214" s="15">
        <f>ABRIL!W214+MAYO!AM214</f>
        <v>0</v>
      </c>
      <c r="X214" s="18">
        <f t="shared" si="189"/>
        <v>0</v>
      </c>
      <c r="Y214" s="19">
        <f>ABRIL!AA214</f>
        <v>0</v>
      </c>
      <c r="Z214" s="374">
        <v>0</v>
      </c>
      <c r="AA214" s="18">
        <f t="shared" si="190"/>
        <v>0</v>
      </c>
      <c r="AB214" s="19">
        <f>ABRIL!AD214</f>
        <v>0</v>
      </c>
      <c r="AC214" s="374">
        <v>0</v>
      </c>
      <c r="AD214" s="18">
        <f t="shared" si="191"/>
        <v>0</v>
      </c>
      <c r="AE214" s="19">
        <f>ABRIL!AG214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2"/>
      <c r="B215" s="661"/>
      <c r="N215" s="9"/>
      <c r="P215" s="9"/>
      <c r="Q215" s="9"/>
      <c r="R215" s="9"/>
      <c r="S215" s="706" t="str">
        <f>+IF(ABRIL!S215=0,"",ABRIL!S215)</f>
        <v>5100100-4</v>
      </c>
      <c r="T215" s="682" t="str">
        <f>+IF(ABRIL!T215=0,"",ABRIL!T215)</f>
        <v>Material para Odontologia</v>
      </c>
      <c r="U215" s="27">
        <f>+ENERO!U215</f>
        <v>0</v>
      </c>
      <c r="V215" s="15">
        <f>ABRIL!V215+MAYO!AL215</f>
        <v>0</v>
      </c>
      <c r="W215" s="15">
        <f>ABRIL!W215+MAYO!AM215</f>
        <v>0</v>
      </c>
      <c r="X215" s="18">
        <f t="shared" si="189"/>
        <v>0</v>
      </c>
      <c r="Y215" s="19">
        <f>ABRIL!AA215</f>
        <v>0</v>
      </c>
      <c r="Z215" s="374">
        <v>0</v>
      </c>
      <c r="AA215" s="18">
        <f t="shared" si="190"/>
        <v>0</v>
      </c>
      <c r="AB215" s="19">
        <f>ABRIL!AD215</f>
        <v>0</v>
      </c>
      <c r="AC215" s="374">
        <v>0</v>
      </c>
      <c r="AD215" s="18">
        <f t="shared" si="191"/>
        <v>0</v>
      </c>
      <c r="AE215" s="19">
        <f>ABRIL!AG215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2"/>
      <c r="B216" s="661"/>
      <c r="N216" s="9"/>
      <c r="P216" s="9"/>
      <c r="Q216" s="9"/>
      <c r="R216" s="9"/>
      <c r="S216" s="706" t="str">
        <f>+IF(ABRIL!S216=0,"",ABRIL!S216)</f>
        <v>5100100-5</v>
      </c>
      <c r="T216" s="682" t="str">
        <f>+IF(ABRIL!T216=0,"",ABRIL!T216)</f>
        <v>Material para Rayos X</v>
      </c>
      <c r="U216" s="27">
        <f>+ENERO!U216</f>
        <v>0</v>
      </c>
      <c r="V216" s="15">
        <f>ABRIL!V216+MAYO!AL216</f>
        <v>0</v>
      </c>
      <c r="W216" s="15">
        <f>ABRIL!W216+MAYO!AM216</f>
        <v>0</v>
      </c>
      <c r="X216" s="18">
        <f t="shared" si="189"/>
        <v>0</v>
      </c>
      <c r="Y216" s="19">
        <f>ABRIL!AA216</f>
        <v>0</v>
      </c>
      <c r="Z216" s="374">
        <v>0</v>
      </c>
      <c r="AA216" s="18">
        <f t="shared" si="190"/>
        <v>0</v>
      </c>
      <c r="AB216" s="19">
        <f>ABRIL!AD216</f>
        <v>0</v>
      </c>
      <c r="AC216" s="374">
        <v>0</v>
      </c>
      <c r="AD216" s="18">
        <f t="shared" si="191"/>
        <v>0</v>
      </c>
      <c r="AE216" s="19">
        <f>ABRIL!AG216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2"/>
      <c r="B217" s="661"/>
      <c r="N217" s="9"/>
      <c r="P217" s="9"/>
      <c r="Q217" s="9"/>
      <c r="R217" s="9"/>
      <c r="S217" s="706" t="str">
        <f>+IF(ABRIL!S217=0,"",ABRIL!S217)</f>
        <v>5100100-6</v>
      </c>
      <c r="T217" s="682" t="str">
        <f>+IF(ABRIL!T217=0,"",ABRIL!T217)</f>
        <v>Material aseo personal, etc.</v>
      </c>
      <c r="U217" s="27">
        <f>+ENERO!U217</f>
        <v>0</v>
      </c>
      <c r="V217" s="15">
        <f>ABRIL!V217+MAYO!AL217</f>
        <v>0</v>
      </c>
      <c r="W217" s="15">
        <f>ABRIL!W217+MAYO!AM217</f>
        <v>0</v>
      </c>
      <c r="X217" s="18">
        <f t="shared" si="189"/>
        <v>0</v>
      </c>
      <c r="Y217" s="19">
        <f>ABRIL!AA217</f>
        <v>0</v>
      </c>
      <c r="Z217" s="374">
        <v>0</v>
      </c>
      <c r="AA217" s="18">
        <f t="shared" si="190"/>
        <v>0</v>
      </c>
      <c r="AB217" s="19">
        <f>ABRIL!AD217</f>
        <v>0</v>
      </c>
      <c r="AC217" s="374">
        <v>0</v>
      </c>
      <c r="AD217" s="18">
        <f t="shared" si="191"/>
        <v>0</v>
      </c>
      <c r="AE217" s="19">
        <f>ABRIL!AG217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2"/>
      <c r="B218" s="661"/>
      <c r="N218" s="9"/>
      <c r="P218" s="9"/>
      <c r="Q218" s="9"/>
      <c r="R218" s="9"/>
      <c r="S218" s="717">
        <f>+IF(ABRIL!S218=0,"",ABRIL!S218)</f>
        <v>5199999</v>
      </c>
      <c r="T218" s="697" t="str">
        <f>+IF(ABRIL!T218=0,"",ABRIL!T218)</f>
        <v>Vigencias Anteriores</v>
      </c>
      <c r="U218" s="133">
        <f>+ENERO!U218</f>
        <v>0</v>
      </c>
      <c r="V218" s="121">
        <f>ABRIL!V218+MAYO!AL218</f>
        <v>0</v>
      </c>
      <c r="W218" s="121">
        <f>ABRIL!W218+MAYO!AM218</f>
        <v>0</v>
      </c>
      <c r="X218" s="126">
        <f t="shared" si="189"/>
        <v>0</v>
      </c>
      <c r="Y218" s="124">
        <f>ABRIL!AA218</f>
        <v>0</v>
      </c>
      <c r="Z218" s="388">
        <v>0</v>
      </c>
      <c r="AA218" s="126">
        <f t="shared" si="190"/>
        <v>0</v>
      </c>
      <c r="AB218" s="124">
        <f>ABRIL!AD218</f>
        <v>0</v>
      </c>
      <c r="AC218" s="388">
        <v>0</v>
      </c>
      <c r="AD218" s="126">
        <f t="shared" si="191"/>
        <v>0</v>
      </c>
      <c r="AE218" s="124">
        <f>ABRIL!AG218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2"/>
      <c r="B219" s="661"/>
      <c r="N219" s="9"/>
      <c r="P219" s="9"/>
      <c r="Q219" s="9"/>
      <c r="R219" s="9"/>
      <c r="S219" s="495" t="str">
        <f>+IF(ABRIL!S219=0,"",ABRIL!S219)</f>
        <v/>
      </c>
      <c r="T219" s="694" t="str">
        <f>+IF(ABRIL!T219=0,"",ABRIL!T219)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2"/>
      <c r="B220" s="661"/>
      <c r="N220" s="9"/>
      <c r="P220" s="9"/>
      <c r="Q220" s="9"/>
      <c r="R220" s="9"/>
      <c r="S220" s="357" t="str">
        <f>+IF(ABRIL!S220=0,"",ABRIL!S220)</f>
        <v>C</v>
      </c>
      <c r="T220" s="676" t="str">
        <f>+IF(ABRIL!T220=0,"",ABRIL!T220)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2"/>
      <c r="B221" s="661"/>
      <c r="N221" s="9"/>
      <c r="P221" s="9"/>
      <c r="Q221" s="9"/>
      <c r="R221" s="9"/>
      <c r="S221" s="366" t="str">
        <f>+IF(ABRIL!S221=0,"",ABRIL!S221)</f>
        <v/>
      </c>
      <c r="T221" s="695"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2"/>
      <c r="B222" s="661"/>
      <c r="N222" s="9"/>
      <c r="P222" s="9"/>
      <c r="Q222" s="9"/>
      <c r="R222" s="9"/>
      <c r="S222" s="704">
        <f>+IF(ABRIL!S222=0,"",ABRIL!S222)</f>
        <v>7001000</v>
      </c>
      <c r="T222" s="680" t="str">
        <f>+IF(ABRIL!T222=0,"",ABRIL!T222)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2"/>
      <c r="B223" s="661"/>
      <c r="N223" s="9"/>
      <c r="P223" s="9"/>
      <c r="Q223" s="9"/>
      <c r="R223" s="9"/>
      <c r="S223" s="705">
        <f>+IF(ABRIL!S223=0,"",ABRIL!S223)</f>
        <v>7001100</v>
      </c>
      <c r="T223" s="681" t="str">
        <f>+IF(ABRIL!T223=0,"",ABRIL!T223)</f>
        <v>Amortización deuda Pública Interna</v>
      </c>
      <c r="U223" s="27">
        <f>+ENERO!U223</f>
        <v>0</v>
      </c>
      <c r="V223" s="15">
        <f>ABRIL!V223+MAYO!AL223</f>
        <v>0</v>
      </c>
      <c r="W223" s="15">
        <f>ABRIL!W223+MAYO!AM223</f>
        <v>0</v>
      </c>
      <c r="X223" s="18">
        <f>SUM(U223:W223)</f>
        <v>0</v>
      </c>
      <c r="Y223" s="19">
        <f>ABRIL!AA223</f>
        <v>0</v>
      </c>
      <c r="Z223" s="374">
        <v>0</v>
      </c>
      <c r="AA223" s="18">
        <f>SUM(Y223:Z223)</f>
        <v>0</v>
      </c>
      <c r="AB223" s="19">
        <f>ABRIL!AD223</f>
        <v>0</v>
      </c>
      <c r="AC223" s="374">
        <v>0</v>
      </c>
      <c r="AD223" s="18">
        <f>SUM(AB223:AC223)</f>
        <v>0</v>
      </c>
      <c r="AE223" s="19">
        <f>ABRIL!AG223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2"/>
      <c r="B224" s="661"/>
      <c r="N224" s="9"/>
      <c r="P224" s="9"/>
      <c r="Q224" s="9"/>
      <c r="R224" s="9"/>
      <c r="S224" s="705">
        <f>+IF(ABRIL!S224=0,"",ABRIL!S224)</f>
        <v>7001200</v>
      </c>
      <c r="T224" s="681" t="str">
        <f>+IF(ABRIL!T224=0,"",ABRIL!T224)</f>
        <v>Intereses Comisiones y gastos de la Deuda Pública</v>
      </c>
      <c r="U224" s="27">
        <f>+ENERO!U224</f>
        <v>0</v>
      </c>
      <c r="V224" s="15">
        <f>ABRIL!V224+MAYO!AL224</f>
        <v>0</v>
      </c>
      <c r="W224" s="15">
        <f>ABRIL!W224+MAYO!AM224</f>
        <v>0</v>
      </c>
      <c r="X224" s="18">
        <f>SUM(U224:W224)</f>
        <v>0</v>
      </c>
      <c r="Y224" s="19">
        <f>ABRIL!AA224</f>
        <v>0</v>
      </c>
      <c r="Z224" s="374">
        <v>0</v>
      </c>
      <c r="AA224" s="18">
        <f>SUM(Y224:Z224)</f>
        <v>0</v>
      </c>
      <c r="AB224" s="19">
        <f>ABRIL!AD224</f>
        <v>0</v>
      </c>
      <c r="AC224" s="374">
        <v>0</v>
      </c>
      <c r="AD224" s="18">
        <f>SUM(AB224:AC224)</f>
        <v>0</v>
      </c>
      <c r="AE224" s="19">
        <f>ABRIL!AG224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2"/>
      <c r="B225" s="661"/>
      <c r="N225" s="9"/>
      <c r="P225" s="9"/>
      <c r="Q225" s="9"/>
      <c r="R225" s="9"/>
      <c r="S225" s="705">
        <f>+IF(ABRIL!S225=0,"",ABRIL!S225)</f>
        <v>7001999</v>
      </c>
      <c r="T225" s="681" t="str">
        <f>+IF(ABRIL!T225=0,"",ABRIL!T225)</f>
        <v>Vigencias Anteriores</v>
      </c>
      <c r="U225" s="27">
        <f>+ENERO!U225</f>
        <v>0</v>
      </c>
      <c r="V225" s="15">
        <f>ABRIL!V225+MAYO!AL225</f>
        <v>0</v>
      </c>
      <c r="W225" s="15">
        <f>ABRIL!W225+MAYO!AM225</f>
        <v>0</v>
      </c>
      <c r="X225" s="18">
        <f>SUM(U225:W225)</f>
        <v>0</v>
      </c>
      <c r="Y225" s="19">
        <f>ABRIL!AA225</f>
        <v>0</v>
      </c>
      <c r="Z225" s="374">
        <v>0</v>
      </c>
      <c r="AA225" s="18">
        <f>SUM(Y225:Z225)</f>
        <v>0</v>
      </c>
      <c r="AB225" s="19">
        <f>ABRIL!AD225</f>
        <v>0</v>
      </c>
      <c r="AC225" s="374">
        <v>0</v>
      </c>
      <c r="AD225" s="18">
        <f>SUM(AB225:AC225)</f>
        <v>0</v>
      </c>
      <c r="AE225" s="19">
        <f>ABRIL!AG225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2"/>
      <c r="B226" s="661"/>
      <c r="N226" s="9"/>
      <c r="P226" s="9"/>
      <c r="Q226" s="9"/>
      <c r="R226" s="9"/>
      <c r="S226" s="366" t="str">
        <f>+IF(ABRIL!S226=0,"",ABRIL!S226)</f>
        <v/>
      </c>
      <c r="T226" s="695"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2"/>
      <c r="B227" s="661"/>
      <c r="N227" s="9"/>
      <c r="P227" s="9"/>
      <c r="Q227" s="9"/>
      <c r="R227" s="9"/>
      <c r="S227" s="704">
        <f>+IF(ABRIL!S227=0,"",ABRIL!S227)</f>
        <v>7002001</v>
      </c>
      <c r="T227" s="680" t="str">
        <f>+IF(ABRIL!T227=0,"",ABRIL!T227)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2"/>
      <c r="B228" s="661"/>
      <c r="N228" s="9"/>
      <c r="P228" s="9"/>
      <c r="Q228" s="9"/>
      <c r="R228" s="9"/>
      <c r="S228" s="705">
        <f>+IF(ABRIL!S228=0,"",ABRIL!S228)</f>
        <v>7002100</v>
      </c>
      <c r="T228" s="681" t="str">
        <f>+IF(ABRIL!T228=0,"",ABRIL!T228)</f>
        <v>Amortización deuda Pública Externa</v>
      </c>
      <c r="U228" s="27">
        <f>+ENERO!U228</f>
        <v>0</v>
      </c>
      <c r="V228" s="15">
        <f>ABRIL!V228+MAYO!AL228</f>
        <v>0</v>
      </c>
      <c r="W228" s="15">
        <f>ABRIL!W228+MAYO!AM228</f>
        <v>0</v>
      </c>
      <c r="X228" s="18">
        <f>SUM(U228:W228)</f>
        <v>0</v>
      </c>
      <c r="Y228" s="19">
        <f>ABRIL!AA228</f>
        <v>0</v>
      </c>
      <c r="Z228" s="374">
        <v>0</v>
      </c>
      <c r="AA228" s="18">
        <f>SUM(Y228:Z228)</f>
        <v>0</v>
      </c>
      <c r="AB228" s="19">
        <f>ABRIL!AD228</f>
        <v>0</v>
      </c>
      <c r="AC228" s="374">
        <v>0</v>
      </c>
      <c r="AD228" s="18">
        <f>SUM(AB228:AC228)</f>
        <v>0</v>
      </c>
      <c r="AE228" s="19">
        <f>ABRIL!AG228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2"/>
      <c r="B229" s="661"/>
      <c r="N229" s="9"/>
      <c r="P229" s="9"/>
      <c r="Q229" s="9"/>
      <c r="R229" s="9"/>
      <c r="S229" s="705">
        <f>+IF(ABRIL!S229=0,"",ABRIL!S229)</f>
        <v>7002200</v>
      </c>
      <c r="T229" s="681" t="str">
        <f>+IF(ABRIL!T229=0,"",ABRIL!T229)</f>
        <v>Intereses Comisiones y gastos de la Deuda Pública</v>
      </c>
      <c r="U229" s="27">
        <f>+ENERO!U229</f>
        <v>0</v>
      </c>
      <c r="V229" s="15">
        <f>ABRIL!V229+MAYO!AL229</f>
        <v>0</v>
      </c>
      <c r="W229" s="15">
        <f>ABRIL!W229+MAYO!AM229</f>
        <v>0</v>
      </c>
      <c r="X229" s="18">
        <f>SUM(U229:W229)</f>
        <v>0</v>
      </c>
      <c r="Y229" s="19">
        <f>ABRIL!AA229</f>
        <v>0</v>
      </c>
      <c r="Z229" s="374">
        <v>0</v>
      </c>
      <c r="AA229" s="18">
        <f>SUM(Y229:Z229)</f>
        <v>0</v>
      </c>
      <c r="AB229" s="19">
        <f>ABRIL!AD229</f>
        <v>0</v>
      </c>
      <c r="AC229" s="374">
        <v>0</v>
      </c>
      <c r="AD229" s="18">
        <f>SUM(AB229:AC229)</f>
        <v>0</v>
      </c>
      <c r="AE229" s="19">
        <f>ABRIL!AG229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2"/>
      <c r="B230" s="661"/>
      <c r="N230" s="9"/>
      <c r="P230" s="9"/>
      <c r="Q230" s="9"/>
      <c r="R230" s="9"/>
      <c r="S230" s="710">
        <f>+IF(ABRIL!S230=0,"",ABRIL!S230)</f>
        <v>7002999</v>
      </c>
      <c r="T230" s="687" t="str">
        <f>+IF(ABRIL!T230=0,"",ABRIL!T230)</f>
        <v>Vigencias Anteriores</v>
      </c>
      <c r="U230" s="133">
        <f>+ENERO!U230</f>
        <v>0</v>
      </c>
      <c r="V230" s="121">
        <f>ABRIL!V230+MAYO!AL230</f>
        <v>0</v>
      </c>
      <c r="W230" s="121">
        <f>ABRIL!W230+MAYO!AM230</f>
        <v>0</v>
      </c>
      <c r="X230" s="126">
        <f>SUM(U230:W230)</f>
        <v>0</v>
      </c>
      <c r="Y230" s="124">
        <f>ABRIL!AA230</f>
        <v>0</v>
      </c>
      <c r="Z230" s="388">
        <v>0</v>
      </c>
      <c r="AA230" s="126">
        <f>SUM(Y230:Z230)</f>
        <v>0</v>
      </c>
      <c r="AB230" s="124">
        <f>ABRIL!AD230</f>
        <v>0</v>
      </c>
      <c r="AC230" s="388">
        <v>0</v>
      </c>
      <c r="AD230" s="126">
        <f>SUM(AB230:AC230)</f>
        <v>0</v>
      </c>
      <c r="AE230" s="124">
        <f>ABRIL!AG230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2"/>
      <c r="B231" s="661"/>
      <c r="N231" s="9"/>
      <c r="P231" s="9"/>
      <c r="Q231" s="9"/>
      <c r="R231" s="9"/>
      <c r="S231" s="489" t="str">
        <f>+IF(ABRIL!S231=0,"",ABRIL!S231)</f>
        <v/>
      </c>
      <c r="T231" s="688" t="str">
        <f>+IF(ABRIL!T231=0,"",ABRIL!T231)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2"/>
      <c r="B232" s="661"/>
      <c r="N232" s="9"/>
      <c r="P232" s="9"/>
      <c r="Q232" s="9"/>
      <c r="R232" s="9"/>
      <c r="S232" s="505" t="str">
        <f>+IF(ABRIL!S232=0,"",ABRIL!S232)</f>
        <v>D</v>
      </c>
      <c r="T232" s="696" t="str">
        <f>+IF(ABRIL!T232=0,"",ABRIL!T232)</f>
        <v>INVERSION</v>
      </c>
      <c r="U232" s="470">
        <f>U234+U243</f>
        <v>0</v>
      </c>
      <c r="V232" s="471">
        <f t="shared" ref="V232:AJ232" si="199">V234+V243</f>
        <v>0</v>
      </c>
      <c r="W232" s="471">
        <f t="shared" si="199"/>
        <v>433878092</v>
      </c>
      <c r="X232" s="472">
        <f t="shared" si="199"/>
        <v>433878092</v>
      </c>
      <c r="Y232" s="379">
        <f t="shared" si="199"/>
        <v>292700372</v>
      </c>
      <c r="Z232" s="471">
        <f t="shared" si="199"/>
        <v>60113422</v>
      </c>
      <c r="AA232" s="472">
        <f t="shared" si="199"/>
        <v>352813794</v>
      </c>
      <c r="AB232" s="379">
        <f t="shared" si="199"/>
        <v>142683852</v>
      </c>
      <c r="AC232" s="471">
        <f t="shared" si="199"/>
        <v>37389377</v>
      </c>
      <c r="AD232" s="472">
        <f t="shared" si="199"/>
        <v>180073229</v>
      </c>
      <c r="AE232" s="379">
        <f t="shared" si="199"/>
        <v>135351186</v>
      </c>
      <c r="AF232" s="471">
        <f t="shared" si="199"/>
        <v>30056711</v>
      </c>
      <c r="AG232" s="472">
        <f t="shared" si="199"/>
        <v>165407897</v>
      </c>
      <c r="AH232" s="379">
        <f t="shared" si="199"/>
        <v>81064298</v>
      </c>
      <c r="AI232" s="471">
        <f t="shared" si="199"/>
        <v>253804863</v>
      </c>
      <c r="AJ232" s="380">
        <f t="shared" si="199"/>
        <v>268470195</v>
      </c>
      <c r="AK232" s="500"/>
      <c r="AL232" s="379">
        <f t="shared" ref="AL232:AM232" si="200">AL234+AL243</f>
        <v>0</v>
      </c>
      <c r="AM232" s="380">
        <f t="shared" si="200"/>
        <v>0</v>
      </c>
      <c r="AN232" s="9"/>
    </row>
    <row r="233" spans="1:64" s="382" customFormat="1" ht="24.95" customHeight="1">
      <c r="A233" s="752"/>
      <c r="B233" s="661"/>
      <c r="N233" s="9"/>
      <c r="P233" s="9"/>
      <c r="Q233" s="9"/>
      <c r="R233" s="9"/>
      <c r="S233" s="366" t="str">
        <f>+IF(ABRIL!S233=0,"",ABRIL!S233)</f>
        <v/>
      </c>
      <c r="T233" s="695"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2"/>
      <c r="B234" s="661"/>
      <c r="N234" s="9"/>
      <c r="P234" s="9"/>
      <c r="Q234" s="9"/>
      <c r="R234" s="9"/>
      <c r="S234" s="704">
        <f>+IF(ABRIL!S234=0,"",ABRIL!S234)</f>
        <v>8000000</v>
      </c>
      <c r="T234" s="680" t="str">
        <f>+IF(ABRIL!T234=0,"",ABRIL!T234)</f>
        <v>Programas de Inversión</v>
      </c>
      <c r="U234" s="132">
        <f>U235</f>
        <v>0</v>
      </c>
      <c r="V234" s="122">
        <f t="shared" ref="V234:AJ234" si="201">V235</f>
        <v>0</v>
      </c>
      <c r="W234" s="122">
        <f t="shared" si="201"/>
        <v>380000000</v>
      </c>
      <c r="X234" s="129">
        <f t="shared" si="201"/>
        <v>380000000</v>
      </c>
      <c r="Y234" s="128">
        <f t="shared" si="201"/>
        <v>292700372</v>
      </c>
      <c r="Z234" s="122">
        <f t="shared" si="201"/>
        <v>60113422</v>
      </c>
      <c r="AA234" s="129">
        <f t="shared" si="201"/>
        <v>352813794</v>
      </c>
      <c r="AB234" s="128">
        <f t="shared" si="201"/>
        <v>142683852</v>
      </c>
      <c r="AC234" s="122">
        <f t="shared" si="201"/>
        <v>37389377</v>
      </c>
      <c r="AD234" s="129">
        <f t="shared" si="201"/>
        <v>180073229</v>
      </c>
      <c r="AE234" s="128">
        <f t="shared" si="201"/>
        <v>135351186</v>
      </c>
      <c r="AF234" s="122">
        <f t="shared" si="201"/>
        <v>30056711</v>
      </c>
      <c r="AG234" s="129">
        <f t="shared" si="201"/>
        <v>165407897</v>
      </c>
      <c r="AH234" s="128">
        <f t="shared" si="201"/>
        <v>27186206</v>
      </c>
      <c r="AI234" s="122">
        <f t="shared" si="201"/>
        <v>199926771</v>
      </c>
      <c r="AJ234" s="130">
        <f t="shared" si="201"/>
        <v>214592103</v>
      </c>
      <c r="AK234" s="9"/>
      <c r="AL234" s="128">
        <f t="shared" ref="AL234:AM234" si="202">AL235</f>
        <v>0</v>
      </c>
      <c r="AM234" s="130">
        <f t="shared" si="202"/>
        <v>0</v>
      </c>
      <c r="AN234" s="9"/>
    </row>
    <row r="235" spans="1:64" s="382" customFormat="1" ht="24.95" customHeight="1">
      <c r="A235" s="752"/>
      <c r="B235" s="661"/>
      <c r="N235" s="9"/>
      <c r="P235" s="9"/>
      <c r="Q235" s="9"/>
      <c r="R235" s="9"/>
      <c r="S235" s="705">
        <f>+IF(ABRIL!S235=0,"",ABRIL!S235)</f>
        <v>8001000</v>
      </c>
      <c r="T235" s="681" t="str">
        <f>+IF(ABRIL!T235=0,"",ABRIL!T235)</f>
        <v>Formación Bruta del Capital</v>
      </c>
      <c r="U235" s="27">
        <f t="shared" ref="U235:AJ235" si="203">SUM(U236:U241)</f>
        <v>0</v>
      </c>
      <c r="V235" s="15">
        <f t="shared" si="203"/>
        <v>0</v>
      </c>
      <c r="W235" s="15">
        <f t="shared" si="203"/>
        <v>380000000</v>
      </c>
      <c r="X235" s="18">
        <f t="shared" si="203"/>
        <v>380000000</v>
      </c>
      <c r="Y235" s="19">
        <f t="shared" si="203"/>
        <v>292700372</v>
      </c>
      <c r="Z235" s="142">
        <f t="shared" si="203"/>
        <v>60113422</v>
      </c>
      <c r="AA235" s="18">
        <f t="shared" si="203"/>
        <v>352813794</v>
      </c>
      <c r="AB235" s="19">
        <f t="shared" si="203"/>
        <v>142683852</v>
      </c>
      <c r="AC235" s="142">
        <f t="shared" si="203"/>
        <v>37389377</v>
      </c>
      <c r="AD235" s="18">
        <f t="shared" si="203"/>
        <v>180073229</v>
      </c>
      <c r="AE235" s="19">
        <f t="shared" si="203"/>
        <v>135351186</v>
      </c>
      <c r="AF235" s="142">
        <f t="shared" si="203"/>
        <v>30056711</v>
      </c>
      <c r="AG235" s="18">
        <f t="shared" si="203"/>
        <v>165407897</v>
      </c>
      <c r="AH235" s="19">
        <f t="shared" si="203"/>
        <v>27186206</v>
      </c>
      <c r="AI235" s="15">
        <f t="shared" si="203"/>
        <v>199926771</v>
      </c>
      <c r="AJ235" s="16">
        <f t="shared" si="203"/>
        <v>214592103</v>
      </c>
      <c r="AK235" s="9"/>
      <c r="AL235" s="29">
        <f>SUM(AL236:AL241)</f>
        <v>0</v>
      </c>
      <c r="AM235" s="26">
        <f>SUM(AM236:AM241)</f>
        <v>0</v>
      </c>
      <c r="AN235" s="9"/>
    </row>
    <row r="236" spans="1:64" s="382" customFormat="1" ht="24.95" customHeight="1">
      <c r="A236" s="752"/>
      <c r="B236" s="661"/>
      <c r="N236" s="9"/>
      <c r="P236" s="9"/>
      <c r="Q236" s="9"/>
      <c r="R236" s="9"/>
      <c r="S236" s="706" t="str">
        <f>+IF(ABRIL!S236=0,"",ABRIL!S236)</f>
        <v>8001000-1</v>
      </c>
      <c r="T236" s="682" t="str">
        <f>+IF(ABRIL!T236=0,"",ABRIL!T236)</f>
        <v>Subprogr.Construc. Remodelac. Adecuación y Apliac.1</v>
      </c>
      <c r="U236" s="27">
        <f>+ENERO!U236</f>
        <v>0</v>
      </c>
      <c r="V236" s="15">
        <f>ABRIL!V236+MAYO!AL236</f>
        <v>0</v>
      </c>
      <c r="W236" s="15">
        <f>ABRIL!W236+MAYO!AM236</f>
        <v>380000000</v>
      </c>
      <c r="X236" s="18">
        <f t="shared" ref="X236:X241" si="204">SUM(U236:W236)</f>
        <v>380000000</v>
      </c>
      <c r="Y236" s="19">
        <f>ABRIL!AA236</f>
        <v>292700372</v>
      </c>
      <c r="Z236" s="374">
        <v>60113422</v>
      </c>
      <c r="AA236" s="18">
        <f t="shared" ref="AA236:AA241" si="205">SUM(Y236:Z236)</f>
        <v>352813794</v>
      </c>
      <c r="AB236" s="19">
        <f>ABRIL!AD236</f>
        <v>142683852</v>
      </c>
      <c r="AC236" s="374">
        <v>37389377</v>
      </c>
      <c r="AD236" s="18">
        <f t="shared" ref="AD236:AD241" si="206">SUM(AB236:AC236)</f>
        <v>180073229</v>
      </c>
      <c r="AE236" s="19">
        <f>ABRIL!AG236</f>
        <v>135351186</v>
      </c>
      <c r="AF236" s="374">
        <v>30056711</v>
      </c>
      <c r="AG236" s="18">
        <f t="shared" ref="AG236:AG241" si="207">SUM(AE236:AF236)</f>
        <v>165407897</v>
      </c>
      <c r="AH236" s="19">
        <f t="shared" ref="AH236:AH241" si="208">X236-AA236</f>
        <v>27186206</v>
      </c>
      <c r="AI236" s="15">
        <f t="shared" ref="AI236:AI241" si="209">X236-AD236</f>
        <v>199926771</v>
      </c>
      <c r="AJ236" s="16">
        <f t="shared" ref="AJ236:AJ241" si="210">X236-AG236</f>
        <v>214592103</v>
      </c>
      <c r="AK236" s="9"/>
      <c r="AL236" s="372">
        <v>0</v>
      </c>
      <c r="AM236" s="375">
        <v>0</v>
      </c>
      <c r="AN236" s="9"/>
    </row>
    <row r="237" spans="1:64" s="382" customFormat="1" ht="24.95" customHeight="1">
      <c r="A237" s="752"/>
      <c r="B237" s="661"/>
      <c r="N237" s="9"/>
      <c r="P237" s="9"/>
      <c r="Q237" s="9"/>
      <c r="R237" s="9"/>
      <c r="S237" s="706" t="str">
        <f>+IF(ABRIL!S237=0,"",ABRIL!S237)</f>
        <v>8001000-2</v>
      </c>
      <c r="T237" s="682" t="str">
        <f>+IF(ABRIL!T237=0,"",ABRIL!T237)</f>
        <v>Subprogr.Construc. Remodelac. Adecuación y Apliac.2</v>
      </c>
      <c r="U237" s="27">
        <f>+ENERO!U237</f>
        <v>0</v>
      </c>
      <c r="V237" s="15">
        <f>ABRIL!V237+MAYO!AL237</f>
        <v>0</v>
      </c>
      <c r="W237" s="15">
        <f>ABRIL!W237+MAYO!AM237</f>
        <v>0</v>
      </c>
      <c r="X237" s="18">
        <f t="shared" si="204"/>
        <v>0</v>
      </c>
      <c r="Y237" s="19">
        <f>ABRIL!AA237</f>
        <v>0</v>
      </c>
      <c r="Z237" s="374">
        <v>0</v>
      </c>
      <c r="AA237" s="18">
        <f t="shared" si="205"/>
        <v>0</v>
      </c>
      <c r="AB237" s="19">
        <f>ABRIL!AD237</f>
        <v>0</v>
      </c>
      <c r="AC237" s="374">
        <v>0</v>
      </c>
      <c r="AD237" s="18">
        <f t="shared" si="206"/>
        <v>0</v>
      </c>
      <c r="AE237" s="19">
        <f>ABRIL!AG237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2"/>
      <c r="B238" s="661"/>
      <c r="N238" s="9"/>
      <c r="P238" s="9"/>
      <c r="Q238" s="9"/>
      <c r="R238" s="9"/>
      <c r="S238" s="706" t="str">
        <f>+IF(ABRIL!S238=0,"",ABRIL!S238)</f>
        <v>8001000-3</v>
      </c>
      <c r="T238" s="682" t="str">
        <f>+IF(ABRIL!T238=0,"",ABRIL!T238)</f>
        <v>Subprogr.Construc. Remodelac. Adecuación y Apliac.3</v>
      </c>
      <c r="U238" s="27">
        <f>+ENERO!U238</f>
        <v>0</v>
      </c>
      <c r="V238" s="15">
        <f>ABRIL!V238+MAYO!AL238</f>
        <v>0</v>
      </c>
      <c r="W238" s="15">
        <f>ABRIL!W238+MAYO!AM238</f>
        <v>0</v>
      </c>
      <c r="X238" s="18">
        <f t="shared" si="204"/>
        <v>0</v>
      </c>
      <c r="Y238" s="19">
        <f>ABRIL!AA238</f>
        <v>0</v>
      </c>
      <c r="Z238" s="374">
        <v>0</v>
      </c>
      <c r="AA238" s="18">
        <f t="shared" si="205"/>
        <v>0</v>
      </c>
      <c r="AB238" s="19">
        <f>ABRIL!AD238</f>
        <v>0</v>
      </c>
      <c r="AC238" s="374">
        <v>0</v>
      </c>
      <c r="AD238" s="18">
        <f t="shared" si="206"/>
        <v>0</v>
      </c>
      <c r="AE238" s="19">
        <f>ABRIL!AG238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2"/>
      <c r="B239" s="661"/>
      <c r="N239" s="9"/>
      <c r="P239" s="9"/>
      <c r="Q239" s="9"/>
      <c r="S239" s="706" t="str">
        <f>+IF(ABRIL!S239=0,"",ABRIL!S239)</f>
        <v>8001000-4</v>
      </c>
      <c r="T239" s="682" t="str">
        <f>+IF(ABRIL!T239=0,"",ABRIL!T239)</f>
        <v>Subprogr.Construc. Remodelac. Adecuación y Apliac.4</v>
      </c>
      <c r="U239" s="27">
        <f>+ENERO!U239</f>
        <v>0</v>
      </c>
      <c r="V239" s="15">
        <f>ABRIL!V239+MAYO!AL239</f>
        <v>0</v>
      </c>
      <c r="W239" s="15">
        <f>ABRIL!W239+MAYO!AM239</f>
        <v>0</v>
      </c>
      <c r="X239" s="18">
        <f t="shared" si="204"/>
        <v>0</v>
      </c>
      <c r="Y239" s="19">
        <f>ABRIL!AA239</f>
        <v>0</v>
      </c>
      <c r="Z239" s="374">
        <v>0</v>
      </c>
      <c r="AA239" s="18">
        <f t="shared" si="205"/>
        <v>0</v>
      </c>
      <c r="AB239" s="19">
        <f>ABRIL!AD239</f>
        <v>0</v>
      </c>
      <c r="AC239" s="374">
        <v>0</v>
      </c>
      <c r="AD239" s="18">
        <f t="shared" si="206"/>
        <v>0</v>
      </c>
      <c r="AE239" s="19">
        <f>ABRIL!AG239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2"/>
      <c r="B240" s="661"/>
      <c r="N240" s="9"/>
      <c r="P240" s="9"/>
      <c r="Q240" s="9"/>
      <c r="S240" s="706" t="str">
        <f>+IF(ABRIL!S240=0,"",ABRIL!S240)</f>
        <v>8001000-7</v>
      </c>
      <c r="T240" s="682" t="str">
        <f>+IF(ABRIL!T240=0,"",ABRIL!T240)</f>
        <v>Subprogr.Construc. Remodelac. Adecuación y Apliac.5</v>
      </c>
      <c r="U240" s="27">
        <f>+ENERO!U240</f>
        <v>0</v>
      </c>
      <c r="V240" s="15">
        <f>ABRIL!V240+MAYO!AL240</f>
        <v>0</v>
      </c>
      <c r="W240" s="15">
        <f>ABRIL!W240+MAYO!AM240</f>
        <v>0</v>
      </c>
      <c r="X240" s="18">
        <f t="shared" si="204"/>
        <v>0</v>
      </c>
      <c r="Y240" s="19">
        <f>ABRIL!AA240</f>
        <v>0</v>
      </c>
      <c r="Z240" s="374">
        <v>0</v>
      </c>
      <c r="AA240" s="18">
        <f t="shared" si="205"/>
        <v>0</v>
      </c>
      <c r="AB240" s="19">
        <f>ABRIL!AD240</f>
        <v>0</v>
      </c>
      <c r="AC240" s="374">
        <v>0</v>
      </c>
      <c r="AD240" s="18">
        <f t="shared" si="206"/>
        <v>0</v>
      </c>
      <c r="AE240" s="19">
        <f>ABRIL!AG240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2"/>
      <c r="B241" s="661"/>
      <c r="C241" s="382"/>
      <c r="D241" s="382"/>
      <c r="E241" s="382"/>
      <c r="F241" s="382"/>
      <c r="G241" s="382"/>
      <c r="H241" s="382"/>
      <c r="I241" s="382"/>
      <c r="J241" s="382"/>
      <c r="K241" s="382"/>
      <c r="L241" s="382"/>
      <c r="M241" s="382"/>
      <c r="N241" s="9"/>
      <c r="O241" s="382"/>
      <c r="P241" s="9"/>
      <c r="Q241" s="9"/>
      <c r="S241" s="716">
        <f>+IF(ABRIL!S241=0,"",ABRIL!S241)</f>
        <v>8001999</v>
      </c>
      <c r="T241" s="682" t="str">
        <f>+IF(ABRIL!T241=0,"",ABRIL!T241)</f>
        <v>Vigencias Anteriores</v>
      </c>
      <c r="U241" s="27">
        <f>+ENERO!U241</f>
        <v>0</v>
      </c>
      <c r="V241" s="15">
        <f>ABRIL!V241+MAYO!AL241</f>
        <v>0</v>
      </c>
      <c r="W241" s="15">
        <f>ABRIL!W241+MAYO!AM241</f>
        <v>0</v>
      </c>
      <c r="X241" s="18">
        <f t="shared" si="204"/>
        <v>0</v>
      </c>
      <c r="Y241" s="19">
        <f>ABRIL!AA241</f>
        <v>0</v>
      </c>
      <c r="Z241" s="374">
        <v>0</v>
      </c>
      <c r="AA241" s="18">
        <f t="shared" si="205"/>
        <v>0</v>
      </c>
      <c r="AB241" s="19">
        <f>ABRIL!AD241</f>
        <v>0</v>
      </c>
      <c r="AC241" s="374">
        <v>0</v>
      </c>
      <c r="AD241" s="18">
        <f t="shared" si="206"/>
        <v>0</v>
      </c>
      <c r="AE241" s="19">
        <f>ABRIL!AG241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2"/>
      <c r="B242" s="661"/>
      <c r="C242" s="382"/>
      <c r="D242" s="382"/>
      <c r="E242" s="382"/>
      <c r="F242" s="382"/>
      <c r="G242" s="382"/>
      <c r="H242" s="382"/>
      <c r="I242" s="382"/>
      <c r="J242" s="382"/>
      <c r="K242" s="382"/>
      <c r="L242" s="382"/>
      <c r="M242" s="382"/>
      <c r="N242" s="9"/>
      <c r="O242" s="382"/>
      <c r="P242" s="9"/>
      <c r="Q242" s="9"/>
      <c r="S242" s="366" t="str">
        <f>+IF(ABRIL!S242=0,"",ABRIL!S242)</f>
        <v/>
      </c>
      <c r="T242" s="695"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2"/>
      <c r="B243" s="661"/>
      <c r="C243" s="382"/>
      <c r="D243" s="382"/>
      <c r="E243" s="382"/>
      <c r="F243" s="382"/>
      <c r="G243" s="382"/>
      <c r="H243" s="382"/>
      <c r="I243" s="382"/>
      <c r="J243" s="382"/>
      <c r="K243" s="382"/>
      <c r="L243" s="382"/>
      <c r="M243" s="382"/>
      <c r="N243" s="9"/>
      <c r="O243" s="382"/>
      <c r="P243" s="9"/>
      <c r="Q243" s="9"/>
      <c r="S243" s="704">
        <f>+IF(ABRIL!S243=0,"",ABRIL!S243)</f>
        <v>8002001</v>
      </c>
      <c r="T243" s="680" t="str">
        <f>+IF(ABRIL!T243=0,"",ABRIL!T243)</f>
        <v>Gastos Operativos de Inversion   (Programas Especiales)</v>
      </c>
      <c r="U243" s="132">
        <f t="shared" ref="U243:AJ243" si="211">SUM(U244:U256)</f>
        <v>0</v>
      </c>
      <c r="V243" s="122">
        <f t="shared" si="211"/>
        <v>0</v>
      </c>
      <c r="W243" s="122">
        <f t="shared" si="211"/>
        <v>53878092</v>
      </c>
      <c r="X243" s="129">
        <f t="shared" si="211"/>
        <v>53878092</v>
      </c>
      <c r="Y243" s="128">
        <f t="shared" si="211"/>
        <v>0</v>
      </c>
      <c r="Z243" s="122">
        <f t="shared" si="211"/>
        <v>0</v>
      </c>
      <c r="AA243" s="129">
        <f t="shared" si="211"/>
        <v>0</v>
      </c>
      <c r="AB243" s="128">
        <f t="shared" si="211"/>
        <v>0</v>
      </c>
      <c r="AC243" s="122">
        <f t="shared" si="211"/>
        <v>0</v>
      </c>
      <c r="AD243" s="129">
        <f t="shared" si="211"/>
        <v>0</v>
      </c>
      <c r="AE243" s="128">
        <f t="shared" si="211"/>
        <v>0</v>
      </c>
      <c r="AF243" s="122">
        <f t="shared" si="211"/>
        <v>0</v>
      </c>
      <c r="AG243" s="129">
        <f t="shared" si="211"/>
        <v>0</v>
      </c>
      <c r="AH243" s="128">
        <f t="shared" si="211"/>
        <v>53878092</v>
      </c>
      <c r="AI243" s="122">
        <f t="shared" si="211"/>
        <v>53878092</v>
      </c>
      <c r="AJ243" s="130">
        <f t="shared" si="211"/>
        <v>53878092</v>
      </c>
      <c r="AK243" s="9"/>
      <c r="AL243" s="128">
        <f>SUM(AL244:AL256)</f>
        <v>0</v>
      </c>
      <c r="AM243" s="130">
        <f>SUM(AM244:AM256)</f>
        <v>0</v>
      </c>
    </row>
    <row r="244" spans="1:70" ht="24.95" customHeight="1">
      <c r="A244" s="752"/>
      <c r="B244" s="661"/>
      <c r="C244" s="382"/>
      <c r="D244" s="382"/>
      <c r="E244" s="382"/>
      <c r="F244" s="382"/>
      <c r="G244" s="382"/>
      <c r="H244" s="382"/>
      <c r="I244" s="382"/>
      <c r="J244" s="382"/>
      <c r="K244" s="382"/>
      <c r="L244" s="382"/>
      <c r="M244" s="382"/>
      <c r="N244" s="9"/>
      <c r="O244" s="382"/>
      <c r="P244" s="9"/>
      <c r="Q244" s="9"/>
      <c r="S244" s="706" t="str">
        <f>+IF(ABRIL!S244=0,"",ABRIL!S244)</f>
        <v>8002100-1</v>
      </c>
      <c r="T244" s="682" t="str">
        <f>+IF(ABRIL!T244=0,"",ABRIL!T244)</f>
        <v>Fondo de la Vivienda</v>
      </c>
      <c r="U244" s="27">
        <f>+ENERO!U244</f>
        <v>0</v>
      </c>
      <c r="V244" s="15">
        <f>ABRIL!V244+MAYO!AL244</f>
        <v>0</v>
      </c>
      <c r="W244" s="15">
        <f>ABRIL!W244+MAYO!AM244</f>
        <v>53878092</v>
      </c>
      <c r="X244" s="18">
        <f t="shared" ref="X244:X256" si="212">SUM(U244:W244)</f>
        <v>53878092</v>
      </c>
      <c r="Y244" s="19">
        <f>ABRIL!AA244</f>
        <v>0</v>
      </c>
      <c r="Z244" s="374">
        <v>0</v>
      </c>
      <c r="AA244" s="18">
        <f t="shared" ref="AA244:AA256" si="213">SUM(Y244:Z244)</f>
        <v>0</v>
      </c>
      <c r="AB244" s="19">
        <f>ABRIL!AD244</f>
        <v>0</v>
      </c>
      <c r="AC244" s="374">
        <v>0</v>
      </c>
      <c r="AD244" s="18">
        <f t="shared" ref="AD244:AD256" si="214">SUM(AB244:AC244)</f>
        <v>0</v>
      </c>
      <c r="AE244" s="19">
        <f>ABRIL!AG244</f>
        <v>0</v>
      </c>
      <c r="AF244" s="374">
        <v>0</v>
      </c>
      <c r="AG244" s="18">
        <f t="shared" ref="AG244:AG256" si="215">SUM(AE244:AF244)</f>
        <v>0</v>
      </c>
      <c r="AH244" s="19">
        <f t="shared" ref="AH244:AH256" si="216">X244-AA244</f>
        <v>53878092</v>
      </c>
      <c r="AI244" s="15">
        <f t="shared" ref="AI244:AI256" si="217">X244-AD244</f>
        <v>53878092</v>
      </c>
      <c r="AJ244" s="16">
        <f t="shared" ref="AJ244:AJ256" si="218">X244-AG244</f>
        <v>53878092</v>
      </c>
      <c r="AK244" s="9"/>
      <c r="AL244" s="372">
        <v>0</v>
      </c>
      <c r="AM244" s="375">
        <v>0</v>
      </c>
    </row>
    <row r="245" spans="1:70" ht="24.95" customHeight="1">
      <c r="A245" s="752"/>
      <c r="B245" s="661"/>
      <c r="C245" s="382"/>
      <c r="D245" s="382"/>
      <c r="E245" s="382"/>
      <c r="F245" s="382"/>
      <c r="G245" s="382"/>
      <c r="H245" s="382"/>
      <c r="I245" s="382"/>
      <c r="J245" s="382"/>
      <c r="K245" s="382"/>
      <c r="L245" s="382"/>
      <c r="M245" s="382"/>
      <c r="N245" s="9"/>
      <c r="O245" s="382"/>
      <c r="P245" s="9"/>
      <c r="Q245" s="9"/>
      <c r="S245" s="706" t="str">
        <f>+IF(ABRIL!S245=0,"",ABRIL!S245)</f>
        <v>8002100-2</v>
      </c>
      <c r="T245" s="682" t="str">
        <f>+IF(ABRIL!T245=0,"",ABRIL!T245)</f>
        <v>Programas Especial 01</v>
      </c>
      <c r="U245" s="27">
        <f>+ENERO!U245</f>
        <v>0</v>
      </c>
      <c r="V245" s="15">
        <f>ABRIL!V245+MAYO!AL245</f>
        <v>0</v>
      </c>
      <c r="W245" s="15">
        <f>ABRIL!W245+MAYO!AM245</f>
        <v>0</v>
      </c>
      <c r="X245" s="18">
        <f t="shared" si="212"/>
        <v>0</v>
      </c>
      <c r="Y245" s="19">
        <f>ABRIL!AA245</f>
        <v>0</v>
      </c>
      <c r="Z245" s="374">
        <v>0</v>
      </c>
      <c r="AA245" s="18">
        <f t="shared" si="213"/>
        <v>0</v>
      </c>
      <c r="AB245" s="19">
        <f>ABRIL!AD245</f>
        <v>0</v>
      </c>
      <c r="AC245" s="374">
        <v>0</v>
      </c>
      <c r="AD245" s="18">
        <f t="shared" si="214"/>
        <v>0</v>
      </c>
      <c r="AE245" s="19">
        <f>ABRIL!AG245</f>
        <v>0</v>
      </c>
      <c r="AF245" s="374">
        <v>0</v>
      </c>
      <c r="AG245" s="18">
        <f t="shared" si="215"/>
        <v>0</v>
      </c>
      <c r="AH245" s="19">
        <f t="shared" si="216"/>
        <v>0</v>
      </c>
      <c r="AI245" s="15">
        <f t="shared" si="217"/>
        <v>0</v>
      </c>
      <c r="AJ245" s="16">
        <f t="shared" si="218"/>
        <v>0</v>
      </c>
      <c r="AK245" s="9"/>
      <c r="AL245" s="372">
        <v>0</v>
      </c>
      <c r="AM245" s="375">
        <v>0</v>
      </c>
    </row>
    <row r="246" spans="1:70" ht="24.95" customHeight="1">
      <c r="A246" s="752"/>
      <c r="B246" s="661"/>
      <c r="C246" s="382"/>
      <c r="D246" s="382"/>
      <c r="E246" s="382"/>
      <c r="F246" s="382"/>
      <c r="G246" s="382"/>
      <c r="H246" s="382"/>
      <c r="I246" s="382"/>
      <c r="J246" s="382"/>
      <c r="K246" s="382"/>
      <c r="L246" s="382"/>
      <c r="M246" s="382"/>
      <c r="N246" s="9"/>
      <c r="O246" s="382"/>
      <c r="P246" s="9"/>
      <c r="Q246" s="9"/>
      <c r="S246" s="706" t="str">
        <f>+IF(ABRIL!S246=0,"",ABRIL!S246)</f>
        <v>8002100-3</v>
      </c>
      <c r="T246" s="682" t="str">
        <f>+IF(ABRIL!T246=0,"",ABRIL!T246)</f>
        <v>Programas Especial 02</v>
      </c>
      <c r="U246" s="27">
        <f>+ENERO!U246</f>
        <v>0</v>
      </c>
      <c r="V246" s="15">
        <f>ABRIL!V246+MAYO!AL246</f>
        <v>0</v>
      </c>
      <c r="W246" s="15">
        <f>ABRIL!W246+MAYO!AM246</f>
        <v>0</v>
      </c>
      <c r="X246" s="18">
        <f t="shared" si="212"/>
        <v>0</v>
      </c>
      <c r="Y246" s="19">
        <f>ABRIL!AA246</f>
        <v>0</v>
      </c>
      <c r="Z246" s="374">
        <v>0</v>
      </c>
      <c r="AA246" s="18">
        <f t="shared" si="213"/>
        <v>0</v>
      </c>
      <c r="AB246" s="19">
        <f>ABRIL!AD246</f>
        <v>0</v>
      </c>
      <c r="AC246" s="374">
        <v>0</v>
      </c>
      <c r="AD246" s="18">
        <f t="shared" si="214"/>
        <v>0</v>
      </c>
      <c r="AE246" s="19">
        <f>ABRIL!AG246</f>
        <v>0</v>
      </c>
      <c r="AF246" s="374">
        <v>0</v>
      </c>
      <c r="AG246" s="18">
        <f t="shared" si="215"/>
        <v>0</v>
      </c>
      <c r="AH246" s="19">
        <f t="shared" si="216"/>
        <v>0</v>
      </c>
      <c r="AI246" s="15">
        <f t="shared" si="217"/>
        <v>0</v>
      </c>
      <c r="AJ246" s="16">
        <f t="shared" si="218"/>
        <v>0</v>
      </c>
      <c r="AK246" s="9"/>
      <c r="AL246" s="372">
        <v>0</v>
      </c>
      <c r="AM246" s="375">
        <v>0</v>
      </c>
    </row>
    <row r="247" spans="1:70" ht="24.95" customHeight="1">
      <c r="A247" s="752"/>
      <c r="B247" s="661"/>
      <c r="C247" s="382"/>
      <c r="D247" s="382"/>
      <c r="E247" s="382"/>
      <c r="F247" s="382"/>
      <c r="G247" s="382"/>
      <c r="H247" s="382"/>
      <c r="I247" s="382"/>
      <c r="J247" s="382"/>
      <c r="K247" s="382"/>
      <c r="L247" s="382"/>
      <c r="M247" s="382"/>
      <c r="N247" s="9"/>
      <c r="O247" s="382"/>
      <c r="P247" s="9"/>
      <c r="Q247" s="9"/>
      <c r="S247" s="706" t="str">
        <f>+IF(ABRIL!S247=0,"",ABRIL!S247)</f>
        <v>8002100-4</v>
      </c>
      <c r="T247" s="682" t="str">
        <f>+IF(ABRIL!T247=0,"",ABRIL!T247)</f>
        <v>Programas Especial 03</v>
      </c>
      <c r="U247" s="27">
        <f>+ENERO!U247</f>
        <v>0</v>
      </c>
      <c r="V247" s="15">
        <f>ABRIL!V247+MAYO!AL247</f>
        <v>0</v>
      </c>
      <c r="W247" s="15">
        <f>ABRIL!W247+MAYO!AM247</f>
        <v>0</v>
      </c>
      <c r="X247" s="18">
        <f t="shared" si="212"/>
        <v>0</v>
      </c>
      <c r="Y247" s="19">
        <f>ABRIL!AA247</f>
        <v>0</v>
      </c>
      <c r="Z247" s="374">
        <v>0</v>
      </c>
      <c r="AA247" s="18">
        <f t="shared" si="213"/>
        <v>0</v>
      </c>
      <c r="AB247" s="19">
        <f>ABRIL!AD247</f>
        <v>0</v>
      </c>
      <c r="AC247" s="374">
        <v>0</v>
      </c>
      <c r="AD247" s="18">
        <f t="shared" si="214"/>
        <v>0</v>
      </c>
      <c r="AE247" s="19">
        <f>ABRIL!AG247</f>
        <v>0</v>
      </c>
      <c r="AF247" s="374">
        <v>0</v>
      </c>
      <c r="AG247" s="18">
        <f t="shared" si="215"/>
        <v>0</v>
      </c>
      <c r="AH247" s="19">
        <f t="shared" si="216"/>
        <v>0</v>
      </c>
      <c r="AI247" s="15">
        <f t="shared" si="217"/>
        <v>0</v>
      </c>
      <c r="AJ247" s="16">
        <f t="shared" si="218"/>
        <v>0</v>
      </c>
      <c r="AK247" s="9"/>
      <c r="AL247" s="372">
        <v>0</v>
      </c>
      <c r="AM247" s="375">
        <v>0</v>
      </c>
    </row>
    <row r="248" spans="1:70" ht="24.95" customHeight="1">
      <c r="A248" s="752"/>
      <c r="B248" s="661"/>
      <c r="C248" s="382"/>
      <c r="D248" s="382"/>
      <c r="E248" s="382"/>
      <c r="F248" s="382"/>
      <c r="G248" s="382"/>
      <c r="H248" s="382"/>
      <c r="I248" s="382"/>
      <c r="J248" s="382"/>
      <c r="K248" s="382"/>
      <c r="L248" s="382"/>
      <c r="M248" s="382"/>
      <c r="N248" s="9"/>
      <c r="O248" s="382"/>
      <c r="P248" s="9"/>
      <c r="Q248" s="9"/>
      <c r="S248" s="706" t="str">
        <f>+IF(ABRIL!S248=0,"",ABRIL!S248)</f>
        <v>8002100-5</v>
      </c>
      <c r="T248" s="682" t="str">
        <f>+IF(ABRIL!T248=0,"",ABRIL!T248)</f>
        <v>Programas Especial 04</v>
      </c>
      <c r="U248" s="27">
        <f>+ENERO!U248</f>
        <v>0</v>
      </c>
      <c r="V248" s="15">
        <f>ABRIL!V248+MAYO!AL248</f>
        <v>0</v>
      </c>
      <c r="W248" s="15">
        <f>ABRIL!W248+MAYO!AM248</f>
        <v>0</v>
      </c>
      <c r="X248" s="18">
        <f t="shared" si="212"/>
        <v>0</v>
      </c>
      <c r="Y248" s="19">
        <f>ABRIL!AA248</f>
        <v>0</v>
      </c>
      <c r="Z248" s="374">
        <v>0</v>
      </c>
      <c r="AA248" s="18">
        <f t="shared" si="213"/>
        <v>0</v>
      </c>
      <c r="AB248" s="19">
        <f>ABRIL!AD248</f>
        <v>0</v>
      </c>
      <c r="AC248" s="374">
        <v>0</v>
      </c>
      <c r="AD248" s="18">
        <f t="shared" si="214"/>
        <v>0</v>
      </c>
      <c r="AE248" s="19">
        <f>ABRIL!AG248</f>
        <v>0</v>
      </c>
      <c r="AF248" s="374">
        <v>0</v>
      </c>
      <c r="AG248" s="18">
        <f t="shared" si="215"/>
        <v>0</v>
      </c>
      <c r="AH248" s="19">
        <f t="shared" si="216"/>
        <v>0</v>
      </c>
      <c r="AI248" s="15">
        <f t="shared" si="217"/>
        <v>0</v>
      </c>
      <c r="AJ248" s="16">
        <f t="shared" si="218"/>
        <v>0</v>
      </c>
      <c r="AK248" s="9"/>
      <c r="AL248" s="372">
        <v>0</v>
      </c>
      <c r="AM248" s="375">
        <v>0</v>
      </c>
    </row>
    <row r="249" spans="1:70" ht="24.95" customHeight="1">
      <c r="A249" s="752"/>
      <c r="B249" s="661"/>
      <c r="C249" s="382"/>
      <c r="D249" s="382"/>
      <c r="E249" s="382"/>
      <c r="F249" s="382"/>
      <c r="G249" s="382"/>
      <c r="H249" s="382"/>
      <c r="I249" s="382"/>
      <c r="J249" s="382"/>
      <c r="K249" s="382"/>
      <c r="L249" s="382"/>
      <c r="M249" s="382"/>
      <c r="N249" s="9"/>
      <c r="O249" s="382"/>
      <c r="P249" s="9"/>
      <c r="Q249" s="9"/>
      <c r="S249" s="706" t="str">
        <f>+IF(ABRIL!S249=0,"",ABRIL!S249)</f>
        <v>8002100-6</v>
      </c>
      <c r="T249" s="682" t="str">
        <f>+IF(ABRIL!T249=0,"",ABRIL!T249)</f>
        <v>Programas Especial 05</v>
      </c>
      <c r="U249" s="27">
        <f>+ENERO!U249</f>
        <v>0</v>
      </c>
      <c r="V249" s="15">
        <f>ABRIL!V249+MAYO!AL249</f>
        <v>0</v>
      </c>
      <c r="W249" s="15">
        <f>ABRIL!W249+MAYO!AM249</f>
        <v>0</v>
      </c>
      <c r="X249" s="18">
        <f t="shared" si="212"/>
        <v>0</v>
      </c>
      <c r="Y249" s="19">
        <f>ABRIL!AA249</f>
        <v>0</v>
      </c>
      <c r="Z249" s="374">
        <v>0</v>
      </c>
      <c r="AA249" s="18">
        <f t="shared" si="213"/>
        <v>0</v>
      </c>
      <c r="AB249" s="19">
        <f>ABRIL!AD249</f>
        <v>0</v>
      </c>
      <c r="AC249" s="374">
        <v>0</v>
      </c>
      <c r="AD249" s="18">
        <f t="shared" si="214"/>
        <v>0</v>
      </c>
      <c r="AE249" s="19">
        <f>ABRIL!AG249</f>
        <v>0</v>
      </c>
      <c r="AF249" s="374">
        <v>0</v>
      </c>
      <c r="AG249" s="18">
        <f t="shared" si="215"/>
        <v>0</v>
      </c>
      <c r="AH249" s="19">
        <f t="shared" si="216"/>
        <v>0</v>
      </c>
      <c r="AI249" s="15">
        <f t="shared" si="217"/>
        <v>0</v>
      </c>
      <c r="AJ249" s="16">
        <f t="shared" si="218"/>
        <v>0</v>
      </c>
      <c r="AK249" s="9"/>
      <c r="AL249" s="372">
        <v>0</v>
      </c>
      <c r="AM249" s="375">
        <v>0</v>
      </c>
    </row>
    <row r="250" spans="1:70" ht="24.95" customHeight="1">
      <c r="A250" s="752"/>
      <c r="B250" s="661"/>
      <c r="C250" s="382"/>
      <c r="D250" s="382"/>
      <c r="E250" s="382"/>
      <c r="F250" s="382"/>
      <c r="G250" s="382"/>
      <c r="H250" s="382"/>
      <c r="I250" s="382"/>
      <c r="J250" s="382"/>
      <c r="K250" s="382"/>
      <c r="L250" s="382"/>
      <c r="M250" s="382"/>
      <c r="N250" s="9"/>
      <c r="O250" s="382"/>
      <c r="P250" s="9"/>
      <c r="Q250" s="9"/>
      <c r="S250" s="706" t="str">
        <f>+IF(ABRIL!S250=0,"",ABRIL!S250)</f>
        <v>8002100-7</v>
      </c>
      <c r="T250" s="682" t="str">
        <f>+IF(ABRIL!T250=0,"",ABRIL!T250)</f>
        <v>Programas Especial 06</v>
      </c>
      <c r="U250" s="27">
        <f>+ENERO!U250</f>
        <v>0</v>
      </c>
      <c r="V250" s="15">
        <f>ABRIL!V250+MAYO!AL250</f>
        <v>0</v>
      </c>
      <c r="W250" s="15">
        <f>ABRIL!W250+MAYO!AM250</f>
        <v>0</v>
      </c>
      <c r="X250" s="18">
        <f>SUM(U250:W250)</f>
        <v>0</v>
      </c>
      <c r="Y250" s="19">
        <f>ABRIL!AA250</f>
        <v>0</v>
      </c>
      <c r="Z250" s="374">
        <v>0</v>
      </c>
      <c r="AA250" s="18">
        <f>SUM(Y250:Z250)</f>
        <v>0</v>
      </c>
      <c r="AB250" s="19">
        <f>ABRIL!AD250</f>
        <v>0</v>
      </c>
      <c r="AC250" s="374">
        <v>0</v>
      </c>
      <c r="AD250" s="18">
        <f>SUM(AB250:AC250)</f>
        <v>0</v>
      </c>
      <c r="AE250" s="19">
        <f>ABRIL!AG250</f>
        <v>0</v>
      </c>
      <c r="AF250" s="374">
        <v>0</v>
      </c>
      <c r="AG250" s="18">
        <f>SUM(AE250:AF250)</f>
        <v>0</v>
      </c>
      <c r="AH250" s="19">
        <f>X250-AA250</f>
        <v>0</v>
      </c>
      <c r="AI250" s="15">
        <f>X250-AD250</f>
        <v>0</v>
      </c>
      <c r="AJ250" s="16">
        <f>X250-AG250</f>
        <v>0</v>
      </c>
      <c r="AK250" s="9"/>
      <c r="AL250" s="372">
        <v>0</v>
      </c>
      <c r="AM250" s="375">
        <v>0</v>
      </c>
    </row>
    <row r="251" spans="1:70" ht="24.95" customHeight="1">
      <c r="A251" s="752"/>
      <c r="B251" s="661"/>
      <c r="C251" s="382"/>
      <c r="D251" s="382"/>
      <c r="E251" s="382"/>
      <c r="F251" s="382"/>
      <c r="G251" s="382"/>
      <c r="H251" s="382"/>
      <c r="I251" s="382"/>
      <c r="J251" s="382"/>
      <c r="K251" s="382"/>
      <c r="L251" s="382"/>
      <c r="M251" s="382"/>
      <c r="N251" s="9"/>
      <c r="O251" s="382"/>
      <c r="P251" s="9"/>
      <c r="Q251" s="9"/>
      <c r="S251" s="706" t="str">
        <f>+IF(ABRIL!S251=0,"",ABRIL!S251)</f>
        <v>8002100-8</v>
      </c>
      <c r="T251" s="682" t="str">
        <f>+IF(ABRIL!T251=0,"",ABRIL!T251)</f>
        <v>Programas Especial 07</v>
      </c>
      <c r="U251" s="27">
        <f>+ENERO!U251</f>
        <v>0</v>
      </c>
      <c r="V251" s="15">
        <f>ABRIL!V251+MAYO!AL251</f>
        <v>0</v>
      </c>
      <c r="W251" s="15">
        <f>ABRIL!W251+MAYO!AM251</f>
        <v>0</v>
      </c>
      <c r="X251" s="18">
        <f>SUM(U251:W251)</f>
        <v>0</v>
      </c>
      <c r="Y251" s="19">
        <f>ABRIL!AA251</f>
        <v>0</v>
      </c>
      <c r="Z251" s="374">
        <v>0</v>
      </c>
      <c r="AA251" s="18">
        <f>SUM(Y251:Z251)</f>
        <v>0</v>
      </c>
      <c r="AB251" s="19">
        <f>ABRIL!AD251</f>
        <v>0</v>
      </c>
      <c r="AC251" s="374">
        <v>0</v>
      </c>
      <c r="AD251" s="18">
        <f>SUM(AB251:AC251)</f>
        <v>0</v>
      </c>
      <c r="AE251" s="19">
        <f>ABRIL!AG251</f>
        <v>0</v>
      </c>
      <c r="AF251" s="374">
        <v>0</v>
      </c>
      <c r="AG251" s="18">
        <f>SUM(AE251:AF251)</f>
        <v>0</v>
      </c>
      <c r="AH251" s="19">
        <f>X251-AA251</f>
        <v>0</v>
      </c>
      <c r="AI251" s="15">
        <f>X251-AD251</f>
        <v>0</v>
      </c>
      <c r="AJ251" s="16">
        <f>X251-AG251</f>
        <v>0</v>
      </c>
      <c r="AK251" s="9"/>
      <c r="AL251" s="372">
        <v>0</v>
      </c>
      <c r="AM251" s="375">
        <v>0</v>
      </c>
    </row>
    <row r="252" spans="1:70" ht="24.95" customHeight="1">
      <c r="A252" s="752"/>
      <c r="B252" s="661"/>
      <c r="C252" s="382"/>
      <c r="D252" s="382"/>
      <c r="E252" s="382"/>
      <c r="F252" s="382"/>
      <c r="G252" s="382"/>
      <c r="H252" s="382"/>
      <c r="I252" s="382"/>
      <c r="J252" s="382"/>
      <c r="K252" s="382"/>
      <c r="L252" s="382"/>
      <c r="M252" s="382"/>
      <c r="N252" s="9"/>
      <c r="O252" s="382"/>
      <c r="P252" s="9"/>
      <c r="Q252" s="9"/>
      <c r="S252" s="706" t="str">
        <f>+IF(ABRIL!S252=0,"",ABRIL!S252)</f>
        <v>8002100-9</v>
      </c>
      <c r="T252" s="682" t="str">
        <f>+IF(ABRIL!T252=0,"",ABRIL!T252)</f>
        <v>Programas Especial 08</v>
      </c>
      <c r="U252" s="27">
        <f>+ENERO!U252</f>
        <v>0</v>
      </c>
      <c r="V252" s="15">
        <f>ABRIL!V252+MAYO!AL252</f>
        <v>0</v>
      </c>
      <c r="W252" s="15">
        <f>ABRIL!W252+MAYO!AM252</f>
        <v>0</v>
      </c>
      <c r="X252" s="18">
        <f>SUM(U252:W252)</f>
        <v>0</v>
      </c>
      <c r="Y252" s="19">
        <f>ABRIL!AA252</f>
        <v>0</v>
      </c>
      <c r="Z252" s="374">
        <v>0</v>
      </c>
      <c r="AA252" s="18">
        <f>SUM(Y252:Z252)</f>
        <v>0</v>
      </c>
      <c r="AB252" s="19">
        <f>ABRIL!AD252</f>
        <v>0</v>
      </c>
      <c r="AC252" s="374">
        <v>0</v>
      </c>
      <c r="AD252" s="18">
        <f>SUM(AB252:AC252)</f>
        <v>0</v>
      </c>
      <c r="AE252" s="19">
        <f>ABRIL!AG252</f>
        <v>0</v>
      </c>
      <c r="AF252" s="374">
        <v>0</v>
      </c>
      <c r="AG252" s="18">
        <f>SUM(AE252:AF252)</f>
        <v>0</v>
      </c>
      <c r="AH252" s="19">
        <f>X252-AA252</f>
        <v>0</v>
      </c>
      <c r="AI252" s="15">
        <f>X252-AD252</f>
        <v>0</v>
      </c>
      <c r="AJ252" s="16">
        <f>X252-AG252</f>
        <v>0</v>
      </c>
      <c r="AK252" s="9"/>
      <c r="AL252" s="372">
        <v>0</v>
      </c>
      <c r="AM252" s="375">
        <v>0</v>
      </c>
    </row>
    <row r="253" spans="1:70" ht="24.95" customHeight="1">
      <c r="A253" s="752"/>
      <c r="B253" s="661"/>
      <c r="C253" s="382"/>
      <c r="D253" s="382"/>
      <c r="E253" s="382"/>
      <c r="F253" s="382"/>
      <c r="G253" s="382"/>
      <c r="H253" s="382"/>
      <c r="I253" s="382"/>
      <c r="J253" s="382"/>
      <c r="K253" s="382"/>
      <c r="L253" s="382"/>
      <c r="M253" s="382"/>
      <c r="N253" s="9"/>
      <c r="O253" s="382"/>
      <c r="P253" s="9"/>
      <c r="Q253" s="9"/>
      <c r="S253" s="706" t="str">
        <f>+IF(ABRIL!S253=0,"",ABRIL!S253)</f>
        <v>8002100-10</v>
      </c>
      <c r="T253" s="682" t="str">
        <f>+IF(ABRIL!T253=0,"",ABRIL!T253)</f>
        <v>Programas Especial 09</v>
      </c>
      <c r="U253" s="27">
        <f>+ENERO!U253</f>
        <v>0</v>
      </c>
      <c r="V253" s="15">
        <f>ABRIL!V253+MAYO!AL253</f>
        <v>0</v>
      </c>
      <c r="W253" s="15">
        <f>ABRIL!W253+MAYO!AM253</f>
        <v>0</v>
      </c>
      <c r="X253" s="18">
        <f>SUM(U253:W253)</f>
        <v>0</v>
      </c>
      <c r="Y253" s="19">
        <f>ABRIL!AA253</f>
        <v>0</v>
      </c>
      <c r="Z253" s="374">
        <v>0</v>
      </c>
      <c r="AA253" s="18">
        <f>SUM(Y253:Z253)</f>
        <v>0</v>
      </c>
      <c r="AB253" s="19">
        <f>ABRIL!AD253</f>
        <v>0</v>
      </c>
      <c r="AC253" s="374">
        <v>0</v>
      </c>
      <c r="AD253" s="18">
        <f>SUM(AB253:AC253)</f>
        <v>0</v>
      </c>
      <c r="AE253" s="19">
        <f>ABRIL!AG253</f>
        <v>0</v>
      </c>
      <c r="AF253" s="374">
        <v>0</v>
      </c>
      <c r="AG253" s="18">
        <f>SUM(AE253:AF253)</f>
        <v>0</v>
      </c>
      <c r="AH253" s="19">
        <f>X253-AA253</f>
        <v>0</v>
      </c>
      <c r="AI253" s="15">
        <f>X253-AD253</f>
        <v>0</v>
      </c>
      <c r="AJ253" s="16">
        <f>X253-AG253</f>
        <v>0</v>
      </c>
      <c r="AK253" s="9"/>
      <c r="AL253" s="372">
        <v>0</v>
      </c>
      <c r="AM253" s="375">
        <v>0</v>
      </c>
    </row>
    <row r="254" spans="1:70" ht="24.95" customHeight="1">
      <c r="A254" s="752"/>
      <c r="B254" s="661"/>
      <c r="C254" s="382"/>
      <c r="D254" s="382"/>
      <c r="E254" s="382"/>
      <c r="F254" s="382"/>
      <c r="G254" s="382"/>
      <c r="H254" s="382"/>
      <c r="I254" s="382"/>
      <c r="J254" s="382"/>
      <c r="K254" s="382"/>
      <c r="L254" s="382"/>
      <c r="M254" s="382"/>
      <c r="N254" s="9"/>
      <c r="O254" s="382"/>
      <c r="P254" s="9"/>
      <c r="Q254" s="9"/>
      <c r="S254" s="706" t="str">
        <f>+IF(ABRIL!S254=0,"",ABRIL!S254)</f>
        <v>8002100-11</v>
      </c>
      <c r="T254" s="682" t="str">
        <f>+IF(ABRIL!T254=0,"",ABRIL!T254)</f>
        <v>Programas Especial 10</v>
      </c>
      <c r="U254" s="27">
        <f>+ENERO!U254</f>
        <v>0</v>
      </c>
      <c r="V254" s="15">
        <f>ABRIL!V254+MAYO!AL254</f>
        <v>0</v>
      </c>
      <c r="W254" s="15">
        <f>ABRIL!W254+MAYO!AM254</f>
        <v>0</v>
      </c>
      <c r="X254" s="18">
        <f>SUM(U254:W254)</f>
        <v>0</v>
      </c>
      <c r="Y254" s="19">
        <f>ABRIL!AA254</f>
        <v>0</v>
      </c>
      <c r="Z254" s="374">
        <v>0</v>
      </c>
      <c r="AA254" s="18">
        <f>SUM(Y254:Z254)</f>
        <v>0</v>
      </c>
      <c r="AB254" s="19">
        <f>ABRIL!AD254</f>
        <v>0</v>
      </c>
      <c r="AC254" s="374">
        <v>0</v>
      </c>
      <c r="AD254" s="18">
        <f>SUM(AB254:AC254)</f>
        <v>0</v>
      </c>
      <c r="AE254" s="19">
        <f>ABRIL!AG254</f>
        <v>0</v>
      </c>
      <c r="AF254" s="374">
        <v>0</v>
      </c>
      <c r="AG254" s="18">
        <f>SUM(AE254:AF254)</f>
        <v>0</v>
      </c>
      <c r="AH254" s="19">
        <f>X254-AA254</f>
        <v>0</v>
      </c>
      <c r="AI254" s="15">
        <f>X254-AD254</f>
        <v>0</v>
      </c>
      <c r="AJ254" s="16">
        <f>X254-AG254</f>
        <v>0</v>
      </c>
      <c r="AK254" s="9"/>
      <c r="AL254" s="372">
        <v>0</v>
      </c>
      <c r="AM254" s="375">
        <v>0</v>
      </c>
    </row>
    <row r="255" spans="1:70" ht="24.95" customHeight="1">
      <c r="A255" s="752"/>
      <c r="B255" s="661"/>
      <c r="C255" s="382"/>
      <c r="D255" s="382"/>
      <c r="E255" s="382"/>
      <c r="F255" s="382"/>
      <c r="G255" s="382"/>
      <c r="H255" s="382"/>
      <c r="I255" s="382"/>
      <c r="J255" s="382"/>
      <c r="K255" s="382"/>
      <c r="L255" s="382"/>
      <c r="M255" s="382"/>
      <c r="N255" s="9"/>
      <c r="O255" s="382"/>
      <c r="P255" s="9"/>
      <c r="Q255" s="9"/>
      <c r="S255" s="706" t="str">
        <f>+IF(ABRIL!S255=0,"",ABRIL!S255)</f>
        <v>8002100-12</v>
      </c>
      <c r="T255" s="682" t="str">
        <f>+IF(ABRIL!T255=0,"",ABRIL!T255)</f>
        <v>Programas Especial 11</v>
      </c>
      <c r="U255" s="27">
        <f>+ENERO!U255</f>
        <v>0</v>
      </c>
      <c r="V255" s="15">
        <f>ABRIL!V255+MAYO!AL255</f>
        <v>0</v>
      </c>
      <c r="W255" s="15">
        <f>ABRIL!W255+MAYO!AM255</f>
        <v>0</v>
      </c>
      <c r="X255" s="18">
        <f t="shared" si="212"/>
        <v>0</v>
      </c>
      <c r="Y255" s="19">
        <f>ABRIL!AA255</f>
        <v>0</v>
      </c>
      <c r="Z255" s="374">
        <v>0</v>
      </c>
      <c r="AA255" s="18">
        <f t="shared" si="213"/>
        <v>0</v>
      </c>
      <c r="AB255" s="19">
        <f>ABRIL!AD255</f>
        <v>0</v>
      </c>
      <c r="AC255" s="374">
        <v>0</v>
      </c>
      <c r="AD255" s="18">
        <f t="shared" si="214"/>
        <v>0</v>
      </c>
      <c r="AE255" s="19">
        <f>ABRIL!AG255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2"/>
      <c r="B256" s="661"/>
      <c r="C256" s="382"/>
      <c r="D256" s="382"/>
      <c r="E256" s="382"/>
      <c r="F256" s="382"/>
      <c r="G256" s="382"/>
      <c r="H256" s="382"/>
      <c r="I256" s="382"/>
      <c r="J256" s="382"/>
      <c r="K256" s="382"/>
      <c r="L256" s="382"/>
      <c r="M256" s="382"/>
      <c r="N256" s="9"/>
      <c r="O256" s="382"/>
      <c r="P256" s="9"/>
      <c r="Q256" s="9"/>
      <c r="S256" s="717">
        <f>+IF(ABRIL!S256=0,"",ABRIL!S256)</f>
        <v>8002999</v>
      </c>
      <c r="T256" s="697" t="str">
        <f>+IF(ABRIL!T256=0,"",ABRIL!T256)</f>
        <v>Vigencias Anteriores</v>
      </c>
      <c r="U256" s="133">
        <f>+ENERO!U256</f>
        <v>0</v>
      </c>
      <c r="V256" s="121">
        <f>ABRIL!V256+MAYO!AL256</f>
        <v>0</v>
      </c>
      <c r="W256" s="121">
        <f>ABRIL!W256+MAYO!AM256</f>
        <v>0</v>
      </c>
      <c r="X256" s="126">
        <f t="shared" si="212"/>
        <v>0</v>
      </c>
      <c r="Y256" s="124">
        <f>ABRIL!AA256</f>
        <v>0</v>
      </c>
      <c r="Z256" s="388">
        <v>0</v>
      </c>
      <c r="AA256" s="126">
        <f t="shared" si="213"/>
        <v>0</v>
      </c>
      <c r="AB256" s="124">
        <f>ABRIL!AD256</f>
        <v>0</v>
      </c>
      <c r="AC256" s="388">
        <v>0</v>
      </c>
      <c r="AD256" s="126">
        <f t="shared" si="214"/>
        <v>0</v>
      </c>
      <c r="AE256" s="124">
        <f>ABRIL!AG256</f>
        <v>0</v>
      </c>
      <c r="AF256" s="388">
        <v>0</v>
      </c>
      <c r="AG256" s="126">
        <f t="shared" si="215"/>
        <v>0</v>
      </c>
      <c r="AH256" s="124">
        <f t="shared" si="216"/>
        <v>0</v>
      </c>
      <c r="AI256" s="121">
        <f t="shared" si="217"/>
        <v>0</v>
      </c>
      <c r="AJ256" s="125">
        <f t="shared" si="218"/>
        <v>0</v>
      </c>
      <c r="AK256" s="9"/>
      <c r="AL256" s="384">
        <v>0</v>
      </c>
      <c r="AM256" s="389">
        <v>0</v>
      </c>
    </row>
    <row r="257" spans="1:39" ht="24.95" customHeight="1" thickBot="1">
      <c r="A257" s="752"/>
      <c r="B257" s="661"/>
      <c r="C257" s="382"/>
      <c r="D257" s="382"/>
      <c r="E257" s="382"/>
      <c r="F257" s="382"/>
      <c r="G257" s="382"/>
      <c r="H257" s="382"/>
      <c r="I257" s="382"/>
      <c r="J257" s="382"/>
      <c r="K257" s="382"/>
      <c r="L257" s="382"/>
      <c r="M257" s="382"/>
      <c r="N257" s="9"/>
      <c r="O257" s="382"/>
      <c r="P257" s="9"/>
      <c r="Q257" s="9"/>
      <c r="S257" s="495" t="str">
        <f>+IF(ABRIL!S257=0,"",ABRIL!S257)</f>
        <v/>
      </c>
      <c r="T257" s="694" t="str">
        <f>+IF(ABRIL!T257=0,"",ABRIL!T257)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76" t="s">
        <v>363</v>
      </c>
      <c r="T258" s="777" t="s">
        <v>133</v>
      </c>
      <c r="U258" s="340">
        <f>+(C10+C17+C113)-(U10+U193+U220+U232)</f>
        <v>0</v>
      </c>
      <c r="V258" s="340">
        <f t="shared" ref="V258:AJ258" si="219">+(D10+D17+D113)-(V10+V193+V220+V232)</f>
        <v>0</v>
      </c>
      <c r="W258" s="340">
        <f t="shared" si="219"/>
        <v>0</v>
      </c>
      <c r="X258" s="340">
        <f t="shared" si="219"/>
        <v>0</v>
      </c>
      <c r="Y258" s="340">
        <f t="shared" si="219"/>
        <v>-9929751763</v>
      </c>
      <c r="Z258" s="340">
        <f t="shared" si="219"/>
        <v>2921575280</v>
      </c>
      <c r="AA258" s="340">
        <f t="shared" si="219"/>
        <v>-7008176483</v>
      </c>
      <c r="AB258" s="340">
        <f t="shared" si="219"/>
        <v>-11268856513</v>
      </c>
      <c r="AC258" s="340">
        <f t="shared" si="219"/>
        <v>-1809317876</v>
      </c>
      <c r="AD258" s="340">
        <f t="shared" si="219"/>
        <v>-13078174389</v>
      </c>
      <c r="AE258" s="340">
        <f t="shared" si="219"/>
        <v>12818271359</v>
      </c>
      <c r="AF258" s="340">
        <f t="shared" si="219"/>
        <v>38128280426</v>
      </c>
      <c r="AG258" s="340">
        <f t="shared" si="219"/>
        <v>-16871179991</v>
      </c>
      <c r="AH258" s="340">
        <f t="shared" si="219"/>
        <v>-18913188327</v>
      </c>
      <c r="AI258" s="340">
        <f t="shared" si="219"/>
        <v>-28818192577</v>
      </c>
      <c r="AJ258" s="778">
        <f t="shared" si="219"/>
        <v>-41564310691</v>
      </c>
      <c r="AK258" s="9"/>
      <c r="AL258" s="338">
        <v>0</v>
      </c>
      <c r="AM258" s="339">
        <v>0</v>
      </c>
    </row>
    <row r="259" spans="1: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0</v>
      </c>
    </row>
    <row r="260" spans="1:39" ht="24.95" customHeight="1" thickBot="1">
      <c r="S260" s="795" t="s">
        <v>582</v>
      </c>
      <c r="T260" s="796"/>
      <c r="U260" s="771">
        <f>+U8-U262</f>
        <v>47989706380</v>
      </c>
      <c r="V260" s="771">
        <f t="shared" ref="V260:AJ260" si="220">+V8-V262</f>
        <v>-88081545</v>
      </c>
      <c r="W260" s="771">
        <f t="shared" si="220"/>
        <v>624651794</v>
      </c>
      <c r="X260" s="771">
        <f t="shared" si="220"/>
        <v>48526276629</v>
      </c>
      <c r="Y260" s="771">
        <f t="shared" si="220"/>
        <v>29243593532</v>
      </c>
      <c r="Z260" s="771">
        <f t="shared" si="220"/>
        <v>1058532998</v>
      </c>
      <c r="AA260" s="771">
        <f t="shared" si="220"/>
        <v>30302126530</v>
      </c>
      <c r="AB260" s="771">
        <f t="shared" si="220"/>
        <v>16738911028</v>
      </c>
      <c r="AC260" s="771">
        <f t="shared" si="220"/>
        <v>3658211252</v>
      </c>
      <c r="AD260" s="771">
        <f t="shared" si="220"/>
        <v>20397122280</v>
      </c>
      <c r="AE260" s="771">
        <f t="shared" si="220"/>
        <v>5456325047</v>
      </c>
      <c r="AF260" s="771">
        <f t="shared" si="220"/>
        <v>2212593119</v>
      </c>
      <c r="AG260" s="771">
        <f t="shared" si="220"/>
        <v>7668918166</v>
      </c>
      <c r="AH260" s="771">
        <f t="shared" si="220"/>
        <v>18224150099</v>
      </c>
      <c r="AI260" s="771">
        <f t="shared" si="220"/>
        <v>28129154349</v>
      </c>
      <c r="AJ260" s="772">
        <f t="shared" si="220"/>
        <v>40857358463</v>
      </c>
      <c r="AK260" s="10"/>
      <c r="AL260" s="382"/>
      <c r="AM260" s="382"/>
    </row>
    <row r="261" spans="1:39" ht="24.95" customHeight="1" thickBot="1">
      <c r="S261" s="800"/>
      <c r="T261" s="801"/>
      <c r="U261" s="779"/>
      <c r="V261" s="779"/>
      <c r="W261" s="779"/>
      <c r="X261" s="779"/>
      <c r="Y261" s="779"/>
      <c r="Z261" s="779"/>
      <c r="AA261" s="779"/>
      <c r="AB261" s="779"/>
      <c r="AC261" s="779"/>
      <c r="AD261" s="779"/>
      <c r="AE261" s="779"/>
      <c r="AF261" s="779"/>
      <c r="AG261" s="779"/>
      <c r="AH261" s="779"/>
      <c r="AI261" s="779"/>
      <c r="AJ261" s="780"/>
    </row>
    <row r="262" spans="1:39" ht="24.95" customHeight="1" thickBot="1">
      <c r="S262" s="797" t="s">
        <v>583</v>
      </c>
      <c r="T262" s="798"/>
      <c r="U262" s="775">
        <f>+SUMIF($T$8:$T$256,$T$33,U8:U256)</f>
        <v>2232471701</v>
      </c>
      <c r="V262" s="775">
        <f t="shared" ref="V262:AJ262" si="221">+SUMIF($T$8:$T$256,$T$33,V8:V256)</f>
        <v>88081545</v>
      </c>
      <c r="W262" s="775">
        <f t="shared" si="221"/>
        <v>7588660807</v>
      </c>
      <c r="X262" s="775">
        <f t="shared" si="221"/>
        <v>9909214053</v>
      </c>
      <c r="Y262" s="775">
        <f t="shared" si="221"/>
        <v>7664682404</v>
      </c>
      <c r="Z262" s="775">
        <f t="shared" si="221"/>
        <v>1555493421</v>
      </c>
      <c r="AA262" s="775">
        <f t="shared" si="221"/>
        <v>9220175825</v>
      </c>
      <c r="AB262" s="775">
        <f t="shared" si="221"/>
        <v>7664682404</v>
      </c>
      <c r="AC262" s="775">
        <f t="shared" si="221"/>
        <v>1555493421</v>
      </c>
      <c r="AD262" s="775">
        <f t="shared" si="221"/>
        <v>9220175825</v>
      </c>
      <c r="AE262" s="775">
        <f t="shared" si="221"/>
        <v>7646768404</v>
      </c>
      <c r="AF262" s="775">
        <f t="shared" si="221"/>
        <v>1555493421</v>
      </c>
      <c r="AG262" s="775">
        <f t="shared" si="221"/>
        <v>9202261825</v>
      </c>
      <c r="AH262" s="775">
        <f t="shared" si="221"/>
        <v>689038228</v>
      </c>
      <c r="AI262" s="775">
        <f t="shared" si="221"/>
        <v>689038228</v>
      </c>
      <c r="AJ262" s="799">
        <f t="shared" si="221"/>
        <v>706952228</v>
      </c>
    </row>
    <row r="263" spans="1: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39" ht="24.95" customHeight="1" thickBot="1">
      <c r="S264" s="773" t="s">
        <v>584</v>
      </c>
      <c r="T264" s="774"/>
      <c r="U264" s="793">
        <f>+U260+U262</f>
        <v>50222178081</v>
      </c>
      <c r="V264" s="793">
        <f t="shared" ref="V264:AJ264" si="222">+V260+V262</f>
        <v>0</v>
      </c>
      <c r="W264" s="793">
        <f t="shared" si="222"/>
        <v>8213312601</v>
      </c>
      <c r="X264" s="793">
        <f t="shared" si="222"/>
        <v>58435490682</v>
      </c>
      <c r="Y264" s="793">
        <f t="shared" si="222"/>
        <v>36908275936</v>
      </c>
      <c r="Z264" s="793">
        <f t="shared" si="222"/>
        <v>2614026419</v>
      </c>
      <c r="AA264" s="793">
        <f t="shared" si="222"/>
        <v>39522302355</v>
      </c>
      <c r="AB264" s="793">
        <f t="shared" si="222"/>
        <v>24403593432</v>
      </c>
      <c r="AC264" s="793">
        <f t="shared" si="222"/>
        <v>5213704673</v>
      </c>
      <c r="AD264" s="793">
        <f t="shared" si="222"/>
        <v>29617298105</v>
      </c>
      <c r="AE264" s="793">
        <f t="shared" si="222"/>
        <v>13103093451</v>
      </c>
      <c r="AF264" s="793">
        <f t="shared" si="222"/>
        <v>3768086540</v>
      </c>
      <c r="AG264" s="793">
        <f t="shared" si="222"/>
        <v>16871179991</v>
      </c>
      <c r="AH264" s="793">
        <f t="shared" si="222"/>
        <v>18913188327</v>
      </c>
      <c r="AI264" s="793">
        <f t="shared" si="222"/>
        <v>28818192577</v>
      </c>
      <c r="AJ264" s="794">
        <f t="shared" si="222"/>
        <v>41564310691</v>
      </c>
    </row>
  </sheetData>
  <sheetProtection password="E0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500-000000000000}"/>
    <dataValidation allowBlank="1" showInputMessage="1" showErrorMessage="1" promptTitle="ATENCION..." prompt="Las actividades de Promoción y Prevención se manejaran en cada régimen." sqref="A23:C24 P23:Q24 K23:K24 H23:H24" xr:uid="{00000000-0002-0000-05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5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5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S264"/>
  <sheetViews>
    <sheetView showGridLines="0" topLeftCell="O1" zoomScale="80" zoomScaleNormal="80" workbookViewId="0">
      <selection activeCell="O8" sqref="O8"/>
    </sheetView>
  </sheetViews>
  <sheetFormatPr baseColWidth="10" defaultColWidth="0" defaultRowHeight="24.95" customHeight="1"/>
  <cols>
    <col min="1" max="1" width="14.42578125" style="753" customWidth="1"/>
    <col min="2" max="2" width="44.85546875" style="662" customWidth="1"/>
    <col min="3" max="3" width="17.5703125" style="272" customWidth="1"/>
    <col min="4" max="4" width="16.140625" style="272" customWidth="1"/>
    <col min="5" max="6" width="14.42578125" style="272" customWidth="1"/>
    <col min="7" max="7" width="16.28515625" style="272" customWidth="1"/>
    <col min="8" max="8" width="17.5703125" style="272" customWidth="1"/>
    <col min="9" max="9" width="14.42578125" style="272" customWidth="1"/>
    <col min="10" max="10" width="17.140625" style="272" customWidth="1"/>
    <col min="11" max="11" width="17.28515625" style="272" customWidth="1"/>
    <col min="12"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7109375" style="698" customWidth="1"/>
    <col min="20" max="20" width="45.42578125" style="674" customWidth="1"/>
    <col min="21" max="21" width="18.28515625" style="272" customWidth="1"/>
    <col min="22" max="22" width="17.85546875" style="272" customWidth="1"/>
    <col min="23" max="23" width="16.7109375" style="272" customWidth="1"/>
    <col min="24" max="24" width="17.85546875" style="272" customWidth="1"/>
    <col min="25" max="25" width="18.85546875" style="272" customWidth="1"/>
    <col min="26" max="26" width="16.5703125" style="272" customWidth="1"/>
    <col min="27" max="27" width="19.5703125" style="272" customWidth="1"/>
    <col min="28" max="28" width="20.42578125" style="272" customWidth="1"/>
    <col min="29" max="29" width="18.85546875" style="272" customWidth="1"/>
    <col min="30" max="30" width="19.42578125" style="272" customWidth="1"/>
    <col min="31" max="31" width="20.7109375" style="272" customWidth="1"/>
    <col min="32" max="32" width="17.28515625" style="272" customWidth="1"/>
    <col min="33" max="33" width="19.85546875" style="272" customWidth="1"/>
    <col min="34" max="34" width="17.5703125" style="272" customWidth="1"/>
    <col min="35" max="35" width="18.28515625" style="272" customWidth="1"/>
    <col min="36" max="36" width="18" style="272" customWidth="1"/>
    <col min="37" max="37" width="8.855468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2.7109375" style="272" customWidth="1"/>
    <col min="60" max="63" width="17.5703125" style="272" customWidth="1"/>
    <col min="64" max="64" width="28.7109375" style="272" customWidth="1"/>
    <col min="65" max="65" width="76" style="272" customWidth="1"/>
    <col min="66" max="66" width="19" style="272" customWidth="1"/>
    <col min="67" max="67" width="16.42578125" style="272" customWidth="1"/>
    <col min="68" max="68" width="14.5703125" style="272" customWidth="1"/>
    <col min="69" max="69" width="17.5703125" style="272" customWidth="1"/>
    <col min="70" max="70" width="11" style="272" customWidth="1"/>
    <col min="71" max="71" width="2.28515625" style="272" customWidth="1"/>
    <col min="72" max="16384" width="11" style="272" hidden="1"/>
  </cols>
  <sheetData>
    <row r="1" spans="1:69" ht="24.95" customHeight="1" thickBot="1">
      <c r="A1" s="2998" t="str">
        <f>IF($F$8-$X$8=0," ","OJO: PRESUPUESTO DESEQUILIBRADO")</f>
        <v xml:space="preserve"> </v>
      </c>
      <c r="B1" s="2998"/>
      <c r="C1" s="3132"/>
      <c r="D1" s="3132"/>
      <c r="E1" s="3132"/>
      <c r="F1" s="3132"/>
      <c r="G1" s="3132"/>
      <c r="H1" s="3132"/>
      <c r="I1" s="3132"/>
      <c r="J1" s="3132"/>
      <c r="K1" s="2999" t="str">
        <f>+IF(L8&gt;I8,"OJO - SUS RECAUDOS SON SUPERIORES A SUS RECONOCIMIENTOS, VERIFIQUE","")</f>
        <v/>
      </c>
      <c r="L1" s="2999"/>
      <c r="M1" s="2999"/>
      <c r="N1" s="2999"/>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0"/>
      <c r="B2" s="718" t="str">
        <f>+ENERO!B2</f>
        <v>SECRETARIA SECCIONAL DE SALUD Y PROTECCION SOCIAL DE ANTIOQUIA DE ANTIOQUIA</v>
      </c>
      <c r="C2" s="274"/>
      <c r="D2" s="3008" t="str">
        <f>+IF(F2="","","MUNICIPIO:")</f>
        <v>MUNICIPIO:</v>
      </c>
      <c r="E2" s="3008"/>
      <c r="F2" s="275" t="str">
        <f>IF(INSTRUCCIONES!B3=0,"",INSTRUCCIONES!B3)</f>
        <v>ITAGUI</v>
      </c>
      <c r="G2" s="276"/>
      <c r="H2" s="276"/>
      <c r="I2" s="276"/>
      <c r="J2" s="276"/>
      <c r="K2" s="277"/>
      <c r="L2" s="3009" t="s">
        <v>388</v>
      </c>
      <c r="M2" s="2982"/>
      <c r="N2" s="609" t="s">
        <v>389</v>
      </c>
      <c r="P2" s="2993" t="s">
        <v>466</v>
      </c>
      <c r="Q2" s="2994"/>
      <c r="R2" s="279"/>
      <c r="S2" s="699"/>
      <c r="T2" s="718" t="str">
        <f>+ENERO!T2</f>
        <v>SECRETARIA SECCIONAL DE SALUD Y PROTECCION SOCIAL DE ANTIOQUIA DE ANTIOQUIA</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278" t="s">
        <v>389</v>
      </c>
      <c r="AL2" s="2993" t="s">
        <v>466</v>
      </c>
      <c r="AM2" s="2994"/>
      <c r="AO2" s="2">
        <v>6</v>
      </c>
      <c r="AP2" s="280" t="s">
        <v>7</v>
      </c>
      <c r="AQ2" s="281"/>
      <c r="AR2" s="3"/>
      <c r="AS2" s="3"/>
      <c r="AT2" s="3"/>
      <c r="AU2" s="3"/>
      <c r="AV2" s="3"/>
      <c r="AW2" s="3"/>
      <c r="AX2" s="3"/>
      <c r="AY2" s="3"/>
      <c r="AZ2" s="4"/>
      <c r="BB2" s="2993" t="s">
        <v>616</v>
      </c>
      <c r="BC2" s="3010"/>
      <c r="BD2" s="51" t="s">
        <v>388</v>
      </c>
      <c r="BE2" s="278" t="str">
        <f>+L3</f>
        <v>JUNIO</v>
      </c>
      <c r="BF2" s="273"/>
      <c r="BG2" s="2993" t="s">
        <v>617</v>
      </c>
      <c r="BH2" s="3010"/>
      <c r="BI2" s="3010"/>
      <c r="BJ2" s="51" t="s">
        <v>388</v>
      </c>
      <c r="BK2" s="278" t="str">
        <f>+BE2</f>
        <v>JUNIO</v>
      </c>
      <c r="BM2" s="2993" t="s">
        <v>617</v>
      </c>
      <c r="BN2" s="3010"/>
      <c r="BO2" s="3010"/>
      <c r="BP2" s="51" t="s">
        <v>388</v>
      </c>
      <c r="BQ2" s="278" t="str">
        <f>+BK2</f>
        <v>JUNIO</v>
      </c>
    </row>
    <row r="3" spans="1:69" ht="24.95" customHeight="1" thickBot="1">
      <c r="A3" s="751"/>
      <c r="B3" s="3025" t="s">
        <v>8</v>
      </c>
      <c r="C3" s="282"/>
      <c r="D3" s="3041" t="str">
        <f>+IF(F3="","","INSTITUCION")</f>
        <v>INSTITUCION</v>
      </c>
      <c r="E3" s="3041"/>
      <c r="F3" s="3000" t="str">
        <f>IF(INSTRUCCIONES!B5=0,"",INSTRUCCIONES!B5)</f>
        <v>ESE HOSPITALSAN RAFAEL</v>
      </c>
      <c r="G3" s="3000"/>
      <c r="H3" s="3000"/>
      <c r="I3" s="3000"/>
      <c r="J3" s="3000"/>
      <c r="K3" s="3001"/>
      <c r="L3" s="3026" t="s">
        <v>370</v>
      </c>
      <c r="M3" s="3027"/>
      <c r="N3" s="3006">
        <f>+INSTRUCCIONES!F3</f>
        <v>2017</v>
      </c>
      <c r="P3" s="2995" t="s">
        <v>525</v>
      </c>
      <c r="Q3" s="3013" t="s">
        <v>532</v>
      </c>
      <c r="R3" s="279"/>
      <c r="S3" s="700"/>
      <c r="T3" s="3025" t="s">
        <v>10</v>
      </c>
      <c r="U3" s="283"/>
      <c r="V3" s="2972" t="str">
        <f>+IF(Y3="","","E.S.E. H O S P I T A L:")</f>
        <v>E.S.E. H O S P I T A L:</v>
      </c>
      <c r="W3" s="2972"/>
      <c r="X3" s="2972"/>
      <c r="Y3" s="2974" t="str">
        <f>IF(INSTRUCCIONES!B5=0,"",INSTRUCCIONES!B5)</f>
        <v>ESE HOSPITALSAN RAFAEL</v>
      </c>
      <c r="Z3" s="2974"/>
      <c r="AA3" s="2974"/>
      <c r="AB3" s="2974"/>
      <c r="AC3" s="2974"/>
      <c r="AD3" s="2974"/>
      <c r="AE3" s="2974"/>
      <c r="AF3" s="2974"/>
      <c r="AG3" s="2975"/>
      <c r="AH3" s="2978" t="str">
        <f>+L3</f>
        <v>JUNIO</v>
      </c>
      <c r="AI3" s="2979"/>
      <c r="AJ3" s="2970">
        <f>+N3</f>
        <v>2017</v>
      </c>
      <c r="AL3" s="2995" t="s">
        <v>533</v>
      </c>
      <c r="AM3" s="3013" t="s">
        <v>532</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50">
        <f>+BK3</f>
        <v>2017</v>
      </c>
    </row>
    <row r="4" spans="1:69" ht="24.95" customHeight="1" thickBot="1">
      <c r="A4" s="751"/>
      <c r="B4" s="3133"/>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292"/>
      <c r="BE4" s="47"/>
      <c r="BF4" s="7"/>
      <c r="BG4" s="291"/>
      <c r="BH4" s="292"/>
      <c r="BI4" s="292"/>
      <c r="BJ4" s="48"/>
      <c r="BK4" s="293"/>
      <c r="BL4" s="8"/>
      <c r="BM4" s="291"/>
      <c r="BN4" s="294"/>
      <c r="BO4" s="294"/>
      <c r="BP4" s="49"/>
      <c r="BQ4" s="295"/>
    </row>
    <row r="5" spans="1:69" ht="42.75" customHeight="1" thickTop="1" thickBot="1">
      <c r="A5" s="3134" t="s">
        <v>17</v>
      </c>
      <c r="B5" s="3136" t="s">
        <v>18</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2990" t="s">
        <v>481</v>
      </c>
      <c r="T5" s="3043" t="s">
        <v>18</v>
      </c>
      <c r="U5" s="296" t="s">
        <v>19</v>
      </c>
      <c r="V5" s="297"/>
      <c r="W5" s="297"/>
      <c r="X5" s="298"/>
      <c r="Y5" s="2967" t="s">
        <v>530</v>
      </c>
      <c r="Z5" s="2968"/>
      <c r="AA5" s="2969"/>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141" t="s">
        <v>366</v>
      </c>
      <c r="BG5" s="512" t="s">
        <v>32</v>
      </c>
      <c r="BH5" s="3018" t="str">
        <f>+CONCATENATE("ACUMULADO ",N3)</f>
        <v>ACUMULADO 2017</v>
      </c>
      <c r="BI5" s="3019"/>
      <c r="BJ5" s="3019"/>
      <c r="BK5" s="3138"/>
      <c r="BL5" s="3139" t="s">
        <v>367</v>
      </c>
      <c r="BM5" s="3016" t="s">
        <v>32</v>
      </c>
      <c r="BN5" s="308" t="str">
        <f>+CONCATENATE("ACUMULADO ",BQ3)</f>
        <v>ACUMULADO 2017</v>
      </c>
      <c r="BO5" s="309"/>
      <c r="BP5" s="310"/>
      <c r="BQ5" s="513"/>
    </row>
    <row r="6" spans="1:69" ht="24.95" customHeight="1" thickBot="1">
      <c r="A6" s="3135"/>
      <c r="B6" s="31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2991"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JUNIO</v>
      </c>
      <c r="AS6" s="316" t="str">
        <f>AR6</f>
        <v>JUNIO</v>
      </c>
      <c r="AT6" s="316" t="str">
        <f>AR6</f>
        <v>JUNIO</v>
      </c>
      <c r="AU6" s="316" t="s">
        <v>14</v>
      </c>
      <c r="AV6" s="316" t="s">
        <v>29</v>
      </c>
      <c r="AW6" s="316"/>
      <c r="AX6" s="316"/>
      <c r="AY6" s="316" t="s">
        <v>14</v>
      </c>
      <c r="AZ6" s="317" t="s">
        <v>29</v>
      </c>
      <c r="BB6" s="318"/>
      <c r="BC6" s="319" t="s">
        <v>45</v>
      </c>
      <c r="BD6" s="320" t="s">
        <v>46</v>
      </c>
      <c r="BE6" s="321" t="s">
        <v>47</v>
      </c>
      <c r="BF6" s="3142"/>
      <c r="BG6" s="514"/>
      <c r="BH6" s="515" t="s">
        <v>45</v>
      </c>
      <c r="BI6" s="515" t="s">
        <v>48</v>
      </c>
      <c r="BJ6" s="515" t="s">
        <v>49</v>
      </c>
      <c r="BK6" s="516" t="s">
        <v>50</v>
      </c>
      <c r="BL6" s="3140"/>
      <c r="BM6" s="3017"/>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24175231184</v>
      </c>
      <c r="AR7" s="327">
        <f>I22</f>
        <v>15061879115</v>
      </c>
      <c r="AS7" s="327">
        <f>L22</f>
        <v>8138035310</v>
      </c>
      <c r="AT7" s="13"/>
      <c r="AU7" s="328">
        <f t="shared" ref="AU7:AU17" si="0">IF(AQ7=0," ",AR7/AQ7)</f>
        <v>0.62302937251613422</v>
      </c>
      <c r="AV7" s="328">
        <f t="shared" ref="AV7:AV17" si="1">IF(AQ7=0," ",AS7/AQ7)</f>
        <v>0.33662699016446351</v>
      </c>
      <c r="AW7" s="327">
        <f>I23/AO$2*12+I24</f>
        <v>22854371468</v>
      </c>
      <c r="AX7" s="327">
        <f>L23/AO$2*12+L24</f>
        <v>9006683858</v>
      </c>
      <c r="AY7" s="327">
        <f t="shared" ref="AY7:AY16" si="2">AW7-AQ7</f>
        <v>-1320859716</v>
      </c>
      <c r="AZ7" s="329">
        <f t="shared" ref="AZ7:AZ16" si="3">AX7-AQ7</f>
        <v>-15168547326</v>
      </c>
      <c r="BB7" s="330" t="s">
        <v>53</v>
      </c>
      <c r="BC7" s="54">
        <f>F10</f>
        <v>617329922</v>
      </c>
      <c r="BD7" s="55">
        <f>I10</f>
        <v>617329922</v>
      </c>
      <c r="BE7" s="56">
        <f>K10</f>
        <v>0</v>
      </c>
      <c r="BF7" s="53">
        <f>MARZO!BF7+ABRIL!BE7+MAYO!BE7+JUNIO!BE7</f>
        <v>617329922</v>
      </c>
      <c r="BG7" s="91" t="s">
        <v>54</v>
      </c>
      <c r="BH7" s="116">
        <f>+SUM(BH8:BH11)</f>
        <v>37139569191</v>
      </c>
      <c r="BI7" s="116">
        <f>+SUM(BI8:BI11)</f>
        <v>29899233049</v>
      </c>
      <c r="BJ7" s="116">
        <f>+SUM(BJ8:BJ11)</f>
        <v>18623943263</v>
      </c>
      <c r="BK7" s="116">
        <f>+SUM(BK8:BK11)</f>
        <v>1858870781</v>
      </c>
      <c r="BL7" s="40">
        <f>+BK7+MAYO!BK7+ABRIL!BK7+MARZO!BL7</f>
        <v>8267191172</v>
      </c>
      <c r="BM7" s="61" t="s">
        <v>54</v>
      </c>
      <c r="BN7" s="62">
        <f>BN8+BN15+BN22</f>
        <v>37139569191</v>
      </c>
      <c r="BO7" s="63">
        <f>BO8+BO15+BO22</f>
        <v>29899233049</v>
      </c>
      <c r="BP7" s="63">
        <f>BP8+BP15+BP22</f>
        <v>18623943263</v>
      </c>
      <c r="BQ7" s="64">
        <f>BQ8+BQ15+BQ22</f>
        <v>1858870781</v>
      </c>
    </row>
    <row r="8" spans="1:69" s="9" customFormat="1" ht="24.95" customHeight="1" thickBot="1">
      <c r="A8" s="730">
        <f>+IF(MAYO!A8=0,"",MAYO!A8)</f>
        <v>1</v>
      </c>
      <c r="B8" s="635" t="str">
        <f>+IF(MAYO!B8=0,"",MAYO!B8)</f>
        <v>INGRESOS</v>
      </c>
      <c r="C8" s="331">
        <f>C10+C17+C113</f>
        <v>50222178081</v>
      </c>
      <c r="D8" s="331">
        <f t="shared" ref="D8:Q8" si="4">D10+D17+D113</f>
        <v>0</v>
      </c>
      <c r="E8" s="331">
        <f t="shared" si="4"/>
        <v>12952550870</v>
      </c>
      <c r="F8" s="331">
        <f t="shared" si="4"/>
        <v>63174728951</v>
      </c>
      <c r="G8" s="331">
        <f t="shared" si="4"/>
        <v>32514125872</v>
      </c>
      <c r="H8" s="331">
        <f t="shared" si="4"/>
        <v>6506622660</v>
      </c>
      <c r="I8" s="331">
        <f t="shared" si="4"/>
        <v>39020748532</v>
      </c>
      <c r="J8" s="331">
        <f t="shared" si="4"/>
        <v>16539123716</v>
      </c>
      <c r="K8" s="331">
        <f t="shared" si="4"/>
        <v>2917089784</v>
      </c>
      <c r="L8" s="331">
        <f t="shared" si="4"/>
        <v>19456213500</v>
      </c>
      <c r="M8" s="331">
        <f t="shared" si="4"/>
        <v>24153980419</v>
      </c>
      <c r="N8" s="331">
        <f t="shared" si="4"/>
        <v>43718515451</v>
      </c>
      <c r="O8" s="333"/>
      <c r="P8" s="334">
        <f t="shared" si="4"/>
        <v>0</v>
      </c>
      <c r="Q8" s="332">
        <f t="shared" si="4"/>
        <v>4739238269</v>
      </c>
      <c r="S8" s="701" t="str">
        <f>+IF(MAYO!S8=0,"",MAYO!S8)</f>
        <v/>
      </c>
      <c r="T8" s="675" t="str">
        <f>+IF(MAYO!T8=0,"",MAYO!T8)</f>
        <v>GASTOS</v>
      </c>
      <c r="U8" s="335">
        <f>U10+U193+U220+U232</f>
        <v>50222178081</v>
      </c>
      <c r="V8" s="336">
        <f t="shared" ref="V8:AJ8" si="5">V10+V193+V220+V232</f>
        <v>0</v>
      </c>
      <c r="W8" s="336">
        <f t="shared" si="5"/>
        <v>12952550870</v>
      </c>
      <c r="X8" s="337">
        <f t="shared" si="5"/>
        <v>63174728951</v>
      </c>
      <c r="Y8" s="338">
        <f t="shared" si="5"/>
        <v>39522302355</v>
      </c>
      <c r="Z8" s="336">
        <f t="shared" si="5"/>
        <v>8795634803</v>
      </c>
      <c r="AA8" s="337">
        <f t="shared" si="5"/>
        <v>48317937158</v>
      </c>
      <c r="AB8" s="338">
        <f t="shared" si="5"/>
        <v>29617298105</v>
      </c>
      <c r="AC8" s="336">
        <f t="shared" si="5"/>
        <v>5514067850</v>
      </c>
      <c r="AD8" s="337">
        <f t="shared" si="5"/>
        <v>35131365955</v>
      </c>
      <c r="AE8" s="338">
        <f t="shared" si="5"/>
        <v>16871179991</v>
      </c>
      <c r="AF8" s="336">
        <f t="shared" si="5"/>
        <v>2994875279</v>
      </c>
      <c r="AG8" s="337">
        <f t="shared" si="5"/>
        <v>19866055270</v>
      </c>
      <c r="AH8" s="338">
        <f t="shared" si="5"/>
        <v>14856791793</v>
      </c>
      <c r="AI8" s="336">
        <f t="shared" si="5"/>
        <v>28043362996</v>
      </c>
      <c r="AJ8" s="339">
        <f t="shared" si="5"/>
        <v>43308673681</v>
      </c>
      <c r="AL8" s="340">
        <f t="shared" ref="AL8:AM8" si="6">AL10+AL193+AL220+AL232</f>
        <v>0</v>
      </c>
      <c r="AM8" s="341">
        <f t="shared" si="6"/>
        <v>4739238269</v>
      </c>
      <c r="AO8" s="21"/>
      <c r="AP8" s="11" t="s">
        <v>56</v>
      </c>
      <c r="AQ8" s="12">
        <f>F25</f>
        <v>17847616399</v>
      </c>
      <c r="AR8" s="12">
        <f>I25</f>
        <v>14769355636</v>
      </c>
      <c r="AS8" s="12">
        <f>L25</f>
        <v>6802281547</v>
      </c>
      <c r="AT8" s="13"/>
      <c r="AU8" s="342">
        <f t="shared" si="0"/>
        <v>0.82752538522889396</v>
      </c>
      <c r="AV8" s="342">
        <f t="shared" si="1"/>
        <v>0.3811310930786887</v>
      </c>
      <c r="AW8" s="12">
        <f>I26/AO$2*12+I27</f>
        <v>24431138688</v>
      </c>
      <c r="AX8" s="12">
        <f>L26/AO$2*12+L27</f>
        <v>8496990510</v>
      </c>
      <c r="AY8" s="12">
        <f t="shared" si="2"/>
        <v>6583522289</v>
      </c>
      <c r="AZ8" s="343">
        <f t="shared" si="3"/>
        <v>-9350625889</v>
      </c>
      <c r="BB8" s="140" t="s">
        <v>57</v>
      </c>
      <c r="BC8" s="65">
        <f>BC9+BC19</f>
        <v>41619071610</v>
      </c>
      <c r="BD8" s="66">
        <f>BD9+BD19</f>
        <v>22830726642</v>
      </c>
      <c r="BE8" s="67">
        <f>BE9+BE19</f>
        <v>840714790</v>
      </c>
      <c r="BF8" s="53">
        <f>MARZO!BF8+ABRIL!BE8+MAYO!BE8+JUNIO!BE8</f>
        <v>3266191610</v>
      </c>
      <c r="BG8" s="68" t="s">
        <v>58</v>
      </c>
      <c r="BH8" s="69">
        <f>BN9+BN13</f>
        <v>2864245139</v>
      </c>
      <c r="BI8" s="69">
        <f>BO9+BO13</f>
        <v>991136573</v>
      </c>
      <c r="BJ8" s="69">
        <f>BP9+BP13</f>
        <v>991136573</v>
      </c>
      <c r="BK8" s="69">
        <f>BQ9+BQ13</f>
        <v>145337258</v>
      </c>
      <c r="BL8" s="40">
        <f>+BK8+MAYO!BK8+ABRIL!BK8+MARZO!BL8</f>
        <v>991136573</v>
      </c>
      <c r="BM8" s="71" t="s">
        <v>59</v>
      </c>
      <c r="BN8" s="72">
        <f>BN9+BN14+BN13</f>
        <v>28145985346</v>
      </c>
      <c r="BO8" s="69">
        <f>BO9+BO14+BO13</f>
        <v>23063865224</v>
      </c>
      <c r="BP8" s="69">
        <f>BP9+BP14+BP13</f>
        <v>14395634812</v>
      </c>
      <c r="BQ8" s="70">
        <f>BQ9+BQ14+BQ13</f>
        <v>1428837783</v>
      </c>
    </row>
    <row r="9" spans="1:69"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468414189</v>
      </c>
      <c r="AR9" s="12">
        <f>I28+I75</f>
        <v>677183317</v>
      </c>
      <c r="AS9" s="12">
        <f>L28+L75</f>
        <v>2775457</v>
      </c>
      <c r="AT9" s="13"/>
      <c r="AU9" s="350">
        <f t="shared" si="0"/>
        <v>1.4456934330825748</v>
      </c>
      <c r="AV9" s="350">
        <f t="shared" si="1"/>
        <v>5.9252197417956525E-3</v>
      </c>
      <c r="AW9" s="351">
        <f>(I30+I33+I36+I76)/AO$2*12+I31+I34+I37+I38+I39+I40+I77</f>
        <v>1353550927</v>
      </c>
      <c r="AX9" s="351">
        <f>(L30+L33+L36+L76)/AO$2*12+L31+L34+L37+L38+L39+L40+L77</f>
        <v>4735207</v>
      </c>
      <c r="AY9" s="351">
        <f t="shared" si="2"/>
        <v>885136738</v>
      </c>
      <c r="AZ9" s="352">
        <f t="shared" si="3"/>
        <v>-463678982</v>
      </c>
      <c r="BB9" s="353" t="s">
        <v>427</v>
      </c>
      <c r="BC9" s="73">
        <f>BC10+BC18</f>
        <v>40885124815</v>
      </c>
      <c r="BD9" s="74">
        <f>BD10+BD18</f>
        <v>22222697554</v>
      </c>
      <c r="BE9" s="75">
        <f>BE10+BE18</f>
        <v>741301114</v>
      </c>
      <c r="BF9" s="53">
        <f>MARZO!BF9+ABRIL!BE9+MAYO!BE9+JUNIO!BE9</f>
        <v>2886921374</v>
      </c>
      <c r="BG9" s="77" t="s">
        <v>62</v>
      </c>
      <c r="BH9" s="78">
        <f t="shared" ref="BH9:BK10" si="7">BN14</f>
        <v>25281740207</v>
      </c>
      <c r="BI9" s="78">
        <f t="shared" si="7"/>
        <v>22072728651</v>
      </c>
      <c r="BJ9" s="78">
        <f t="shared" si="7"/>
        <v>13404498239</v>
      </c>
      <c r="BK9" s="78">
        <f t="shared" si="7"/>
        <v>1283500525</v>
      </c>
      <c r="BL9" s="40">
        <f>+BK9+MAYO!BK9+ABRIL!BK9+MARZO!BL9</f>
        <v>4936558596</v>
      </c>
      <c r="BM9" s="137" t="s">
        <v>63</v>
      </c>
      <c r="BN9" s="80">
        <f>SUM(BN10:BN12)</f>
        <v>2061410762</v>
      </c>
      <c r="BO9" s="78">
        <f>SUM(BO10:BO12)</f>
        <v>786193679</v>
      </c>
      <c r="BP9" s="78">
        <f>SUM(BP10:BP12)</f>
        <v>786193679</v>
      </c>
      <c r="BQ9" s="79">
        <f>SUM(BQ10:BQ12)</f>
        <v>110867680</v>
      </c>
    </row>
    <row r="10" spans="1:69" s="9" customFormat="1" ht="24.95" customHeight="1">
      <c r="A10" s="731">
        <f>+IF(MAYO!A10=0,"",MAYO!A10)</f>
        <v>10</v>
      </c>
      <c r="B10" s="637" t="str">
        <f>+IF(MAYO!B10=0,"",MAYO!B10)</f>
        <v>DISPONIBILIDAD INICIAL</v>
      </c>
      <c r="C10" s="174">
        <f t="shared" ref="C10:N10" si="8">SUM(C12:C15)</f>
        <v>0</v>
      </c>
      <c r="D10" s="354">
        <f t="shared" si="8"/>
        <v>0</v>
      </c>
      <c r="E10" s="354">
        <f t="shared" si="8"/>
        <v>617329922</v>
      </c>
      <c r="F10" s="175">
        <f t="shared" si="8"/>
        <v>617329922</v>
      </c>
      <c r="G10" s="355">
        <f t="shared" si="8"/>
        <v>617329922</v>
      </c>
      <c r="H10" s="354">
        <f t="shared" si="8"/>
        <v>0</v>
      </c>
      <c r="I10" s="356">
        <f t="shared" si="8"/>
        <v>617329922</v>
      </c>
      <c r="J10" s="174">
        <f t="shared" si="8"/>
        <v>617329922</v>
      </c>
      <c r="K10" s="354">
        <f t="shared" si="8"/>
        <v>0</v>
      </c>
      <c r="L10" s="175">
        <f t="shared" si="8"/>
        <v>617329922</v>
      </c>
      <c r="M10" s="174">
        <f t="shared" si="8"/>
        <v>0</v>
      </c>
      <c r="N10" s="175">
        <f t="shared" si="8"/>
        <v>0</v>
      </c>
      <c r="O10" s="13"/>
      <c r="P10" s="174">
        <f>SUM(P12:P15)</f>
        <v>0</v>
      </c>
      <c r="Q10" s="175">
        <f>SUM(Q12:Q15)</f>
        <v>0</v>
      </c>
      <c r="S10" s="357" t="str">
        <f>+IF(MAYO!S10=0,"",MAYO!S10)</f>
        <v>A</v>
      </c>
      <c r="T10" s="676" t="str">
        <f>+IF(MAYO!T10=0,"",MAYO!T10)</f>
        <v>GASTOS DE FUNCIONAMIENTO</v>
      </c>
      <c r="U10" s="358">
        <f>U12+U110+U170</f>
        <v>35471771735</v>
      </c>
      <c r="V10" s="359">
        <f t="shared" ref="V10:AJ10" si="9">V12+V110+V170</f>
        <v>-379588299</v>
      </c>
      <c r="W10" s="359">
        <f t="shared" si="9"/>
        <v>9734692702</v>
      </c>
      <c r="X10" s="362">
        <f t="shared" si="9"/>
        <v>44826876138</v>
      </c>
      <c r="Y10" s="361">
        <f t="shared" si="9"/>
        <v>30013254165</v>
      </c>
      <c r="Z10" s="359">
        <f t="shared" si="9"/>
        <v>7271625186</v>
      </c>
      <c r="AA10" s="362">
        <f t="shared" si="9"/>
        <v>37284879351</v>
      </c>
      <c r="AB10" s="361">
        <f t="shared" si="9"/>
        <v>21701457820</v>
      </c>
      <c r="AC10" s="359">
        <f t="shared" si="9"/>
        <v>4308131745</v>
      </c>
      <c r="AD10" s="362">
        <f t="shared" si="9"/>
        <v>26009589565</v>
      </c>
      <c r="AE10" s="361">
        <f t="shared" si="9"/>
        <v>13355021507</v>
      </c>
      <c r="AF10" s="359">
        <f t="shared" si="9"/>
        <v>2297815967</v>
      </c>
      <c r="AG10" s="362">
        <f t="shared" si="9"/>
        <v>15652837474</v>
      </c>
      <c r="AH10" s="361">
        <f t="shared" si="9"/>
        <v>7541996787</v>
      </c>
      <c r="AI10" s="359">
        <f t="shared" si="9"/>
        <v>18817286573</v>
      </c>
      <c r="AJ10" s="360">
        <f t="shared" si="9"/>
        <v>29174038664</v>
      </c>
      <c r="AL10" s="363">
        <f t="shared" ref="AL10:AM10" si="10">AL12+AL110+AL170</f>
        <v>70000000</v>
      </c>
      <c r="AM10" s="364">
        <f t="shared" si="10"/>
        <v>3770577000</v>
      </c>
      <c r="AO10" s="349"/>
      <c r="AP10" s="11" t="s">
        <v>65</v>
      </c>
      <c r="AQ10" s="12">
        <f>F42</f>
        <v>0</v>
      </c>
      <c r="AR10" s="12">
        <f>I42</f>
        <v>0</v>
      </c>
      <c r="AS10" s="12">
        <f>L42</f>
        <v>0</v>
      </c>
      <c r="AT10" s="13"/>
      <c r="AU10" s="350" t="str">
        <f t="shared" si="0"/>
        <v xml:space="preserve"> </v>
      </c>
      <c r="AV10" s="350" t="str">
        <f t="shared" si="1"/>
        <v xml:space="preserve"> </v>
      </c>
      <c r="AW10" s="351">
        <f>I43/AO$2*12+I44</f>
        <v>0</v>
      </c>
      <c r="AX10" s="351">
        <f>L43/AO$2*12+L44</f>
        <v>0</v>
      </c>
      <c r="AY10" s="351">
        <f t="shared" si="2"/>
        <v>0</v>
      </c>
      <c r="AZ10" s="352">
        <f t="shared" si="3"/>
        <v>0</v>
      </c>
      <c r="BB10" s="365" t="s">
        <v>428</v>
      </c>
      <c r="BC10" s="73">
        <f>BC11+BC12+BC13+BC14+BC16+BC17+BC15</f>
        <v>40759887887</v>
      </c>
      <c r="BD10" s="74">
        <f>BD11+BD12+BD13+BD14+BD16+BD17+BD15</f>
        <v>22222697554</v>
      </c>
      <c r="BE10" s="75">
        <f>BE11+BE12+BE13+BE14+BE16+BE17+BE15</f>
        <v>741301114</v>
      </c>
      <c r="BF10" s="53">
        <f>MARZO!BF10+ABRIL!BE10+MAYO!BE10+JUNIO!BE10</f>
        <v>2886921374</v>
      </c>
      <c r="BG10" s="68" t="s">
        <v>66</v>
      </c>
      <c r="BH10" s="81">
        <f t="shared" si="7"/>
        <v>8830053842</v>
      </c>
      <c r="BI10" s="81">
        <f t="shared" si="7"/>
        <v>6745256606</v>
      </c>
      <c r="BJ10" s="81">
        <f t="shared" si="7"/>
        <v>4149072361</v>
      </c>
      <c r="BK10" s="81">
        <f t="shared" si="7"/>
        <v>426107770</v>
      </c>
      <c r="BL10" s="40">
        <f>+BK10+MAYO!BK10+ABRIL!BK10+MARZO!BL10</f>
        <v>2288341994</v>
      </c>
      <c r="BM10" s="134" t="s">
        <v>440</v>
      </c>
      <c r="BN10" s="83">
        <f>X17+X66</f>
        <v>1512951119</v>
      </c>
      <c r="BO10" s="81">
        <f>AA17+AA66</f>
        <v>618480806</v>
      </c>
      <c r="BP10" s="81">
        <f>AD17+AD66</f>
        <v>618480806</v>
      </c>
      <c r="BQ10" s="82">
        <f>AF17+AF66</f>
        <v>94667197</v>
      </c>
    </row>
    <row r="11" spans="1:69" s="9" customFormat="1" ht="24.95" customHeight="1">
      <c r="A11" s="666"/>
      <c r="B11" s="636"/>
      <c r="C11" s="344"/>
      <c r="D11" s="344"/>
      <c r="E11" s="344"/>
      <c r="F11" s="344"/>
      <c r="G11" s="344"/>
      <c r="H11" s="344"/>
      <c r="I11" s="344"/>
      <c r="J11" s="344"/>
      <c r="K11" s="344"/>
      <c r="L11" s="344"/>
      <c r="M11" s="344"/>
      <c r="N11" s="345"/>
      <c r="O11" s="333"/>
      <c r="P11" s="346"/>
      <c r="Q11" s="345"/>
      <c r="S11" s="366"/>
      <c r="T11" s="695"/>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0.5</v>
      </c>
      <c r="AU11" s="350" t="str">
        <f t="shared" si="0"/>
        <v xml:space="preserve"> </v>
      </c>
      <c r="AV11" s="350" t="str">
        <f t="shared" si="1"/>
        <v xml:space="preserve"> </v>
      </c>
      <c r="AW11" s="351">
        <f>I88</f>
        <v>0</v>
      </c>
      <c r="AX11" s="351">
        <f>L88</f>
        <v>0</v>
      </c>
      <c r="AY11" s="351">
        <f t="shared" si="2"/>
        <v>0</v>
      </c>
      <c r="AZ11" s="352">
        <f t="shared" si="3"/>
        <v>0</v>
      </c>
      <c r="BB11" s="365" t="s">
        <v>429</v>
      </c>
      <c r="BC11" s="73">
        <f>F26</f>
        <v>13439321219</v>
      </c>
      <c r="BD11" s="74">
        <f>I26</f>
        <v>9661783052</v>
      </c>
      <c r="BE11" s="75">
        <f>K26</f>
        <v>700001848</v>
      </c>
      <c r="BF11" s="53">
        <f>MARZO!BF11+ABRIL!BE11+MAYO!BE11+JUNIO!BE11</f>
        <v>1694708963</v>
      </c>
      <c r="BG11" s="68" t="s">
        <v>67</v>
      </c>
      <c r="BH11" s="84">
        <f>BN22</f>
        <v>163530003</v>
      </c>
      <c r="BI11" s="84">
        <f>BO22</f>
        <v>90111219</v>
      </c>
      <c r="BJ11" s="84">
        <f>BP22</f>
        <v>79236090</v>
      </c>
      <c r="BK11" s="84">
        <f>BQ22</f>
        <v>3925228</v>
      </c>
      <c r="BL11" s="40">
        <f>+BK11+MAYO!BK11+ABRIL!BK11+MARZO!BL11</f>
        <v>51154009</v>
      </c>
      <c r="BM11" s="135" t="s">
        <v>441</v>
      </c>
      <c r="BN11" s="86">
        <f>X18+X67</f>
        <v>72988810</v>
      </c>
      <c r="BO11" s="84">
        <f>AA18+AA67</f>
        <v>42558037</v>
      </c>
      <c r="BP11" s="84">
        <f>AD18+AD67</f>
        <v>42558037</v>
      </c>
      <c r="BQ11" s="85">
        <f>AF18+AF67</f>
        <v>8209773</v>
      </c>
    </row>
    <row r="12" spans="1:69" s="9" customFormat="1" ht="24.95" customHeight="1">
      <c r="A12" s="611">
        <f>+IF(MAYO!A12=0,"",MAYO!A12)</f>
        <v>1001</v>
      </c>
      <c r="B12" s="638" t="str">
        <f>+IF(MAYO!B12=0,"",MAYO!B12)</f>
        <v>Bienestar Social (Caja, Bancos, Inversiones Tempor.) a Dic-31-2016</v>
      </c>
      <c r="C12" s="671">
        <f>+ENERO!C12</f>
        <v>0</v>
      </c>
      <c r="D12" s="373">
        <f>MAYO!D12+JUNIO!P12</f>
        <v>0</v>
      </c>
      <c r="E12" s="373">
        <f>MAYO!E12+JUNIO!Q12</f>
        <v>26156707</v>
      </c>
      <c r="F12" s="143">
        <f>SUM(C12:E12)</f>
        <v>26156707</v>
      </c>
      <c r="G12" s="219">
        <f>MAYO!I12</f>
        <v>26156707</v>
      </c>
      <c r="H12" s="374">
        <v>0</v>
      </c>
      <c r="I12" s="143">
        <f>SUM(G12:H12)</f>
        <v>26156707</v>
      </c>
      <c r="J12" s="219">
        <f>MAYO!L12</f>
        <v>26156707</v>
      </c>
      <c r="K12" s="131">
        <f>+H12</f>
        <v>0</v>
      </c>
      <c r="L12" s="143">
        <f>SUM(J12:K12)</f>
        <v>26156707</v>
      </c>
      <c r="M12" s="219">
        <f>F12-I12</f>
        <v>0</v>
      </c>
      <c r="N12" s="143">
        <f>F12-L12</f>
        <v>0</v>
      </c>
      <c r="O12" s="294"/>
      <c r="P12" s="372">
        <v>0</v>
      </c>
      <c r="Q12" s="375">
        <v>0</v>
      </c>
      <c r="S12" s="702">
        <f>+IF(MAYO!S12=0,"",MAYO!S12)</f>
        <v>1000000</v>
      </c>
      <c r="T12" s="678" t="str">
        <f>+IF(MAYO!T12=0,"",MAYO!T12)</f>
        <v>GASTOS DE PERSONAL</v>
      </c>
      <c r="U12" s="376">
        <f t="shared" ref="U12:AJ12" si="11">U14+U63</f>
        <v>27757873896</v>
      </c>
      <c r="V12" s="377">
        <f t="shared" si="11"/>
        <v>720731373</v>
      </c>
      <c r="W12" s="377">
        <f t="shared" si="11"/>
        <v>6302085127</v>
      </c>
      <c r="X12" s="378">
        <f t="shared" si="11"/>
        <v>34780690396</v>
      </c>
      <c r="Y12" s="363">
        <f t="shared" si="11"/>
        <v>22809932283</v>
      </c>
      <c r="Z12" s="377">
        <f t="shared" si="11"/>
        <v>6797259904</v>
      </c>
      <c r="AA12" s="378">
        <f t="shared" si="11"/>
        <v>29607192187</v>
      </c>
      <c r="AB12" s="363">
        <f t="shared" si="11"/>
        <v>17464761813</v>
      </c>
      <c r="AC12" s="377">
        <f t="shared" si="11"/>
        <v>3474199962</v>
      </c>
      <c r="AD12" s="378">
        <f t="shared" si="11"/>
        <v>20938961775</v>
      </c>
      <c r="AE12" s="363">
        <f t="shared" si="11"/>
        <v>10703106039</v>
      </c>
      <c r="AF12" s="377">
        <f t="shared" si="11"/>
        <v>1767916093</v>
      </c>
      <c r="AG12" s="378">
        <f t="shared" si="11"/>
        <v>12471022132</v>
      </c>
      <c r="AH12" s="363">
        <f t="shared" si="11"/>
        <v>5173498209</v>
      </c>
      <c r="AI12" s="377">
        <f t="shared" si="11"/>
        <v>13841728621</v>
      </c>
      <c r="AJ12" s="364">
        <f t="shared" si="11"/>
        <v>22309668264</v>
      </c>
      <c r="AK12" s="10"/>
      <c r="AL12" s="379">
        <f>AL14+AL63</f>
        <v>210000000</v>
      </c>
      <c r="AM12" s="380">
        <f>AM14+AM63</f>
        <v>3447077000</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18905646713</v>
      </c>
      <c r="BD12" s="74">
        <f>I23</f>
        <v>7792492353</v>
      </c>
      <c r="BE12" s="75">
        <f>K23</f>
        <v>0</v>
      </c>
      <c r="BF12" s="53">
        <f>MARZO!BF12+ABRIL!BE12+MAYO!BE12+JUNIO!BE12</f>
        <v>868648548</v>
      </c>
      <c r="BG12" s="381" t="s">
        <v>391</v>
      </c>
      <c r="BH12" s="84">
        <f>BN25</f>
        <v>15192067615</v>
      </c>
      <c r="BI12" s="84">
        <f>BO25</f>
        <v>8156208204</v>
      </c>
      <c r="BJ12" s="84">
        <f>BP25</f>
        <v>6417667352</v>
      </c>
      <c r="BK12" s="84">
        <f>BQ25</f>
        <v>439165546</v>
      </c>
      <c r="BL12" s="40">
        <f>+BK12+MAYO!BK12+ABRIL!BK12+MARZO!BL12</f>
        <v>1534355424</v>
      </c>
      <c r="BM12" s="136" t="s">
        <v>442</v>
      </c>
      <c r="BN12" s="86">
        <f>X16+X65-X81-X33-BN10-BN11</f>
        <v>475470833</v>
      </c>
      <c r="BO12" s="84">
        <f>AA16+AA65-AA81-AA33-BO10-BO11</f>
        <v>125154836</v>
      </c>
      <c r="BP12" s="84">
        <f>AD16+AD65-AD81-AD33-BP10-BP11</f>
        <v>125154836</v>
      </c>
      <c r="BQ12" s="85">
        <f>AF16+AF65-AF81-AF33-BQ10-BQ11</f>
        <v>7990710</v>
      </c>
    </row>
    <row r="13" spans="1:69" s="9" customFormat="1" ht="24.95" customHeight="1">
      <c r="A13" s="611">
        <f>+IF(MAYO!A13=0,"",MAYO!A13)</f>
        <v>1002</v>
      </c>
      <c r="B13" s="638" t="str">
        <f>+IF(MAYO!B13=0,"",MAYO!B13)</f>
        <v>Fondo Vivienda (Caja, Bancos, Inversiones Tempor.) a Dic-31-2016</v>
      </c>
      <c r="C13" s="671">
        <f>+ENERO!C13</f>
        <v>0</v>
      </c>
      <c r="D13" s="373">
        <f>MAYO!D13+JUNIO!P13</f>
        <v>0</v>
      </c>
      <c r="E13" s="373">
        <f>MAYO!E13+JUNIO!Q13</f>
        <v>53878092</v>
      </c>
      <c r="F13" s="143">
        <f>SUM(C13:E13)</f>
        <v>53878092</v>
      </c>
      <c r="G13" s="219">
        <f>MAYO!I13</f>
        <v>53878092</v>
      </c>
      <c r="H13" s="374">
        <v>0</v>
      </c>
      <c r="I13" s="143">
        <f>SUM(G13:H13)</f>
        <v>53878092</v>
      </c>
      <c r="J13" s="219">
        <f>MAYO!L13</f>
        <v>53878092</v>
      </c>
      <c r="K13" s="131">
        <f>+H13</f>
        <v>0</v>
      </c>
      <c r="L13" s="143">
        <f>SUM(J13:K13)</f>
        <v>53878092</v>
      </c>
      <c r="M13" s="219">
        <f>F13-I13</f>
        <v>0</v>
      </c>
      <c r="N13" s="143">
        <f>F13-L13</f>
        <v>0</v>
      </c>
      <c r="O13" s="382"/>
      <c r="P13" s="372">
        <v>0</v>
      </c>
      <c r="Q13" s="375">
        <v>0</v>
      </c>
      <c r="S13" s="366"/>
      <c r="T13" s="695"/>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415598482</v>
      </c>
      <c r="BD13" s="88">
        <f>+I30+I33+I36+I38+I39+I40</f>
        <v>645603096</v>
      </c>
      <c r="BE13" s="89">
        <f>+K30+K33+K36+K38+K39+K40</f>
        <v>0</v>
      </c>
      <c r="BF13" s="53">
        <f>MARZO!BF13+ABRIL!BE13+MAYO!BE13+JUNIO!BE13</f>
        <v>1053450</v>
      </c>
      <c r="BG13" s="91" t="s">
        <v>70</v>
      </c>
      <c r="BH13" s="84">
        <f t="shared" ref="BH13:BK15" si="12">BN29</f>
        <v>433878092</v>
      </c>
      <c r="BI13" s="84">
        <f t="shared" si="12"/>
        <v>352813794</v>
      </c>
      <c r="BJ13" s="84">
        <f t="shared" si="12"/>
        <v>180073229</v>
      </c>
      <c r="BK13" s="84">
        <f t="shared" si="12"/>
        <v>7332666</v>
      </c>
      <c r="BL13" s="40">
        <f>+BK13+MAYO!BK13+ABRIL!BK13+MARZO!BL13</f>
        <v>172740563</v>
      </c>
      <c r="BM13" s="139" t="s">
        <v>443</v>
      </c>
      <c r="BN13" s="83">
        <f>X43-X55+X57-X61+X90-X102+X104-X108</f>
        <v>802834377</v>
      </c>
      <c r="BO13" s="81">
        <f>AA43-AA55+AA57-AA61+AA90-AA102+AA104-AA108</f>
        <v>204942894</v>
      </c>
      <c r="BP13" s="81">
        <f>AD43-AD55+AD57-AD61+AD90-AD102+AD104-AD108</f>
        <v>204942894</v>
      </c>
      <c r="BQ13" s="82">
        <f>AF43-AF55+AF57-AF61+AF90-AF102+AF104-AF108</f>
        <v>34469578</v>
      </c>
    </row>
    <row r="14" spans="1:69" s="9" customFormat="1" ht="24.95" customHeight="1">
      <c r="A14" s="611">
        <f>+IF(MAYO!A14=0,"",MAYO!A14)</f>
        <v>1003</v>
      </c>
      <c r="B14" s="638" t="str">
        <f>+IF(MAYO!B14=0,"",MAYO!B14)</f>
        <v>Fondos Comunes y Especiales (Caja, Bancos, Invers. Tempor.) a Dic-31-2016</v>
      </c>
      <c r="C14" s="671">
        <f>+ENERO!C14</f>
        <v>0</v>
      </c>
      <c r="D14" s="373">
        <f>MAYO!D14+JUNIO!P14</f>
        <v>0</v>
      </c>
      <c r="E14" s="373">
        <f>MAYO!E14+JUNIO!Q14</f>
        <v>433953123</v>
      </c>
      <c r="F14" s="143">
        <f>SUM(C14:E14)</f>
        <v>433953123</v>
      </c>
      <c r="G14" s="219">
        <f>MAYO!I14</f>
        <v>433953123</v>
      </c>
      <c r="H14" s="374">
        <v>0</v>
      </c>
      <c r="I14" s="143">
        <f>SUM(G14:H14)</f>
        <v>433953123</v>
      </c>
      <c r="J14" s="219">
        <f>MAYO!L14</f>
        <v>433953123</v>
      </c>
      <c r="K14" s="131">
        <f>+H14</f>
        <v>0</v>
      </c>
      <c r="L14" s="143">
        <f>SUM(J14:K14)</f>
        <v>433953123</v>
      </c>
      <c r="M14" s="219">
        <f>F14-I14</f>
        <v>0</v>
      </c>
      <c r="N14" s="143">
        <f>F14-L14</f>
        <v>0</v>
      </c>
      <c r="O14" s="382"/>
      <c r="P14" s="372">
        <v>0</v>
      </c>
      <c r="Q14" s="375">
        <v>0</v>
      </c>
      <c r="S14" s="703">
        <f>+IF(MAYO!S14=0,"",MAYO!S14)</f>
        <v>1010000</v>
      </c>
      <c r="T14" s="679" t="str">
        <f>+IF(MAYO!T14=0,"",MAYO!T14)</f>
        <v>Gastos de Administración</v>
      </c>
      <c r="U14" s="132">
        <f t="shared" ref="U14:AJ14" si="13">U16+U35+U43+U57</f>
        <v>4011945263</v>
      </c>
      <c r="V14" s="122">
        <f t="shared" si="13"/>
        <v>573143344</v>
      </c>
      <c r="W14" s="122">
        <f t="shared" si="13"/>
        <v>1441531683</v>
      </c>
      <c r="X14" s="129">
        <f t="shared" si="13"/>
        <v>6026620290</v>
      </c>
      <c r="Y14" s="128">
        <f t="shared" si="13"/>
        <v>4458160953</v>
      </c>
      <c r="Z14" s="122">
        <f t="shared" si="13"/>
        <v>143284335</v>
      </c>
      <c r="AA14" s="129">
        <f t="shared" si="13"/>
        <v>4601445288</v>
      </c>
      <c r="AB14" s="128">
        <f t="shared" si="13"/>
        <v>2921330949</v>
      </c>
      <c r="AC14" s="122">
        <f t="shared" si="13"/>
        <v>510365790</v>
      </c>
      <c r="AD14" s="129">
        <f t="shared" si="13"/>
        <v>3431696739</v>
      </c>
      <c r="AE14" s="128">
        <f t="shared" si="13"/>
        <v>2173125456</v>
      </c>
      <c r="AF14" s="122">
        <f t="shared" si="13"/>
        <v>281871187</v>
      </c>
      <c r="AG14" s="129">
        <f t="shared" si="13"/>
        <v>2454996643</v>
      </c>
      <c r="AH14" s="128">
        <f t="shared" si="13"/>
        <v>1425175002</v>
      </c>
      <c r="AI14" s="122">
        <f t="shared" si="13"/>
        <v>2594923551</v>
      </c>
      <c r="AJ14" s="130">
        <f t="shared" si="13"/>
        <v>3571623647</v>
      </c>
      <c r="AK14" s="10"/>
      <c r="AL14" s="128">
        <f>AL16+AL35+AL43+AL57</f>
        <v>-130000000</v>
      </c>
      <c r="AM14" s="130">
        <f>AM16+AM35+AM43+AM57</f>
        <v>697519250</v>
      </c>
      <c r="AO14" s="21"/>
      <c r="AP14" s="11" t="s">
        <v>73</v>
      </c>
      <c r="AQ14" s="12">
        <f>F19-AQ7-AQ8-AQ9-AQ10-AQ11-AQ12-AQ13</f>
        <v>10100761139</v>
      </c>
      <c r="AR14" s="12">
        <f>I19-AR7-AR8-AR9-AR10-AR11-AR12-AR13</f>
        <v>7231788946</v>
      </c>
      <c r="AS14" s="12">
        <f>L19-AS7-AS8-AS9-AS10-AS11-AS12-AS13</f>
        <v>3461338520</v>
      </c>
      <c r="AT14" s="382"/>
      <c r="AU14" s="350">
        <f t="shared" si="0"/>
        <v>0.71596475220836331</v>
      </c>
      <c r="AV14" s="350">
        <f t="shared" si="1"/>
        <v>0.3426809596195125</v>
      </c>
      <c r="AW14" s="351">
        <f>(I41+I46+I49+I52+I55+I58+I61+I64+I67+I70+I73+I78+I81+I82+I83+I85+I94+I104)/AO$2*12+I47+I50+I53+I56+I59+I62+I65+I68+I71+I74</f>
        <v>12645066915</v>
      </c>
      <c r="AX14" s="351">
        <f>(L41+L46+L49+L52+L55+L58+L61+L64+L67+L70+L73+L78+L81+L82+L83+L85+L94+L104)/AO$2*12+L47+L50+L53+L56+L59+L62+L65+L68+L71+L74</f>
        <v>4646648359</v>
      </c>
      <c r="AY14" s="351">
        <f t="shared" si="2"/>
        <v>2544305776</v>
      </c>
      <c r="AZ14" s="352">
        <f t="shared" si="3"/>
        <v>-5454112780</v>
      </c>
      <c r="BB14" s="383" t="s">
        <v>432</v>
      </c>
      <c r="BC14" s="92">
        <f>+F64</f>
        <v>5110724757</v>
      </c>
      <c r="BD14" s="93">
        <f>+I64</f>
        <v>1146937967</v>
      </c>
      <c r="BE14" s="94">
        <f>K64</f>
        <v>13032501</v>
      </c>
      <c r="BF14" s="53">
        <f>MARZO!BF14+ABRIL!BE14+MAYO!BE14+JUNIO!BE14</f>
        <v>13693196</v>
      </c>
      <c r="BG14" s="91" t="s">
        <v>74</v>
      </c>
      <c r="BH14" s="81">
        <f t="shared" si="12"/>
        <v>0</v>
      </c>
      <c r="BI14" s="81">
        <f t="shared" si="12"/>
        <v>0</v>
      </c>
      <c r="BJ14" s="81">
        <f t="shared" si="12"/>
        <v>0</v>
      </c>
      <c r="BK14" s="81">
        <f t="shared" si="12"/>
        <v>0</v>
      </c>
      <c r="BL14" s="40">
        <f>+BK14+MAYO!BK14+ABRIL!BK14+MARZO!BL14</f>
        <v>0</v>
      </c>
      <c r="BM14" s="138" t="s">
        <v>439</v>
      </c>
      <c r="BN14" s="86">
        <f>X35-X41+X83-X88</f>
        <v>25281740207</v>
      </c>
      <c r="BO14" s="84">
        <f>AA35-AA41+AA83-AA88</f>
        <v>22072728651</v>
      </c>
      <c r="BP14" s="84">
        <f>AD35-AD41+AD83-AD88</f>
        <v>13404498239</v>
      </c>
      <c r="BQ14" s="85">
        <f>AF35-AF41+AF83-AF88</f>
        <v>1283500525</v>
      </c>
    </row>
    <row r="15" spans="1:69" s="9" customFormat="1" ht="24.95" customHeight="1" thickBot="1">
      <c r="A15" s="612">
        <f>+IF(MAYO!A15=0,"",MAYO!A15)</f>
        <v>1004</v>
      </c>
      <c r="B15" s="638" t="str">
        <f>+IF(MAYO!B15=0,"",MAYO!B15)</f>
        <v>Cesantias Ley 50/1990 a Dic-31-2016</v>
      </c>
      <c r="C15" s="769">
        <f>+ENERO!C15</f>
        <v>0</v>
      </c>
      <c r="D15" s="385">
        <f>MAYO!D15+JUNIO!P15</f>
        <v>0</v>
      </c>
      <c r="E15" s="385">
        <f>MAYO!E15+JUNIO!Q15</f>
        <v>103342000</v>
      </c>
      <c r="F15" s="386">
        <f>SUM(C15:E15)</f>
        <v>103342000</v>
      </c>
      <c r="G15" s="387">
        <f>MAYO!I15</f>
        <v>103342000</v>
      </c>
      <c r="H15" s="388">
        <v>0</v>
      </c>
      <c r="I15" s="386">
        <f>SUM(G15:H15)</f>
        <v>103342000</v>
      </c>
      <c r="J15" s="387">
        <f>MAYO!L15</f>
        <v>103342000</v>
      </c>
      <c r="K15" s="165">
        <f>+H15</f>
        <v>0</v>
      </c>
      <c r="L15" s="386">
        <f>SUM(J15:K15)</f>
        <v>103342000</v>
      </c>
      <c r="M15" s="387">
        <f>F15-I15</f>
        <v>0</v>
      </c>
      <c r="N15" s="386">
        <f>F15-L15</f>
        <v>0</v>
      </c>
      <c r="O15" s="382"/>
      <c r="P15" s="384">
        <v>0</v>
      </c>
      <c r="Q15" s="389">
        <v>0</v>
      </c>
      <c r="S15" s="366" t="str">
        <f>+IF(MAYO!S15=0,"",MAYO!S15)</f>
        <v/>
      </c>
      <c r="T15" s="695"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9054526268</v>
      </c>
      <c r="AR15" s="12">
        <f>I113</f>
        <v>3516381</v>
      </c>
      <c r="AS15" s="12">
        <f>L113</f>
        <v>3516381</v>
      </c>
      <c r="AT15" s="13"/>
      <c r="AU15" s="342">
        <f t="shared" si="0"/>
        <v>3.8835615425043238E-4</v>
      </c>
      <c r="AV15" s="342">
        <f t="shared" si="1"/>
        <v>3.8835615425043238E-4</v>
      </c>
      <c r="AW15" s="12">
        <f>+AR15</f>
        <v>3516381</v>
      </c>
      <c r="AX15" s="12">
        <f>+AS15</f>
        <v>3516381</v>
      </c>
      <c r="AY15" s="12">
        <f t="shared" si="2"/>
        <v>-9051009887</v>
      </c>
      <c r="AZ15" s="343">
        <f t="shared" si="3"/>
        <v>-9051009887</v>
      </c>
      <c r="BA15" s="382"/>
      <c r="BB15" s="383" t="s">
        <v>77</v>
      </c>
      <c r="BC15" s="92">
        <f>F46+F49</f>
        <v>375197511</v>
      </c>
      <c r="BD15" s="93">
        <f>I46+I49</f>
        <v>113206082</v>
      </c>
      <c r="BE15" s="94">
        <f>K46+K49</f>
        <v>0</v>
      </c>
      <c r="BF15" s="53">
        <f>MARZO!BF15+ABRIL!BE15+MAYO!BE15+JUNIO!BE15</f>
        <v>0</v>
      </c>
      <c r="BG15" s="91" t="s">
        <v>78</v>
      </c>
      <c r="BH15" s="81">
        <f t="shared" si="12"/>
        <v>10409214053</v>
      </c>
      <c r="BI15" s="81">
        <f t="shared" si="12"/>
        <v>9909682111</v>
      </c>
      <c r="BJ15" s="81">
        <f t="shared" si="12"/>
        <v>9909682111</v>
      </c>
      <c r="BK15" s="81">
        <f t="shared" si="12"/>
        <v>689506286</v>
      </c>
      <c r="BL15" s="40">
        <f>+BK15+MAYO!BK15+ABRIL!BK15+MARZO!BL15</f>
        <v>9891768111</v>
      </c>
      <c r="BM15" s="71" t="s">
        <v>66</v>
      </c>
      <c r="BN15" s="83">
        <f>SUM(BN16:BN21)</f>
        <v>8830053842</v>
      </c>
      <c r="BO15" s="81">
        <f>SUM(BO16:BO21)</f>
        <v>6745256606</v>
      </c>
      <c r="BP15" s="81">
        <f>SUM(BP16:BP21)</f>
        <v>4149072361</v>
      </c>
      <c r="BQ15" s="82">
        <f>SUM(BQ16:BQ21)</f>
        <v>426107770</v>
      </c>
    </row>
    <row r="16" spans="1:69" s="9" customFormat="1" ht="24.95" customHeight="1" thickBot="1">
      <c r="A16" s="732" t="str">
        <f>+IF(MAYO!A16=0,"",MAYO!A16)</f>
        <v/>
      </c>
      <c r="B16" s="639" t="str">
        <f>+IF(MAYO!B16=0,"",MAYO!B16)</f>
        <v/>
      </c>
      <c r="C16" s="390"/>
      <c r="D16" s="390"/>
      <c r="E16" s="390"/>
      <c r="F16" s="390"/>
      <c r="G16" s="390"/>
      <c r="H16" s="390"/>
      <c r="I16" s="390"/>
      <c r="J16" s="390"/>
      <c r="K16" s="390"/>
      <c r="L16" s="390"/>
      <c r="M16" s="390"/>
      <c r="N16" s="391"/>
      <c r="O16" s="382"/>
      <c r="P16" s="392"/>
      <c r="Q16" s="393"/>
      <c r="S16" s="704">
        <f>+IF(MAYO!S16=0,"",MAYO!S16)</f>
        <v>1010100</v>
      </c>
      <c r="T16" s="680" t="str">
        <f>+IF(MAYO!T16=0,"",MAYO!T16)</f>
        <v>Servicios Personales Asociados a Nómina</v>
      </c>
      <c r="U16" s="132">
        <f t="shared" ref="U16:AJ16" si="14">SUM(U17:U20)+U33</f>
        <v>762990941</v>
      </c>
      <c r="V16" s="122">
        <f t="shared" si="14"/>
        <v>0</v>
      </c>
      <c r="W16" s="122">
        <f t="shared" si="14"/>
        <v>19210353</v>
      </c>
      <c r="X16" s="129">
        <f t="shared" si="14"/>
        <v>782201294</v>
      </c>
      <c r="Y16" s="128">
        <f t="shared" si="14"/>
        <v>212635417</v>
      </c>
      <c r="Z16" s="122">
        <f t="shared" si="14"/>
        <v>38766180</v>
      </c>
      <c r="AA16" s="129">
        <f t="shared" si="14"/>
        <v>251401597</v>
      </c>
      <c r="AB16" s="128">
        <f t="shared" si="14"/>
        <v>212635417</v>
      </c>
      <c r="AC16" s="122">
        <f t="shared" si="14"/>
        <v>38766180</v>
      </c>
      <c r="AD16" s="129">
        <f t="shared" si="14"/>
        <v>251401597</v>
      </c>
      <c r="AE16" s="128">
        <f t="shared" si="14"/>
        <v>212635417</v>
      </c>
      <c r="AF16" s="122">
        <f t="shared" si="14"/>
        <v>38766180</v>
      </c>
      <c r="AG16" s="129">
        <f t="shared" si="14"/>
        <v>251401597</v>
      </c>
      <c r="AH16" s="128">
        <f t="shared" si="14"/>
        <v>530799697</v>
      </c>
      <c r="AI16" s="122">
        <f t="shared" si="14"/>
        <v>530799697</v>
      </c>
      <c r="AJ16" s="130">
        <f t="shared" si="14"/>
        <v>530799697</v>
      </c>
      <c r="AK16" s="10"/>
      <c r="AL16" s="128">
        <f>SUM(AL17:AL20)+AL33</f>
        <v>0</v>
      </c>
      <c r="AM16" s="130">
        <f>SUM(AM17:AM20)+AM33</f>
        <v>0</v>
      </c>
      <c r="AO16" s="21"/>
      <c r="AP16" s="394" t="s">
        <v>81</v>
      </c>
      <c r="AQ16" s="395">
        <f>F10</f>
        <v>617329922</v>
      </c>
      <c r="AR16" s="395">
        <f>I10</f>
        <v>617329922</v>
      </c>
      <c r="AS16" s="395">
        <f>L10</f>
        <v>617329922</v>
      </c>
      <c r="AT16" s="382"/>
      <c r="AU16" s="396">
        <f t="shared" si="0"/>
        <v>1</v>
      </c>
      <c r="AV16" s="396">
        <f t="shared" si="1"/>
        <v>1</v>
      </c>
      <c r="AW16" s="395">
        <f t="shared" ref="AW16:AX16" si="15">+AR16</f>
        <v>617329922</v>
      </c>
      <c r="AX16" s="395">
        <f t="shared" si="15"/>
        <v>617329922</v>
      </c>
      <c r="AY16" s="12">
        <f t="shared" si="2"/>
        <v>0</v>
      </c>
      <c r="AZ16" s="397">
        <f t="shared" si="3"/>
        <v>0</v>
      </c>
      <c r="BA16" s="382"/>
      <c r="BB16" s="365" t="s">
        <v>433</v>
      </c>
      <c r="BC16" s="73">
        <f>F43</f>
        <v>0</v>
      </c>
      <c r="BD16" s="74">
        <f>I43</f>
        <v>0</v>
      </c>
      <c r="BE16" s="75">
        <f>K43</f>
        <v>0</v>
      </c>
      <c r="BF16" s="53">
        <f>MARZO!BF16+ABRIL!BE16+MAYO!BE16+JUNIO!BE16</f>
        <v>0</v>
      </c>
      <c r="BG16" s="91" t="s">
        <v>82</v>
      </c>
      <c r="BH16" s="96">
        <f>BH7+BH12+BH13+BH14+BH15</f>
        <v>63174728951</v>
      </c>
      <c r="BI16" s="96">
        <f>BI7+BI12+BI13+BI14+BI15</f>
        <v>48317937158</v>
      </c>
      <c r="BJ16" s="96">
        <f>BJ7+BJ12+BJ13+BJ14+BJ15</f>
        <v>35131365955</v>
      </c>
      <c r="BK16" s="96">
        <f>BK7+BK12+BK13+BK14+BK15</f>
        <v>2994875279</v>
      </c>
      <c r="BL16" s="40">
        <f>+BK16+MAYO!BK16+ABRIL!BK16+MARZO!BL16</f>
        <v>19866055270</v>
      </c>
      <c r="BM16" s="137" t="s">
        <v>83</v>
      </c>
      <c r="BN16" s="83">
        <f>X114-X121+X147-X148-X153</f>
        <v>1120052974</v>
      </c>
      <c r="BO16" s="81">
        <f>AA114-AA121+AA147-AA148-AA153</f>
        <v>638842560</v>
      </c>
      <c r="BP16" s="81">
        <f>AD114-AD121+AD147-AD148-AD153</f>
        <v>488409903</v>
      </c>
      <c r="BQ16" s="82">
        <f>AF114-AF121+AF147-AF148-AF153</f>
        <v>26829089</v>
      </c>
    </row>
    <row r="17" spans="1:70" s="382" customFormat="1" ht="24.95" customHeight="1" thickBot="1">
      <c r="A17" s="731">
        <f>+IF(MAYO!A17=0,"",MAYO!A17)</f>
        <v>11</v>
      </c>
      <c r="B17" s="640" t="str">
        <f>+IF(MAYO!B17=0,"",MAYO!B17)</f>
        <v>INGRESOS  CORRIENTES</v>
      </c>
      <c r="C17" s="334">
        <f>C19+C94+C104</f>
        <v>41169250887</v>
      </c>
      <c r="D17" s="331">
        <f t="shared" ref="D17:Q17" si="16">D19+D94+D104</f>
        <v>0</v>
      </c>
      <c r="E17" s="331">
        <f t="shared" si="16"/>
        <v>12333621874</v>
      </c>
      <c r="F17" s="331">
        <f t="shared" si="16"/>
        <v>53502872761</v>
      </c>
      <c r="G17" s="331">
        <f t="shared" si="16"/>
        <v>31894404633</v>
      </c>
      <c r="H17" s="331">
        <f t="shared" si="16"/>
        <v>6505497596</v>
      </c>
      <c r="I17" s="331">
        <f t="shared" si="16"/>
        <v>38399902229</v>
      </c>
      <c r="J17" s="331">
        <f t="shared" si="16"/>
        <v>15919402477</v>
      </c>
      <c r="K17" s="331">
        <f t="shared" si="16"/>
        <v>2915964720</v>
      </c>
      <c r="L17" s="331">
        <f t="shared" si="16"/>
        <v>18835367197</v>
      </c>
      <c r="M17" s="331">
        <f t="shared" si="16"/>
        <v>15102970532</v>
      </c>
      <c r="N17" s="332">
        <f t="shared" si="16"/>
        <v>34667505564</v>
      </c>
      <c r="P17" s="174">
        <f t="shared" si="16"/>
        <v>0</v>
      </c>
      <c r="Q17" s="175">
        <f t="shared" si="16"/>
        <v>4739051034</v>
      </c>
      <c r="R17" s="9"/>
      <c r="S17" s="705">
        <f>+IF(MAYO!S17=0,"",MAYO!S17)</f>
        <v>1010101</v>
      </c>
      <c r="T17" s="681" t="str">
        <f>+IF(MAYO!T17=0,"",MAYO!T17)</f>
        <v>Sueldos del Personal de nómina</v>
      </c>
      <c r="U17" s="27">
        <f>+ENERO!U17</f>
        <v>619731764</v>
      </c>
      <c r="V17" s="15">
        <f>MAYO!V17+JUNIO!AL17</f>
        <v>0</v>
      </c>
      <c r="W17" s="15">
        <f>MAYO!W17+JUNIO!AM17</f>
        <v>0</v>
      </c>
      <c r="X17" s="18">
        <f>SUM(U17:W17)</f>
        <v>619731764</v>
      </c>
      <c r="Y17" s="19">
        <f>MAYO!AA17</f>
        <v>188450199</v>
      </c>
      <c r="Z17" s="374">
        <v>38739363</v>
      </c>
      <c r="AA17" s="18">
        <f>SUM(Y17:Z17)</f>
        <v>227189562</v>
      </c>
      <c r="AB17" s="19">
        <f>MAYO!AD17</f>
        <v>188450199</v>
      </c>
      <c r="AC17" s="374">
        <v>38739363</v>
      </c>
      <c r="AD17" s="18">
        <f>SUM(AB17:AC17)</f>
        <v>227189562</v>
      </c>
      <c r="AE17" s="19">
        <f>MAYO!AG17</f>
        <v>188450199</v>
      </c>
      <c r="AF17" s="374">
        <v>38739363</v>
      </c>
      <c r="AG17" s="18">
        <f>SUM(AE17:AF17)</f>
        <v>227189562</v>
      </c>
      <c r="AH17" s="19">
        <f>X17-AA17</f>
        <v>392542202</v>
      </c>
      <c r="AI17" s="15">
        <f>X17-AD17</f>
        <v>392542202</v>
      </c>
      <c r="AJ17" s="16">
        <f>X17-AG17</f>
        <v>392542202</v>
      </c>
      <c r="AK17" s="9"/>
      <c r="AL17" s="372">
        <v>0</v>
      </c>
      <c r="AM17" s="375">
        <v>0</v>
      </c>
      <c r="AN17" s="9"/>
      <c r="AO17" s="349"/>
      <c r="AP17" s="399" t="s">
        <v>85</v>
      </c>
      <c r="AQ17" s="400">
        <f>SUM(AQ7:AQ16)</f>
        <v>62263879101</v>
      </c>
      <c r="AR17" s="401">
        <f>SUM(AR7:AR16)</f>
        <v>38361053317</v>
      </c>
      <c r="AS17" s="402">
        <f>SUM(AS7:AS16)</f>
        <v>19025277137</v>
      </c>
      <c r="AT17" s="403"/>
      <c r="AU17" s="401">
        <f t="shared" si="0"/>
        <v>0.61610445527772928</v>
      </c>
      <c r="AV17" s="401">
        <f t="shared" si="1"/>
        <v>0.3055588153468331</v>
      </c>
      <c r="AW17" s="404">
        <f>SUM(AX7:AX16)</f>
        <v>22775904237</v>
      </c>
      <c r="AX17" s="404">
        <f>SUM(AX7:AX16)</f>
        <v>22775904237</v>
      </c>
      <c r="AY17" s="404">
        <f>SUM(AY7:AY16)</f>
        <v>-358904800</v>
      </c>
      <c r="AZ17" s="405">
        <f>SUM(AZ7:AZ16)</f>
        <v>-39487974864</v>
      </c>
      <c r="BA17" s="9"/>
      <c r="BB17" s="365" t="s">
        <v>434</v>
      </c>
      <c r="BC17" s="73">
        <f>F41+F52+F55+F58+F61+F67+F70+F73+F76+F79+F82+F86+F87+F88+F89+F90+F91</f>
        <v>2513399205</v>
      </c>
      <c r="BD17" s="74">
        <f>I41+I52+I55+I58+I61+I67+I70+I73+I76+I79+I82+I86+I87+I88+I89+I90+I91</f>
        <v>2862675004</v>
      </c>
      <c r="BE17" s="75">
        <f>K41+K52+K55+K58+K61+K67+K70+K73+K76+K79+K82+K86+K87+K88+K89+K90+K91</f>
        <v>28266765</v>
      </c>
      <c r="BF17" s="53">
        <f>MARZO!BF17+ABRIL!BE17+MAYO!BE17+JUNIO!BE17</f>
        <v>308817217</v>
      </c>
      <c r="BG17" s="98" t="s">
        <v>86</v>
      </c>
      <c r="BH17" s="99">
        <f>BC23-BH16</f>
        <v>-63174728951</v>
      </c>
      <c r="BI17" s="99"/>
      <c r="BJ17" s="99"/>
      <c r="BK17" s="99"/>
      <c r="BL17" s="40">
        <f>+BK17+MAYO!BK17+ABRIL!BK17+MARZO!BL17</f>
        <v>0</v>
      </c>
      <c r="BM17" s="137" t="s">
        <v>449</v>
      </c>
      <c r="BN17" s="83">
        <f>X123-X126-X139+X155-X156-X167-X168</f>
        <v>4747038324</v>
      </c>
      <c r="BO17" s="81">
        <f>AA123-AA126-AA139+AA155-AA156-AA167-AA168</f>
        <v>4441634170</v>
      </c>
      <c r="BP17" s="81">
        <f>AD123-AD126-AD139+AD155-AD156-AD167-AD168</f>
        <v>2562930576</v>
      </c>
      <c r="BQ17" s="82">
        <f>AF123-AF126-AF139+AF155-AF156-AF167-AF168</f>
        <v>208132715</v>
      </c>
      <c r="BR17" s="9"/>
    </row>
    <row r="18" spans="1:70" s="9" customFormat="1" ht="24.95" customHeight="1" thickBot="1">
      <c r="A18" s="611" t="str">
        <f>+IF(MAYO!A18=0,"",MAYO!A18)</f>
        <v/>
      </c>
      <c r="B18" s="641" t="str">
        <f>+IF(MAYO!B18=0,"",MAYO!B18)</f>
        <v/>
      </c>
      <c r="C18" s="294"/>
      <c r="D18" s="294"/>
      <c r="E18" s="294"/>
      <c r="F18" s="294"/>
      <c r="G18" s="294"/>
      <c r="H18" s="294"/>
      <c r="I18" s="294"/>
      <c r="J18" s="294"/>
      <c r="K18" s="294"/>
      <c r="L18" s="294"/>
      <c r="M18" s="294"/>
      <c r="N18" s="463"/>
      <c r="P18" s="407"/>
      <c r="Q18" s="406"/>
      <c r="S18" s="705">
        <f>+IF(MAYO!S18=0,"",MAYO!S18)</f>
        <v>1010102</v>
      </c>
      <c r="T18" s="681" t="str">
        <f>+IF(MAYO!T18=0,"",MAYO!T18)</f>
        <v>Horas Extras,Dominic.,Festivos y Rec. Nocturnos</v>
      </c>
      <c r="U18" s="27">
        <f>+ENERO!U18</f>
        <v>0</v>
      </c>
      <c r="V18" s="15">
        <f>MAYO!V18+JUNIO!AL18</f>
        <v>0</v>
      </c>
      <c r="W18" s="15">
        <f>MAYO!W18+JUNIO!AM18</f>
        <v>0</v>
      </c>
      <c r="X18" s="18">
        <f>SUM(U18:W18)</f>
        <v>0</v>
      </c>
      <c r="Y18" s="19">
        <f>MAYO!AA18</f>
        <v>0</v>
      </c>
      <c r="Z18" s="374">
        <v>0</v>
      </c>
      <c r="AA18" s="18">
        <f>SUM(Y18:Z18)</f>
        <v>0</v>
      </c>
      <c r="AB18" s="19">
        <f>MAYO!AD18</f>
        <v>0</v>
      </c>
      <c r="AC18" s="374">
        <v>0</v>
      </c>
      <c r="AD18" s="18">
        <f>SUM(AB18:AC18)</f>
        <v>0</v>
      </c>
      <c r="AE18" s="19">
        <f>MAYO!AG18</f>
        <v>0</v>
      </c>
      <c r="AF18" s="374">
        <v>0</v>
      </c>
      <c r="AG18" s="18">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125236928</v>
      </c>
      <c r="BD18" s="74">
        <f>+I95+I96+I97+I99+I100+I101</f>
        <v>0</v>
      </c>
      <c r="BE18" s="75">
        <f>+K95+K96+K97+K99+K100+K101</f>
        <v>0</v>
      </c>
      <c r="BF18" s="53">
        <f>MARZO!BF18+ABRIL!BE18+MAYO!BE18+JUNIO!BE18</f>
        <v>0</v>
      </c>
      <c r="BM18" s="137" t="s">
        <v>87</v>
      </c>
      <c r="BN18" s="83">
        <f>X148+X156</f>
        <v>2058462544</v>
      </c>
      <c r="BO18" s="81">
        <f>AA148+AA156</f>
        <v>1101657989</v>
      </c>
      <c r="BP18" s="81">
        <f>AD148+AD156</f>
        <v>534678280</v>
      </c>
      <c r="BQ18" s="82">
        <f>AF148+AF156</f>
        <v>96349606</v>
      </c>
      <c r="BR18" s="382"/>
    </row>
    <row r="19" spans="1:70" s="9" customFormat="1" ht="24.95" customHeight="1" thickBot="1">
      <c r="A19" s="733">
        <f>+IF(MAYO!A19=0,"",MAYO!A19)</f>
        <v>113</v>
      </c>
      <c r="B19" s="642" t="str">
        <f>+IF(MAYO!B19=0,"",MAYO!B19)</f>
        <v>VENTA DE SERVICIOS</v>
      </c>
      <c r="C19" s="334">
        <f t="shared" ref="C19:N19" si="17">C21+C85</f>
        <v>40501810887</v>
      </c>
      <c r="D19" s="331">
        <f t="shared" si="17"/>
        <v>0</v>
      </c>
      <c r="E19" s="331">
        <f t="shared" si="17"/>
        <v>12090212024</v>
      </c>
      <c r="F19" s="332">
        <f t="shared" si="17"/>
        <v>52592022911</v>
      </c>
      <c r="G19" s="334">
        <f t="shared" si="17"/>
        <v>30813630055</v>
      </c>
      <c r="H19" s="331">
        <f t="shared" si="17"/>
        <v>6926576959</v>
      </c>
      <c r="I19" s="332">
        <f t="shared" si="17"/>
        <v>37740207014</v>
      </c>
      <c r="J19" s="334">
        <f t="shared" si="17"/>
        <v>15587879790</v>
      </c>
      <c r="K19" s="331">
        <f t="shared" si="17"/>
        <v>2816551044</v>
      </c>
      <c r="L19" s="332">
        <f t="shared" si="17"/>
        <v>18404430834</v>
      </c>
      <c r="M19" s="334">
        <f t="shared" si="17"/>
        <v>14851815897</v>
      </c>
      <c r="N19" s="332">
        <f t="shared" si="17"/>
        <v>34187592077</v>
      </c>
      <c r="O19" s="382"/>
      <c r="P19" s="43">
        <f>P21+P85</f>
        <v>0</v>
      </c>
      <c r="Q19" s="45">
        <f>Q21+Q85</f>
        <v>4557329537</v>
      </c>
      <c r="S19" s="705">
        <f>+IF(MAYO!S19=0,"",MAYO!S19)</f>
        <v>1010103</v>
      </c>
      <c r="T19" s="681" t="str">
        <f>+IF(MAYO!T19=0,"",MAYO!T19)</f>
        <v>Prima Técnica</v>
      </c>
      <c r="U19" s="27">
        <f>+ENERO!U19</f>
        <v>0</v>
      </c>
      <c r="V19" s="15">
        <f>MAYO!V19+JUNIO!AL19</f>
        <v>0</v>
      </c>
      <c r="W19" s="15">
        <f>MAYO!W19+JUNIO!AM19</f>
        <v>0</v>
      </c>
      <c r="X19" s="18">
        <f>SUM(U19:W19)</f>
        <v>0</v>
      </c>
      <c r="Y19" s="19">
        <f>MAYO!AA19</f>
        <v>0</v>
      </c>
      <c r="Z19" s="374">
        <v>0</v>
      </c>
      <c r="AA19" s="18">
        <f>SUM(Y19:Z19)</f>
        <v>0</v>
      </c>
      <c r="AB19" s="19">
        <f>MAYO!AD19</f>
        <v>0</v>
      </c>
      <c r="AC19" s="374">
        <v>0</v>
      </c>
      <c r="AD19" s="18">
        <f>SUM(AB19:AC19)</f>
        <v>0</v>
      </c>
      <c r="AE19" s="19">
        <f>MAYO!AG19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733946795</v>
      </c>
      <c r="BD19" s="93">
        <f>+I105+I106+I107+I108+I109+I110+I98</f>
        <v>608029088</v>
      </c>
      <c r="BE19" s="94">
        <f>+K105+K106+K107+K108+K109+K110+K98</f>
        <v>99413676</v>
      </c>
      <c r="BF19" s="53">
        <f>MARZO!BF19+ABRIL!BE19+MAYO!BE19+JUNIO!BE19</f>
        <v>379270236</v>
      </c>
      <c r="BG19" s="382"/>
      <c r="BH19" s="382"/>
      <c r="BI19" s="382"/>
      <c r="BJ19" s="382"/>
      <c r="BK19" s="382"/>
      <c r="BM19" s="137" t="s">
        <v>94</v>
      </c>
      <c r="BN19" s="83">
        <f>X126+X167</f>
        <v>904500000</v>
      </c>
      <c r="BO19" s="81">
        <f>AA126+AA167</f>
        <v>563121887</v>
      </c>
      <c r="BP19" s="81">
        <f>AD126+AD167</f>
        <v>563053602</v>
      </c>
      <c r="BQ19" s="82">
        <f>AF126+AF167</f>
        <v>94796360</v>
      </c>
    </row>
    <row r="20" spans="1:70" s="422" customFormat="1" ht="24.95" customHeight="1" thickBot="1">
      <c r="A20" s="611" t="str">
        <f>+IF(MAYO!A20=0,"",MAYO!A20)</f>
        <v/>
      </c>
      <c r="B20" s="643" t="str">
        <f>+IF(MAYO!B20=0,"",MAYO!B20)</f>
        <v/>
      </c>
      <c r="C20" s="294"/>
      <c r="D20" s="294"/>
      <c r="E20" s="294"/>
      <c r="F20" s="294"/>
      <c r="G20" s="294"/>
      <c r="H20" s="294"/>
      <c r="I20" s="294"/>
      <c r="J20" s="294"/>
      <c r="K20" s="294"/>
      <c r="L20" s="294"/>
      <c r="M20" s="294"/>
      <c r="N20" s="463"/>
      <c r="O20" s="9"/>
      <c r="P20" s="407"/>
      <c r="Q20" s="406"/>
      <c r="R20" s="9"/>
      <c r="S20" s="705">
        <f>+IF(MAYO!S20=0,"",MAYO!S20)</f>
        <v>1010104</v>
      </c>
      <c r="T20" s="681" t="str">
        <f>+IF(MAYO!T20=0,"",MAYO!T20)</f>
        <v>Otros</v>
      </c>
      <c r="U20" s="27">
        <f t="shared" ref="U20:AJ20" si="18">SUM(U21:U32)</f>
        <v>143259177</v>
      </c>
      <c r="V20" s="15">
        <f t="shared" si="18"/>
        <v>0</v>
      </c>
      <c r="W20" s="15">
        <f t="shared" si="18"/>
        <v>19210353</v>
      </c>
      <c r="X20" s="18">
        <f t="shared" si="18"/>
        <v>162469530</v>
      </c>
      <c r="Y20" s="19">
        <f t="shared" si="18"/>
        <v>24185218</v>
      </c>
      <c r="Z20" s="142">
        <f t="shared" si="18"/>
        <v>26817</v>
      </c>
      <c r="AA20" s="18">
        <f t="shared" si="18"/>
        <v>24212035</v>
      </c>
      <c r="AB20" s="19">
        <f t="shared" si="18"/>
        <v>24185218</v>
      </c>
      <c r="AC20" s="142">
        <f t="shared" si="18"/>
        <v>26817</v>
      </c>
      <c r="AD20" s="18">
        <f t="shared" si="18"/>
        <v>24212035</v>
      </c>
      <c r="AE20" s="19">
        <f t="shared" si="18"/>
        <v>24185218</v>
      </c>
      <c r="AF20" s="142">
        <f t="shared" si="18"/>
        <v>26817</v>
      </c>
      <c r="AG20" s="18">
        <f t="shared" si="18"/>
        <v>24212035</v>
      </c>
      <c r="AH20" s="19">
        <f t="shared" si="18"/>
        <v>138257495</v>
      </c>
      <c r="AI20" s="15">
        <f t="shared" si="18"/>
        <v>138257495</v>
      </c>
      <c r="AJ20" s="16">
        <f t="shared" si="18"/>
        <v>138257495</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1599074</v>
      </c>
      <c r="BD20" s="66">
        <f>+I115+I117+I119+I120+I121+I123+I124</f>
        <v>3516381</v>
      </c>
      <c r="BE20" s="67">
        <f>+K115+K117+K119+K120+K121+K123+K124</f>
        <v>1125064</v>
      </c>
      <c r="BF20" s="53">
        <f>MARZO!BF20+ABRIL!BE20+MAYO!BE20+JUNIO!BE20</f>
        <v>3516381</v>
      </c>
      <c r="BG20" s="382"/>
      <c r="BH20" s="382"/>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4">
        <f>+IF(MAYO!A21=0,"",MAYO!A21)</f>
        <v>11301</v>
      </c>
      <c r="B21" s="644" t="str">
        <f>+IF(MAYO!B21=0,"",MAYO!B21)</f>
        <v>Venta de Servicios de Salud</v>
      </c>
      <c r="C21" s="174">
        <f t="shared" ref="C21:N21" si="19">C22+C25+C28+C41+C42+C45+C48+C51+C54+C57+C60+C63+C66+C69+C72+C75+C78+C81</f>
        <v>40501810887</v>
      </c>
      <c r="D21" s="354">
        <f t="shared" si="19"/>
        <v>0</v>
      </c>
      <c r="E21" s="354">
        <f t="shared" si="19"/>
        <v>12090212024</v>
      </c>
      <c r="F21" s="354">
        <f t="shared" si="19"/>
        <v>52592022911</v>
      </c>
      <c r="G21" s="354">
        <f t="shared" si="19"/>
        <v>30813630055</v>
      </c>
      <c r="H21" s="354">
        <f t="shared" si="19"/>
        <v>6926576959</v>
      </c>
      <c r="I21" s="354">
        <f t="shared" si="19"/>
        <v>37740207014</v>
      </c>
      <c r="J21" s="354">
        <f t="shared" si="19"/>
        <v>15587879790</v>
      </c>
      <c r="K21" s="354">
        <f t="shared" si="19"/>
        <v>2816551044</v>
      </c>
      <c r="L21" s="354">
        <f t="shared" si="19"/>
        <v>18404430834</v>
      </c>
      <c r="M21" s="354">
        <f t="shared" si="19"/>
        <v>14851815897</v>
      </c>
      <c r="N21" s="175">
        <f t="shared" si="19"/>
        <v>34187592077</v>
      </c>
      <c r="O21" s="382"/>
      <c r="P21" s="43">
        <f>P22+P25+P28+P41+P42+P45+P48+P51+P54+P57+P60+P63+P66+P69+P72+P75+P78+P81</f>
        <v>0</v>
      </c>
      <c r="Q21" s="45">
        <f>Q22+Q25+Q28+Q41+Q42+Q45+Q48+Q51+Q54+Q57+Q60+Q63+Q66+Q69+Q72+Q75+Q78+Q81</f>
        <v>4557329537</v>
      </c>
      <c r="R21" s="9"/>
      <c r="S21" s="706" t="str">
        <f>+IF(MAYO!S21=0,"",MAYO!S21)</f>
        <v>1010104-1</v>
      </c>
      <c r="T21" s="682" t="str">
        <f>+IF(MAYO!T21=0,"",MAYO!T21)</f>
        <v xml:space="preserve">Prima de Navidad </v>
      </c>
      <c r="U21" s="27">
        <f>+ENERO!U21</f>
        <v>52257791</v>
      </c>
      <c r="V21" s="15">
        <f>MAYO!V21+JUNIO!AL21</f>
        <v>0</v>
      </c>
      <c r="W21" s="15">
        <f>MAYO!W21+JUNIO!AM21</f>
        <v>0</v>
      </c>
      <c r="X21" s="18">
        <f t="shared" ref="X21:X33" si="20">SUM(U21:W21)</f>
        <v>52257791</v>
      </c>
      <c r="Y21" s="19">
        <f>MAYO!AA21</f>
        <v>317672</v>
      </c>
      <c r="Z21" s="374">
        <v>0</v>
      </c>
      <c r="AA21" s="18">
        <f t="shared" ref="AA21:AA33" si="21">SUM(Y21:Z21)</f>
        <v>317672</v>
      </c>
      <c r="AB21" s="19">
        <f>MAYO!AD21</f>
        <v>317672</v>
      </c>
      <c r="AC21" s="374">
        <v>0</v>
      </c>
      <c r="AD21" s="18">
        <f t="shared" ref="AD21:AD33" si="22">SUM(AB21:AC21)</f>
        <v>317672</v>
      </c>
      <c r="AE21" s="19">
        <f>MAYO!AG21</f>
        <v>317672</v>
      </c>
      <c r="AF21" s="374">
        <v>0</v>
      </c>
      <c r="AG21" s="18">
        <f t="shared" ref="AG21:AG33" si="23">SUM(AE21:AF21)</f>
        <v>317672</v>
      </c>
      <c r="AH21" s="19">
        <f t="shared" ref="AH21:AH33" si="24">X21-AA21</f>
        <v>51940119</v>
      </c>
      <c r="AI21" s="15">
        <f t="shared" ref="AI21:AI33" si="25">X21-AD21</f>
        <v>51940119</v>
      </c>
      <c r="AJ21" s="16">
        <f t="shared" ref="AJ21:AJ33" si="26">X21-AG21</f>
        <v>51940119</v>
      </c>
      <c r="AK21" s="9"/>
      <c r="AL21" s="372">
        <v>0</v>
      </c>
      <c r="AM21" s="375">
        <v>0</v>
      </c>
      <c r="AN21" s="9"/>
      <c r="AO21" s="349"/>
      <c r="AP21" s="423"/>
      <c r="AQ21" s="424"/>
      <c r="AR21" s="425" t="str">
        <f>AR6</f>
        <v>JUNIO</v>
      </c>
      <c r="AS21" s="426" t="str">
        <f>AR6</f>
        <v>JUNIO</v>
      </c>
      <c r="AT21" s="425" t="str">
        <f>AR6</f>
        <v>JUNIO</v>
      </c>
      <c r="AU21" s="425" t="s">
        <v>44</v>
      </c>
      <c r="AV21" s="425" t="s">
        <v>22</v>
      </c>
      <c r="AW21" s="427"/>
      <c r="AX21" s="427"/>
      <c r="AY21" s="425" t="s">
        <v>44</v>
      </c>
      <c r="AZ21" s="428" t="s">
        <v>22</v>
      </c>
      <c r="BA21" s="9"/>
      <c r="BB21" s="101" t="s">
        <v>437</v>
      </c>
      <c r="BC21" s="65">
        <f>SUMIF($B8:B122,$B24,F8:F122)+F122</f>
        <v>20936728345</v>
      </c>
      <c r="BD21" s="66">
        <f>SUMIF($B8:B122,$B24,I8:I122)+I122</f>
        <v>15569175587</v>
      </c>
      <c r="BE21" s="67">
        <f>SUMIF($B8:B122,$B24,K8:K122)+K122</f>
        <v>2075249930</v>
      </c>
      <c r="BF21" s="53">
        <f>MARZO!BF21+ABRIL!BE21+MAYO!BE21+JUNIO!BE21</f>
        <v>15569175587</v>
      </c>
      <c r="BG21" s="382"/>
      <c r="BH21" s="382"/>
      <c r="BI21" s="382"/>
      <c r="BJ21" s="382"/>
      <c r="BK21" s="382"/>
      <c r="BL21" s="382"/>
      <c r="BM21" s="137" t="s">
        <v>99</v>
      </c>
      <c r="BN21" s="83">
        <v>0</v>
      </c>
      <c r="BO21" s="81">
        <v>0</v>
      </c>
      <c r="BP21" s="81">
        <v>0</v>
      </c>
      <c r="BQ21" s="82">
        <v>0</v>
      </c>
      <c r="BR21" s="382"/>
    </row>
    <row r="22" spans="1:70" s="9" customFormat="1" ht="24.95" customHeight="1" thickBot="1">
      <c r="A22" s="733">
        <f>+IF(MAYO!A22=0,"",MAYO!A22)</f>
        <v>1130101</v>
      </c>
      <c r="B22" s="645" t="str">
        <f>+IF(MAYO!B22=0,"",MAYO!B22)</f>
        <v>EPS - REGIMEN CONTRIBUTIVO</v>
      </c>
      <c r="C22" s="43">
        <f t="shared" ref="C22:N22" si="27">SUM(C23:C24)</f>
        <v>18905646713</v>
      </c>
      <c r="D22" s="44">
        <f t="shared" si="27"/>
        <v>0</v>
      </c>
      <c r="E22" s="44">
        <f t="shared" si="27"/>
        <v>5269584471</v>
      </c>
      <c r="F22" s="44">
        <f t="shared" si="27"/>
        <v>24175231184</v>
      </c>
      <c r="G22" s="44">
        <f t="shared" si="27"/>
        <v>12337291027</v>
      </c>
      <c r="H22" s="44">
        <f t="shared" si="27"/>
        <v>2724588088</v>
      </c>
      <c r="I22" s="44">
        <f t="shared" si="27"/>
        <v>15061879115</v>
      </c>
      <c r="J22" s="44">
        <f t="shared" si="27"/>
        <v>7048094687</v>
      </c>
      <c r="K22" s="44">
        <f t="shared" si="27"/>
        <v>1089940623</v>
      </c>
      <c r="L22" s="44">
        <f t="shared" si="27"/>
        <v>8138035310</v>
      </c>
      <c r="M22" s="44">
        <f t="shared" si="27"/>
        <v>9113352069</v>
      </c>
      <c r="N22" s="45">
        <f t="shared" si="27"/>
        <v>16037195874</v>
      </c>
      <c r="P22" s="43">
        <f>SUM(P23:P24)</f>
        <v>0</v>
      </c>
      <c r="Q22" s="45">
        <f>SUM(Q23:Q24)</f>
        <v>1292798758</v>
      </c>
      <c r="S22" s="706" t="str">
        <f>+IF(MAYO!S22=0,"",MAYO!S22)</f>
        <v>1010104-2</v>
      </c>
      <c r="T22" s="682" t="str">
        <f>+IF(MAYO!T22=0,"",MAYO!T22)</f>
        <v>Prima Vida Cara</v>
      </c>
      <c r="U22" s="27">
        <f>+ENERO!U22</f>
        <v>24380551</v>
      </c>
      <c r="V22" s="15">
        <f>MAYO!V22+JUNIO!AL22</f>
        <v>0</v>
      </c>
      <c r="W22" s="15">
        <f>MAYO!W22+JUNIO!AM22</f>
        <v>19210353</v>
      </c>
      <c r="X22" s="18">
        <f t="shared" si="20"/>
        <v>43590904</v>
      </c>
      <c r="Y22" s="19">
        <f>MAYO!AA22</f>
        <v>19210353</v>
      </c>
      <c r="Z22" s="374">
        <v>0</v>
      </c>
      <c r="AA22" s="18">
        <f t="shared" si="21"/>
        <v>19210353</v>
      </c>
      <c r="AB22" s="19">
        <f>MAYO!AD22</f>
        <v>19210353</v>
      </c>
      <c r="AC22" s="374">
        <v>0</v>
      </c>
      <c r="AD22" s="18">
        <f t="shared" si="22"/>
        <v>19210353</v>
      </c>
      <c r="AE22" s="19">
        <f>MAYO!AG22</f>
        <v>19210353</v>
      </c>
      <c r="AF22" s="374">
        <v>0</v>
      </c>
      <c r="AG22" s="18">
        <f t="shared" si="23"/>
        <v>19210353</v>
      </c>
      <c r="AH22" s="19">
        <f t="shared" si="24"/>
        <v>24380551</v>
      </c>
      <c r="AI22" s="15">
        <f t="shared" si="25"/>
        <v>24380551</v>
      </c>
      <c r="AJ22" s="16">
        <f t="shared" si="26"/>
        <v>24380551</v>
      </c>
      <c r="AL22" s="372">
        <v>0</v>
      </c>
      <c r="AM22" s="375">
        <v>0</v>
      </c>
      <c r="AO22" s="21"/>
      <c r="AP22" s="429" t="s">
        <v>104</v>
      </c>
      <c r="AQ22" s="430">
        <f>X17+X66</f>
        <v>1512951119</v>
      </c>
      <c r="AR22" s="430">
        <f>AD17+AD66</f>
        <v>618480806</v>
      </c>
      <c r="AS22" s="430">
        <f>AG17+AG66</f>
        <v>618480806</v>
      </c>
      <c r="AT22" s="431"/>
      <c r="AU22" s="432">
        <f t="shared" ref="AU22:AU32" si="28">IF(AQ22=0," ",AR22/AQ22)</f>
        <v>0.40879100337940266</v>
      </c>
      <c r="AV22" s="432">
        <f t="shared" ref="AV22:AV32" si="29">IF(AQ22=0," ",AS22/AQ22)</f>
        <v>0.40879100337940266</v>
      </c>
      <c r="AW22" s="433">
        <f>AR22/$AO$2*12</f>
        <v>1236961612</v>
      </c>
      <c r="AX22" s="433">
        <f>AS22/$AO$2*12</f>
        <v>1236961612</v>
      </c>
      <c r="AY22" s="433">
        <f t="shared" ref="AY22:AY31" si="30">AW22-AQ22</f>
        <v>-275989507</v>
      </c>
      <c r="AZ22" s="434">
        <f t="shared" ref="AZ22:AZ31" si="31">AQ22-AX22</f>
        <v>275989507</v>
      </c>
      <c r="BA22" s="382"/>
      <c r="BB22" s="102" t="s">
        <v>109</v>
      </c>
      <c r="BC22" s="103">
        <f>BC7+BC8+BC20+BC21</f>
        <v>63174728951</v>
      </c>
      <c r="BD22" s="104">
        <f>BD7+BD8+BD20+BD21</f>
        <v>39020748532</v>
      </c>
      <c r="BE22" s="105">
        <f>BE7+BE8+BE20+BE21</f>
        <v>2917089784</v>
      </c>
      <c r="BF22" s="53">
        <f>MARZO!BF22+ABRIL!BE22+MAYO!BE22+JUNIO!BE22</f>
        <v>19456213500</v>
      </c>
      <c r="BG22" s="382"/>
      <c r="BH22" s="382"/>
      <c r="BI22" s="382"/>
      <c r="BJ22" s="382"/>
      <c r="BK22" s="382"/>
      <c r="BM22" s="71" t="s">
        <v>67</v>
      </c>
      <c r="BN22" s="83">
        <f>BN23+BN24</f>
        <v>163530003</v>
      </c>
      <c r="BO22" s="81">
        <f>BO23+BO24</f>
        <v>90111219</v>
      </c>
      <c r="BP22" s="81">
        <f>BP23+BP24</f>
        <v>79236090</v>
      </c>
      <c r="BQ22" s="82">
        <f>BQ23+BQ24</f>
        <v>3925228</v>
      </c>
      <c r="BR22" s="382"/>
    </row>
    <row r="23" spans="1:70" s="422" customFormat="1" ht="24.95" customHeight="1">
      <c r="A23" s="611" t="str">
        <f>+IF(MAYO!A23=0,"",MAYO!A23)</f>
        <v>1130101-1</v>
      </c>
      <c r="B23" s="646" t="str">
        <f>+CONCATENATE("Vigencia ",INSTRUCCIONES!$F$3)</f>
        <v>Vigencia 2017</v>
      </c>
      <c r="C23" s="671">
        <f>+ENERO!C23</f>
        <v>18905646713</v>
      </c>
      <c r="D23" s="373">
        <f>MAYO!D23+JUNIO!P23</f>
        <v>0</v>
      </c>
      <c r="E23" s="373">
        <f>MAYO!E23+JUNIO!Q23</f>
        <v>0</v>
      </c>
      <c r="F23" s="373">
        <f>SUM(C23:E23)</f>
        <v>18905646713</v>
      </c>
      <c r="G23" s="373">
        <f>MAYO!I23</f>
        <v>6157844888</v>
      </c>
      <c r="H23" s="374">
        <v>1634647465</v>
      </c>
      <c r="I23" s="373">
        <f>SUM(G23:H23)</f>
        <v>7792492353</v>
      </c>
      <c r="J23" s="373">
        <f>MAYO!L23</f>
        <v>868648548</v>
      </c>
      <c r="K23" s="374">
        <v>0</v>
      </c>
      <c r="L23" s="373">
        <f>SUM(J23:K23)</f>
        <v>868648548</v>
      </c>
      <c r="M23" s="373">
        <f>F23-I23</f>
        <v>11113154360</v>
      </c>
      <c r="N23" s="143">
        <f>F23-L23</f>
        <v>18036998165</v>
      </c>
      <c r="O23" s="9"/>
      <c r="P23" s="372">
        <v>0</v>
      </c>
      <c r="Q23" s="375">
        <v>0</v>
      </c>
      <c r="R23" s="9"/>
      <c r="S23" s="706" t="str">
        <f>+IF(MAYO!S23=0,"",MAYO!S23)</f>
        <v>1010104-3</v>
      </c>
      <c r="T23" s="682" t="str">
        <f>+IF(MAYO!T23=0,"",MAYO!T23)</f>
        <v>Prima de Vacaciones</v>
      </c>
      <c r="U23" s="27">
        <f>+ENERO!U23</f>
        <v>25221642</v>
      </c>
      <c r="V23" s="15">
        <f>MAYO!V23+JUNIO!AL23</f>
        <v>0</v>
      </c>
      <c r="W23" s="15">
        <f>MAYO!W23+JUNIO!AM23</f>
        <v>0</v>
      </c>
      <c r="X23" s="18">
        <f t="shared" si="20"/>
        <v>25221642</v>
      </c>
      <c r="Y23" s="19">
        <f>MAYO!AA23</f>
        <v>1047535</v>
      </c>
      <c r="Z23" s="374">
        <v>0</v>
      </c>
      <c r="AA23" s="18">
        <f t="shared" si="21"/>
        <v>1047535</v>
      </c>
      <c r="AB23" s="19">
        <f>MAYO!AD23</f>
        <v>1047535</v>
      </c>
      <c r="AC23" s="374">
        <v>0</v>
      </c>
      <c r="AD23" s="18">
        <f t="shared" si="22"/>
        <v>1047535</v>
      </c>
      <c r="AE23" s="19">
        <f>MAYO!AG23</f>
        <v>1047535</v>
      </c>
      <c r="AF23" s="374">
        <v>0</v>
      </c>
      <c r="AG23" s="18">
        <f t="shared" si="23"/>
        <v>1047535</v>
      </c>
      <c r="AH23" s="19">
        <f t="shared" si="24"/>
        <v>24174107</v>
      </c>
      <c r="AI23" s="15">
        <f t="shared" si="25"/>
        <v>24174107</v>
      </c>
      <c r="AJ23" s="16">
        <f t="shared" si="26"/>
        <v>24174107</v>
      </c>
      <c r="AK23" s="9"/>
      <c r="AL23" s="372">
        <v>0</v>
      </c>
      <c r="AM23" s="375">
        <v>0</v>
      </c>
      <c r="AN23" s="9"/>
      <c r="AO23" s="370"/>
      <c r="AP23" s="435" t="s">
        <v>108</v>
      </c>
      <c r="AQ23" s="436">
        <f>X16+X65-AQ22</f>
        <v>548459643</v>
      </c>
      <c r="AR23" s="436">
        <f>AD16+AD65-AR22</f>
        <v>167712873</v>
      </c>
      <c r="AS23" s="436">
        <f>AG16+AG65-AS22</f>
        <v>167712873</v>
      </c>
      <c r="AT23" s="327"/>
      <c r="AU23" s="342">
        <f t="shared" si="28"/>
        <v>0.30578890377901513</v>
      </c>
      <c r="AV23" s="342">
        <f t="shared" si="29"/>
        <v>0.30578890377901513</v>
      </c>
      <c r="AW23" s="436">
        <f>(AR23-AD21-AD22-AD23-AD25-AD30-AD33-AD70-AD71-AD72-AD74-AD78-AD81)/$AO$2*12+AX22/12*2.5+AD30+AD33+AD78+AD81</f>
        <v>459189551.83333331</v>
      </c>
      <c r="AX23" s="436">
        <f>(AS23-AG21-AG22-AG23-AG25-AG30-AG33-AG70-AG71-AG72-AG74-AG78-AG81)/$AO$2*12+AX22/12*2.5+AG30+AG33+AG78+AG81</f>
        <v>459189551.83333331</v>
      </c>
      <c r="AY23" s="436">
        <f t="shared" si="30"/>
        <v>-89270091.166666687</v>
      </c>
      <c r="AZ23" s="46">
        <f t="shared" si="31"/>
        <v>89270091.166666687</v>
      </c>
      <c r="BA23" s="382"/>
      <c r="BF23" s="382"/>
      <c r="BG23" s="382"/>
      <c r="BH23" s="382"/>
      <c r="BI23" s="382"/>
      <c r="BJ23" s="382"/>
      <c r="BK23" s="382"/>
      <c r="BL23" s="382"/>
      <c r="BM23" s="137" t="s">
        <v>105</v>
      </c>
      <c r="BN23" s="83">
        <f>X177</f>
        <v>18619412</v>
      </c>
      <c r="BO23" s="81">
        <f>AA177</f>
        <v>5307284</v>
      </c>
      <c r="BP23" s="81">
        <f>AD177</f>
        <v>5307284</v>
      </c>
      <c r="BQ23" s="82">
        <f>AF177</f>
        <v>0</v>
      </c>
      <c r="BR23" s="9"/>
    </row>
    <row r="24" spans="1:70" s="422" customFormat="1" ht="24.95" customHeight="1">
      <c r="A24" s="611" t="str">
        <f>+IF(MAYO!A24=0,"",MAYO!A24)</f>
        <v>1130101-2</v>
      </c>
      <c r="B24" s="646" t="str">
        <f>+IF(MAYO!B24=0,"",MAYO!B24)</f>
        <v>Vigencia Anterior</v>
      </c>
      <c r="C24" s="671">
        <f>+ENERO!C24</f>
        <v>0</v>
      </c>
      <c r="D24" s="373">
        <f>MAYO!D24+JUNIO!P24</f>
        <v>0</v>
      </c>
      <c r="E24" s="373">
        <f>MAYO!E24+JUNIO!Q24</f>
        <v>5269584471</v>
      </c>
      <c r="F24" s="373">
        <f>SUM(C24:E24)</f>
        <v>5269584471</v>
      </c>
      <c r="G24" s="373">
        <f>MAYO!I24</f>
        <v>6179446139</v>
      </c>
      <c r="H24" s="374">
        <v>1089940623</v>
      </c>
      <c r="I24" s="373">
        <f>SUM(G24:H24)</f>
        <v>7269386762</v>
      </c>
      <c r="J24" s="373">
        <f>MAYO!L24</f>
        <v>6179446139</v>
      </c>
      <c r="K24" s="374">
        <v>1089940623</v>
      </c>
      <c r="L24" s="373">
        <f>SUM(J24:K24)</f>
        <v>7269386762</v>
      </c>
      <c r="M24" s="373">
        <f>F24-I24</f>
        <v>-1999802291</v>
      </c>
      <c r="N24" s="143">
        <f>F24-L24</f>
        <v>-1999802291</v>
      </c>
      <c r="O24" s="382"/>
      <c r="P24" s="372">
        <v>0</v>
      </c>
      <c r="Q24" s="375">
        <v>1292798758</v>
      </c>
      <c r="R24" s="9"/>
      <c r="S24" s="706" t="str">
        <f>+IF(MAYO!S24=0,"",MAYO!S24)</f>
        <v>1010104-4</v>
      </c>
      <c r="T24" s="682" t="str">
        <f>+IF(MAYO!T24=0,"",MAYO!T24)</f>
        <v>Prima Clima</v>
      </c>
      <c r="U24" s="27">
        <f>+ENERO!U24</f>
        <v>0</v>
      </c>
      <c r="V24" s="15">
        <f>MAYO!V24+JUNIO!AL24</f>
        <v>0</v>
      </c>
      <c r="W24" s="15">
        <f>MAYO!W24+JUNIO!AM24</f>
        <v>0</v>
      </c>
      <c r="X24" s="18">
        <f t="shared" si="20"/>
        <v>0</v>
      </c>
      <c r="Y24" s="19">
        <f>MAYO!AA24</f>
        <v>0</v>
      </c>
      <c r="Z24" s="374">
        <v>0</v>
      </c>
      <c r="AA24" s="18">
        <f t="shared" si="21"/>
        <v>0</v>
      </c>
      <c r="AB24" s="19">
        <f>MAYO!AD24</f>
        <v>0</v>
      </c>
      <c r="AC24" s="374">
        <v>0</v>
      </c>
      <c r="AD24" s="18">
        <f t="shared" si="22"/>
        <v>0</v>
      </c>
      <c r="AE24" s="19">
        <f>MAYO!AG24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31916445257</v>
      </c>
      <c r="AR24" s="431">
        <f>AD35+AD83</f>
        <v>19947825202</v>
      </c>
      <c r="AS24" s="431">
        <f>AG35+AG83</f>
        <v>11479885559</v>
      </c>
      <c r="AT24" s="431"/>
      <c r="AU24" s="373">
        <f t="shared" si="28"/>
        <v>0.62500146997494932</v>
      </c>
      <c r="AV24" s="373">
        <f t="shared" si="29"/>
        <v>0.35968559363553188</v>
      </c>
      <c r="AW24" s="373">
        <f>(AR24-AD41-AD88)/$AO$2*12+AD41+AD88</f>
        <v>33352323441</v>
      </c>
      <c r="AX24" s="373">
        <f>(AS24-AG41-AG88)/$AO$2*12+AG41+AG88</f>
        <v>16416444155</v>
      </c>
      <c r="AY24" s="373">
        <f t="shared" si="30"/>
        <v>1435878184</v>
      </c>
      <c r="AZ24" s="143">
        <f t="shared" si="31"/>
        <v>15500001102</v>
      </c>
      <c r="BA24" s="9"/>
      <c r="BB24" s="437"/>
      <c r="BC24" s="382"/>
      <c r="BD24" s="382"/>
      <c r="BE24" s="382"/>
      <c r="BF24" s="382"/>
      <c r="BG24" s="382"/>
      <c r="BH24" s="382"/>
      <c r="BI24" s="382"/>
      <c r="BJ24" s="382"/>
      <c r="BK24" s="382"/>
      <c r="BL24" s="382"/>
      <c r="BM24" s="137" t="s">
        <v>110</v>
      </c>
      <c r="BN24" s="83">
        <f>X170-X177-X174-X183-X191</f>
        <v>144910591</v>
      </c>
      <c r="BO24" s="81">
        <f>AA170-AA177-AA174-AA183-AA191</f>
        <v>84803935</v>
      </c>
      <c r="BP24" s="81">
        <f>AD170-AD177-AD174-AD183-AD191</f>
        <v>73928806</v>
      </c>
      <c r="BQ24" s="82">
        <f>AF170-AF177-AF174-AF183-AF191</f>
        <v>3925228</v>
      </c>
      <c r="BR24" s="382"/>
    </row>
    <row r="25" spans="1:70" s="382" customFormat="1" ht="24.95" customHeight="1">
      <c r="A25" s="733">
        <f>+IF(MAYO!A25=0,"",MAYO!A25)</f>
        <v>1130102</v>
      </c>
      <c r="B25" s="645" t="str">
        <f>+IF(MAYO!B25=0,"",MAYO!B25)</f>
        <v>ARS - REGIMEN SUBSIDIADO</v>
      </c>
      <c r="C25" s="43">
        <f t="shared" ref="C25:N25" si="32">SUM(C26:C27)</f>
        <v>13439321219</v>
      </c>
      <c r="D25" s="44">
        <f t="shared" si="32"/>
        <v>0</v>
      </c>
      <c r="E25" s="44">
        <f t="shared" si="32"/>
        <v>4408295180</v>
      </c>
      <c r="F25" s="44">
        <f t="shared" si="32"/>
        <v>17847616399</v>
      </c>
      <c r="G25" s="44">
        <f t="shared" si="32"/>
        <v>11989029399</v>
      </c>
      <c r="H25" s="44">
        <f t="shared" si="32"/>
        <v>2780326237</v>
      </c>
      <c r="I25" s="44">
        <f t="shared" si="32"/>
        <v>14769355636</v>
      </c>
      <c r="J25" s="44">
        <f t="shared" si="32"/>
        <v>5660129380</v>
      </c>
      <c r="K25" s="44">
        <f t="shared" si="32"/>
        <v>1142152167</v>
      </c>
      <c r="L25" s="44">
        <f t="shared" si="32"/>
        <v>6802281547</v>
      </c>
      <c r="M25" s="44">
        <f t="shared" si="32"/>
        <v>3078260763</v>
      </c>
      <c r="N25" s="45">
        <f t="shared" si="32"/>
        <v>11045334852</v>
      </c>
      <c r="P25" s="43">
        <f>SUM(P26:P27)</f>
        <v>0</v>
      </c>
      <c r="Q25" s="45">
        <f>SUM(Q26:Q27)</f>
        <v>2145574533</v>
      </c>
      <c r="R25" s="9"/>
      <c r="S25" s="706" t="str">
        <f>+IF(MAYO!S25=0,"",MAYO!S25)</f>
        <v>1010104-5</v>
      </c>
      <c r="T25" s="682" t="str">
        <f>+IF(MAYO!T25=0,"",MAYO!T25)</f>
        <v>Prima de Servicios</v>
      </c>
      <c r="U25" s="27">
        <f>+ENERO!U25</f>
        <v>26128895</v>
      </c>
      <c r="V25" s="15">
        <f>MAYO!V25+JUNIO!AL25</f>
        <v>0</v>
      </c>
      <c r="W25" s="15">
        <f>MAYO!W25+JUNIO!AM25</f>
        <v>0</v>
      </c>
      <c r="X25" s="18">
        <f t="shared" si="20"/>
        <v>26128895</v>
      </c>
      <c r="Y25" s="19">
        <f>MAYO!AA25</f>
        <v>153080</v>
      </c>
      <c r="Z25" s="374">
        <v>0</v>
      </c>
      <c r="AA25" s="18">
        <f t="shared" si="21"/>
        <v>153080</v>
      </c>
      <c r="AB25" s="19">
        <f>MAYO!AD25</f>
        <v>153080</v>
      </c>
      <c r="AC25" s="374">
        <v>0</v>
      </c>
      <c r="AD25" s="18">
        <f t="shared" si="22"/>
        <v>153080</v>
      </c>
      <c r="AE25" s="19">
        <f>MAYO!AG25</f>
        <v>153080</v>
      </c>
      <c r="AF25" s="374">
        <v>0</v>
      </c>
      <c r="AG25" s="18">
        <f t="shared" si="23"/>
        <v>153080</v>
      </c>
      <c r="AH25" s="19">
        <f t="shared" si="24"/>
        <v>25975815</v>
      </c>
      <c r="AI25" s="15">
        <f t="shared" si="25"/>
        <v>25975815</v>
      </c>
      <c r="AJ25" s="16">
        <f t="shared" si="26"/>
        <v>25975815</v>
      </c>
      <c r="AK25" s="9"/>
      <c r="AL25" s="372">
        <v>0</v>
      </c>
      <c r="AM25" s="375">
        <v>0</v>
      </c>
      <c r="AN25" s="9"/>
      <c r="AO25" s="21"/>
      <c r="AP25" s="438" t="s">
        <v>116</v>
      </c>
      <c r="AQ25" s="373">
        <f>X43+X57+X90+X104</f>
        <v>802834377</v>
      </c>
      <c r="AR25" s="373">
        <f>AD43+AD57+AD90+AD104</f>
        <v>204942894</v>
      </c>
      <c r="AS25" s="373">
        <f>AG43+AG57+AG90+AG104</f>
        <v>204942894</v>
      </c>
      <c r="AT25" s="431"/>
      <c r="AU25" s="373">
        <f t="shared" si="28"/>
        <v>0.25527418838966831</v>
      </c>
      <c r="AV25" s="373">
        <f t="shared" si="29"/>
        <v>0.25527418838966831</v>
      </c>
      <c r="AW25" s="373">
        <f>(AR25-AD55-AD61-AD102-AD108)/$AO$2*12+AD55+AD61+AD102+AD108</f>
        <v>409885788</v>
      </c>
      <c r="AX25" s="373">
        <f>(AS25-AG55-AG61-AG102-AG108)/$AO$2*12+AG55+AG61+AG102+AG108</f>
        <v>409885788</v>
      </c>
      <c r="AY25" s="373">
        <f t="shared" si="30"/>
        <v>-392948589</v>
      </c>
      <c r="AZ25" s="143">
        <f t="shared" si="31"/>
        <v>392948589</v>
      </c>
      <c r="BM25" s="140" t="s">
        <v>445</v>
      </c>
      <c r="BN25" s="106">
        <f>+SUM(BN26:BN28)</f>
        <v>15192067615</v>
      </c>
      <c r="BO25" s="107">
        <f>+SUM(BO26:BO28)</f>
        <v>8156208204</v>
      </c>
      <c r="BP25" s="107">
        <f>+SUM(BP26:BP28)</f>
        <v>6417667352</v>
      </c>
      <c r="BQ25" s="108">
        <f>+SUM(BQ26:BQ28)</f>
        <v>439165546</v>
      </c>
    </row>
    <row r="26" spans="1:70" s="9" customFormat="1" ht="24.95" customHeight="1">
      <c r="A26" s="611" t="str">
        <f>+IF(MAYO!A26=0,"",MAYO!A26)</f>
        <v>1130102-1</v>
      </c>
      <c r="B26" s="646" t="str">
        <f>+CONCATENATE("Vigencia ",INSTRUCCIONES!$F$3)</f>
        <v>Vigencia 2017</v>
      </c>
      <c r="C26" s="671">
        <f>+ENERO!C26</f>
        <v>13439321219</v>
      </c>
      <c r="D26" s="373">
        <f>MAYO!D26+JUNIO!P26</f>
        <v>0</v>
      </c>
      <c r="E26" s="373">
        <f>MAYO!E26+JUNIO!Q26</f>
        <v>0</v>
      </c>
      <c r="F26" s="373">
        <f>SUM(C26:E26)</f>
        <v>13439321219</v>
      </c>
      <c r="G26" s="373">
        <f>MAYO!I26</f>
        <v>7323607134</v>
      </c>
      <c r="H26" s="374">
        <v>2338175918</v>
      </c>
      <c r="I26" s="373">
        <f>SUM(G26:H26)</f>
        <v>9661783052</v>
      </c>
      <c r="J26" s="373">
        <f>MAYO!L26</f>
        <v>994707115</v>
      </c>
      <c r="K26" s="374">
        <v>700001848</v>
      </c>
      <c r="L26" s="373">
        <f>SUM(J26:K26)</f>
        <v>1694708963</v>
      </c>
      <c r="M26" s="373">
        <f>F26-I26</f>
        <v>3777538167</v>
      </c>
      <c r="N26" s="143">
        <f>F26-L26</f>
        <v>11744612256</v>
      </c>
      <c r="P26" s="372">
        <v>0</v>
      </c>
      <c r="Q26" s="375">
        <v>0</v>
      </c>
      <c r="S26" s="706" t="str">
        <f>+IF(MAYO!S26=0,"",MAYO!S26)</f>
        <v>1010104-8</v>
      </c>
      <c r="T26" s="682" t="str">
        <f>+IF(MAYO!T26=0,"",MAYO!T26)</f>
        <v>Bonific. por Servicios Prestados</v>
      </c>
      <c r="U26" s="27">
        <f>+ENERO!U26</f>
        <v>12868455</v>
      </c>
      <c r="V26" s="15">
        <f>MAYO!V26+JUNIO!AL26</f>
        <v>0</v>
      </c>
      <c r="W26" s="15">
        <f>MAYO!W26+JUNIO!AM26</f>
        <v>0</v>
      </c>
      <c r="X26" s="18">
        <f t="shared" si="20"/>
        <v>12868455</v>
      </c>
      <c r="Y26" s="19">
        <f>MAYO!AA26</f>
        <v>3071505</v>
      </c>
      <c r="Z26" s="374">
        <v>0</v>
      </c>
      <c r="AA26" s="18">
        <f t="shared" si="21"/>
        <v>3071505</v>
      </c>
      <c r="AB26" s="19">
        <f>MAYO!AD26</f>
        <v>3071505</v>
      </c>
      <c r="AC26" s="374">
        <v>0</v>
      </c>
      <c r="AD26" s="18">
        <f t="shared" si="22"/>
        <v>3071505</v>
      </c>
      <c r="AE26" s="19">
        <f>MAYO!AG26</f>
        <v>3071505</v>
      </c>
      <c r="AF26" s="374">
        <v>0</v>
      </c>
      <c r="AG26" s="18">
        <f t="shared" si="23"/>
        <v>3071505</v>
      </c>
      <c r="AH26" s="19">
        <f t="shared" si="24"/>
        <v>9796950</v>
      </c>
      <c r="AI26" s="15">
        <f t="shared" si="25"/>
        <v>9796950</v>
      </c>
      <c r="AJ26" s="16">
        <f t="shared" si="26"/>
        <v>9796950</v>
      </c>
      <c r="AL26" s="372">
        <v>0</v>
      </c>
      <c r="AM26" s="375">
        <v>0</v>
      </c>
      <c r="AO26" s="21"/>
      <c r="AP26" s="439" t="s">
        <v>120</v>
      </c>
      <c r="AQ26" s="327">
        <f>X110</f>
        <v>9881998309</v>
      </c>
      <c r="AR26" s="327">
        <f>AD110</f>
        <v>4991391700</v>
      </c>
      <c r="AS26" s="327">
        <f>AG110</f>
        <v>3130661333</v>
      </c>
      <c r="AT26" s="371">
        <f>AO2/12</f>
        <v>0.5</v>
      </c>
      <c r="AU26" s="342">
        <f t="shared" si="28"/>
        <v>0.50509942867062674</v>
      </c>
      <c r="AV26" s="342">
        <f t="shared" si="29"/>
        <v>0.31680447973248077</v>
      </c>
      <c r="AW26" s="436">
        <f>(AR26-AD121-AD139-AD143-AD153-AD168)/$AO$2*12+AD121+AD139+AD143+AD153+AD168</f>
        <v>9140464061</v>
      </c>
      <c r="AX26" s="436">
        <f>(AS26-AG121-AG139-AG143-AG153-AG168)/$AO$2*12+AG121+AG139+AG143+AG153+AG168</f>
        <v>5419003327</v>
      </c>
      <c r="AY26" s="436">
        <f t="shared" si="30"/>
        <v>-741534248</v>
      </c>
      <c r="AZ26" s="46">
        <f t="shared" si="31"/>
        <v>4462994982</v>
      </c>
      <c r="BA26" s="382"/>
      <c r="BB26" s="382"/>
      <c r="BC26" s="382"/>
      <c r="BD26" s="382"/>
      <c r="BE26" s="382"/>
      <c r="BF26" s="382"/>
      <c r="BG26" s="382"/>
      <c r="BH26" s="382"/>
      <c r="BI26" s="382"/>
      <c r="BJ26" s="382"/>
      <c r="BK26" s="382"/>
      <c r="BM26" s="109" t="s">
        <v>446</v>
      </c>
      <c r="BN26" s="86">
        <f>+X198+X212</f>
        <v>6446158346</v>
      </c>
      <c r="BO26" s="84">
        <f>+AA198+AA212</f>
        <v>2369399569</v>
      </c>
      <c r="BP26" s="84">
        <f>+AD198+AD212</f>
        <v>1990203716</v>
      </c>
      <c r="BQ26" s="85">
        <f>+AF198+AF212</f>
        <v>228209473</v>
      </c>
      <c r="BR26" s="382"/>
    </row>
    <row r="27" spans="1:70" s="422" customFormat="1" ht="24.95" customHeight="1">
      <c r="A27" s="611" t="str">
        <f>+IF(MAYO!A27=0,"",MAYO!A27)</f>
        <v>1130102-2</v>
      </c>
      <c r="B27" s="646" t="str">
        <f>+IF(MAYO!B27=0,"",MAYO!B27)</f>
        <v>Vigencia Anterior</v>
      </c>
      <c r="C27" s="671">
        <f>+ENERO!C27</f>
        <v>0</v>
      </c>
      <c r="D27" s="373">
        <f>MAYO!D27+JUNIO!P27</f>
        <v>0</v>
      </c>
      <c r="E27" s="373">
        <f>MAYO!E27+JUNIO!Q27</f>
        <v>4408295180</v>
      </c>
      <c r="F27" s="373">
        <f>SUM(C27:E27)</f>
        <v>4408295180</v>
      </c>
      <c r="G27" s="373">
        <f>MAYO!I27</f>
        <v>4665422265</v>
      </c>
      <c r="H27" s="374">
        <v>442150319</v>
      </c>
      <c r="I27" s="373">
        <f>SUM(G27:H27)</f>
        <v>5107572584</v>
      </c>
      <c r="J27" s="373">
        <f>MAYO!L27</f>
        <v>4665422265</v>
      </c>
      <c r="K27" s="374">
        <v>442150319</v>
      </c>
      <c r="L27" s="373">
        <f>SUM(J27:K27)</f>
        <v>5107572584</v>
      </c>
      <c r="M27" s="373">
        <f>F27-I27</f>
        <v>-699277404</v>
      </c>
      <c r="N27" s="143">
        <f>F27-L27</f>
        <v>-699277404</v>
      </c>
      <c r="O27" s="382"/>
      <c r="P27" s="372">
        <v>0</v>
      </c>
      <c r="Q27" s="375">
        <v>2145574533</v>
      </c>
      <c r="R27" s="9"/>
      <c r="S27" s="706" t="str">
        <f>+IF(MAYO!S27=0,"",MAYO!S27)</f>
        <v>1010104-9</v>
      </c>
      <c r="T27" s="682" t="str">
        <f>+IF(MAYO!T27=0,"",MAYO!T27)</f>
        <v>Auxilio de Transporte</v>
      </c>
      <c r="U27" s="27">
        <f>+ENERO!U27</f>
        <v>0</v>
      </c>
      <c r="V27" s="15">
        <f>MAYO!V27+JUNIO!AL27</f>
        <v>0</v>
      </c>
      <c r="W27" s="15">
        <f>MAYO!W27+JUNIO!AM27</f>
        <v>0</v>
      </c>
      <c r="X27" s="18">
        <f t="shared" si="20"/>
        <v>0</v>
      </c>
      <c r="Y27" s="19">
        <f>MAYO!AA27</f>
        <v>0</v>
      </c>
      <c r="Z27" s="374">
        <v>0</v>
      </c>
      <c r="AA27" s="18">
        <f t="shared" si="21"/>
        <v>0</v>
      </c>
      <c r="AB27" s="19">
        <f>MAYO!AD27</f>
        <v>0</v>
      </c>
      <c r="AC27" s="374">
        <v>0</v>
      </c>
      <c r="AD27" s="18">
        <f t="shared" si="22"/>
        <v>0</v>
      </c>
      <c r="AE27" s="19">
        <f>MAYO!AG27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164187433</v>
      </c>
      <c r="AR27" s="373">
        <f>AD170</f>
        <v>79236090</v>
      </c>
      <c r="AS27" s="373">
        <f>AG170</f>
        <v>51154009</v>
      </c>
      <c r="AT27" s="431"/>
      <c r="AU27" s="373">
        <f t="shared" si="28"/>
        <v>0.48259533968108265</v>
      </c>
      <c r="AV27" s="373">
        <f t="shared" si="29"/>
        <v>0.31155861362422299</v>
      </c>
      <c r="AW27" s="373">
        <f>(AR27-AD174-AD183-AD191)/$AO$2*12+AD174+AD183+AD191</f>
        <v>158472180</v>
      </c>
      <c r="AX27" s="373">
        <f>(AS27-AG174-AG183-AG191)/$AO$2*12+AG174+AG183+AG191</f>
        <v>102308018</v>
      </c>
      <c r="AY27" s="373">
        <f t="shared" si="30"/>
        <v>-5715253</v>
      </c>
      <c r="AZ27" s="143">
        <f t="shared" si="31"/>
        <v>61879415</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3">
        <f>+IF(MAYO!A28=0,"",MAYO!A28)</f>
        <v>1130103</v>
      </c>
      <c r="B28" s="622" t="str">
        <f>+IF(MAYO!B28=0,"",MAYO!B28)</f>
        <v>SUBSIDIO A LA OFERTA- ATENCION PERSONAS POBRES NO CUBIERTOS CON SUBSIDIO A LA DEMANDA</v>
      </c>
      <c r="C28" s="43">
        <f>C29+C32+C35+C38+C39+C40</f>
        <v>157521482</v>
      </c>
      <c r="D28" s="44">
        <f>+D29+D32+D35+D38+D39+D40</f>
        <v>0</v>
      </c>
      <c r="E28" s="44">
        <f>+E29+E32+E35+E38+E39+E40</f>
        <v>258289958</v>
      </c>
      <c r="F28" s="44">
        <f>+F29+F32+F35+F38+F39+F40</f>
        <v>415811440</v>
      </c>
      <c r="G28" s="44">
        <f t="shared" ref="G28:N28" si="33">G29+G32+G35+G38+G39+G40</f>
        <v>491980420</v>
      </c>
      <c r="H28" s="44">
        <f t="shared" si="33"/>
        <v>153835634</v>
      </c>
      <c r="I28" s="44">
        <f t="shared" si="33"/>
        <v>645816054</v>
      </c>
      <c r="J28" s="44">
        <f t="shared" si="33"/>
        <v>1266408</v>
      </c>
      <c r="K28" s="44">
        <f t="shared" si="33"/>
        <v>0</v>
      </c>
      <c r="L28" s="44">
        <f t="shared" si="33"/>
        <v>1266408</v>
      </c>
      <c r="M28" s="44">
        <f t="shared" si="33"/>
        <v>-230004614</v>
      </c>
      <c r="N28" s="45">
        <f t="shared" si="33"/>
        <v>414545032</v>
      </c>
      <c r="O28" s="382"/>
      <c r="P28" s="43">
        <f>P29+P32+P35+P38+P39+P940</f>
        <v>0</v>
      </c>
      <c r="Q28" s="45">
        <f>Q29+Q32+Q35+Q38+Q39+Q40</f>
        <v>258077000</v>
      </c>
      <c r="R28" s="9"/>
      <c r="S28" s="706" t="str">
        <f>+IF(MAYO!S28=0,"",MAYO!S28)</f>
        <v>1010104-10</v>
      </c>
      <c r="T28" s="682" t="str">
        <f>+IF(MAYO!T28=0,"",MAYO!T28)</f>
        <v>Subsidio de Alimentación</v>
      </c>
      <c r="U28" s="27">
        <f>+ENERO!U28</f>
        <v>532000</v>
      </c>
      <c r="V28" s="15">
        <f>MAYO!V28+JUNIO!AL28</f>
        <v>0</v>
      </c>
      <c r="W28" s="15">
        <f>MAYO!W28+JUNIO!AM28</f>
        <v>0</v>
      </c>
      <c r="X28" s="18">
        <f t="shared" si="20"/>
        <v>532000</v>
      </c>
      <c r="Y28" s="19">
        <f>MAYO!AA28</f>
        <v>268170</v>
      </c>
      <c r="Z28" s="374">
        <v>26817</v>
      </c>
      <c r="AA28" s="18">
        <f t="shared" si="21"/>
        <v>294987</v>
      </c>
      <c r="AB28" s="19">
        <f>MAYO!AD28</f>
        <v>268170</v>
      </c>
      <c r="AC28" s="374">
        <v>26817</v>
      </c>
      <c r="AD28" s="18">
        <f t="shared" si="22"/>
        <v>294987</v>
      </c>
      <c r="AE28" s="19">
        <f>MAYO!AG28</f>
        <v>268170</v>
      </c>
      <c r="AF28" s="374">
        <v>26817</v>
      </c>
      <c r="AG28" s="18">
        <f t="shared" si="23"/>
        <v>294987</v>
      </c>
      <c r="AH28" s="19">
        <f t="shared" si="24"/>
        <v>237013</v>
      </c>
      <c r="AI28" s="15">
        <f t="shared" si="25"/>
        <v>237013</v>
      </c>
      <c r="AJ28" s="16">
        <f t="shared" si="26"/>
        <v>237013</v>
      </c>
      <c r="AK28" s="9"/>
      <c r="AL28" s="372">
        <v>0</v>
      </c>
      <c r="AM28" s="375">
        <v>0</v>
      </c>
      <c r="AN28" s="9"/>
      <c r="AO28" s="349"/>
      <c r="AP28" s="787" t="s">
        <v>586</v>
      </c>
      <c r="AQ28" s="373">
        <f>X195</f>
        <v>17913974721</v>
      </c>
      <c r="AR28" s="373">
        <f>AD195</f>
        <v>8941703161</v>
      </c>
      <c r="AS28" s="373">
        <f>AG195</f>
        <v>4040477233</v>
      </c>
      <c r="AT28" s="431"/>
      <c r="AU28" s="373">
        <f t="shared" si="28"/>
        <v>0.49914680020832658</v>
      </c>
      <c r="AV28" s="373">
        <f t="shared" si="29"/>
        <v>0.22554889665348657</v>
      </c>
      <c r="AW28" s="373">
        <f>(AR28-AD207)/$AO$2*12+AD207</f>
        <v>15359370513</v>
      </c>
      <c r="AX28" s="373">
        <f>(AS28-AG207)/$AO$2*12+AG207</f>
        <v>5574832657</v>
      </c>
      <c r="AY28" s="373">
        <f t="shared" si="30"/>
        <v>-2554604208</v>
      </c>
      <c r="AZ28" s="143">
        <f t="shared" si="31"/>
        <v>12339142064</v>
      </c>
      <c r="BA28" s="382"/>
      <c r="BB28" s="382"/>
      <c r="BC28" s="382"/>
      <c r="BD28" s="382"/>
      <c r="BE28" s="382"/>
      <c r="BF28" s="382"/>
      <c r="BG28" s="382"/>
      <c r="BH28" s="382"/>
      <c r="BI28" s="382"/>
      <c r="BJ28" s="382"/>
      <c r="BK28" s="382"/>
      <c r="BL28" s="382"/>
      <c r="BM28" s="71" t="s">
        <v>448</v>
      </c>
      <c r="BN28" s="83">
        <f>+X196-X198-X207</f>
        <v>8745909269</v>
      </c>
      <c r="BO28" s="81">
        <f>+AA196-AA198-AA207</f>
        <v>5786808635</v>
      </c>
      <c r="BP28" s="81">
        <f>+AD196-AD198-AD207</f>
        <v>4427463636</v>
      </c>
      <c r="BQ28" s="82">
        <f>+AF196-AF198-AF207</f>
        <v>210956073</v>
      </c>
      <c r="BR28" s="9"/>
    </row>
    <row r="29" spans="1:70" s="9" customFormat="1" ht="24.95" customHeight="1">
      <c r="A29" s="611" t="str">
        <f>+IF(MAYO!A29=0,"",MAYO!A29)</f>
        <v>1130103-1</v>
      </c>
      <c r="B29" s="647" t="str">
        <f>+IF(MAYO!B29=0,"",MAYO!B29)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6" t="str">
        <f>+IF(MAYO!S29=0,"",MAYO!S29)</f>
        <v>1010104-11</v>
      </c>
      <c r="T29" s="682" t="str">
        <f>+IF(MAYO!T29=0,"",MAYO!T29)</f>
        <v>Gastos de Representación</v>
      </c>
      <c r="U29" s="27">
        <f>+ENERO!U29</f>
        <v>0</v>
      </c>
      <c r="V29" s="15">
        <f>MAYO!V29+JUNIO!AL29</f>
        <v>0</v>
      </c>
      <c r="W29" s="15">
        <f>MAYO!W29+JUNIO!AM29</f>
        <v>0</v>
      </c>
      <c r="X29" s="18">
        <f t="shared" si="20"/>
        <v>0</v>
      </c>
      <c r="Y29" s="19">
        <f>MAYO!AA29</f>
        <v>0</v>
      </c>
      <c r="Z29" s="374">
        <v>0</v>
      </c>
      <c r="AA29" s="18">
        <f t="shared" si="21"/>
        <v>0</v>
      </c>
      <c r="AB29" s="19">
        <f>MAYO!AD29</f>
        <v>0</v>
      </c>
      <c r="AC29" s="374">
        <v>0</v>
      </c>
      <c r="AD29" s="18">
        <f t="shared" si="22"/>
        <v>0</v>
      </c>
      <c r="AE29" s="19">
        <f>MAYO!AG29</f>
        <v>0</v>
      </c>
      <c r="AF29" s="374">
        <v>0</v>
      </c>
      <c r="AG29" s="18">
        <f t="shared" si="23"/>
        <v>0</v>
      </c>
      <c r="AH29" s="19">
        <f t="shared" si="24"/>
        <v>0</v>
      </c>
      <c r="AI29" s="15">
        <f t="shared" si="25"/>
        <v>0</v>
      </c>
      <c r="AJ29" s="16">
        <f t="shared" si="26"/>
        <v>0</v>
      </c>
      <c r="AL29" s="372">
        <v>0</v>
      </c>
      <c r="AM29" s="375">
        <v>0</v>
      </c>
      <c r="AO29" s="21"/>
      <c r="AP29" s="787"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433878092</v>
      </c>
      <c r="BO29" s="107">
        <f>AA232-AA256-AA241</f>
        <v>352813794</v>
      </c>
      <c r="BP29" s="107">
        <f>AD232-AD256-AD241</f>
        <v>180073229</v>
      </c>
      <c r="BQ29" s="108">
        <f>AF232-AF256-AF241</f>
        <v>7332666</v>
      </c>
      <c r="BR29" s="382"/>
    </row>
    <row r="30" spans="1:70" s="422" customFormat="1" ht="24.95" customHeight="1">
      <c r="A30" s="611" t="str">
        <f>+IF(MAYO!A30=0,"",MAYO!A30)</f>
        <v>1130103-1-1</v>
      </c>
      <c r="B30" s="646" t="str">
        <f>+CONCATENATE("Vigencia ",INSTRUCCIONES!$F$3)</f>
        <v>Vigencia 2017</v>
      </c>
      <c r="C30" s="671">
        <f>+ENERO!C30</f>
        <v>0</v>
      </c>
      <c r="D30" s="373">
        <f>MAYO!D30+JUNIO!P30</f>
        <v>0</v>
      </c>
      <c r="E30" s="373">
        <f>MAYO!E30+JUNIO!Q30</f>
        <v>0</v>
      </c>
      <c r="F30" s="373">
        <f>SUM(C30:E30)</f>
        <v>0</v>
      </c>
      <c r="G30" s="373">
        <f>MAYO!I30</f>
        <v>0</v>
      </c>
      <c r="H30" s="374">
        <v>0</v>
      </c>
      <c r="I30" s="373">
        <f>SUM(G30:H30)</f>
        <v>0</v>
      </c>
      <c r="J30" s="373">
        <f>MAYO!L30</f>
        <v>0</v>
      </c>
      <c r="K30" s="374">
        <v>0</v>
      </c>
      <c r="L30" s="373">
        <f>SUM(J30:K30)</f>
        <v>0</v>
      </c>
      <c r="M30" s="373">
        <f>F30-I30</f>
        <v>0</v>
      </c>
      <c r="N30" s="143">
        <f>F30-L30</f>
        <v>0</v>
      </c>
      <c r="O30" s="9"/>
      <c r="P30" s="372">
        <v>0</v>
      </c>
      <c r="Q30" s="375">
        <v>0</v>
      </c>
      <c r="R30" s="9"/>
      <c r="S30" s="706" t="str">
        <f>+IF(MAYO!S30=0,"",MAYO!S30)</f>
        <v>1010104-12</v>
      </c>
      <c r="T30" s="682" t="str">
        <f>+IF(MAYO!T30=0,"",MAYO!T30)</f>
        <v xml:space="preserve"> Indemnizaciones por Vacaciones o Supresión de Cargos por Reestructuración</v>
      </c>
      <c r="U30" s="27">
        <f>+ENERO!U30</f>
        <v>0</v>
      </c>
      <c r="V30" s="15">
        <f>MAYO!V30+JUNIO!AL30</f>
        <v>0</v>
      </c>
      <c r="W30" s="15">
        <f>MAYO!W30+JUNIO!AM30</f>
        <v>0</v>
      </c>
      <c r="X30" s="18">
        <f t="shared" si="20"/>
        <v>0</v>
      </c>
      <c r="Y30" s="19">
        <f>MAYO!AA30</f>
        <v>0</v>
      </c>
      <c r="Z30" s="374">
        <v>0</v>
      </c>
      <c r="AA30" s="18">
        <f t="shared" si="21"/>
        <v>0</v>
      </c>
      <c r="AB30" s="19">
        <f>MAYO!AD30</f>
        <v>0</v>
      </c>
      <c r="AC30" s="374">
        <v>0</v>
      </c>
      <c r="AD30" s="18">
        <f t="shared" si="22"/>
        <v>0</v>
      </c>
      <c r="AE30" s="19">
        <f>MAYO!AG30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433878092</v>
      </c>
      <c r="AR30" s="373">
        <f>AD220+AD232</f>
        <v>180073229</v>
      </c>
      <c r="AS30" s="373">
        <f>AG220+AG232</f>
        <v>172740563</v>
      </c>
      <c r="AT30" s="431"/>
      <c r="AU30" s="373">
        <f t="shared" si="28"/>
        <v>0.41503185415501459</v>
      </c>
      <c r="AV30" s="373">
        <f t="shared" si="29"/>
        <v>0.39813156318572546</v>
      </c>
      <c r="AW30" s="373">
        <f>(AR30-AD225-AD230-AD241-AD256)/$AO$2*12+AD225+AD230+AD241+AD256</f>
        <v>360146458</v>
      </c>
      <c r="AX30" s="373">
        <f>(AS30-AG225-AG230-AG241-AG256)/$AO$2*12+AG225+AG230+AG241+AG256</f>
        <v>345481126</v>
      </c>
      <c r="AY30" s="373">
        <f t="shared" si="30"/>
        <v>-73731634</v>
      </c>
      <c r="AZ30" s="143">
        <f t="shared" si="31"/>
        <v>88396966</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+IF(MAYO!A31=0,"",MAYO!A31)</f>
        <v>1130103-1-2</v>
      </c>
      <c r="B31" s="646" t="str">
        <f>+IF(MAYO!B31=0,"",MAYO!B31)</f>
        <v>Vigencia Anterior</v>
      </c>
      <c r="C31" s="671">
        <f>+ENERO!C31</f>
        <v>0</v>
      </c>
      <c r="D31" s="373">
        <f>MAYO!D31+JUNIO!P31</f>
        <v>0</v>
      </c>
      <c r="E31" s="373">
        <f>MAYO!E31+JUNIO!Q31</f>
        <v>0</v>
      </c>
      <c r="F31" s="373">
        <f>SUM(C31:E31)</f>
        <v>0</v>
      </c>
      <c r="G31" s="373">
        <f>MAYO!I31</f>
        <v>0</v>
      </c>
      <c r="H31" s="374">
        <v>0</v>
      </c>
      <c r="I31" s="373">
        <f>SUM(G31:H31)</f>
        <v>0</v>
      </c>
      <c r="J31" s="373">
        <f>MAYO!L31</f>
        <v>0</v>
      </c>
      <c r="K31" s="374">
        <v>0</v>
      </c>
      <c r="L31" s="373">
        <f>SUM(J31:K31)</f>
        <v>0</v>
      </c>
      <c r="M31" s="373">
        <f>F31-I31</f>
        <v>0</v>
      </c>
      <c r="N31" s="143">
        <f>F31-L31</f>
        <v>0</v>
      </c>
      <c r="O31" s="382"/>
      <c r="P31" s="372">
        <v>0</v>
      </c>
      <c r="Q31" s="375">
        <v>0</v>
      </c>
      <c r="R31" s="9"/>
      <c r="S31" s="706" t="str">
        <f>+IF(MAYO!S31=0,"",MAYO!S31)</f>
        <v>1010104-13</v>
      </c>
      <c r="T31" s="682" t="str">
        <f>+IF(MAYO!T31=0,"",MAYO!T31)</f>
        <v>Bonificación Especial por Recreación</v>
      </c>
      <c r="U31" s="27">
        <f>+ENERO!U31</f>
        <v>1869843</v>
      </c>
      <c r="V31" s="15">
        <f>MAYO!V31+JUNIO!AL31</f>
        <v>0</v>
      </c>
      <c r="W31" s="15">
        <f>MAYO!W31+JUNIO!AM31</f>
        <v>0</v>
      </c>
      <c r="X31" s="18">
        <f t="shared" si="20"/>
        <v>1869843</v>
      </c>
      <c r="Y31" s="19">
        <f>MAYO!AA31</f>
        <v>116903</v>
      </c>
      <c r="Z31" s="374">
        <v>0</v>
      </c>
      <c r="AA31" s="18">
        <f t="shared" si="21"/>
        <v>116903</v>
      </c>
      <c r="AB31" s="19">
        <f>MAYO!AD31</f>
        <v>116903</v>
      </c>
      <c r="AC31" s="374">
        <v>0</v>
      </c>
      <c r="AD31" s="18">
        <f t="shared" si="22"/>
        <v>116903</v>
      </c>
      <c r="AE31" s="19">
        <f>MAYO!AG31</f>
        <v>116903</v>
      </c>
      <c r="AF31" s="374">
        <v>0</v>
      </c>
      <c r="AG31" s="18">
        <f t="shared" si="23"/>
        <v>116903</v>
      </c>
      <c r="AH31" s="19">
        <f t="shared" si="24"/>
        <v>1752940</v>
      </c>
      <c r="AI31" s="15">
        <f t="shared" si="25"/>
        <v>1752940</v>
      </c>
      <c r="AJ31" s="16">
        <f t="shared" si="26"/>
        <v>1752940</v>
      </c>
      <c r="AK31" s="9"/>
      <c r="AL31" s="372">
        <v>0</v>
      </c>
      <c r="AM31" s="375">
        <v>0</v>
      </c>
      <c r="AN31" s="9"/>
      <c r="AO31" s="349"/>
      <c r="AP31" s="415" t="s">
        <v>135</v>
      </c>
      <c r="AQ31" s="431">
        <f>X258</f>
        <v>0</v>
      </c>
      <c r="AR31" s="431">
        <f>AD258</f>
        <v>-15675152455</v>
      </c>
      <c r="AS31" s="431">
        <f>AG258</f>
        <v>-19866055270</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10409214053</v>
      </c>
      <c r="BO31" s="107">
        <f>AA33+AA41+AA55+AA61+AA81+AA88+AA102+AA108+AA121+AA139+AA143+AA153+AA168+AA174+AA183+AA191+AA207+AA218+AA230+AA241+AA256+AA225</f>
        <v>9909682111</v>
      </c>
      <c r="BP31" s="107">
        <f>AD33+AD41+AD55+AD61+AD81+AD88+AD102+AD108+AD121+AD139+AD143+AD153+AD168+AD174+AD183+AD191+AD207+AD218+AD230+AD241+AD256+AD225</f>
        <v>9909682111</v>
      </c>
      <c r="BQ31" s="108">
        <f>AF33+AF41+AF55+AF61+AF81+AF88+AF102+AF108+AF121+AF139+AF143+AF153+AF168+AF174+AF183+AF191+AF207+AF218+AF230+AF241+AF256+AF225</f>
        <v>689506286</v>
      </c>
      <c r="BR31" s="9"/>
    </row>
    <row r="32" spans="1:70" s="9" customFormat="1" ht="24.95" customHeight="1" thickBot="1">
      <c r="A32" s="611" t="str">
        <f>+IF(MAYO!A32=0,"",MAYO!A32)</f>
        <v>1130103-2</v>
      </c>
      <c r="B32" s="647" t="str">
        <f>+IF(MAYO!B32=0,"",MAYO!B32)</f>
        <v>Prestación de Servicios de salud  2o. Nivel</v>
      </c>
      <c r="C32" s="19">
        <f t="shared" ref="C32:N32" si="35">SUM(C33:C34)</f>
        <v>157521482</v>
      </c>
      <c r="D32" s="15">
        <f t="shared" si="35"/>
        <v>0</v>
      </c>
      <c r="E32" s="15">
        <f t="shared" si="35"/>
        <v>212958</v>
      </c>
      <c r="F32" s="15">
        <f t="shared" si="35"/>
        <v>157734440</v>
      </c>
      <c r="G32" s="15">
        <f t="shared" si="35"/>
        <v>491980420</v>
      </c>
      <c r="H32" s="15">
        <f t="shared" si="35"/>
        <v>153835634</v>
      </c>
      <c r="I32" s="15">
        <f t="shared" si="35"/>
        <v>645816054</v>
      </c>
      <c r="J32" s="15">
        <f t="shared" si="35"/>
        <v>1266408</v>
      </c>
      <c r="K32" s="15">
        <f t="shared" si="35"/>
        <v>0</v>
      </c>
      <c r="L32" s="15">
        <f t="shared" si="35"/>
        <v>1266408</v>
      </c>
      <c r="M32" s="15">
        <f t="shared" si="35"/>
        <v>-488081614</v>
      </c>
      <c r="N32" s="16">
        <f t="shared" si="35"/>
        <v>156468032</v>
      </c>
      <c r="O32" s="382"/>
      <c r="P32" s="144">
        <f>SUM(P33:P34)</f>
        <v>0</v>
      </c>
      <c r="Q32" s="145">
        <f>SUM(Q33:Q34)</f>
        <v>0</v>
      </c>
      <c r="S32" s="706" t="str">
        <f>+IF(MAYO!S32=0,"",MAYO!S32)</f>
        <v>1010104-14</v>
      </c>
      <c r="T32" s="682" t="str">
        <f>+IF(MAYO!T32=0,"",MAYO!T32)</f>
        <v/>
      </c>
      <c r="U32" s="27">
        <f>+ENERO!U32</f>
        <v>0</v>
      </c>
      <c r="V32" s="15">
        <f>MAYO!V32+JUNIO!AL32</f>
        <v>0</v>
      </c>
      <c r="W32" s="15">
        <f>MAYO!W32+JUNIO!AM32</f>
        <v>0</v>
      </c>
      <c r="X32" s="18">
        <f t="shared" si="20"/>
        <v>0</v>
      </c>
      <c r="Y32" s="19">
        <f>MAYO!AA32</f>
        <v>0</v>
      </c>
      <c r="Z32" s="374">
        <v>0</v>
      </c>
      <c r="AA32" s="18">
        <f t="shared" si="21"/>
        <v>0</v>
      </c>
      <c r="AB32" s="19">
        <f>MAYO!AD32</f>
        <v>0</v>
      </c>
      <c r="AC32" s="374">
        <v>0</v>
      </c>
      <c r="AD32" s="18">
        <f t="shared" si="22"/>
        <v>0</v>
      </c>
      <c r="AE32" s="19">
        <f>MAYO!AG32</f>
        <v>0</v>
      </c>
      <c r="AF32" s="374">
        <v>0</v>
      </c>
      <c r="AG32" s="18">
        <f t="shared" si="23"/>
        <v>0</v>
      </c>
      <c r="AH32" s="19">
        <f t="shared" si="24"/>
        <v>0</v>
      </c>
      <c r="AI32" s="15">
        <f t="shared" si="25"/>
        <v>0</v>
      </c>
      <c r="AJ32" s="16">
        <f t="shared" si="26"/>
        <v>0</v>
      </c>
      <c r="AL32" s="372">
        <v>0</v>
      </c>
      <c r="AM32" s="375">
        <v>0</v>
      </c>
      <c r="AO32" s="21"/>
      <c r="AP32" s="440" t="s">
        <v>140</v>
      </c>
      <c r="AQ32" s="395">
        <f>SUM(AQ22:AQ31)</f>
        <v>63174728951</v>
      </c>
      <c r="AR32" s="395">
        <f>SUM(AR22:AR31)</f>
        <v>19456213500</v>
      </c>
      <c r="AS32" s="395">
        <f>SUM(AS22:AS31)</f>
        <v>0</v>
      </c>
      <c r="AT32" s="441"/>
      <c r="AU32" s="442">
        <f t="shared" si="28"/>
        <v>0.3079746256622764</v>
      </c>
      <c r="AV32" s="442">
        <f t="shared" si="29"/>
        <v>0</v>
      </c>
      <c r="AW32" s="351">
        <f>SUM(AW22:AW31)</f>
        <v>60476813604.833336</v>
      </c>
      <c r="AX32" s="351">
        <f>SUM(AX22:AX31)</f>
        <v>29964106234.833332</v>
      </c>
      <c r="AY32" s="351">
        <f>SUM(AY22:AY31)</f>
        <v>-2697915346.166667</v>
      </c>
      <c r="AZ32" s="352">
        <f>SUM(AZ22:AZ31)</f>
        <v>33210622716.166664</v>
      </c>
      <c r="BA32" s="382"/>
      <c r="BB32" s="422"/>
      <c r="BC32" s="422"/>
      <c r="BD32" s="422"/>
      <c r="BE32" s="422"/>
      <c r="BF32" s="422"/>
      <c r="BG32" s="382"/>
      <c r="BH32" s="382"/>
      <c r="BI32" s="382"/>
      <c r="BJ32" s="382"/>
      <c r="BK32" s="382"/>
      <c r="BM32" s="110" t="s">
        <v>136</v>
      </c>
      <c r="BN32" s="106">
        <f>+BN7+BN25+BN29+BN30+BN31</f>
        <v>63174728951</v>
      </c>
      <c r="BO32" s="107">
        <f t="shared" ref="BO32:BQ32" si="36">+BO7+BO25+BO29+BO30+BO31</f>
        <v>48317937158</v>
      </c>
      <c r="BP32" s="107">
        <f t="shared" si="36"/>
        <v>35131365955</v>
      </c>
      <c r="BQ32" s="108">
        <f t="shared" si="36"/>
        <v>2994875279</v>
      </c>
      <c r="BR32" s="382"/>
    </row>
    <row r="33" spans="1:70" s="422" customFormat="1" ht="24.95" customHeight="1" thickBot="1">
      <c r="A33" s="611" t="str">
        <f>+IF(MAYO!A33=0,"",MAYO!A33)</f>
        <v>1130103-2-1</v>
      </c>
      <c r="B33" s="646" t="str">
        <f>+CONCATENATE("Vigencia ",INSTRUCCIONES!$F$3)</f>
        <v>Vigencia 2017</v>
      </c>
      <c r="C33" s="671">
        <f>+ENERO!C33</f>
        <v>157521482</v>
      </c>
      <c r="D33" s="373">
        <f>MAYO!D33+JUNIO!P33</f>
        <v>0</v>
      </c>
      <c r="E33" s="373">
        <f>MAYO!E33+JUNIO!Q33</f>
        <v>0</v>
      </c>
      <c r="F33" s="373">
        <f>SUM(C33:E33)</f>
        <v>157521482</v>
      </c>
      <c r="G33" s="373">
        <f>MAYO!I33</f>
        <v>491767462</v>
      </c>
      <c r="H33" s="374">
        <v>153835634</v>
      </c>
      <c r="I33" s="373">
        <f>SUM(G33:H33)</f>
        <v>645603096</v>
      </c>
      <c r="J33" s="373">
        <f>MAYO!L33</f>
        <v>1053450</v>
      </c>
      <c r="K33" s="374">
        <v>0</v>
      </c>
      <c r="L33" s="373">
        <f>SUM(J33:K33)</f>
        <v>1053450</v>
      </c>
      <c r="M33" s="373">
        <f>F33-I33</f>
        <v>-488081614</v>
      </c>
      <c r="N33" s="143">
        <f>F33-L33</f>
        <v>156468032</v>
      </c>
      <c r="O33" s="9"/>
      <c r="P33" s="372">
        <v>0</v>
      </c>
      <c r="Q33" s="375">
        <v>0</v>
      </c>
      <c r="R33" s="9"/>
      <c r="S33" s="705">
        <f>+IF(MAYO!S33=0,"",MAYO!S33)</f>
        <v>1010199</v>
      </c>
      <c r="T33" s="681" t="str">
        <f>+IF(MAYO!T33=0,"",MAYO!T33)</f>
        <v>Vigencias Anteriores</v>
      </c>
      <c r="U33" s="27">
        <f>+ENERO!U33</f>
        <v>0</v>
      </c>
      <c r="V33" s="15">
        <f>MAYO!V33+JUNIO!AL33</f>
        <v>0</v>
      </c>
      <c r="W33" s="15">
        <f>MAYO!W33+JUNIO!AM33</f>
        <v>0</v>
      </c>
      <c r="X33" s="18">
        <f t="shared" si="20"/>
        <v>0</v>
      </c>
      <c r="Y33" s="19">
        <f>MAYO!AA33</f>
        <v>0</v>
      </c>
      <c r="Z33" s="374">
        <v>0</v>
      </c>
      <c r="AA33" s="18">
        <f t="shared" si="21"/>
        <v>0</v>
      </c>
      <c r="AB33" s="19">
        <f>MAYO!AD33</f>
        <v>0</v>
      </c>
      <c r="AC33" s="374">
        <v>0</v>
      </c>
      <c r="AD33" s="18">
        <f t="shared" si="22"/>
        <v>0</v>
      </c>
      <c r="AE33" s="19">
        <f>MAYO!AG33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-9297188626</v>
      </c>
      <c r="BP33" s="113">
        <f>AD258</f>
        <v>-15675152455</v>
      </c>
      <c r="BQ33" s="114">
        <f>AF258</f>
        <v>40723640172</v>
      </c>
      <c r="BR33" s="382"/>
    </row>
    <row r="34" spans="1:70" s="422" customFormat="1" ht="24.95" customHeight="1" thickBot="1">
      <c r="A34" s="611" t="str">
        <f>+IF(MAYO!A34=0,"",MAYO!A34)</f>
        <v>1130103-2-2</v>
      </c>
      <c r="B34" s="646" t="str">
        <f>+IF(MAYO!B34=0,"",MAYO!B34)</f>
        <v>Vigencia Anterior</v>
      </c>
      <c r="C34" s="671">
        <f>+ENERO!C34</f>
        <v>0</v>
      </c>
      <c r="D34" s="373">
        <f>MAYO!D34+JUNIO!P34</f>
        <v>0</v>
      </c>
      <c r="E34" s="373">
        <f>MAYO!E34+JUNIO!Q34</f>
        <v>212958</v>
      </c>
      <c r="F34" s="373">
        <f>SUM(C34:E34)</f>
        <v>212958</v>
      </c>
      <c r="G34" s="373">
        <f>MAYO!I34</f>
        <v>212958</v>
      </c>
      <c r="H34" s="374">
        <v>0</v>
      </c>
      <c r="I34" s="373">
        <f>SUM(G34:H34)</f>
        <v>212958</v>
      </c>
      <c r="J34" s="373">
        <f>MAYO!L34</f>
        <v>212958</v>
      </c>
      <c r="K34" s="374">
        <v>0</v>
      </c>
      <c r="L34" s="373">
        <f>SUM(J34:K34)</f>
        <v>212958</v>
      </c>
      <c r="M34" s="373">
        <f>F34-I34</f>
        <v>0</v>
      </c>
      <c r="N34" s="143">
        <f>F34-L34</f>
        <v>0</v>
      </c>
      <c r="O34" s="382"/>
      <c r="P34" s="372">
        <v>0</v>
      </c>
      <c r="Q34" s="375">
        <v>0</v>
      </c>
      <c r="R34" s="9"/>
      <c r="S34" s="366" t="str">
        <f>+IF(MAYO!S34=0,"",MAYO!S34)</f>
        <v/>
      </c>
      <c r="T34" s="695"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+IF(MAYO!A35=0,"",MAYO!A35)</f>
        <v>1130103-3</v>
      </c>
      <c r="B35" s="647" t="str">
        <f>+IF(MAYO!B35=0,"",MAYO!B35)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4">
        <f>+IF(MAYO!S35=0,"",MAYO!S35)</f>
        <v>1010200</v>
      </c>
      <c r="T35" s="680" t="str">
        <f>+IF(MAYO!T35=0,"",MAYO!T35)</f>
        <v>Servicios Personales Indirectos</v>
      </c>
      <c r="U35" s="132">
        <f t="shared" ref="U35:AJ35" si="38">SUM(U36:U41)</f>
        <v>3034900183</v>
      </c>
      <c r="V35" s="122">
        <f t="shared" si="38"/>
        <v>603945424</v>
      </c>
      <c r="W35" s="122">
        <f t="shared" si="38"/>
        <v>1325000000</v>
      </c>
      <c r="X35" s="129">
        <f t="shared" si="38"/>
        <v>4963845607</v>
      </c>
      <c r="Y35" s="128">
        <f t="shared" si="38"/>
        <v>4186739057</v>
      </c>
      <c r="Z35" s="122">
        <f t="shared" si="38"/>
        <v>92875230</v>
      </c>
      <c r="AA35" s="129">
        <f t="shared" si="38"/>
        <v>4279614287</v>
      </c>
      <c r="AB35" s="128">
        <f t="shared" si="38"/>
        <v>2649909053</v>
      </c>
      <c r="AC35" s="122">
        <f t="shared" si="38"/>
        <v>459956685</v>
      </c>
      <c r="AD35" s="129">
        <f t="shared" si="38"/>
        <v>3109865738</v>
      </c>
      <c r="AE35" s="128">
        <f t="shared" si="38"/>
        <v>1901703560</v>
      </c>
      <c r="AF35" s="122">
        <f t="shared" si="38"/>
        <v>231462082</v>
      </c>
      <c r="AG35" s="129">
        <f t="shared" si="38"/>
        <v>2133165642</v>
      </c>
      <c r="AH35" s="128">
        <f t="shared" si="38"/>
        <v>684231320</v>
      </c>
      <c r="AI35" s="122">
        <f t="shared" si="38"/>
        <v>1853979869</v>
      </c>
      <c r="AJ35" s="130">
        <f t="shared" si="38"/>
        <v>2830679965</v>
      </c>
      <c r="AK35" s="9"/>
      <c r="AL35" s="128">
        <f>SUM(AL36:AL41)</f>
        <v>-130000000</v>
      </c>
      <c r="AM35" s="130">
        <f>SUM(AM36:AM41)</f>
        <v>625000000</v>
      </c>
      <c r="AN35" s="9"/>
      <c r="AO35" s="349"/>
      <c r="AP35" s="450"/>
      <c r="AQ35" s="292"/>
      <c r="AR35" s="451"/>
      <c r="AS35" s="451"/>
      <c r="AT35" s="451"/>
      <c r="AU35" s="452">
        <f>AR17-AR32</f>
        <v>18904839817</v>
      </c>
      <c r="AV35" s="453">
        <f>AS17-AR32</f>
        <v>-430936363</v>
      </c>
      <c r="AW35" s="453" t="s">
        <v>153</v>
      </c>
      <c r="AX35" s="454"/>
      <c r="AY35" s="453">
        <f>AY17+AY32</f>
        <v>-3056820146.166667</v>
      </c>
      <c r="AZ35" s="455">
        <f>AZ17+AY32</f>
        <v>-42185890210.166664</v>
      </c>
      <c r="BB35" s="422"/>
      <c r="BC35" s="422"/>
      <c r="BD35" s="422"/>
      <c r="BE35" s="422"/>
      <c r="BF35" s="422"/>
    </row>
    <row r="36" spans="1:70" s="382" customFormat="1" ht="24.95" customHeight="1" thickBot="1">
      <c r="A36" s="611" t="str">
        <f>+IF(MAYO!A36=0,"",MAYO!A36)</f>
        <v>1130103-3-1</v>
      </c>
      <c r="B36" s="646" t="str">
        <f>+CONCATENATE("Vigencia ",INSTRUCCIONES!$F$3)</f>
        <v>Vigencia 2017</v>
      </c>
      <c r="C36" s="671">
        <f>+ENERO!C36</f>
        <v>0</v>
      </c>
      <c r="D36" s="373">
        <f>MAYO!D36+JUNIO!P36</f>
        <v>0</v>
      </c>
      <c r="E36" s="373">
        <f>MAYO!E36+JUNIO!Q36</f>
        <v>0</v>
      </c>
      <c r="F36" s="373">
        <f>SUM(C36:E36)</f>
        <v>0</v>
      </c>
      <c r="G36" s="373">
        <f>MAYO!I36</f>
        <v>0</v>
      </c>
      <c r="H36" s="374">
        <v>0</v>
      </c>
      <c r="I36" s="373">
        <f>SUM(G36:H36)</f>
        <v>0</v>
      </c>
      <c r="J36" s="373">
        <f>MAYO!L36</f>
        <v>0</v>
      </c>
      <c r="K36" s="374">
        <v>0</v>
      </c>
      <c r="L36" s="373">
        <f>SUM(J36:K36)</f>
        <v>0</v>
      </c>
      <c r="M36" s="373">
        <f>F36-I36</f>
        <v>0</v>
      </c>
      <c r="N36" s="143">
        <f>F36-L36</f>
        <v>0</v>
      </c>
      <c r="O36" s="9"/>
      <c r="P36" s="372">
        <v>0</v>
      </c>
      <c r="Q36" s="375">
        <v>0</v>
      </c>
      <c r="R36" s="9"/>
      <c r="S36" s="705" t="str">
        <f>+IF(MAYO!S36=0,"",MAYO!S36)</f>
        <v>1010200-1</v>
      </c>
      <c r="T36" s="681" t="str">
        <f>+IF(MAYO!T36=0,"",MAYO!T36)</f>
        <v>Remuneración y Honorarios por Servicios Técnicos y Profesionales</v>
      </c>
      <c r="U36" s="27">
        <f>+ENERO!U36</f>
        <v>999690000</v>
      </c>
      <c r="V36" s="15">
        <f>MAYO!V36+JUNIO!AL36</f>
        <v>338300000</v>
      </c>
      <c r="W36" s="15">
        <f>MAYO!W36+JUNIO!AM36</f>
        <v>70000000</v>
      </c>
      <c r="X36" s="18">
        <f t="shared" ref="X36:X41" si="39">SUM(U36:W36)</f>
        <v>1407990000</v>
      </c>
      <c r="Y36" s="19">
        <f>MAYO!AA36</f>
        <v>1337423509</v>
      </c>
      <c r="Z36" s="374">
        <v>47115269</v>
      </c>
      <c r="AA36" s="18">
        <f t="shared" ref="AA36:AA41" si="40">SUM(Y36:Z36)</f>
        <v>1384538778</v>
      </c>
      <c r="AB36" s="19">
        <f>MAYO!AD36</f>
        <v>804546574</v>
      </c>
      <c r="AC36" s="374">
        <v>127272268</v>
      </c>
      <c r="AD36" s="18">
        <f t="shared" ref="AD36:AD41" si="41">SUM(AB36:AC36)</f>
        <v>931818842</v>
      </c>
      <c r="AE36" s="19">
        <f>MAYO!AG36</f>
        <v>628542820</v>
      </c>
      <c r="AF36" s="374">
        <v>137046848</v>
      </c>
      <c r="AG36" s="18">
        <f t="shared" ref="AG36:AG41" si="42">SUM(AE36:AF36)</f>
        <v>765589668</v>
      </c>
      <c r="AH36" s="19">
        <f t="shared" ref="AH36:AH41" si="43">X36-AA36</f>
        <v>23451222</v>
      </c>
      <c r="AI36" s="15">
        <f t="shared" ref="AI36:AI41" si="44">X36-AD36</f>
        <v>476171158</v>
      </c>
      <c r="AJ36" s="16">
        <f t="shared" ref="AJ36:AJ41" si="45">X36-AG36</f>
        <v>642400332</v>
      </c>
      <c r="AK36" s="9"/>
      <c r="AL36" s="372">
        <v>0</v>
      </c>
      <c r="AM36" s="375">
        <v>70000000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+IF(MAYO!A37=0,"",MAYO!A37)</f>
        <v>1130103-3-2</v>
      </c>
      <c r="B37" s="646" t="str">
        <f>+IF(MAYO!B37=0,"",MAYO!B37)</f>
        <v>Vigencia Anterior</v>
      </c>
      <c r="C37" s="671">
        <f>+ENERO!C37</f>
        <v>0</v>
      </c>
      <c r="D37" s="373">
        <f>MAYO!D37+JUNIO!P37</f>
        <v>0</v>
      </c>
      <c r="E37" s="373">
        <f>MAYO!E37+JUNIO!Q37</f>
        <v>0</v>
      </c>
      <c r="F37" s="373">
        <f>SUM(C37:E37)</f>
        <v>0</v>
      </c>
      <c r="G37" s="373">
        <f>MAYO!I37</f>
        <v>0</v>
      </c>
      <c r="H37" s="374">
        <v>0</v>
      </c>
      <c r="I37" s="373">
        <f>SUM(G37:H37)</f>
        <v>0</v>
      </c>
      <c r="J37" s="373">
        <f>MAYO!L37</f>
        <v>0</v>
      </c>
      <c r="K37" s="374">
        <v>0</v>
      </c>
      <c r="L37" s="373">
        <f>SUM(J37:K37)</f>
        <v>0</v>
      </c>
      <c r="M37" s="373">
        <f>F37-I37</f>
        <v>0</v>
      </c>
      <c r="N37" s="143">
        <f>F37-L37</f>
        <v>0</v>
      </c>
      <c r="P37" s="372">
        <v>0</v>
      </c>
      <c r="Q37" s="375">
        <v>0</v>
      </c>
      <c r="R37" s="9"/>
      <c r="S37" s="705" t="str">
        <f>+IF(MAYO!S37=0,"",MAYO!S37)</f>
        <v>1010200-2</v>
      </c>
      <c r="T37" s="681" t="str">
        <f>+IF(MAYO!T37=0,"",MAYO!T37)</f>
        <v>Personal Supernumerario</v>
      </c>
      <c r="U37" s="27">
        <f>+ENERO!U37</f>
        <v>0</v>
      </c>
      <c r="V37" s="15">
        <f>MAYO!V37+JUNIO!AL37</f>
        <v>0</v>
      </c>
      <c r="W37" s="15">
        <f>MAYO!W37+JUNIO!AM37</f>
        <v>0</v>
      </c>
      <c r="X37" s="18">
        <f t="shared" si="39"/>
        <v>0</v>
      </c>
      <c r="Y37" s="19">
        <f>MAYO!AA37</f>
        <v>0</v>
      </c>
      <c r="Z37" s="374">
        <v>0</v>
      </c>
      <c r="AA37" s="18">
        <f t="shared" si="40"/>
        <v>0</v>
      </c>
      <c r="AB37" s="19">
        <f>MAYO!AD37</f>
        <v>0</v>
      </c>
      <c r="AC37" s="374">
        <v>0</v>
      </c>
      <c r="AD37" s="18">
        <f t="shared" si="41"/>
        <v>0</v>
      </c>
      <c r="AE37" s="19">
        <f>MAYO!AG37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5" t="str">
        <f>+IF(MAYO!A38=0,"",MAYO!A38)</f>
        <v>1130103-4</v>
      </c>
      <c r="B38" s="648" t="str">
        <f>+IF(MAYO!B38=0,"",MAYO!B38)</f>
        <v xml:space="preserve"> Aportes Patronales  1o. Nivel</v>
      </c>
      <c r="C38" s="671">
        <f>+ENERO!C38</f>
        <v>0</v>
      </c>
      <c r="D38" s="373">
        <f>MAYO!D38+JUNIO!P38</f>
        <v>0</v>
      </c>
      <c r="E38" s="373">
        <f>MAYO!E38+JUNIO!Q38</f>
        <v>0</v>
      </c>
      <c r="F38" s="373">
        <f t="shared" ref="F38:F41" si="46">SUM(C38:E38)</f>
        <v>0</v>
      </c>
      <c r="G38" s="373">
        <f>MAYO!I38</f>
        <v>0</v>
      </c>
      <c r="H38" s="374">
        <v>0</v>
      </c>
      <c r="I38" s="373">
        <f t="shared" ref="I38:I41" si="47">SUM(G38:H38)</f>
        <v>0</v>
      </c>
      <c r="J38" s="373">
        <f>MAYO!L38</f>
        <v>0</v>
      </c>
      <c r="K38" s="374">
        <v>0</v>
      </c>
      <c r="L38" s="373">
        <f t="shared" ref="L38:L41" si="48">SUM(J38:K38)</f>
        <v>0</v>
      </c>
      <c r="M38" s="373">
        <f t="shared" ref="M38:M41" si="49">F38-I38</f>
        <v>0</v>
      </c>
      <c r="N38" s="143">
        <f t="shared" ref="N38:N41" si="50">F38-L38</f>
        <v>0</v>
      </c>
      <c r="O38" s="525"/>
      <c r="P38" s="372">
        <v>0</v>
      </c>
      <c r="Q38" s="375">
        <v>0</v>
      </c>
      <c r="R38" s="9"/>
      <c r="S38" s="705" t="str">
        <f>+IF(MAYO!S38=0,"",MAYO!S38)</f>
        <v>1010200-3</v>
      </c>
      <c r="T38" s="681" t="str">
        <f>+IF(MAYO!T38=0,"",MAYO!T38)</f>
        <v>Honorarios de la Junta Directiva</v>
      </c>
      <c r="U38" s="27">
        <f>+ENERO!U38</f>
        <v>5000000</v>
      </c>
      <c r="V38" s="15">
        <f>MAYO!V38+JUNIO!AL38</f>
        <v>0</v>
      </c>
      <c r="W38" s="15">
        <f>MAYO!W38+JUNIO!AM38</f>
        <v>5000000</v>
      </c>
      <c r="X38" s="18">
        <f t="shared" si="39"/>
        <v>10000000</v>
      </c>
      <c r="Y38" s="19">
        <f>MAYO!AA38</f>
        <v>1820162</v>
      </c>
      <c r="Z38" s="374">
        <v>344727</v>
      </c>
      <c r="AA38" s="18">
        <f t="shared" si="40"/>
        <v>2164889</v>
      </c>
      <c r="AB38" s="19">
        <f>MAYO!AD38</f>
        <v>1820162</v>
      </c>
      <c r="AC38" s="374">
        <v>344727</v>
      </c>
      <c r="AD38" s="18">
        <f t="shared" si="41"/>
        <v>2164889</v>
      </c>
      <c r="AE38" s="19">
        <f>MAYO!AG38</f>
        <v>737718</v>
      </c>
      <c r="AF38" s="374">
        <v>0</v>
      </c>
      <c r="AG38" s="18">
        <f t="shared" si="42"/>
        <v>737718</v>
      </c>
      <c r="AH38" s="19">
        <f t="shared" si="43"/>
        <v>7835111</v>
      </c>
      <c r="AI38" s="15">
        <f t="shared" si="44"/>
        <v>7835111</v>
      </c>
      <c r="AJ38" s="16">
        <f t="shared" si="45"/>
        <v>9262282</v>
      </c>
      <c r="AK38" s="9"/>
      <c r="AL38" s="372">
        <v>0</v>
      </c>
      <c r="AM38" s="375">
        <v>5000000</v>
      </c>
      <c r="AN38" s="9"/>
      <c r="AO38" s="294"/>
      <c r="AP38" s="294"/>
      <c r="AQ38" s="294"/>
      <c r="AR38" s="294"/>
      <c r="AS38" s="294"/>
      <c r="AT38" s="294"/>
      <c r="AU38" s="294"/>
      <c r="AV38" s="294"/>
      <c r="AW38" s="294"/>
      <c r="AX38" s="294"/>
      <c r="AY38" s="294"/>
      <c r="AZ38" s="294"/>
    </row>
    <row r="39" spans="1:70" s="382" customFormat="1" ht="24.95" customHeight="1">
      <c r="A39" s="735" t="str">
        <f>+IF(MAYO!A39=0,"",MAYO!A39)</f>
        <v>1130103-5</v>
      </c>
      <c r="B39" s="648" t="str">
        <f>+IF(MAYO!B39=0,"",MAYO!B39)</f>
        <v xml:space="preserve"> Aportes Patronales  2o. Nivel</v>
      </c>
      <c r="C39" s="671">
        <f>+ENERO!C39</f>
        <v>0</v>
      </c>
      <c r="D39" s="373">
        <f>MAYO!D39+JUNIO!P39</f>
        <v>0</v>
      </c>
      <c r="E39" s="373">
        <f>MAYO!E39+JUNIO!Q39</f>
        <v>258077000</v>
      </c>
      <c r="F39" s="373">
        <f t="shared" si="46"/>
        <v>258077000</v>
      </c>
      <c r="G39" s="373">
        <f>MAYO!I39</f>
        <v>0</v>
      </c>
      <c r="H39" s="374">
        <v>0</v>
      </c>
      <c r="I39" s="373">
        <f t="shared" si="47"/>
        <v>0</v>
      </c>
      <c r="J39" s="373">
        <f>MAYO!L39</f>
        <v>0</v>
      </c>
      <c r="K39" s="374">
        <v>0</v>
      </c>
      <c r="L39" s="373">
        <f t="shared" si="48"/>
        <v>0</v>
      </c>
      <c r="M39" s="373">
        <f t="shared" si="49"/>
        <v>258077000</v>
      </c>
      <c r="N39" s="143">
        <f t="shared" si="50"/>
        <v>258077000</v>
      </c>
      <c r="O39" s="525"/>
      <c r="P39" s="372">
        <v>0</v>
      </c>
      <c r="Q39" s="375">
        <v>258077000</v>
      </c>
      <c r="R39" s="9"/>
      <c r="S39" s="705" t="str">
        <f>+IF(MAYO!S39=0,"",MAYO!S39)</f>
        <v>1010200-4</v>
      </c>
      <c r="T39" s="681" t="str">
        <f>+IF(MAYO!T39=0,"",MAYO!T39)</f>
        <v>Otros Honorarios</v>
      </c>
      <c r="U39" s="27">
        <f>+ENERO!U39</f>
        <v>2030210183</v>
      </c>
      <c r="V39" s="15">
        <f>MAYO!V39+JUNIO!AL39</f>
        <v>130000000</v>
      </c>
      <c r="W39" s="15">
        <f>MAYO!W39+JUNIO!AM39</f>
        <v>550000000</v>
      </c>
      <c r="X39" s="18">
        <f t="shared" si="39"/>
        <v>2710210183</v>
      </c>
      <c r="Y39" s="19">
        <f>MAYO!AA39</f>
        <v>2090914440</v>
      </c>
      <c r="Z39" s="374">
        <v>0</v>
      </c>
      <c r="AA39" s="18">
        <f t="shared" si="40"/>
        <v>2090914440</v>
      </c>
      <c r="AB39" s="19">
        <f>MAYO!AD39</f>
        <v>1086961371</v>
      </c>
      <c r="AC39" s="374">
        <v>286924456</v>
      </c>
      <c r="AD39" s="18">
        <f t="shared" si="41"/>
        <v>1373885827</v>
      </c>
      <c r="AE39" s="19">
        <f>MAYO!AG39</f>
        <v>515842076</v>
      </c>
      <c r="AF39" s="374">
        <v>49000000</v>
      </c>
      <c r="AG39" s="18">
        <f t="shared" si="42"/>
        <v>564842076</v>
      </c>
      <c r="AH39" s="19">
        <f t="shared" si="43"/>
        <v>619295743</v>
      </c>
      <c r="AI39" s="15">
        <f t="shared" si="44"/>
        <v>1336324356</v>
      </c>
      <c r="AJ39" s="16">
        <f t="shared" si="45"/>
        <v>2145368107</v>
      </c>
      <c r="AK39" s="9"/>
      <c r="AL39" s="372">
        <v>0</v>
      </c>
      <c r="AM39" s="375">
        <v>550000000</v>
      </c>
      <c r="AN39" s="9"/>
      <c r="AO39" s="294"/>
      <c r="AP39" s="294"/>
      <c r="AQ39" s="294"/>
      <c r="AR39" s="294"/>
      <c r="AS39" s="294"/>
      <c r="AT39" s="294"/>
      <c r="AU39" s="294"/>
      <c r="AV39" s="294"/>
      <c r="AW39" s="294"/>
      <c r="AX39" s="294"/>
      <c r="AY39" s="294"/>
      <c r="AZ39" s="294"/>
    </row>
    <row r="40" spans="1:70" s="422" customFormat="1" ht="24.95" customHeight="1">
      <c r="A40" s="735" t="str">
        <f>+IF(MAYO!A40=0,"",MAYO!A40)</f>
        <v>1130103-6</v>
      </c>
      <c r="B40" s="648" t="str">
        <f>+IF(MAYO!B40=0,"",MAYO!B40)</f>
        <v xml:space="preserve"> Aportes Patronales  3er. Nivel</v>
      </c>
      <c r="C40" s="671">
        <f>+ENERO!C40</f>
        <v>0</v>
      </c>
      <c r="D40" s="373">
        <f>MAYO!D40+JUNIO!P40</f>
        <v>0</v>
      </c>
      <c r="E40" s="373">
        <f>MAYO!E40+JUNIO!Q40</f>
        <v>0</v>
      </c>
      <c r="F40" s="373">
        <f t="shared" si="46"/>
        <v>0</v>
      </c>
      <c r="G40" s="373">
        <f>MAYO!I40</f>
        <v>0</v>
      </c>
      <c r="H40" s="374">
        <v>0</v>
      </c>
      <c r="I40" s="373">
        <f t="shared" si="47"/>
        <v>0</v>
      </c>
      <c r="J40" s="373">
        <f>MAYO!L40</f>
        <v>0</v>
      </c>
      <c r="K40" s="374">
        <v>0</v>
      </c>
      <c r="L40" s="373">
        <f t="shared" si="48"/>
        <v>0</v>
      </c>
      <c r="M40" s="373">
        <f t="shared" si="49"/>
        <v>0</v>
      </c>
      <c r="N40" s="143">
        <f t="shared" si="50"/>
        <v>0</v>
      </c>
      <c r="O40" s="525"/>
      <c r="P40" s="372">
        <v>0</v>
      </c>
      <c r="Q40" s="375">
        <v>0</v>
      </c>
      <c r="R40" s="9"/>
      <c r="S40" s="705" t="str">
        <f>+IF(MAYO!S40=0,"",MAYO!S40)</f>
        <v>1010200-6</v>
      </c>
      <c r="T40" s="681" t="str">
        <f>+IF(MAYO!T40=0,"",MAYO!T40)</f>
        <v>Certificación, Habilitación y Acreditación</v>
      </c>
      <c r="U40" s="27">
        <f>+ENERO!U40</f>
        <v>0</v>
      </c>
      <c r="V40" s="15">
        <f>MAYO!V40+JUNIO!AL40</f>
        <v>0</v>
      </c>
      <c r="W40" s="15">
        <f>MAYO!W40+JUNIO!AM40</f>
        <v>0</v>
      </c>
      <c r="X40" s="18">
        <f t="shared" si="39"/>
        <v>0</v>
      </c>
      <c r="Y40" s="19">
        <f>MAYO!AA40</f>
        <v>0</v>
      </c>
      <c r="Z40" s="374">
        <v>0</v>
      </c>
      <c r="AA40" s="18">
        <f t="shared" si="40"/>
        <v>0</v>
      </c>
      <c r="AB40" s="19">
        <f>MAYO!AD40</f>
        <v>0</v>
      </c>
      <c r="AC40" s="374">
        <v>0</v>
      </c>
      <c r="AD40" s="18">
        <f t="shared" si="41"/>
        <v>0</v>
      </c>
      <c r="AE40" s="19">
        <f>MAYO!AG40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3">
        <f>+IF(MAYO!A41=0,"",MAYO!A41)</f>
        <v>1130104</v>
      </c>
      <c r="B41" s="645" t="str">
        <f>+IF(MAYO!B41=0,"",MAYO!B41)</f>
        <v>SUBSIDIO A LA OFERTA- ACTIVIDADES NO POS-S</v>
      </c>
      <c r="C41" s="671">
        <f>+ENERO!C41</f>
        <v>0</v>
      </c>
      <c r="D41" s="122">
        <f>MAYO!D41+JUNIO!P41</f>
        <v>0</v>
      </c>
      <c r="E41" s="122">
        <f>MAYO!E41+JUNIO!Q41</f>
        <v>0</v>
      </c>
      <c r="F41" s="122">
        <f t="shared" si="46"/>
        <v>0</v>
      </c>
      <c r="G41" s="122">
        <f>MAYO!I41</f>
        <v>0</v>
      </c>
      <c r="H41" s="374">
        <v>0</v>
      </c>
      <c r="I41" s="122">
        <f t="shared" si="47"/>
        <v>0</v>
      </c>
      <c r="J41" s="122">
        <f>MAYO!L41</f>
        <v>0</v>
      </c>
      <c r="K41" s="374">
        <v>0</v>
      </c>
      <c r="L41" s="122">
        <f t="shared" si="48"/>
        <v>0</v>
      </c>
      <c r="M41" s="122">
        <f t="shared" si="49"/>
        <v>0</v>
      </c>
      <c r="N41" s="130">
        <f t="shared" si="50"/>
        <v>0</v>
      </c>
      <c r="O41" s="382"/>
      <c r="P41" s="374">
        <v>0</v>
      </c>
      <c r="Q41" s="375">
        <v>0</v>
      </c>
      <c r="R41" s="9"/>
      <c r="S41" s="705">
        <f>+IF(MAYO!S41=0,"",MAYO!S41)</f>
        <v>1010299</v>
      </c>
      <c r="T41" s="681" t="str">
        <f>+IF(MAYO!T41=0,"",MAYO!T41)</f>
        <v>Vigencias Anteriores</v>
      </c>
      <c r="U41" s="27">
        <f>+ENERO!U41</f>
        <v>0</v>
      </c>
      <c r="V41" s="15">
        <f>MAYO!V41+JUNIO!AL41</f>
        <v>135645424</v>
      </c>
      <c r="W41" s="15">
        <f>MAYO!W41+JUNIO!AM41</f>
        <v>700000000</v>
      </c>
      <c r="X41" s="18">
        <f t="shared" si="39"/>
        <v>835645424</v>
      </c>
      <c r="Y41" s="19">
        <f>MAYO!AA41</f>
        <v>756580946</v>
      </c>
      <c r="Z41" s="374">
        <v>45415234</v>
      </c>
      <c r="AA41" s="18">
        <f t="shared" si="40"/>
        <v>801996180</v>
      </c>
      <c r="AB41" s="19">
        <f>MAYO!AD41</f>
        <v>756580946</v>
      </c>
      <c r="AC41" s="374">
        <v>45415234</v>
      </c>
      <c r="AD41" s="18">
        <f t="shared" si="41"/>
        <v>801996180</v>
      </c>
      <c r="AE41" s="19">
        <f>MAYO!AG41</f>
        <v>756580946</v>
      </c>
      <c r="AF41" s="374">
        <v>45415234</v>
      </c>
      <c r="AG41" s="18">
        <f t="shared" si="42"/>
        <v>801996180</v>
      </c>
      <c r="AH41" s="19">
        <f t="shared" si="43"/>
        <v>33649244</v>
      </c>
      <c r="AI41" s="15">
        <f t="shared" si="44"/>
        <v>33649244</v>
      </c>
      <c r="AJ41" s="16">
        <f t="shared" si="45"/>
        <v>33649244</v>
      </c>
      <c r="AK41" s="9"/>
      <c r="AL41" s="372">
        <v>-130000000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3">
        <f>+IF(MAYO!A42=0,"",MAYO!A42)</f>
        <v>1130106</v>
      </c>
      <c r="B42" s="645" t="str">
        <f>+IF(MAYO!B42=0,"",MAYO!B42)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66" t="str">
        <f>+IF(MAYO!S42=0,"",MAYO!S42)</f>
        <v/>
      </c>
      <c r="T42" s="695"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+IF(MAYO!A43=0,"",MAYO!A43)</f>
        <v>1130106-1</v>
      </c>
      <c r="B43" s="646" t="str">
        <f>+CONCATENATE("Vigencia ",INSTRUCCIONES!$F$3)</f>
        <v>Vigencia 2017</v>
      </c>
      <c r="C43" s="671">
        <f>+ENERO!C43</f>
        <v>0</v>
      </c>
      <c r="D43" s="373">
        <f>MAYO!D43+JUNIO!P43</f>
        <v>0</v>
      </c>
      <c r="E43" s="373">
        <f>MAYO!E43+JUNIO!Q43</f>
        <v>0</v>
      </c>
      <c r="F43" s="373">
        <f>SUM(C43:E43)</f>
        <v>0</v>
      </c>
      <c r="G43" s="373">
        <f>MAYO!I43</f>
        <v>0</v>
      </c>
      <c r="H43" s="374">
        <v>0</v>
      </c>
      <c r="I43" s="373">
        <f>SUM(G43:H43)</f>
        <v>0</v>
      </c>
      <c r="J43" s="373">
        <f>MAYO!L43</f>
        <v>0</v>
      </c>
      <c r="K43" s="374">
        <v>0</v>
      </c>
      <c r="L43" s="373">
        <f>SUM(J43:K43)</f>
        <v>0</v>
      </c>
      <c r="M43" s="373">
        <f>F43-I43</f>
        <v>0</v>
      </c>
      <c r="N43" s="143">
        <f>F43-L43</f>
        <v>0</v>
      </c>
      <c r="O43" s="382"/>
      <c r="P43" s="372">
        <v>0</v>
      </c>
      <c r="Q43" s="375">
        <v>0</v>
      </c>
      <c r="R43" s="9"/>
      <c r="S43" s="704">
        <f>+IF(MAYO!S43=0,"",MAYO!S43)</f>
        <v>1010300</v>
      </c>
      <c r="T43" s="680" t="str">
        <f>+IF(MAYO!T43=0,"",MAYO!T43)</f>
        <v>Contribuciones Inherentes nómina al Sector Privado</v>
      </c>
      <c r="U43" s="132">
        <f t="shared" ref="U43:AJ43" si="52">U44+U49+U55</f>
        <v>182861553</v>
      </c>
      <c r="V43" s="122">
        <f t="shared" si="52"/>
        <v>-30802080</v>
      </c>
      <c r="W43" s="122">
        <f t="shared" si="52"/>
        <v>97321330</v>
      </c>
      <c r="X43" s="129">
        <f t="shared" si="52"/>
        <v>249380803</v>
      </c>
      <c r="Y43" s="128">
        <f t="shared" si="52"/>
        <v>49177485</v>
      </c>
      <c r="Z43" s="122">
        <f t="shared" si="52"/>
        <v>9729117</v>
      </c>
      <c r="AA43" s="129">
        <f t="shared" si="52"/>
        <v>58906602</v>
      </c>
      <c r="AB43" s="128">
        <f t="shared" si="52"/>
        <v>49177485</v>
      </c>
      <c r="AC43" s="122">
        <f t="shared" si="52"/>
        <v>9729117</v>
      </c>
      <c r="AD43" s="129">
        <f t="shared" si="52"/>
        <v>58906602</v>
      </c>
      <c r="AE43" s="128">
        <f t="shared" si="52"/>
        <v>49177485</v>
      </c>
      <c r="AF43" s="122">
        <f t="shared" si="52"/>
        <v>9729117</v>
      </c>
      <c r="AG43" s="129">
        <f t="shared" si="52"/>
        <v>58906602</v>
      </c>
      <c r="AH43" s="128">
        <f t="shared" si="52"/>
        <v>190474201</v>
      </c>
      <c r="AI43" s="122">
        <f t="shared" si="52"/>
        <v>190474201</v>
      </c>
      <c r="AJ43" s="130">
        <f t="shared" si="52"/>
        <v>190474201</v>
      </c>
      <c r="AK43" s="9"/>
      <c r="AL43" s="128">
        <f>AL44+AL49+AL55</f>
        <v>0</v>
      </c>
      <c r="AM43" s="130">
        <f>AM44+AM49+AM55</f>
        <v>72519250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+IF(MAYO!A44=0,"",MAYO!A44)</f>
        <v>1130106-2</v>
      </c>
      <c r="B44" s="646" t="str">
        <f>+IF(MAYO!B44=0,"",MAYO!B44)</f>
        <v>Vigencia Anterior</v>
      </c>
      <c r="C44" s="671">
        <f>+ENERO!C44</f>
        <v>0</v>
      </c>
      <c r="D44" s="373">
        <f>MAYO!D44+JUNIO!P44</f>
        <v>0</v>
      </c>
      <c r="E44" s="373">
        <f>MAYO!E44+JUNIO!Q44</f>
        <v>0</v>
      </c>
      <c r="F44" s="373">
        <f>SUM(C44:E44)</f>
        <v>0</v>
      </c>
      <c r="G44" s="373">
        <f>MAYO!I44</f>
        <v>0</v>
      </c>
      <c r="H44" s="374">
        <v>0</v>
      </c>
      <c r="I44" s="373">
        <f>SUM(G44:H44)</f>
        <v>0</v>
      </c>
      <c r="J44" s="373">
        <f>MAYO!L44</f>
        <v>0</v>
      </c>
      <c r="K44" s="374">
        <v>0</v>
      </c>
      <c r="L44" s="373">
        <f>SUM(J44:K44)</f>
        <v>0</v>
      </c>
      <c r="M44" s="373">
        <f>F44-I44</f>
        <v>0</v>
      </c>
      <c r="N44" s="143">
        <f>F44-L44</f>
        <v>0</v>
      </c>
      <c r="O44" s="382"/>
      <c r="P44" s="372">
        <v>0</v>
      </c>
      <c r="Q44" s="375">
        <v>0</v>
      </c>
      <c r="R44" s="9"/>
      <c r="S44" s="705">
        <f>+IF(MAYO!S44=0,"",MAYO!S44)</f>
        <v>1010301</v>
      </c>
      <c r="T44" s="681" t="str">
        <f>+IF(MAYO!T44=0,"",MAYO!T44)</f>
        <v>Contribuciones - SGP - Aportes Patronales - Cuentas Maestras</v>
      </c>
      <c r="U44" s="27">
        <f t="shared" ref="U44:AJ44" si="53">SUM(U45:U48)</f>
        <v>0</v>
      </c>
      <c r="V44" s="15">
        <f t="shared" si="53"/>
        <v>0</v>
      </c>
      <c r="W44" s="15">
        <f t="shared" si="53"/>
        <v>64519250</v>
      </c>
      <c r="X44" s="18">
        <f t="shared" si="53"/>
        <v>64519250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64519250</v>
      </c>
      <c r="AI44" s="15">
        <f t="shared" si="53"/>
        <v>64519250</v>
      </c>
      <c r="AJ44" s="16">
        <f t="shared" si="53"/>
        <v>64519250</v>
      </c>
      <c r="AK44" s="9"/>
      <c r="AL44" s="29">
        <f>SUM(AL45:AL48)</f>
        <v>0</v>
      </c>
      <c r="AM44" s="26">
        <f>SUM(AM45:AM48)</f>
        <v>64519250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3">
        <f>+IF(MAYO!A45=0,"",MAYO!A45)</f>
        <v>1130107</v>
      </c>
      <c r="B45" s="645" t="str">
        <f>+IF(MAYO!B45=0,"",MAYO!B45)</f>
        <v>MINSALUD-FOSYGA-RECLAMACIONES ECAT</v>
      </c>
      <c r="C45" s="43">
        <f t="shared" ref="C45:N45" si="54">SUM(C46:C47)</f>
        <v>375197511</v>
      </c>
      <c r="D45" s="44">
        <f t="shared" si="54"/>
        <v>0</v>
      </c>
      <c r="E45" s="44">
        <f t="shared" si="54"/>
        <v>79487</v>
      </c>
      <c r="F45" s="44">
        <f t="shared" si="54"/>
        <v>375276998</v>
      </c>
      <c r="G45" s="44">
        <f t="shared" si="54"/>
        <v>86221781</v>
      </c>
      <c r="H45" s="44">
        <f t="shared" si="54"/>
        <v>27063788</v>
      </c>
      <c r="I45" s="44">
        <f t="shared" si="54"/>
        <v>113285569</v>
      </c>
      <c r="J45" s="44">
        <f t="shared" si="54"/>
        <v>79487</v>
      </c>
      <c r="K45" s="44">
        <f t="shared" si="54"/>
        <v>0</v>
      </c>
      <c r="L45" s="44">
        <f t="shared" si="54"/>
        <v>79487</v>
      </c>
      <c r="M45" s="44">
        <f t="shared" si="54"/>
        <v>261991429</v>
      </c>
      <c r="N45" s="45">
        <f t="shared" si="54"/>
        <v>375197511</v>
      </c>
      <c r="P45" s="43">
        <f>SUM(P46:P47)</f>
        <v>0</v>
      </c>
      <c r="Q45" s="45">
        <f>SUM(Q46:Q47)</f>
        <v>0</v>
      </c>
      <c r="R45" s="9"/>
      <c r="S45" s="706" t="str">
        <f>+IF(MAYO!S45=0,"",MAYO!S45)</f>
        <v>1010301-1</v>
      </c>
      <c r="T45" s="682" t="str">
        <f>+IF(MAYO!T45=0,"",MAYO!T45)</f>
        <v>E.P.S. - Aportes cuentas maestras</v>
      </c>
      <c r="U45" s="27">
        <f>+ENERO!U45</f>
        <v>0</v>
      </c>
      <c r="V45" s="15">
        <f>MAYO!V45+JUNIO!AL45</f>
        <v>0</v>
      </c>
      <c r="W45" s="15">
        <f>MAYO!W45+JUNIO!AM45</f>
        <v>13633482</v>
      </c>
      <c r="X45" s="18">
        <f>SUM(U45:W45)</f>
        <v>13633482</v>
      </c>
      <c r="Y45" s="19">
        <f>MAYO!AA45</f>
        <v>0</v>
      </c>
      <c r="Z45" s="374">
        <v>0</v>
      </c>
      <c r="AA45" s="18">
        <f>SUM(Y45:Z45)</f>
        <v>0</v>
      </c>
      <c r="AB45" s="19">
        <f>MAYO!AD45</f>
        <v>0</v>
      </c>
      <c r="AC45" s="374">
        <v>0</v>
      </c>
      <c r="AD45" s="18">
        <f>SUM(AB45:AC45)</f>
        <v>0</v>
      </c>
      <c r="AE45" s="19">
        <f>MAYO!AG45</f>
        <v>0</v>
      </c>
      <c r="AF45" s="374">
        <v>0</v>
      </c>
      <c r="AG45" s="18">
        <f>SUM(AE45:AF45)</f>
        <v>0</v>
      </c>
      <c r="AH45" s="19">
        <f>X45-AA45</f>
        <v>13633482</v>
      </c>
      <c r="AI45" s="15">
        <f>X45-AD45</f>
        <v>13633482</v>
      </c>
      <c r="AJ45" s="16">
        <f>X45-AG45</f>
        <v>13633482</v>
      </c>
      <c r="AK45" s="9"/>
      <c r="AL45" s="372">
        <v>0</v>
      </c>
      <c r="AM45" s="375">
        <v>13633482</v>
      </c>
      <c r="AN45" s="9"/>
      <c r="AO45" s="294"/>
      <c r="AP45" s="294"/>
      <c r="AQ45" s="294"/>
      <c r="AR45" s="294"/>
      <c r="AS45" s="294"/>
      <c r="AT45" s="294"/>
      <c r="AU45" s="294"/>
      <c r="AV45" s="294"/>
      <c r="AW45" s="294"/>
      <c r="AX45" s="294"/>
      <c r="AY45" s="294"/>
      <c r="AZ45" s="294"/>
    </row>
    <row r="46" spans="1:70" s="422" customFormat="1" ht="24.95" customHeight="1">
      <c r="A46" s="611" t="str">
        <f>+IF(MAYO!A46=0,"",MAYO!A46)</f>
        <v>1130107-1</v>
      </c>
      <c r="B46" s="646" t="str">
        <f>+CONCATENATE("Vigencia ",INSTRUCCIONES!$F$3)</f>
        <v>Vigencia 2017</v>
      </c>
      <c r="C46" s="671">
        <f>+ENERO!C46</f>
        <v>375197511</v>
      </c>
      <c r="D46" s="373">
        <f>MAYO!D46+JUNIO!P46</f>
        <v>0</v>
      </c>
      <c r="E46" s="373">
        <f>MAYO!E46+JUNIO!Q46</f>
        <v>0</v>
      </c>
      <c r="F46" s="373">
        <f>SUM(C46:E46)</f>
        <v>375197511</v>
      </c>
      <c r="G46" s="373">
        <f>MAYO!I46</f>
        <v>86142294</v>
      </c>
      <c r="H46" s="374">
        <v>27063788</v>
      </c>
      <c r="I46" s="373">
        <f>SUM(G46:H46)</f>
        <v>113206082</v>
      </c>
      <c r="J46" s="373">
        <f>MAYO!L46</f>
        <v>0</v>
      </c>
      <c r="K46" s="374">
        <v>0</v>
      </c>
      <c r="L46" s="373">
        <f>SUM(J46:K46)</f>
        <v>0</v>
      </c>
      <c r="M46" s="373">
        <f>F46-I46</f>
        <v>261991429</v>
      </c>
      <c r="N46" s="143">
        <f>F46-L46</f>
        <v>375197511</v>
      </c>
      <c r="O46" s="382"/>
      <c r="P46" s="372">
        <v>0</v>
      </c>
      <c r="Q46" s="375">
        <v>0</v>
      </c>
      <c r="R46" s="9"/>
      <c r="S46" s="706" t="str">
        <f>+IF(MAYO!S46=0,"",MAYO!S46)</f>
        <v>1010301-2</v>
      </c>
      <c r="T46" s="682" t="str">
        <f>+IF(MAYO!T46=0,"",MAYO!T46)</f>
        <v>Fondos pensionales - Aportes cuentas maestras</v>
      </c>
      <c r="U46" s="27">
        <f>+ENERO!U46</f>
        <v>0</v>
      </c>
      <c r="V46" s="15">
        <f>MAYO!V46+JUNIO!AL46</f>
        <v>0</v>
      </c>
      <c r="W46" s="15">
        <f>MAYO!W46+JUNIO!AM46</f>
        <v>38239500</v>
      </c>
      <c r="X46" s="18">
        <f>SUM(U46:W46)</f>
        <v>38239500</v>
      </c>
      <c r="Y46" s="19">
        <f>MAYO!AA46</f>
        <v>0</v>
      </c>
      <c r="Z46" s="374">
        <v>0</v>
      </c>
      <c r="AA46" s="18">
        <f>SUM(Y46:Z46)</f>
        <v>0</v>
      </c>
      <c r="AB46" s="19">
        <f>MAYO!AD46</f>
        <v>0</v>
      </c>
      <c r="AC46" s="374">
        <v>0</v>
      </c>
      <c r="AD46" s="18">
        <f>SUM(AB46:AC46)</f>
        <v>0</v>
      </c>
      <c r="AE46" s="19">
        <f>MAYO!AG46</f>
        <v>0</v>
      </c>
      <c r="AF46" s="374">
        <v>0</v>
      </c>
      <c r="AG46" s="18">
        <f>SUM(AE46:AF46)</f>
        <v>0</v>
      </c>
      <c r="AH46" s="19">
        <f>X46-AA46</f>
        <v>38239500</v>
      </c>
      <c r="AI46" s="15">
        <f>X46-AD46</f>
        <v>38239500</v>
      </c>
      <c r="AJ46" s="16">
        <f>X46-AG46</f>
        <v>38239500</v>
      </c>
      <c r="AK46" s="9"/>
      <c r="AL46" s="372">
        <v>0</v>
      </c>
      <c r="AM46" s="375">
        <v>38239500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+IF(MAYO!A47=0,"",MAYO!A47)</f>
        <v>1130107-2</v>
      </c>
      <c r="B47" s="646" t="str">
        <f>+IF(MAYO!B47=0,"",MAYO!B47)</f>
        <v>Vigencia Anterior</v>
      </c>
      <c r="C47" s="671">
        <f>+ENERO!C47</f>
        <v>0</v>
      </c>
      <c r="D47" s="373">
        <f>MAYO!D47+JUNIO!P47</f>
        <v>0</v>
      </c>
      <c r="E47" s="373">
        <f>MAYO!E47+JUNIO!Q47</f>
        <v>79487</v>
      </c>
      <c r="F47" s="373">
        <f>SUM(C47:E47)</f>
        <v>79487</v>
      </c>
      <c r="G47" s="373">
        <f>MAYO!I47</f>
        <v>79487</v>
      </c>
      <c r="H47" s="374">
        <v>0</v>
      </c>
      <c r="I47" s="373">
        <f>SUM(G47:H47)</f>
        <v>79487</v>
      </c>
      <c r="J47" s="373">
        <f>MAYO!L47</f>
        <v>79487</v>
      </c>
      <c r="K47" s="374">
        <v>0</v>
      </c>
      <c r="L47" s="373">
        <f>SUM(J47:K47)</f>
        <v>79487</v>
      </c>
      <c r="M47" s="373">
        <f>F47-I47</f>
        <v>0</v>
      </c>
      <c r="N47" s="143">
        <f>F47-L47</f>
        <v>0</v>
      </c>
      <c r="O47" s="382"/>
      <c r="P47" s="372">
        <v>0</v>
      </c>
      <c r="Q47" s="375">
        <v>0</v>
      </c>
      <c r="R47" s="9"/>
      <c r="S47" s="706" t="str">
        <f>+IF(MAYO!S47=0,"",MAYO!S47)</f>
        <v>1010301-3</v>
      </c>
      <c r="T47" s="682" t="str">
        <f>+IF(MAYO!T47=0,"",MAYO!T47)</f>
        <v>Fondos de cesantías - Aportes cuentas maestras</v>
      </c>
      <c r="U47" s="27">
        <f>+ENERO!U47</f>
        <v>0</v>
      </c>
      <c r="V47" s="15">
        <f>MAYO!V47+JUNIO!AL47</f>
        <v>0</v>
      </c>
      <c r="W47" s="15">
        <f>MAYO!W47+JUNIO!AM47</f>
        <v>9400000</v>
      </c>
      <c r="X47" s="18">
        <f>SUM(U47:W47)</f>
        <v>9400000</v>
      </c>
      <c r="Y47" s="19">
        <f>MAYO!AA47</f>
        <v>0</v>
      </c>
      <c r="Z47" s="374">
        <v>0</v>
      </c>
      <c r="AA47" s="18">
        <f>SUM(Y47:Z47)</f>
        <v>0</v>
      </c>
      <c r="AB47" s="19">
        <f>MAYO!AD47</f>
        <v>0</v>
      </c>
      <c r="AC47" s="374">
        <v>0</v>
      </c>
      <c r="AD47" s="18">
        <f>SUM(AB47:AC47)</f>
        <v>0</v>
      </c>
      <c r="AE47" s="19">
        <f>MAYO!AG47</f>
        <v>0</v>
      </c>
      <c r="AF47" s="374">
        <v>0</v>
      </c>
      <c r="AG47" s="18">
        <f>SUM(AE47:AF47)</f>
        <v>0</v>
      </c>
      <c r="AH47" s="19">
        <f>X47-AA47</f>
        <v>9400000</v>
      </c>
      <c r="AI47" s="15">
        <f>X47-AD47</f>
        <v>9400000</v>
      </c>
      <c r="AJ47" s="16">
        <f>X47-AG47</f>
        <v>9400000</v>
      </c>
      <c r="AK47" s="9"/>
      <c r="AL47" s="372">
        <v>0</v>
      </c>
      <c r="AM47" s="375">
        <v>9400000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3">
        <f>+IF(MAYO!A48=0,"",MAYO!A48)</f>
        <v>1130108</v>
      </c>
      <c r="B48" s="645" t="str">
        <f>+IF(MAYO!B48=0,"",MAYO!B48)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6" t="str">
        <f>+IF(MAYO!S48=0,"",MAYO!S48)</f>
        <v>1010301-4</v>
      </c>
      <c r="T48" s="682" t="str">
        <f>+IF(MAYO!T48=0,"",MAYO!T48)</f>
        <v>Riesgos laborales - Aportes cuentas maestras</v>
      </c>
      <c r="U48" s="27">
        <f>+ENERO!U48</f>
        <v>0</v>
      </c>
      <c r="V48" s="15">
        <f>MAYO!V48+JUNIO!AL48</f>
        <v>0</v>
      </c>
      <c r="W48" s="15">
        <f>MAYO!W48+JUNIO!AM48</f>
        <v>3246268</v>
      </c>
      <c r="X48" s="18">
        <f>SUM(U48:W48)</f>
        <v>3246268</v>
      </c>
      <c r="Y48" s="19">
        <f>MAYO!AA48</f>
        <v>0</v>
      </c>
      <c r="Z48" s="374">
        <v>0</v>
      </c>
      <c r="AA48" s="18">
        <f>SUM(Y48:Z48)</f>
        <v>0</v>
      </c>
      <c r="AB48" s="19">
        <f>MAYO!AD48</f>
        <v>0</v>
      </c>
      <c r="AC48" s="374">
        <v>0</v>
      </c>
      <c r="AD48" s="18">
        <f>SUM(AB48:AC48)</f>
        <v>0</v>
      </c>
      <c r="AE48" s="19">
        <f>MAYO!AG48</f>
        <v>0</v>
      </c>
      <c r="AF48" s="374">
        <v>0</v>
      </c>
      <c r="AG48" s="18">
        <f>SUM(AE48:AF48)</f>
        <v>0</v>
      </c>
      <c r="AH48" s="19">
        <f>X48-AA48</f>
        <v>3246268</v>
      </c>
      <c r="AI48" s="15">
        <f>X48-AD48</f>
        <v>3246268</v>
      </c>
      <c r="AJ48" s="16">
        <f>X48-AG48</f>
        <v>3246268</v>
      </c>
      <c r="AK48" s="9"/>
      <c r="AL48" s="372">
        <v>0</v>
      </c>
      <c r="AM48" s="375">
        <v>3246268</v>
      </c>
      <c r="AN48" s="9"/>
      <c r="AO48" s="294"/>
      <c r="AP48" s="294"/>
      <c r="AQ48" s="294"/>
      <c r="AR48" s="294"/>
      <c r="AS48" s="294"/>
      <c r="AT48" s="294"/>
      <c r="AU48" s="294"/>
      <c r="AV48" s="294"/>
      <c r="AW48" s="294"/>
      <c r="AX48" s="294"/>
      <c r="AY48" s="294"/>
      <c r="AZ48" s="294"/>
    </row>
    <row r="49" spans="1:70" s="422" customFormat="1" ht="24.95" customHeight="1">
      <c r="A49" s="611" t="str">
        <f>+IF(MAYO!A49=0,"",MAYO!A49)</f>
        <v>1130108-1</v>
      </c>
      <c r="B49" s="646" t="str">
        <f>+CONCATENATE("Vigencia ",INSTRUCCIONES!$F$3)</f>
        <v>Vigencia 2017</v>
      </c>
      <c r="C49" s="671">
        <f>+ENERO!C49</f>
        <v>0</v>
      </c>
      <c r="D49" s="373">
        <f>MAYO!D49+JUNIO!P49</f>
        <v>0</v>
      </c>
      <c r="E49" s="373">
        <f>MAYO!E49+JUNIO!Q49</f>
        <v>0</v>
      </c>
      <c r="F49" s="373">
        <f>SUM(C49:E49)</f>
        <v>0</v>
      </c>
      <c r="G49" s="373">
        <f>MAYO!I49</f>
        <v>0</v>
      </c>
      <c r="H49" s="374">
        <v>0</v>
      </c>
      <c r="I49" s="373">
        <f>SUM(G49:H49)</f>
        <v>0</v>
      </c>
      <c r="J49" s="373">
        <f>MAYO!L49</f>
        <v>0</v>
      </c>
      <c r="K49" s="374">
        <v>0</v>
      </c>
      <c r="L49" s="373">
        <f>SUM(J49:K49)</f>
        <v>0</v>
      </c>
      <c r="M49" s="373">
        <f>F49-I49</f>
        <v>0</v>
      </c>
      <c r="N49" s="143">
        <f>F49-L49</f>
        <v>0</v>
      </c>
      <c r="O49" s="382"/>
      <c r="P49" s="372">
        <v>0</v>
      </c>
      <c r="Q49" s="375">
        <v>0</v>
      </c>
      <c r="R49" s="9"/>
      <c r="S49" s="705">
        <f>+IF(MAYO!S49=0,"",MAYO!S49)</f>
        <v>1010302</v>
      </c>
      <c r="T49" s="681" t="str">
        <f>+IF(MAYO!T49=0,"",MAYO!T49)</f>
        <v>Contribuciones - Otros</v>
      </c>
      <c r="U49" s="27">
        <f t="shared" ref="U49:AJ49" si="56">SUM(U50:U54)</f>
        <v>182861553</v>
      </c>
      <c r="V49" s="15">
        <f t="shared" si="56"/>
        <v>-6000000</v>
      </c>
      <c r="W49" s="15">
        <f t="shared" si="56"/>
        <v>8000000</v>
      </c>
      <c r="X49" s="18">
        <f t="shared" si="56"/>
        <v>184861553</v>
      </c>
      <c r="Y49" s="19">
        <f t="shared" si="56"/>
        <v>49177485</v>
      </c>
      <c r="Z49" s="142">
        <f t="shared" si="56"/>
        <v>9729117</v>
      </c>
      <c r="AA49" s="18">
        <f t="shared" si="56"/>
        <v>58906602</v>
      </c>
      <c r="AB49" s="19">
        <f t="shared" si="56"/>
        <v>49177485</v>
      </c>
      <c r="AC49" s="142">
        <f t="shared" si="56"/>
        <v>9729117</v>
      </c>
      <c r="AD49" s="18">
        <f t="shared" si="56"/>
        <v>58906602</v>
      </c>
      <c r="AE49" s="19">
        <f t="shared" si="56"/>
        <v>49177485</v>
      </c>
      <c r="AF49" s="142">
        <f t="shared" si="56"/>
        <v>9729117</v>
      </c>
      <c r="AG49" s="18">
        <f t="shared" si="56"/>
        <v>58906602</v>
      </c>
      <c r="AH49" s="19">
        <f t="shared" si="56"/>
        <v>125954951</v>
      </c>
      <c r="AI49" s="15">
        <f t="shared" si="56"/>
        <v>125954951</v>
      </c>
      <c r="AJ49" s="16">
        <f t="shared" si="56"/>
        <v>125954951</v>
      </c>
      <c r="AK49" s="9"/>
      <c r="AL49" s="29">
        <f>SUM(AL50:AL54)</f>
        <v>0</v>
      </c>
      <c r="AM49" s="26">
        <f>SUM(AM50:AM54)</f>
        <v>8000000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+IF(MAYO!A50=0,"",MAYO!A50)</f>
        <v>1130108-2</v>
      </c>
      <c r="B50" s="646" t="str">
        <f>+IF(MAYO!B50=0,"",MAYO!B50)</f>
        <v>Vigencia Anterior</v>
      </c>
      <c r="C50" s="671">
        <f>+ENERO!C50</f>
        <v>0</v>
      </c>
      <c r="D50" s="373">
        <f>MAYO!D50+JUNIO!P50</f>
        <v>0</v>
      </c>
      <c r="E50" s="373">
        <f>MAYO!E50+JUNIO!Q50</f>
        <v>0</v>
      </c>
      <c r="F50" s="373">
        <f>SUM(C50:E50)</f>
        <v>0</v>
      </c>
      <c r="G50" s="373">
        <f>MAYO!I50</f>
        <v>0</v>
      </c>
      <c r="H50" s="374">
        <v>0</v>
      </c>
      <c r="I50" s="373">
        <f>SUM(G50:H50)</f>
        <v>0</v>
      </c>
      <c r="J50" s="373">
        <f>MAYO!L50</f>
        <v>0</v>
      </c>
      <c r="K50" s="374">
        <v>0</v>
      </c>
      <c r="L50" s="373">
        <f>SUM(J50:K50)</f>
        <v>0</v>
      </c>
      <c r="M50" s="373">
        <f>F50-I50</f>
        <v>0</v>
      </c>
      <c r="N50" s="143">
        <f>F50-L50</f>
        <v>0</v>
      </c>
      <c r="O50" s="382"/>
      <c r="P50" s="372">
        <v>0</v>
      </c>
      <c r="Q50" s="375">
        <v>0</v>
      </c>
      <c r="R50" s="9"/>
      <c r="S50" s="706" t="str">
        <f>+IF(MAYO!S50=0,"",MAYO!S50)</f>
        <v>1010302-1</v>
      </c>
      <c r="T50" s="682" t="str">
        <f>+IF(MAYO!T50=0,"",MAYO!T50)</f>
        <v>Aportes a E.P.S.- Con sit. Fondos</v>
      </c>
      <c r="U50" s="27">
        <f>+ENERO!U50</f>
        <v>72876516</v>
      </c>
      <c r="V50" s="15">
        <f>MAYO!V50+JUNIO!AL50</f>
        <v>-9500000</v>
      </c>
      <c r="W50" s="15">
        <f>MAYO!W50+JUNIO!AM50</f>
        <v>0</v>
      </c>
      <c r="X50" s="18">
        <f t="shared" ref="X50:X55" si="57">SUM(U50:W50)</f>
        <v>63376516</v>
      </c>
      <c r="Y50" s="19">
        <f>MAYO!AA50</f>
        <v>16420288</v>
      </c>
      <c r="Z50" s="374">
        <v>3412608</v>
      </c>
      <c r="AA50" s="18">
        <f t="shared" ref="AA50:AA55" si="58">SUM(Y50:Z50)</f>
        <v>19832896</v>
      </c>
      <c r="AB50" s="19">
        <f>MAYO!AD50</f>
        <v>16420288</v>
      </c>
      <c r="AC50" s="374">
        <v>3412608</v>
      </c>
      <c r="AD50" s="18">
        <f t="shared" ref="AD50:AD55" si="59">SUM(AB50:AC50)</f>
        <v>19832896</v>
      </c>
      <c r="AE50" s="19">
        <f>MAYO!AG50</f>
        <v>16420288</v>
      </c>
      <c r="AF50" s="374">
        <v>3412608</v>
      </c>
      <c r="AG50" s="18">
        <f t="shared" ref="AG50:AG55" si="60">SUM(AE50:AF50)</f>
        <v>19832896</v>
      </c>
      <c r="AH50" s="19">
        <f t="shared" ref="AH50:AH55" si="61">X50-AA50</f>
        <v>43543620</v>
      </c>
      <c r="AI50" s="15">
        <f t="shared" ref="AI50:AI55" si="62">X50-AD50</f>
        <v>43543620</v>
      </c>
      <c r="AJ50" s="16">
        <f t="shared" ref="AJ50:AJ55" si="63">X50-AG50</f>
        <v>43543620</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3">
        <f>+IF(MAYO!A51=0,"",MAYO!A51)</f>
        <v>1130109</v>
      </c>
      <c r="B51" s="645" t="str">
        <f>+IF(MAYO!B51=0,"",MAYO!B51)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6" t="str">
        <f>+IF(MAYO!S51=0,"",MAYO!S51)</f>
        <v>1010302-2</v>
      </c>
      <c r="T51" s="682" t="str">
        <f>+IF(MAYO!T51=0,"",MAYO!T51)</f>
        <v>Aportes Fondos Pensionales - Con Sit. Fondos</v>
      </c>
      <c r="U51" s="27">
        <f>+ENERO!U51</f>
        <v>75101971</v>
      </c>
      <c r="V51" s="15">
        <f>MAYO!V51+JUNIO!AL51</f>
        <v>0</v>
      </c>
      <c r="W51" s="15">
        <f>MAYO!W51+JUNIO!AM51</f>
        <v>0</v>
      </c>
      <c r="X51" s="18">
        <f t="shared" si="57"/>
        <v>75101971</v>
      </c>
      <c r="Y51" s="19">
        <f>MAYO!AA51</f>
        <v>22946041</v>
      </c>
      <c r="Z51" s="374">
        <v>4593020</v>
      </c>
      <c r="AA51" s="18">
        <f t="shared" si="58"/>
        <v>27539061</v>
      </c>
      <c r="AB51" s="19">
        <f>MAYO!AD51</f>
        <v>22946041</v>
      </c>
      <c r="AC51" s="374">
        <v>4593020</v>
      </c>
      <c r="AD51" s="18">
        <f t="shared" si="59"/>
        <v>27539061</v>
      </c>
      <c r="AE51" s="19">
        <f>MAYO!AG51</f>
        <v>22946041</v>
      </c>
      <c r="AF51" s="374">
        <v>4593020</v>
      </c>
      <c r="AG51" s="18">
        <f t="shared" si="60"/>
        <v>27539061</v>
      </c>
      <c r="AH51" s="19">
        <f t="shared" si="61"/>
        <v>47562910</v>
      </c>
      <c r="AI51" s="15">
        <f t="shared" si="62"/>
        <v>47562910</v>
      </c>
      <c r="AJ51" s="16">
        <f t="shared" si="63"/>
        <v>47562910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+IF(MAYO!A52=0,"",MAYO!A52)</f>
        <v>1130109-1</v>
      </c>
      <c r="B52" s="646" t="str">
        <f>+CONCATENATE("Vigencia ",INSTRUCCIONES!$F$3)</f>
        <v>Vigencia 2017</v>
      </c>
      <c r="C52" s="671">
        <f>+ENERO!C52</f>
        <v>0</v>
      </c>
      <c r="D52" s="373">
        <f>MAYO!D52+JUNIO!P52</f>
        <v>0</v>
      </c>
      <c r="E52" s="373">
        <f>MAYO!E52+JUNIO!Q52</f>
        <v>0</v>
      </c>
      <c r="F52" s="373">
        <f>SUM(C52:E52)</f>
        <v>0</v>
      </c>
      <c r="G52" s="373">
        <f>MAYO!I52</f>
        <v>0</v>
      </c>
      <c r="H52" s="374">
        <v>0</v>
      </c>
      <c r="I52" s="373">
        <f>SUM(G52:H52)</f>
        <v>0</v>
      </c>
      <c r="J52" s="373">
        <f>MAYO!L52</f>
        <v>0</v>
      </c>
      <c r="K52" s="374">
        <v>0</v>
      </c>
      <c r="L52" s="373">
        <f>SUM(J52:K52)</f>
        <v>0</v>
      </c>
      <c r="M52" s="373">
        <f>F52-I52</f>
        <v>0</v>
      </c>
      <c r="N52" s="143">
        <f>F52-L52</f>
        <v>0</v>
      </c>
      <c r="O52" s="382"/>
      <c r="P52" s="372">
        <v>0</v>
      </c>
      <c r="Q52" s="375">
        <v>0</v>
      </c>
      <c r="R52" s="9"/>
      <c r="S52" s="706" t="str">
        <f>+IF(MAYO!S52=0,"",MAYO!S52)</f>
        <v>1010302-3</v>
      </c>
      <c r="T52" s="682" t="str">
        <f>+IF(MAYO!T52=0,"",MAYO!T52)</f>
        <v xml:space="preserve">Aportes a Fondos de Cesantia - Con Sit. de Fondos </v>
      </c>
      <c r="U52" s="27">
        <f>+ENERO!U52</f>
        <v>12471386</v>
      </c>
      <c r="V52" s="15">
        <f>MAYO!V52+JUNIO!AL52</f>
        <v>0</v>
      </c>
      <c r="W52" s="15">
        <f>MAYO!W52+JUNIO!AM52</f>
        <v>0</v>
      </c>
      <c r="X52" s="18">
        <f t="shared" si="57"/>
        <v>12471386</v>
      </c>
      <c r="Y52" s="19">
        <f>MAYO!AA52</f>
        <v>0</v>
      </c>
      <c r="Z52" s="374">
        <v>0</v>
      </c>
      <c r="AA52" s="18">
        <f t="shared" si="58"/>
        <v>0</v>
      </c>
      <c r="AB52" s="19">
        <f>MAYO!AD52</f>
        <v>0</v>
      </c>
      <c r="AC52" s="374">
        <v>0</v>
      </c>
      <c r="AD52" s="18">
        <f t="shared" si="59"/>
        <v>0</v>
      </c>
      <c r="AE52" s="19">
        <f>MAYO!AG52</f>
        <v>0</v>
      </c>
      <c r="AF52" s="374">
        <v>0</v>
      </c>
      <c r="AG52" s="18">
        <f t="shared" si="60"/>
        <v>0</v>
      </c>
      <c r="AH52" s="19">
        <f t="shared" si="61"/>
        <v>12471386</v>
      </c>
      <c r="AI52" s="15">
        <f t="shared" si="62"/>
        <v>12471386</v>
      </c>
      <c r="AJ52" s="16">
        <f t="shared" si="63"/>
        <v>12471386</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+IF(MAYO!A53=0,"",MAYO!A53)</f>
        <v>1130109-2</v>
      </c>
      <c r="B53" s="646" t="str">
        <f>+IF(MAYO!B53=0,"",MAYO!B53)</f>
        <v>Vigencia Anterior</v>
      </c>
      <c r="C53" s="671">
        <f>+ENERO!C53</f>
        <v>0</v>
      </c>
      <c r="D53" s="373">
        <f>MAYO!D53+JUNIO!P53</f>
        <v>0</v>
      </c>
      <c r="E53" s="373">
        <f>MAYO!E53+JUNIO!Q53</f>
        <v>0</v>
      </c>
      <c r="F53" s="373">
        <f>SUM(C53:E53)</f>
        <v>0</v>
      </c>
      <c r="G53" s="373">
        <f>MAYO!I53</f>
        <v>0</v>
      </c>
      <c r="H53" s="374">
        <v>0</v>
      </c>
      <c r="I53" s="373">
        <f>SUM(G53:H53)</f>
        <v>0</v>
      </c>
      <c r="J53" s="373">
        <f>MAYO!L53</f>
        <v>0</v>
      </c>
      <c r="K53" s="374">
        <v>0</v>
      </c>
      <c r="L53" s="373">
        <f>SUM(J53:K53)</f>
        <v>0</v>
      </c>
      <c r="M53" s="373">
        <f>F53-I53</f>
        <v>0</v>
      </c>
      <c r="N53" s="143">
        <f>F53-L53</f>
        <v>0</v>
      </c>
      <c r="O53" s="382"/>
      <c r="P53" s="372">
        <v>0</v>
      </c>
      <c r="Q53" s="375">
        <v>0</v>
      </c>
      <c r="R53" s="9"/>
      <c r="S53" s="706" t="str">
        <f>+IF(MAYO!S53=0,"",MAYO!S53)</f>
        <v>1010302-4</v>
      </c>
      <c r="T53" s="682" t="str">
        <f>+IF(MAYO!T53=0,"",MAYO!T53)</f>
        <v>Aporte a ARL. - Con Sit. de Fondos</v>
      </c>
      <c r="U53" s="27">
        <f>+ENERO!U53</f>
        <v>15124020</v>
      </c>
      <c r="V53" s="15">
        <f>MAYO!V53+JUNIO!AL53</f>
        <v>0</v>
      </c>
      <c r="W53" s="15">
        <f>MAYO!W53+JUNIO!AM53</f>
        <v>0</v>
      </c>
      <c r="X53" s="18">
        <f t="shared" si="57"/>
        <v>15124020</v>
      </c>
      <c r="Y53" s="19">
        <f>MAYO!AA53</f>
        <v>988813</v>
      </c>
      <c r="Z53" s="374">
        <v>199802</v>
      </c>
      <c r="AA53" s="18">
        <f t="shared" si="58"/>
        <v>1188615</v>
      </c>
      <c r="AB53" s="19">
        <f>MAYO!AD53</f>
        <v>988813</v>
      </c>
      <c r="AC53" s="374">
        <v>199802</v>
      </c>
      <c r="AD53" s="18">
        <f t="shared" si="59"/>
        <v>1188615</v>
      </c>
      <c r="AE53" s="19">
        <f>MAYO!AG53</f>
        <v>988813</v>
      </c>
      <c r="AF53" s="374">
        <v>199802</v>
      </c>
      <c r="AG53" s="18">
        <f t="shared" si="60"/>
        <v>1188615</v>
      </c>
      <c r="AH53" s="19">
        <f t="shared" si="61"/>
        <v>13935405</v>
      </c>
      <c r="AI53" s="15">
        <f t="shared" si="62"/>
        <v>13935405</v>
      </c>
      <c r="AJ53" s="16">
        <f t="shared" si="63"/>
        <v>13935405</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3">
        <f>+IF(MAYO!A54=0,"",MAYO!A54)</f>
        <v>1130110</v>
      </c>
      <c r="B54" s="645" t="str">
        <f>+IF(MAYO!B54=0,"",MAYO!B54)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6" t="str">
        <f>+IF(MAYO!S54=0,"",MAYO!S54)</f>
        <v>1010302-5</v>
      </c>
      <c r="T54" s="682" t="str">
        <f>+IF(MAYO!T54=0,"",MAYO!T54)</f>
        <v>Aporte a Caja Compensación Familiar</v>
      </c>
      <c r="U54" s="27">
        <f>+ENERO!U54</f>
        <v>7287660</v>
      </c>
      <c r="V54" s="15">
        <f>MAYO!V54+JUNIO!AL54</f>
        <v>3500000</v>
      </c>
      <c r="W54" s="15">
        <f>MAYO!W54+JUNIO!AM54</f>
        <v>8000000</v>
      </c>
      <c r="X54" s="18">
        <f t="shared" si="57"/>
        <v>18787660</v>
      </c>
      <c r="Y54" s="19">
        <f>MAYO!AA54</f>
        <v>8822343</v>
      </c>
      <c r="Z54" s="374">
        <v>1523687</v>
      </c>
      <c r="AA54" s="18">
        <f t="shared" si="58"/>
        <v>10346030</v>
      </c>
      <c r="AB54" s="19">
        <f>MAYO!AD54</f>
        <v>8822343</v>
      </c>
      <c r="AC54" s="374">
        <v>1523687</v>
      </c>
      <c r="AD54" s="18">
        <f t="shared" si="59"/>
        <v>10346030</v>
      </c>
      <c r="AE54" s="19">
        <f>MAYO!AG54</f>
        <v>8822343</v>
      </c>
      <c r="AF54" s="374">
        <v>1523687</v>
      </c>
      <c r="AG54" s="18">
        <f t="shared" si="60"/>
        <v>10346030</v>
      </c>
      <c r="AH54" s="19">
        <f t="shared" si="61"/>
        <v>8441630</v>
      </c>
      <c r="AI54" s="15">
        <f t="shared" si="62"/>
        <v>8441630</v>
      </c>
      <c r="AJ54" s="16">
        <f t="shared" si="63"/>
        <v>8441630</v>
      </c>
      <c r="AK54" s="9"/>
      <c r="AL54" s="372">
        <v>0</v>
      </c>
      <c r="AM54" s="375">
        <v>8000000</v>
      </c>
      <c r="AN54" s="9"/>
      <c r="AO54" s="294"/>
      <c r="AP54" s="294"/>
      <c r="AQ54" s="294"/>
      <c r="AR54" s="294"/>
      <c r="AS54" s="294"/>
      <c r="AT54" s="294"/>
      <c r="AU54" s="294"/>
      <c r="AV54" s="294"/>
      <c r="AW54" s="294"/>
      <c r="AX54" s="294"/>
      <c r="AY54" s="294"/>
      <c r="AZ54" s="294"/>
    </row>
    <row r="55" spans="1:70" s="422" customFormat="1" ht="24.95" customHeight="1">
      <c r="A55" s="611" t="str">
        <f>+IF(MAYO!A55=0,"",MAYO!A55)</f>
        <v>1130110-1</v>
      </c>
      <c r="B55" s="646" t="str">
        <f>+CONCATENATE("Vigencia ",INSTRUCCIONES!$F$3)</f>
        <v>Vigencia 2017</v>
      </c>
      <c r="C55" s="671">
        <f>+ENERO!C55</f>
        <v>0</v>
      </c>
      <c r="D55" s="373">
        <f>MAYO!D55+JUNIO!P55</f>
        <v>0</v>
      </c>
      <c r="E55" s="373">
        <f>MAYO!E55+JUNIO!Q55</f>
        <v>0</v>
      </c>
      <c r="F55" s="373">
        <f>SUM(C55:E55)</f>
        <v>0</v>
      </c>
      <c r="G55" s="373">
        <f>MAYO!I55</f>
        <v>0</v>
      </c>
      <c r="H55" s="374">
        <v>0</v>
      </c>
      <c r="I55" s="373">
        <f>SUM(G55:H55)</f>
        <v>0</v>
      </c>
      <c r="J55" s="373">
        <f>MAYO!L55</f>
        <v>0</v>
      </c>
      <c r="K55" s="374">
        <v>0</v>
      </c>
      <c r="L55" s="373">
        <f>SUM(J55:K55)</f>
        <v>0</v>
      </c>
      <c r="M55" s="373">
        <f>F55-I55</f>
        <v>0</v>
      </c>
      <c r="N55" s="143">
        <f>F55-L55</f>
        <v>0</v>
      </c>
      <c r="O55" s="382"/>
      <c r="P55" s="372">
        <v>0</v>
      </c>
      <c r="Q55" s="375">
        <v>0</v>
      </c>
      <c r="R55" s="9"/>
      <c r="S55" s="705">
        <f>+IF(MAYO!S55=0,"",MAYO!S55)</f>
        <v>1010399</v>
      </c>
      <c r="T55" s="681" t="str">
        <f>+IF(MAYO!T55=0,"",MAYO!T55)</f>
        <v>Vigencias Anteriores</v>
      </c>
      <c r="U55" s="27">
        <f>+ENERO!U55</f>
        <v>0</v>
      </c>
      <c r="V55" s="15">
        <f>MAYO!V55+JUNIO!AL55</f>
        <v>-24802080</v>
      </c>
      <c r="W55" s="15">
        <f>MAYO!W55+JUNIO!AM55</f>
        <v>24802080</v>
      </c>
      <c r="X55" s="18">
        <f t="shared" si="57"/>
        <v>0</v>
      </c>
      <c r="Y55" s="19">
        <f>MAYO!AA55</f>
        <v>0</v>
      </c>
      <c r="Z55" s="374">
        <v>0</v>
      </c>
      <c r="AA55" s="18">
        <f t="shared" si="58"/>
        <v>0</v>
      </c>
      <c r="AB55" s="19">
        <f>MAYO!AD55</f>
        <v>0</v>
      </c>
      <c r="AC55" s="374">
        <v>0</v>
      </c>
      <c r="AD55" s="18">
        <f t="shared" si="59"/>
        <v>0</v>
      </c>
      <c r="AE55" s="19">
        <f>MAYO!AG55</f>
        <v>0</v>
      </c>
      <c r="AF55" s="374">
        <v>0</v>
      </c>
      <c r="AG55" s="18">
        <f t="shared" si="60"/>
        <v>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+IF(MAYO!A56=0,"",MAYO!A56)</f>
        <v>1130110-2</v>
      </c>
      <c r="B56" s="646" t="str">
        <f>+IF(MAYO!B56=0,"",MAYO!B56)</f>
        <v>Vigencia Anterior</v>
      </c>
      <c r="C56" s="671">
        <f>+ENERO!C56</f>
        <v>0</v>
      </c>
      <c r="D56" s="373">
        <f>MAYO!D56+JUNIO!P56</f>
        <v>0</v>
      </c>
      <c r="E56" s="373">
        <f>MAYO!E56+JUNIO!Q56</f>
        <v>0</v>
      </c>
      <c r="F56" s="373">
        <f>SUM(C56:E56)</f>
        <v>0</v>
      </c>
      <c r="G56" s="373">
        <f>MAYO!I56</f>
        <v>0</v>
      </c>
      <c r="H56" s="374">
        <v>0</v>
      </c>
      <c r="I56" s="373">
        <f>SUM(G56:H56)</f>
        <v>0</v>
      </c>
      <c r="J56" s="373">
        <f>MAYO!L56</f>
        <v>0</v>
      </c>
      <c r="K56" s="374">
        <v>0</v>
      </c>
      <c r="L56" s="373">
        <f>SUM(J56:K56)</f>
        <v>0</v>
      </c>
      <c r="M56" s="373">
        <f>F56-I56</f>
        <v>0</v>
      </c>
      <c r="N56" s="143">
        <f>F56-L56</f>
        <v>0</v>
      </c>
      <c r="O56" s="382"/>
      <c r="P56" s="372">
        <v>0</v>
      </c>
      <c r="Q56" s="375">
        <v>0</v>
      </c>
      <c r="R56" s="9"/>
      <c r="S56" s="366" t="str">
        <f>+IF(MAYO!S56=0,"",MAYO!S56)</f>
        <v/>
      </c>
      <c r="T56" s="695"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3">
        <f>+IF(MAYO!A57=0,"",MAYO!A57)</f>
        <v>1130111</v>
      </c>
      <c r="B57" s="645" t="str">
        <f>+IF(MAYO!B57=0,"",MAYO!B57)</f>
        <v>IPS PRIVADAS</v>
      </c>
      <c r="C57" s="43">
        <f t="shared" ref="C57:N57" si="66">SUM(C58:C59)</f>
        <v>133639169</v>
      </c>
      <c r="D57" s="44">
        <f t="shared" si="66"/>
        <v>0</v>
      </c>
      <c r="E57" s="44">
        <f t="shared" si="66"/>
        <v>176960</v>
      </c>
      <c r="F57" s="44">
        <f t="shared" si="66"/>
        <v>133816129</v>
      </c>
      <c r="G57" s="44">
        <f t="shared" si="66"/>
        <v>195132</v>
      </c>
      <c r="H57" s="44">
        <f t="shared" si="66"/>
        <v>0</v>
      </c>
      <c r="I57" s="44">
        <f t="shared" si="66"/>
        <v>195132</v>
      </c>
      <c r="J57" s="44">
        <f t="shared" si="66"/>
        <v>176960</v>
      </c>
      <c r="K57" s="44">
        <f t="shared" si="66"/>
        <v>0</v>
      </c>
      <c r="L57" s="44">
        <f t="shared" si="66"/>
        <v>176960</v>
      </c>
      <c r="M57" s="44">
        <f t="shared" si="66"/>
        <v>133620997</v>
      </c>
      <c r="N57" s="45">
        <f t="shared" si="66"/>
        <v>133639169</v>
      </c>
      <c r="P57" s="43">
        <f>SUM(P58:P59)</f>
        <v>0</v>
      </c>
      <c r="Q57" s="45">
        <f>SUM(Q58:Q59)</f>
        <v>0</v>
      </c>
      <c r="R57" s="9"/>
      <c r="S57" s="704">
        <f>+IF(MAYO!S57=0,"",MAYO!S57)</f>
        <v>1010400</v>
      </c>
      <c r="T57" s="680" t="str">
        <f>+IF(MAYO!T57=0,"",MAYO!T57)</f>
        <v>Contribuciones Inherentes nómina del Sector Publico</v>
      </c>
      <c r="U57" s="132">
        <f t="shared" ref="U57:AJ57" si="67">U58+U61</f>
        <v>31192586</v>
      </c>
      <c r="V57" s="122">
        <f t="shared" si="67"/>
        <v>0</v>
      </c>
      <c r="W57" s="122">
        <f t="shared" si="67"/>
        <v>0</v>
      </c>
      <c r="X57" s="129">
        <f t="shared" si="67"/>
        <v>31192586</v>
      </c>
      <c r="Y57" s="128">
        <f t="shared" si="67"/>
        <v>9608994</v>
      </c>
      <c r="Z57" s="122">
        <f t="shared" si="67"/>
        <v>1913808</v>
      </c>
      <c r="AA57" s="129">
        <f t="shared" si="67"/>
        <v>11522802</v>
      </c>
      <c r="AB57" s="128">
        <f t="shared" si="67"/>
        <v>9608994</v>
      </c>
      <c r="AC57" s="122">
        <f t="shared" si="67"/>
        <v>1913808</v>
      </c>
      <c r="AD57" s="129">
        <f t="shared" si="67"/>
        <v>11522802</v>
      </c>
      <c r="AE57" s="128">
        <f t="shared" si="67"/>
        <v>9608994</v>
      </c>
      <c r="AF57" s="122">
        <f t="shared" si="67"/>
        <v>1913808</v>
      </c>
      <c r="AG57" s="129">
        <f t="shared" si="67"/>
        <v>11522802</v>
      </c>
      <c r="AH57" s="128">
        <f t="shared" si="67"/>
        <v>19669784</v>
      </c>
      <c r="AI57" s="122">
        <f t="shared" si="67"/>
        <v>19669784</v>
      </c>
      <c r="AJ57" s="130">
        <f t="shared" si="67"/>
        <v>19669784</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+IF(MAYO!A58=0,"",MAYO!A58)</f>
        <v>1130111-1</v>
      </c>
      <c r="B58" s="646" t="str">
        <f>+CONCATENATE("Vigencia ",INSTRUCCIONES!$F$3)</f>
        <v>Vigencia 2017</v>
      </c>
      <c r="C58" s="671">
        <f>+ENERO!C58</f>
        <v>133639169</v>
      </c>
      <c r="D58" s="373">
        <f>MAYO!D58+JUNIO!P58</f>
        <v>0</v>
      </c>
      <c r="E58" s="373">
        <f>MAYO!E58+JUNIO!Q58</f>
        <v>0</v>
      </c>
      <c r="F58" s="373">
        <f>SUM(C58:E58)</f>
        <v>133639169</v>
      </c>
      <c r="G58" s="373">
        <f>MAYO!I58</f>
        <v>18172</v>
      </c>
      <c r="H58" s="374">
        <v>0</v>
      </c>
      <c r="I58" s="373">
        <f>SUM(G58:H58)</f>
        <v>18172</v>
      </c>
      <c r="J58" s="373">
        <f>MAYO!L58</f>
        <v>0</v>
      </c>
      <c r="K58" s="374">
        <v>0</v>
      </c>
      <c r="L58" s="373">
        <f>SUM(J58:K58)</f>
        <v>0</v>
      </c>
      <c r="M58" s="373">
        <f>F58-I58</f>
        <v>133620997</v>
      </c>
      <c r="N58" s="143">
        <f>F58-L58</f>
        <v>133639169</v>
      </c>
      <c r="O58" s="382"/>
      <c r="P58" s="372">
        <v>0</v>
      </c>
      <c r="Q58" s="375">
        <v>0</v>
      </c>
      <c r="R58" s="9"/>
      <c r="S58" s="705">
        <f>+IF(MAYO!S58=0,"",MAYO!S58)</f>
        <v>1010402</v>
      </c>
      <c r="T58" s="681" t="str">
        <f>+IF(MAYO!T58=0,"",MAYO!T58)</f>
        <v>Contribuciones - Otros</v>
      </c>
      <c r="U58" s="27">
        <f t="shared" ref="U58:AJ58" si="68">SUM(U59:U60)</f>
        <v>31192586</v>
      </c>
      <c r="V58" s="15">
        <f t="shared" si="68"/>
        <v>0</v>
      </c>
      <c r="W58" s="15">
        <f t="shared" si="68"/>
        <v>0</v>
      </c>
      <c r="X58" s="18">
        <f t="shared" si="68"/>
        <v>31192586</v>
      </c>
      <c r="Y58" s="19">
        <f t="shared" si="68"/>
        <v>9608994</v>
      </c>
      <c r="Z58" s="142">
        <f t="shared" si="68"/>
        <v>1913808</v>
      </c>
      <c r="AA58" s="18">
        <f t="shared" si="68"/>
        <v>11522802</v>
      </c>
      <c r="AB58" s="19">
        <f t="shared" si="68"/>
        <v>9608994</v>
      </c>
      <c r="AC58" s="142">
        <f t="shared" si="68"/>
        <v>1913808</v>
      </c>
      <c r="AD58" s="18">
        <f t="shared" si="68"/>
        <v>11522802</v>
      </c>
      <c r="AE58" s="19">
        <f t="shared" si="68"/>
        <v>9608994</v>
      </c>
      <c r="AF58" s="142">
        <f t="shared" si="68"/>
        <v>1913808</v>
      </c>
      <c r="AG58" s="18">
        <f t="shared" si="68"/>
        <v>11522802</v>
      </c>
      <c r="AH58" s="19">
        <f t="shared" si="68"/>
        <v>19669784</v>
      </c>
      <c r="AI58" s="15">
        <f t="shared" si="68"/>
        <v>19669784</v>
      </c>
      <c r="AJ58" s="16">
        <f t="shared" si="68"/>
        <v>19669784</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+IF(MAYO!A59=0,"",MAYO!A59)</f>
        <v>1130111-2</v>
      </c>
      <c r="B59" s="646" t="str">
        <f>+IF(MAYO!B59=0,"",MAYO!B59)</f>
        <v>Vigencia Anterior</v>
      </c>
      <c r="C59" s="671">
        <f>+ENERO!C59</f>
        <v>0</v>
      </c>
      <c r="D59" s="373">
        <f>MAYO!D59+JUNIO!P59</f>
        <v>0</v>
      </c>
      <c r="E59" s="373">
        <f>MAYO!E59+JUNIO!Q59</f>
        <v>176960</v>
      </c>
      <c r="F59" s="373">
        <f>SUM(C59:E59)</f>
        <v>176960</v>
      </c>
      <c r="G59" s="373">
        <f>MAYO!I59</f>
        <v>176960</v>
      </c>
      <c r="H59" s="374">
        <v>0</v>
      </c>
      <c r="I59" s="373">
        <f>SUM(G59:H59)</f>
        <v>176960</v>
      </c>
      <c r="J59" s="373">
        <f>MAYO!L59</f>
        <v>176960</v>
      </c>
      <c r="K59" s="374">
        <v>0</v>
      </c>
      <c r="L59" s="373">
        <f>SUM(J59:K59)</f>
        <v>176960</v>
      </c>
      <c r="M59" s="373">
        <f>F59-I59</f>
        <v>0</v>
      </c>
      <c r="N59" s="143">
        <f>F59-L59</f>
        <v>0</v>
      </c>
      <c r="O59" s="382"/>
      <c r="P59" s="372">
        <v>0</v>
      </c>
      <c r="Q59" s="375">
        <v>0</v>
      </c>
      <c r="R59" s="9"/>
      <c r="S59" s="706" t="str">
        <f>+IF(MAYO!S59=0,"",MAYO!S59)</f>
        <v>1010402-1</v>
      </c>
      <c r="T59" s="681" t="str">
        <f>+IF(MAYO!T59=0,"",MAYO!T59)</f>
        <v>S.E.N.A.</v>
      </c>
      <c r="U59" s="27">
        <f>+ENERO!U59</f>
        <v>18775492</v>
      </c>
      <c r="V59" s="15">
        <f>MAYO!V59+JUNIO!AL59</f>
        <v>0</v>
      </c>
      <c r="W59" s="15">
        <f>MAYO!W59+JUNIO!AM59</f>
        <v>0</v>
      </c>
      <c r="X59" s="18">
        <f>SUM(U59:W59)</f>
        <v>18775492</v>
      </c>
      <c r="Y59" s="19">
        <f>MAYO!AA59</f>
        <v>3843421</v>
      </c>
      <c r="Z59" s="374">
        <v>765523</v>
      </c>
      <c r="AA59" s="18">
        <f>SUM(Y59:Z59)</f>
        <v>4608944</v>
      </c>
      <c r="AB59" s="19">
        <f>MAYO!AD59</f>
        <v>3843421</v>
      </c>
      <c r="AC59" s="374">
        <v>765523</v>
      </c>
      <c r="AD59" s="18">
        <f>SUM(AB59:AC59)</f>
        <v>4608944</v>
      </c>
      <c r="AE59" s="19">
        <f>MAYO!AG59</f>
        <v>3843421</v>
      </c>
      <c r="AF59" s="374">
        <v>765523</v>
      </c>
      <c r="AG59" s="18">
        <f>SUM(AE59:AF59)</f>
        <v>4608944</v>
      </c>
      <c r="AH59" s="19">
        <f>X59-AA59</f>
        <v>14166548</v>
      </c>
      <c r="AI59" s="15">
        <f>X59-AD59</f>
        <v>14166548</v>
      </c>
      <c r="AJ59" s="16">
        <f>X59-AG59</f>
        <v>14166548</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3">
        <f>+IF(MAYO!A60=0,"",MAYO!A60)</f>
        <v>1130112</v>
      </c>
      <c r="B60" s="645" t="str">
        <f>+IF(MAYO!B60=0,"",MAYO!B60)</f>
        <v>IPS PUBLICAS</v>
      </c>
      <c r="C60" s="43">
        <f t="shared" ref="C60:N60" si="69">SUM(C61:C62)</f>
        <v>45194994</v>
      </c>
      <c r="D60" s="44">
        <f t="shared" si="69"/>
        <v>0</v>
      </c>
      <c r="E60" s="44">
        <f t="shared" si="69"/>
        <v>205212</v>
      </c>
      <c r="F60" s="44">
        <f t="shared" si="69"/>
        <v>45400206</v>
      </c>
      <c r="G60" s="44">
        <f t="shared" si="69"/>
        <v>241931793</v>
      </c>
      <c r="H60" s="44">
        <f t="shared" si="69"/>
        <v>10999781</v>
      </c>
      <c r="I60" s="44">
        <f t="shared" si="69"/>
        <v>252931574</v>
      </c>
      <c r="J60" s="44">
        <f t="shared" si="69"/>
        <v>205212</v>
      </c>
      <c r="K60" s="44">
        <f t="shared" si="69"/>
        <v>5639103</v>
      </c>
      <c r="L60" s="44">
        <f t="shared" si="69"/>
        <v>5844315</v>
      </c>
      <c r="M60" s="44">
        <f t="shared" si="69"/>
        <v>-207531368</v>
      </c>
      <c r="N60" s="45">
        <f t="shared" si="69"/>
        <v>39555891</v>
      </c>
      <c r="P60" s="43">
        <f>SUM(P61:P62)</f>
        <v>0</v>
      </c>
      <c r="Q60" s="45">
        <f>SUM(Q61:Q62)</f>
        <v>109687</v>
      </c>
      <c r="R60" s="9"/>
      <c r="S60" s="706" t="str">
        <f>+IF(MAYO!S60=0,"",MAYO!S60)</f>
        <v>1010402-2</v>
      </c>
      <c r="T60" s="681" t="str">
        <f>+IF(MAYO!T60=0,"",MAYO!T60)</f>
        <v>I.C.B.F.</v>
      </c>
      <c r="U60" s="27">
        <f>+ENERO!U60</f>
        <v>12417094</v>
      </c>
      <c r="V60" s="15">
        <f>MAYO!V60+JUNIO!AL60</f>
        <v>0</v>
      </c>
      <c r="W60" s="15">
        <f>MAYO!W60+JUNIO!AM60</f>
        <v>0</v>
      </c>
      <c r="X60" s="18">
        <f>SUM(U60:W60)</f>
        <v>12417094</v>
      </c>
      <c r="Y60" s="19">
        <f>MAYO!AA60</f>
        <v>5765573</v>
      </c>
      <c r="Z60" s="374">
        <v>1148285</v>
      </c>
      <c r="AA60" s="18">
        <f>SUM(Y60:Z60)</f>
        <v>6913858</v>
      </c>
      <c r="AB60" s="19">
        <f>MAYO!AD60</f>
        <v>5765573</v>
      </c>
      <c r="AC60" s="374">
        <v>1148285</v>
      </c>
      <c r="AD60" s="18">
        <f>SUM(AB60:AC60)</f>
        <v>6913858</v>
      </c>
      <c r="AE60" s="19">
        <f>MAYO!AG60</f>
        <v>5765573</v>
      </c>
      <c r="AF60" s="374">
        <v>1148285</v>
      </c>
      <c r="AG60" s="18">
        <f>SUM(AE60:AF60)</f>
        <v>6913858</v>
      </c>
      <c r="AH60" s="19">
        <f>X60-AA60</f>
        <v>5503236</v>
      </c>
      <c r="AI60" s="15">
        <f>X60-AD60</f>
        <v>5503236</v>
      </c>
      <c r="AJ60" s="16">
        <f>X60-AG60</f>
        <v>5503236</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+IF(MAYO!A61=0,"",MAYO!A61)</f>
        <v>1130112-1</v>
      </c>
      <c r="B61" s="646" t="str">
        <f>+CONCATENATE("Vigencia ",INSTRUCCIONES!$F$3)</f>
        <v>Vigencia 2017</v>
      </c>
      <c r="C61" s="671">
        <f>+ENERO!C61</f>
        <v>45194994</v>
      </c>
      <c r="D61" s="373">
        <f>MAYO!D61+JUNIO!P61</f>
        <v>0</v>
      </c>
      <c r="E61" s="373">
        <f>MAYO!E61+JUNIO!Q61</f>
        <v>0</v>
      </c>
      <c r="F61" s="373">
        <f>SUM(C61:E61)</f>
        <v>45194994</v>
      </c>
      <c r="G61" s="373">
        <f>MAYO!I61</f>
        <v>241726581</v>
      </c>
      <c r="H61" s="374">
        <v>9297678</v>
      </c>
      <c r="I61" s="373">
        <f>SUM(G61:H61)</f>
        <v>251024259</v>
      </c>
      <c r="J61" s="373">
        <f>MAYO!L61</f>
        <v>0</v>
      </c>
      <c r="K61" s="374">
        <v>3937000</v>
      </c>
      <c r="L61" s="373">
        <f>SUM(J61:K61)</f>
        <v>3937000</v>
      </c>
      <c r="M61" s="373">
        <f>F61-I61</f>
        <v>-205829265</v>
      </c>
      <c r="N61" s="143">
        <f>F61-L61</f>
        <v>41257994</v>
      </c>
      <c r="O61" s="382"/>
      <c r="P61" s="372">
        <v>0</v>
      </c>
      <c r="Q61" s="375">
        <v>0</v>
      </c>
      <c r="R61" s="9"/>
      <c r="S61" s="705">
        <f>+IF(MAYO!S61=0,"",MAYO!S61)</f>
        <v>1010499</v>
      </c>
      <c r="T61" s="681" t="str">
        <f>+IF(MAYO!T61=0,"",MAYO!T61)</f>
        <v>Vigencias Anteriores</v>
      </c>
      <c r="U61" s="27">
        <f>+ENERO!U61</f>
        <v>0</v>
      </c>
      <c r="V61" s="15">
        <f>MAYO!V61+JUNIO!AL61</f>
        <v>0</v>
      </c>
      <c r="W61" s="15">
        <f>MAYO!W61+JUNIO!AM61</f>
        <v>0</v>
      </c>
      <c r="X61" s="18">
        <f>SUM(U61:W61)</f>
        <v>0</v>
      </c>
      <c r="Y61" s="19">
        <f>MAYO!AA61</f>
        <v>0</v>
      </c>
      <c r="Z61" s="374">
        <v>0</v>
      </c>
      <c r="AA61" s="18">
        <f>SUM(Y61:Z61)</f>
        <v>0</v>
      </c>
      <c r="AB61" s="19">
        <f>MAYO!AD61</f>
        <v>0</v>
      </c>
      <c r="AC61" s="374">
        <v>0</v>
      </c>
      <c r="AD61" s="18">
        <f>SUM(AB61:AC61)</f>
        <v>0</v>
      </c>
      <c r="AE61" s="19">
        <f>MAYO!AG61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+IF(MAYO!A62=0,"",MAYO!A62)</f>
        <v>1130112-2</v>
      </c>
      <c r="B62" s="646" t="str">
        <f>+IF(MAYO!B62=0,"",MAYO!B62)</f>
        <v>Vigencia Anterior</v>
      </c>
      <c r="C62" s="671">
        <f>+ENERO!C62</f>
        <v>0</v>
      </c>
      <c r="D62" s="373">
        <f>MAYO!D62+JUNIO!P62</f>
        <v>0</v>
      </c>
      <c r="E62" s="373">
        <f>MAYO!E62+JUNIO!Q62</f>
        <v>205212</v>
      </c>
      <c r="F62" s="373">
        <f>SUM(C62:E62)</f>
        <v>205212</v>
      </c>
      <c r="G62" s="373">
        <f>MAYO!I62</f>
        <v>205212</v>
      </c>
      <c r="H62" s="374">
        <v>1702103</v>
      </c>
      <c r="I62" s="373">
        <f>SUM(G62:H62)</f>
        <v>1907315</v>
      </c>
      <c r="J62" s="373">
        <f>MAYO!L62</f>
        <v>205212</v>
      </c>
      <c r="K62" s="374">
        <v>1702103</v>
      </c>
      <c r="L62" s="373">
        <f>SUM(J62:K62)</f>
        <v>1907315</v>
      </c>
      <c r="M62" s="373">
        <f>F62-I62</f>
        <v>-1702103</v>
      </c>
      <c r="N62" s="143">
        <f>F62-L62</f>
        <v>-1702103</v>
      </c>
      <c r="O62" s="382"/>
      <c r="P62" s="372">
        <v>0</v>
      </c>
      <c r="Q62" s="375">
        <v>109687</v>
      </c>
      <c r="R62" s="9"/>
      <c r="S62" s="366" t="str">
        <f>+IF(MAYO!S62=0,"",MAYO!S62)</f>
        <v/>
      </c>
      <c r="T62" s="695"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3">
        <f>+IF(MAYO!A63=0,"",MAYO!A63)</f>
        <v>1130113</v>
      </c>
      <c r="B63" s="645" t="str">
        <f>+IF(MAYO!B63=0,"",MAYO!B63)</f>
        <v>COMPAÑIAS DE SEGUROS  - ACCIDENTES DE TRANSITO (SOAT)</v>
      </c>
      <c r="C63" s="43">
        <f t="shared" ref="C63:N63" si="70">SUM(C64:C65)</f>
        <v>5110724757</v>
      </c>
      <c r="D63" s="44">
        <f t="shared" si="70"/>
        <v>0</v>
      </c>
      <c r="E63" s="44">
        <f t="shared" si="70"/>
        <v>643007295</v>
      </c>
      <c r="F63" s="44">
        <f t="shared" si="70"/>
        <v>5753732052</v>
      </c>
      <c r="G63" s="44">
        <f t="shared" si="70"/>
        <v>1668727788</v>
      </c>
      <c r="H63" s="44">
        <f t="shared" si="70"/>
        <v>285761680</v>
      </c>
      <c r="I63" s="44">
        <f t="shared" si="70"/>
        <v>1954489468</v>
      </c>
      <c r="J63" s="44">
        <f t="shared" si="70"/>
        <v>736362169</v>
      </c>
      <c r="K63" s="44">
        <f t="shared" si="70"/>
        <v>84882528</v>
      </c>
      <c r="L63" s="44">
        <f t="shared" si="70"/>
        <v>821244697</v>
      </c>
      <c r="M63" s="44">
        <f t="shared" si="70"/>
        <v>3799242584</v>
      </c>
      <c r="N63" s="45">
        <f t="shared" si="70"/>
        <v>4932487355</v>
      </c>
      <c r="P63" s="43">
        <f>SUM(P64:P65)</f>
        <v>0</v>
      </c>
      <c r="Q63" s="45">
        <f>SUM(Q64:Q65)</f>
        <v>160409974</v>
      </c>
      <c r="R63" s="9"/>
      <c r="S63" s="703">
        <f>+IF(MAYO!S63=0,"",MAYO!S63)</f>
        <v>1020010</v>
      </c>
      <c r="T63" s="679" t="str">
        <f>+IF(MAYO!T63=0,"",MAYO!T63)</f>
        <v>Gastos de Operación</v>
      </c>
      <c r="U63" s="132">
        <f t="shared" ref="U63:AJ63" si="71">U65+U83+U90+U104</f>
        <v>23745928633</v>
      </c>
      <c r="V63" s="122">
        <f t="shared" si="71"/>
        <v>147588029</v>
      </c>
      <c r="W63" s="122">
        <f t="shared" si="71"/>
        <v>4860553444</v>
      </c>
      <c r="X63" s="129">
        <f t="shared" si="71"/>
        <v>28754070106</v>
      </c>
      <c r="Y63" s="128">
        <f t="shared" si="71"/>
        <v>18351771330</v>
      </c>
      <c r="Z63" s="122">
        <f t="shared" si="71"/>
        <v>6653975569</v>
      </c>
      <c r="AA63" s="129">
        <f t="shared" si="71"/>
        <v>25005746899</v>
      </c>
      <c r="AB63" s="128">
        <f t="shared" si="71"/>
        <v>14543430864</v>
      </c>
      <c r="AC63" s="122">
        <f t="shared" si="71"/>
        <v>2963834172</v>
      </c>
      <c r="AD63" s="129">
        <f t="shared" si="71"/>
        <v>17507265036</v>
      </c>
      <c r="AE63" s="128">
        <f t="shared" si="71"/>
        <v>8529980583</v>
      </c>
      <c r="AF63" s="122">
        <f t="shared" si="71"/>
        <v>1486044906</v>
      </c>
      <c r="AG63" s="129">
        <f t="shared" si="71"/>
        <v>10016025489</v>
      </c>
      <c r="AH63" s="128">
        <f t="shared" si="71"/>
        <v>3748323207</v>
      </c>
      <c r="AI63" s="122">
        <f t="shared" si="71"/>
        <v>11246805070</v>
      </c>
      <c r="AJ63" s="130">
        <f t="shared" si="71"/>
        <v>18738044617</v>
      </c>
      <c r="AK63" s="9"/>
      <c r="AL63" s="128">
        <f>AL65+AL83+AL90+AL104</f>
        <v>340000000</v>
      </c>
      <c r="AM63" s="130">
        <f>AM65+AM83+AM90+AM104</f>
        <v>2749557750</v>
      </c>
      <c r="AN63" s="9"/>
      <c r="AO63" s="294"/>
      <c r="AP63" s="294"/>
      <c r="AQ63" s="294"/>
      <c r="AR63" s="294"/>
      <c r="AS63" s="294"/>
      <c r="AT63" s="294"/>
      <c r="AU63" s="294"/>
      <c r="AV63" s="294"/>
      <c r="AW63" s="294"/>
      <c r="AX63" s="294"/>
      <c r="AY63" s="294"/>
      <c r="AZ63" s="294"/>
    </row>
    <row r="64" spans="1:70" s="422" customFormat="1" ht="24.95" customHeight="1">
      <c r="A64" s="611" t="str">
        <f>+IF(MAYO!A64=0,"",MAYO!A64)</f>
        <v>1130113-1</v>
      </c>
      <c r="B64" s="646" t="str">
        <f>+CONCATENATE("Vigencia ",INSTRUCCIONES!$F$3)</f>
        <v>Vigencia 2017</v>
      </c>
      <c r="C64" s="671">
        <f>+ENERO!C64</f>
        <v>5110724757</v>
      </c>
      <c r="D64" s="373">
        <f>MAYO!D64+JUNIO!P64</f>
        <v>0</v>
      </c>
      <c r="E64" s="373">
        <f>MAYO!E64+JUNIO!Q64</f>
        <v>0</v>
      </c>
      <c r="F64" s="373">
        <f>SUM(C64:E64)</f>
        <v>5110724757</v>
      </c>
      <c r="G64" s="373">
        <f>MAYO!I64</f>
        <v>933026314</v>
      </c>
      <c r="H64" s="374">
        <v>213911653</v>
      </c>
      <c r="I64" s="373">
        <f>SUM(G64:H64)</f>
        <v>1146937967</v>
      </c>
      <c r="J64" s="373">
        <f>MAYO!L64</f>
        <v>660695</v>
      </c>
      <c r="K64" s="374">
        <v>13032501</v>
      </c>
      <c r="L64" s="373">
        <f>SUM(J64:K64)</f>
        <v>13693196</v>
      </c>
      <c r="M64" s="373">
        <f>F64-I64</f>
        <v>3963786790</v>
      </c>
      <c r="N64" s="143">
        <f>F64-L64</f>
        <v>5097031561</v>
      </c>
      <c r="O64" s="382"/>
      <c r="P64" s="372">
        <v>0</v>
      </c>
      <c r="Q64" s="375">
        <v>0</v>
      </c>
      <c r="R64" s="9"/>
      <c r="S64" s="366" t="str">
        <f>+IF(MAYO!S64=0,"",MAYO!S64)</f>
        <v/>
      </c>
      <c r="T64" s="695"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+IF(MAYO!A65=0,"",MAYO!A65)</f>
        <v>1130113-2</v>
      </c>
      <c r="B65" s="646" t="str">
        <f>+IF(MAYO!B65=0,"",MAYO!B65)</f>
        <v>Vigencia Anterior</v>
      </c>
      <c r="C65" s="671">
        <f>+ENERO!C65</f>
        <v>0</v>
      </c>
      <c r="D65" s="373">
        <f>MAYO!D65+JUNIO!P65</f>
        <v>0</v>
      </c>
      <c r="E65" s="373">
        <f>MAYO!E65+JUNIO!Q65</f>
        <v>643007295</v>
      </c>
      <c r="F65" s="373">
        <f>SUM(C65:E65)</f>
        <v>643007295</v>
      </c>
      <c r="G65" s="373">
        <f>MAYO!I65</f>
        <v>735701474</v>
      </c>
      <c r="H65" s="374">
        <v>71850027</v>
      </c>
      <c r="I65" s="373">
        <f>SUM(G65:H65)</f>
        <v>807551501</v>
      </c>
      <c r="J65" s="373">
        <f>MAYO!L65</f>
        <v>735701474</v>
      </c>
      <c r="K65" s="374">
        <v>71850027</v>
      </c>
      <c r="L65" s="373">
        <f>SUM(J65:K65)</f>
        <v>807551501</v>
      </c>
      <c r="M65" s="373">
        <f>F65-I65</f>
        <v>-164544206</v>
      </c>
      <c r="N65" s="143">
        <f>F65-L65</f>
        <v>-164544206</v>
      </c>
      <c r="O65" s="382"/>
      <c r="P65" s="372">
        <v>0</v>
      </c>
      <c r="Q65" s="375">
        <v>160409974</v>
      </c>
      <c r="R65" s="9"/>
      <c r="S65" s="704">
        <f>+IF(MAYO!S65=0,"",MAYO!S65)</f>
        <v>1020100</v>
      </c>
      <c r="T65" s="680" t="str">
        <f>+IF(MAYO!T65=0,"",MAYO!T65)</f>
        <v>Servicios Personales Asociados a Nómina</v>
      </c>
      <c r="U65" s="132">
        <f t="shared" ref="U65:AJ65" si="72">SUM(U66:U69)+U81</f>
        <v>1210753694</v>
      </c>
      <c r="V65" s="122">
        <f t="shared" si="72"/>
        <v>0</v>
      </c>
      <c r="W65" s="122">
        <f t="shared" si="72"/>
        <v>68455774</v>
      </c>
      <c r="X65" s="129">
        <f t="shared" si="72"/>
        <v>1279209468</v>
      </c>
      <c r="Y65" s="128">
        <f t="shared" si="72"/>
        <v>462690582</v>
      </c>
      <c r="Z65" s="122">
        <f t="shared" si="72"/>
        <v>72101500</v>
      </c>
      <c r="AA65" s="129">
        <f t="shared" si="72"/>
        <v>534792082</v>
      </c>
      <c r="AB65" s="128">
        <f t="shared" si="72"/>
        <v>462690582</v>
      </c>
      <c r="AC65" s="122">
        <f t="shared" si="72"/>
        <v>72101500</v>
      </c>
      <c r="AD65" s="129">
        <f t="shared" si="72"/>
        <v>534792082</v>
      </c>
      <c r="AE65" s="128">
        <f t="shared" si="72"/>
        <v>462690582</v>
      </c>
      <c r="AF65" s="122">
        <f t="shared" si="72"/>
        <v>72101500</v>
      </c>
      <c r="AG65" s="129">
        <f t="shared" si="72"/>
        <v>534792082</v>
      </c>
      <c r="AH65" s="128">
        <f t="shared" si="72"/>
        <v>744417386</v>
      </c>
      <c r="AI65" s="122">
        <f t="shared" si="72"/>
        <v>744417386</v>
      </c>
      <c r="AJ65" s="130">
        <f t="shared" si="72"/>
        <v>744417386</v>
      </c>
      <c r="AK65" s="9"/>
      <c r="AL65" s="128">
        <f>SUM(AL66:AL69)+AL81</f>
        <v>0</v>
      </c>
      <c r="AM65" s="130">
        <f>SUM(AM66:AM69)+AM81</f>
        <v>36000000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3">
        <f>+IF(MAYO!A66=0,"",MAYO!A66)</f>
        <v>1130114</v>
      </c>
      <c r="B66" s="645" t="str">
        <f>+IF(MAYO!B66=0,"",MAYO!B66)</f>
        <v xml:space="preserve">COMPAÑIAS DE SEGUROS  - PLANES DE SALUD  </v>
      </c>
      <c r="C66" s="43">
        <f t="shared" ref="C66:N66" si="73">SUM(C67:C68)</f>
        <v>0</v>
      </c>
      <c r="D66" s="44">
        <f t="shared" si="73"/>
        <v>0</v>
      </c>
      <c r="E66" s="44">
        <f t="shared" si="73"/>
        <v>15049906</v>
      </c>
      <c r="F66" s="44">
        <f t="shared" si="73"/>
        <v>15049906</v>
      </c>
      <c r="G66" s="44">
        <f t="shared" si="73"/>
        <v>282934452</v>
      </c>
      <c r="H66" s="44">
        <f t="shared" si="73"/>
        <v>24716247</v>
      </c>
      <c r="I66" s="44">
        <f t="shared" si="73"/>
        <v>307650699</v>
      </c>
      <c r="J66" s="44">
        <f t="shared" si="73"/>
        <v>18556181</v>
      </c>
      <c r="K66" s="44">
        <f t="shared" si="73"/>
        <v>4724427</v>
      </c>
      <c r="L66" s="44">
        <f t="shared" si="73"/>
        <v>23280608</v>
      </c>
      <c r="M66" s="44">
        <f t="shared" si="73"/>
        <v>-292600793</v>
      </c>
      <c r="N66" s="45">
        <f t="shared" si="73"/>
        <v>-8230702</v>
      </c>
      <c r="P66" s="43">
        <f>SUM(P67:P68)</f>
        <v>0</v>
      </c>
      <c r="Q66" s="45">
        <f>SUM(Q67:Q68)</f>
        <v>7944567</v>
      </c>
      <c r="R66" s="9"/>
      <c r="S66" s="705">
        <f>+IF(MAYO!S66=0,"",MAYO!S66)</f>
        <v>1020101</v>
      </c>
      <c r="T66" s="681" t="str">
        <f>+IF(MAYO!T66=0,"",MAYO!T66)</f>
        <v>Sueldos del Personal de nómina</v>
      </c>
      <c r="U66" s="27">
        <f>+ENERO!U66</f>
        <v>893219355</v>
      </c>
      <c r="V66" s="15">
        <f>MAYO!V66+JUNIO!AL66</f>
        <v>0</v>
      </c>
      <c r="W66" s="15">
        <f>MAYO!W66+JUNIO!AM66</f>
        <v>0</v>
      </c>
      <c r="X66" s="18">
        <f>SUM(U66:W66)</f>
        <v>893219355</v>
      </c>
      <c r="Y66" s="19">
        <f>MAYO!AA66</f>
        <v>335363410</v>
      </c>
      <c r="Z66" s="374">
        <v>55927834</v>
      </c>
      <c r="AA66" s="18">
        <f>SUM(Y66:Z66)</f>
        <v>391291244</v>
      </c>
      <c r="AB66" s="19">
        <f>MAYO!AD66</f>
        <v>335363410</v>
      </c>
      <c r="AC66" s="374">
        <v>55927834</v>
      </c>
      <c r="AD66" s="18">
        <f>SUM(AB66:AC66)</f>
        <v>391291244</v>
      </c>
      <c r="AE66" s="19">
        <f>MAYO!AG66</f>
        <v>335363410</v>
      </c>
      <c r="AF66" s="374">
        <v>55927834</v>
      </c>
      <c r="AG66" s="18">
        <f>SUM(AE66:AF66)</f>
        <v>391291244</v>
      </c>
      <c r="AH66" s="19">
        <f>X66-AA66</f>
        <v>501928111</v>
      </c>
      <c r="AI66" s="15">
        <f>X66-AD66</f>
        <v>501928111</v>
      </c>
      <c r="AJ66" s="16">
        <f>X66-AG66</f>
        <v>501928111</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+IF(MAYO!A67=0,"",MAYO!A67)</f>
        <v>1130114-1</v>
      </c>
      <c r="B67" s="646" t="str">
        <f>+CONCATENATE("Vigencia ",INSTRUCCIONES!$F$3)</f>
        <v>Vigencia 2017</v>
      </c>
      <c r="C67" s="671">
        <f>+ENERO!C67</f>
        <v>0</v>
      </c>
      <c r="D67" s="373">
        <f>MAYO!D67+JUNIO!P67</f>
        <v>0</v>
      </c>
      <c r="E67" s="373">
        <f>MAYO!E67+JUNIO!Q67</f>
        <v>0</v>
      </c>
      <c r="F67" s="373">
        <f>SUM(C67:E67)</f>
        <v>0</v>
      </c>
      <c r="G67" s="373">
        <f>MAYO!I67</f>
        <v>264378271</v>
      </c>
      <c r="H67" s="374">
        <v>22047594</v>
      </c>
      <c r="I67" s="373">
        <f>SUM(G67:H67)</f>
        <v>286425865</v>
      </c>
      <c r="J67" s="373">
        <f>MAYO!L67</f>
        <v>0</v>
      </c>
      <c r="K67" s="374">
        <v>2055774</v>
      </c>
      <c r="L67" s="373">
        <f>SUM(J67:K67)</f>
        <v>2055774</v>
      </c>
      <c r="M67" s="373">
        <f>F67-I67</f>
        <v>-286425865</v>
      </c>
      <c r="N67" s="143">
        <f>F67-L67</f>
        <v>-2055774</v>
      </c>
      <c r="O67" s="382"/>
      <c r="P67" s="372">
        <v>0</v>
      </c>
      <c r="Q67" s="375">
        <v>0</v>
      </c>
      <c r="R67" s="9"/>
      <c r="S67" s="705">
        <f>+IF(MAYO!S67=0,"",MAYO!S67)</f>
        <v>1020102</v>
      </c>
      <c r="T67" s="681" t="str">
        <f>+IF(MAYO!T67=0,"",MAYO!T67)</f>
        <v>Horas Extras,Dominic.,Festivos y Rec. Nocturnos</v>
      </c>
      <c r="U67" s="27">
        <f>+ENERO!U67</f>
        <v>36988810</v>
      </c>
      <c r="V67" s="15">
        <f>MAYO!V67+JUNIO!AL67</f>
        <v>0</v>
      </c>
      <c r="W67" s="15">
        <f>MAYO!W67+JUNIO!AM67</f>
        <v>36000000</v>
      </c>
      <c r="X67" s="18">
        <f>SUM(U67:W67)</f>
        <v>72988810</v>
      </c>
      <c r="Y67" s="19">
        <f>MAYO!AA67</f>
        <v>34348264</v>
      </c>
      <c r="Z67" s="374">
        <v>8209773</v>
      </c>
      <c r="AA67" s="18">
        <f>SUM(Y67:Z67)</f>
        <v>42558037</v>
      </c>
      <c r="AB67" s="19">
        <f>MAYO!AD67</f>
        <v>34348264</v>
      </c>
      <c r="AC67" s="374">
        <v>8209773</v>
      </c>
      <c r="AD67" s="18">
        <f>SUM(AB67:AC67)</f>
        <v>42558037</v>
      </c>
      <c r="AE67" s="19">
        <f>MAYO!AG67</f>
        <v>34348264</v>
      </c>
      <c r="AF67" s="374">
        <v>8209773</v>
      </c>
      <c r="AG67" s="18">
        <f>SUM(AE67:AF67)</f>
        <v>42558037</v>
      </c>
      <c r="AH67" s="19">
        <f>X67-AA67</f>
        <v>30430773</v>
      </c>
      <c r="AI67" s="15">
        <f>X67-AD67</f>
        <v>30430773</v>
      </c>
      <c r="AJ67" s="16">
        <f>X67-AG67</f>
        <v>30430773</v>
      </c>
      <c r="AK67" s="9"/>
      <c r="AL67" s="372">
        <v>0</v>
      </c>
      <c r="AM67" s="375">
        <v>36000000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+IF(MAYO!A68=0,"",MAYO!A68)</f>
        <v>1130114-2</v>
      </c>
      <c r="B68" s="646" t="str">
        <f>+IF(MAYO!B68=0,"",MAYO!B68)</f>
        <v>Vigencia Anterior</v>
      </c>
      <c r="C68" s="671">
        <f>+ENERO!C68</f>
        <v>0</v>
      </c>
      <c r="D68" s="373">
        <f>MAYO!D68+JUNIO!P68</f>
        <v>0</v>
      </c>
      <c r="E68" s="373">
        <f>MAYO!E68+JUNIO!Q68</f>
        <v>15049906</v>
      </c>
      <c r="F68" s="373">
        <f>SUM(C68:E68)</f>
        <v>15049906</v>
      </c>
      <c r="G68" s="373">
        <f>MAYO!I68</f>
        <v>18556181</v>
      </c>
      <c r="H68" s="374">
        <v>2668653</v>
      </c>
      <c r="I68" s="373">
        <f>SUM(G68:H68)</f>
        <v>21224834</v>
      </c>
      <c r="J68" s="373">
        <f>MAYO!L68</f>
        <v>18556181</v>
      </c>
      <c r="K68" s="374">
        <v>2668653</v>
      </c>
      <c r="L68" s="373">
        <f>SUM(J68:K68)</f>
        <v>21224834</v>
      </c>
      <c r="M68" s="373">
        <f>F68-I68</f>
        <v>-6174928</v>
      </c>
      <c r="N68" s="143">
        <f>F68-L68</f>
        <v>-6174928</v>
      </c>
      <c r="O68" s="382"/>
      <c r="P68" s="372">
        <v>0</v>
      </c>
      <c r="Q68" s="375">
        <v>7944567</v>
      </c>
      <c r="R68" s="9"/>
      <c r="S68" s="705">
        <f>+IF(MAYO!S68=0,"",MAYO!S68)</f>
        <v>1020103</v>
      </c>
      <c r="T68" s="681" t="str">
        <f>+IF(MAYO!T68=0,"",MAYO!T68)</f>
        <v>Prima Técnica</v>
      </c>
      <c r="U68" s="27">
        <f>+ENERO!U68</f>
        <v>0</v>
      </c>
      <c r="V68" s="15">
        <f>MAYO!V68+JUNIO!AL68</f>
        <v>0</v>
      </c>
      <c r="W68" s="15">
        <f>MAYO!W68+JUNIO!AM68</f>
        <v>0</v>
      </c>
      <c r="X68" s="18">
        <f>SUM(U68:W68)</f>
        <v>0</v>
      </c>
      <c r="Y68" s="19">
        <f>MAYO!AA68</f>
        <v>0</v>
      </c>
      <c r="Z68" s="374">
        <v>0</v>
      </c>
      <c r="AA68" s="18">
        <f>SUM(Y68:Z68)</f>
        <v>0</v>
      </c>
      <c r="AB68" s="19">
        <f>MAYO!AD68</f>
        <v>0</v>
      </c>
      <c r="AC68" s="374">
        <v>0</v>
      </c>
      <c r="AD68" s="18">
        <f>SUM(AB68:AC68)</f>
        <v>0</v>
      </c>
      <c r="AE68" s="19">
        <f>MAYO!AG68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3">
        <f>+IF(MAYO!A69=0,"",MAYO!A69)</f>
        <v>1130115</v>
      </c>
      <c r="B69" s="645" t="str">
        <f>+IF(MAYO!B69=0,"",MAYO!B69)</f>
        <v>ENTIDADES DE REGIMEN ESPECIAL (Magisterio, Fuerza Pca.)</v>
      </c>
      <c r="C69" s="43">
        <f t="shared" ref="C69:N69" si="74">SUM(C70:C71)</f>
        <v>1373481412</v>
      </c>
      <c r="D69" s="44">
        <f t="shared" si="74"/>
        <v>0</v>
      </c>
      <c r="E69" s="44">
        <f t="shared" si="74"/>
        <v>1397597619</v>
      </c>
      <c r="F69" s="44">
        <f t="shared" si="74"/>
        <v>2771079031</v>
      </c>
      <c r="G69" s="44">
        <f t="shared" si="74"/>
        <v>3183676371</v>
      </c>
      <c r="H69" s="44">
        <f t="shared" si="74"/>
        <v>810268568</v>
      </c>
      <c r="I69" s="44">
        <f t="shared" si="74"/>
        <v>3993944939</v>
      </c>
      <c r="J69" s="44">
        <f t="shared" si="74"/>
        <v>1718669855</v>
      </c>
      <c r="K69" s="44">
        <f t="shared" si="74"/>
        <v>385054810</v>
      </c>
      <c r="L69" s="44">
        <f t="shared" si="74"/>
        <v>2103724665</v>
      </c>
      <c r="M69" s="44">
        <f t="shared" si="74"/>
        <v>-1222865908</v>
      </c>
      <c r="N69" s="45">
        <f t="shared" si="74"/>
        <v>667354366</v>
      </c>
      <c r="P69" s="43">
        <f>SUM(P70:P71)</f>
        <v>0</v>
      </c>
      <c r="Q69" s="45">
        <f>SUM(Q70:Q71)</f>
        <v>662566544</v>
      </c>
      <c r="R69" s="9"/>
      <c r="S69" s="705">
        <f>+IF(MAYO!S69=0,"",MAYO!S69)</f>
        <v>1020104</v>
      </c>
      <c r="T69" s="681" t="str">
        <f>+IF(MAYO!T69=0,"",MAYO!T69)</f>
        <v>Otros</v>
      </c>
      <c r="U69" s="27">
        <f t="shared" ref="U69:AJ69" si="75">SUM(U70:U80)</f>
        <v>280545529</v>
      </c>
      <c r="V69" s="15">
        <f t="shared" si="75"/>
        <v>0</v>
      </c>
      <c r="W69" s="15">
        <f t="shared" si="75"/>
        <v>32455774</v>
      </c>
      <c r="X69" s="18">
        <f t="shared" si="75"/>
        <v>313001303</v>
      </c>
      <c r="Y69" s="19">
        <f t="shared" si="75"/>
        <v>92978908</v>
      </c>
      <c r="Z69" s="142">
        <f t="shared" si="75"/>
        <v>7963893</v>
      </c>
      <c r="AA69" s="18">
        <f t="shared" si="75"/>
        <v>100942801</v>
      </c>
      <c r="AB69" s="19">
        <f t="shared" si="75"/>
        <v>92978908</v>
      </c>
      <c r="AC69" s="142">
        <f t="shared" si="75"/>
        <v>7963893</v>
      </c>
      <c r="AD69" s="18">
        <f t="shared" si="75"/>
        <v>100942801</v>
      </c>
      <c r="AE69" s="19">
        <f t="shared" si="75"/>
        <v>92978908</v>
      </c>
      <c r="AF69" s="142">
        <f t="shared" si="75"/>
        <v>7963893</v>
      </c>
      <c r="AG69" s="18">
        <f t="shared" si="75"/>
        <v>100942801</v>
      </c>
      <c r="AH69" s="19">
        <f t="shared" si="75"/>
        <v>212058502</v>
      </c>
      <c r="AI69" s="15">
        <f t="shared" si="75"/>
        <v>212058502</v>
      </c>
      <c r="AJ69" s="16">
        <f t="shared" si="75"/>
        <v>212058502</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+IF(MAYO!A70=0,"",MAYO!A70)</f>
        <v>1130115-1</v>
      </c>
      <c r="B70" s="646" t="str">
        <f>+CONCATENATE("Vigencia ",INSTRUCCIONES!$F$3)</f>
        <v>Vigencia 2017</v>
      </c>
      <c r="C70" s="671">
        <f>+ENERO!C70</f>
        <v>1373481412</v>
      </c>
      <c r="D70" s="373">
        <f>MAYO!D70+JUNIO!P70</f>
        <v>0</v>
      </c>
      <c r="E70" s="373">
        <f>MAYO!E70+JUNIO!Q70</f>
        <v>0</v>
      </c>
      <c r="F70" s="373">
        <f>SUM(C70:E70)</f>
        <v>1373481412</v>
      </c>
      <c r="G70" s="373">
        <f>MAYO!I70</f>
        <v>1465039116</v>
      </c>
      <c r="H70" s="374">
        <v>426285487</v>
      </c>
      <c r="I70" s="373">
        <f>SUM(G70:H70)</f>
        <v>1891324603</v>
      </c>
      <c r="J70" s="373">
        <f>MAYO!L70</f>
        <v>32600</v>
      </c>
      <c r="K70" s="374">
        <v>1071729</v>
      </c>
      <c r="L70" s="373">
        <f>SUM(J70:K70)</f>
        <v>1104329</v>
      </c>
      <c r="M70" s="373">
        <f>F70-I70</f>
        <v>-517843191</v>
      </c>
      <c r="N70" s="143">
        <f>F70-L70</f>
        <v>1372377083</v>
      </c>
      <c r="O70" s="382"/>
      <c r="P70" s="372">
        <v>0</v>
      </c>
      <c r="Q70" s="375">
        <v>0</v>
      </c>
      <c r="R70" s="9"/>
      <c r="S70" s="706" t="str">
        <f>+IF(MAYO!S70=0,"",MAYO!S70)</f>
        <v>1020104-1</v>
      </c>
      <c r="T70" s="682" t="str">
        <f>+IF(MAYO!T70=0,"",MAYO!T70)</f>
        <v xml:space="preserve">Prima de Navidad </v>
      </c>
      <c r="U70" s="27">
        <f>+ENERO!U70</f>
        <v>72165521</v>
      </c>
      <c r="V70" s="15">
        <f>MAYO!V70+JUNIO!AL70</f>
        <v>0</v>
      </c>
      <c r="W70" s="15">
        <f>MAYO!W70+JUNIO!AM70</f>
        <v>0</v>
      </c>
      <c r="X70" s="18">
        <f t="shared" ref="X70:X81" si="76">SUM(U70:W70)</f>
        <v>72165521</v>
      </c>
      <c r="Y70" s="19">
        <f>MAYO!AA70</f>
        <v>0</v>
      </c>
      <c r="Z70" s="374">
        <v>0</v>
      </c>
      <c r="AA70" s="18">
        <f t="shared" ref="AA70:AA81" si="77">SUM(Y70:Z70)</f>
        <v>0</v>
      </c>
      <c r="AB70" s="19">
        <f>MAYO!AD70</f>
        <v>0</v>
      </c>
      <c r="AC70" s="374">
        <v>0</v>
      </c>
      <c r="AD70" s="18">
        <f t="shared" ref="AD70:AD81" si="78">SUM(AB70:AC70)</f>
        <v>0</v>
      </c>
      <c r="AE70" s="19">
        <f>MAYO!AG70</f>
        <v>0</v>
      </c>
      <c r="AF70" s="374">
        <v>0</v>
      </c>
      <c r="AG70" s="18">
        <f t="shared" ref="AG70:AG81" si="79">SUM(AE70:AF70)</f>
        <v>0</v>
      </c>
      <c r="AH70" s="19">
        <f t="shared" ref="AH70:AH81" si="80">X70-AA70</f>
        <v>72165521</v>
      </c>
      <c r="AI70" s="15">
        <f t="shared" ref="AI70:AI81" si="81">X70-AD70</f>
        <v>72165521</v>
      </c>
      <c r="AJ70" s="16">
        <f t="shared" ref="AJ70:AJ81" si="82">X70-AG70</f>
        <v>72165521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+IF(MAYO!A71=0,"",MAYO!A71)</f>
        <v>1130115-2</v>
      </c>
      <c r="B71" s="646" t="str">
        <f>+IF(MAYO!B71=0,"",MAYO!B71)</f>
        <v>Vigencia Anterior</v>
      </c>
      <c r="C71" s="671">
        <f>+ENERO!C71</f>
        <v>0</v>
      </c>
      <c r="D71" s="373">
        <f>MAYO!D71+JUNIO!P71</f>
        <v>0</v>
      </c>
      <c r="E71" s="373">
        <f>MAYO!E71+JUNIO!Q71</f>
        <v>1397597619</v>
      </c>
      <c r="F71" s="373">
        <f>SUM(C71:E71)</f>
        <v>1397597619</v>
      </c>
      <c r="G71" s="373">
        <f>MAYO!I71</f>
        <v>1718637255</v>
      </c>
      <c r="H71" s="374">
        <v>383983081</v>
      </c>
      <c r="I71" s="373">
        <f>SUM(G71:H71)</f>
        <v>2102620336</v>
      </c>
      <c r="J71" s="373">
        <f>MAYO!L71</f>
        <v>1718637255</v>
      </c>
      <c r="K71" s="374">
        <v>383983081</v>
      </c>
      <c r="L71" s="373">
        <f>SUM(J71:K71)</f>
        <v>2102620336</v>
      </c>
      <c r="M71" s="373">
        <f>F71-I71</f>
        <v>-705022717</v>
      </c>
      <c r="N71" s="143">
        <f>F71-L71</f>
        <v>-705022717</v>
      </c>
      <c r="O71" s="382"/>
      <c r="P71" s="372">
        <v>0</v>
      </c>
      <c r="Q71" s="375">
        <v>662566544</v>
      </c>
      <c r="R71" s="9"/>
      <c r="S71" s="706" t="str">
        <f>+IF(MAYO!S71=0,"",MAYO!S71)</f>
        <v>1020104-2</v>
      </c>
      <c r="T71" s="682" t="str">
        <f>+IF(MAYO!T71=0,"",MAYO!T71)</f>
        <v>Prima Vida Cara</v>
      </c>
      <c r="U71" s="27">
        <f>+ENERO!U71</f>
        <v>65329386</v>
      </c>
      <c r="V71" s="15">
        <f>MAYO!V71+JUNIO!AL71</f>
        <v>0</v>
      </c>
      <c r="W71" s="15">
        <f>MAYO!W71+JUNIO!AM71</f>
        <v>32455774</v>
      </c>
      <c r="X71" s="18">
        <f t="shared" si="76"/>
        <v>97785160</v>
      </c>
      <c r="Y71" s="19">
        <f>MAYO!AA71</f>
        <v>32455774</v>
      </c>
      <c r="Z71" s="374">
        <v>0</v>
      </c>
      <c r="AA71" s="18">
        <f t="shared" si="77"/>
        <v>32455774</v>
      </c>
      <c r="AB71" s="19">
        <f>MAYO!AD71</f>
        <v>32455774</v>
      </c>
      <c r="AC71" s="374">
        <v>0</v>
      </c>
      <c r="AD71" s="18">
        <f t="shared" si="78"/>
        <v>32455774</v>
      </c>
      <c r="AE71" s="19">
        <f>MAYO!AG71</f>
        <v>32455774</v>
      </c>
      <c r="AF71" s="374">
        <v>0</v>
      </c>
      <c r="AG71" s="18">
        <f t="shared" si="79"/>
        <v>32455774</v>
      </c>
      <c r="AH71" s="19">
        <f t="shared" si="80"/>
        <v>65329386</v>
      </c>
      <c r="AI71" s="15">
        <f t="shared" si="81"/>
        <v>65329386</v>
      </c>
      <c r="AJ71" s="16">
        <f t="shared" si="82"/>
        <v>65329386</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3">
        <f>+IF(MAYO!A72=0,"",MAYO!A72)</f>
        <v>1130116</v>
      </c>
      <c r="B72" s="645" t="str">
        <f>+IF(MAYO!B72=0,"",MAYO!B72)</f>
        <v>ADMINISTRADORAS DE RIESGOS PROFESIONALES</v>
      </c>
      <c r="C72" s="43">
        <f t="shared" ref="C72:N72" si="83">SUM(C73:C74)</f>
        <v>474083630</v>
      </c>
      <c r="D72" s="44">
        <f t="shared" si="83"/>
        <v>0</v>
      </c>
      <c r="E72" s="44">
        <f t="shared" si="83"/>
        <v>95549787</v>
      </c>
      <c r="F72" s="44">
        <f t="shared" si="83"/>
        <v>569633417</v>
      </c>
      <c r="G72" s="44">
        <f t="shared" si="83"/>
        <v>218830077</v>
      </c>
      <c r="H72" s="44">
        <f t="shared" si="83"/>
        <v>89347780</v>
      </c>
      <c r="I72" s="44">
        <f t="shared" si="83"/>
        <v>308177857</v>
      </c>
      <c r="J72" s="44">
        <f t="shared" si="83"/>
        <v>121385850</v>
      </c>
      <c r="K72" s="44">
        <f t="shared" si="83"/>
        <v>84488230</v>
      </c>
      <c r="L72" s="44">
        <f t="shared" si="83"/>
        <v>205874080</v>
      </c>
      <c r="M72" s="44">
        <f t="shared" si="83"/>
        <v>261455560</v>
      </c>
      <c r="N72" s="45">
        <f t="shared" si="83"/>
        <v>363759337</v>
      </c>
      <c r="P72" s="43">
        <f>SUM(P73:P74)</f>
        <v>0</v>
      </c>
      <c r="Q72" s="45">
        <f>SUM(Q73:Q74)</f>
        <v>29805274</v>
      </c>
      <c r="R72" s="9"/>
      <c r="S72" s="706" t="str">
        <f>+IF(MAYO!S72=0,"",MAYO!S72)</f>
        <v>1020104-3</v>
      </c>
      <c r="T72" s="682" t="str">
        <f>+IF(MAYO!T72=0,"",MAYO!T72)</f>
        <v>Prima de Vacaciones</v>
      </c>
      <c r="U72" s="27">
        <f>+ENERO!U72</f>
        <v>34829886</v>
      </c>
      <c r="V72" s="15">
        <f>MAYO!V72+JUNIO!AL72</f>
        <v>0</v>
      </c>
      <c r="W72" s="15">
        <f>MAYO!W72+JUNIO!AM72</f>
        <v>0</v>
      </c>
      <c r="X72" s="18">
        <f t="shared" si="76"/>
        <v>34829886</v>
      </c>
      <c r="Y72" s="19">
        <f>MAYO!AA72</f>
        <v>12592133</v>
      </c>
      <c r="Z72" s="374">
        <v>1191718</v>
      </c>
      <c r="AA72" s="18">
        <f t="shared" si="77"/>
        <v>13783851</v>
      </c>
      <c r="AB72" s="19">
        <f>MAYO!AD72</f>
        <v>12592133</v>
      </c>
      <c r="AC72" s="374">
        <v>1191718</v>
      </c>
      <c r="AD72" s="18">
        <f t="shared" si="78"/>
        <v>13783851</v>
      </c>
      <c r="AE72" s="19">
        <f>MAYO!AG72</f>
        <v>12592133</v>
      </c>
      <c r="AF72" s="374">
        <v>1191718</v>
      </c>
      <c r="AG72" s="18">
        <f t="shared" si="79"/>
        <v>13783851</v>
      </c>
      <c r="AH72" s="19">
        <f t="shared" si="80"/>
        <v>21046035</v>
      </c>
      <c r="AI72" s="15">
        <f t="shared" si="81"/>
        <v>21046035</v>
      </c>
      <c r="AJ72" s="16">
        <f t="shared" si="82"/>
        <v>21046035</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+IF(MAYO!A73=0,"",MAYO!A73)</f>
        <v>1130116-1</v>
      </c>
      <c r="B73" s="646" t="str">
        <f>+CONCATENATE("Vigencia ",INSTRUCCIONES!$F$3)</f>
        <v>Vigencia 2017</v>
      </c>
      <c r="C73" s="671">
        <f>+ENERO!C73</f>
        <v>474083630</v>
      </c>
      <c r="D73" s="373">
        <f>MAYO!D73+JUNIO!P73</f>
        <v>0</v>
      </c>
      <c r="E73" s="373">
        <f>MAYO!E73+JUNIO!Q73</f>
        <v>0</v>
      </c>
      <c r="F73" s="373">
        <f>SUM(C73:E73)</f>
        <v>474083630</v>
      </c>
      <c r="G73" s="373">
        <f>MAYO!I73</f>
        <v>97444227</v>
      </c>
      <c r="H73" s="374">
        <v>6392656</v>
      </c>
      <c r="I73" s="373">
        <f>SUM(G73:H73)</f>
        <v>103836883</v>
      </c>
      <c r="J73" s="373">
        <f>MAYO!L73</f>
        <v>0</v>
      </c>
      <c r="K73" s="374">
        <v>1533106</v>
      </c>
      <c r="L73" s="373">
        <f>SUM(J73:K73)</f>
        <v>1533106</v>
      </c>
      <c r="M73" s="373">
        <f>F73-I73</f>
        <v>370246747</v>
      </c>
      <c r="N73" s="143">
        <f>F73-L73</f>
        <v>472550524</v>
      </c>
      <c r="O73" s="382"/>
      <c r="P73" s="372">
        <v>0</v>
      </c>
      <c r="Q73" s="375">
        <v>0</v>
      </c>
      <c r="R73" s="9"/>
      <c r="S73" s="706" t="str">
        <f>+IF(MAYO!S73=0,"",MAYO!S73)</f>
        <v>1020104-4</v>
      </c>
      <c r="T73" s="682" t="str">
        <f>+IF(MAYO!T73=0,"",MAYO!T73)</f>
        <v>Prima Clima</v>
      </c>
      <c r="U73" s="27">
        <f>+ENERO!U73</f>
        <v>0</v>
      </c>
      <c r="V73" s="15">
        <f>MAYO!V73+JUNIO!AL73</f>
        <v>0</v>
      </c>
      <c r="W73" s="15">
        <f>MAYO!W73+JUNIO!AM73</f>
        <v>0</v>
      </c>
      <c r="X73" s="18">
        <f t="shared" si="76"/>
        <v>0</v>
      </c>
      <c r="Y73" s="19">
        <f>MAYO!AA73</f>
        <v>0</v>
      </c>
      <c r="Z73" s="374">
        <v>0</v>
      </c>
      <c r="AA73" s="18">
        <f t="shared" si="77"/>
        <v>0</v>
      </c>
      <c r="AB73" s="19">
        <f>MAYO!AD73</f>
        <v>0</v>
      </c>
      <c r="AC73" s="374">
        <v>0</v>
      </c>
      <c r="AD73" s="18">
        <f t="shared" si="78"/>
        <v>0</v>
      </c>
      <c r="AE73" s="19">
        <f>MAYO!AG73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+IF(MAYO!A74=0,"",MAYO!A74)</f>
        <v>1130116-2</v>
      </c>
      <c r="B74" s="646" t="str">
        <f>+IF(MAYO!B74=0,"",MAYO!B74)</f>
        <v>Vigencia Anterior</v>
      </c>
      <c r="C74" s="671">
        <f>+ENERO!C74</f>
        <v>0</v>
      </c>
      <c r="D74" s="373">
        <f>MAYO!D74+JUNIO!P74</f>
        <v>0</v>
      </c>
      <c r="E74" s="373">
        <f>MAYO!E74+JUNIO!Q74</f>
        <v>95549787</v>
      </c>
      <c r="F74" s="373">
        <f>SUM(C74:E74)</f>
        <v>95549787</v>
      </c>
      <c r="G74" s="373">
        <f>MAYO!I74</f>
        <v>121385850</v>
      </c>
      <c r="H74" s="374">
        <v>82955124</v>
      </c>
      <c r="I74" s="373">
        <f>SUM(G74:H74)</f>
        <v>204340974</v>
      </c>
      <c r="J74" s="373">
        <f>MAYO!L74</f>
        <v>121385850</v>
      </c>
      <c r="K74" s="374">
        <v>82955124</v>
      </c>
      <c r="L74" s="373">
        <f>SUM(J74:K74)</f>
        <v>204340974</v>
      </c>
      <c r="M74" s="373">
        <f>F74-I74</f>
        <v>-108791187</v>
      </c>
      <c r="N74" s="143">
        <f>F74-L74</f>
        <v>-108791187</v>
      </c>
      <c r="O74" s="382"/>
      <c r="P74" s="372">
        <v>0</v>
      </c>
      <c r="Q74" s="375">
        <v>29805274</v>
      </c>
      <c r="R74" s="9"/>
      <c r="S74" s="706" t="str">
        <f>+IF(MAYO!S74=0,"",MAYO!S74)</f>
        <v>1020104-5</v>
      </c>
      <c r="T74" s="682" t="str">
        <f>+IF(MAYO!T74=0,"",MAYO!T74)</f>
        <v>Prima de Servicios</v>
      </c>
      <c r="U74" s="27">
        <f>+ENERO!U74</f>
        <v>36082760</v>
      </c>
      <c r="V74" s="15">
        <f>MAYO!V74+JUNIO!AL74</f>
        <v>0</v>
      </c>
      <c r="W74" s="15">
        <f>MAYO!W74+JUNIO!AM74</f>
        <v>0</v>
      </c>
      <c r="X74" s="18">
        <f t="shared" si="76"/>
        <v>36082760</v>
      </c>
      <c r="Y74" s="19">
        <f>MAYO!AA74</f>
        <v>0</v>
      </c>
      <c r="Z74" s="374">
        <v>0</v>
      </c>
      <c r="AA74" s="18">
        <f t="shared" si="77"/>
        <v>0</v>
      </c>
      <c r="AB74" s="19">
        <f>MAYO!AD74</f>
        <v>0</v>
      </c>
      <c r="AC74" s="374">
        <v>0</v>
      </c>
      <c r="AD74" s="18">
        <f t="shared" si="78"/>
        <v>0</v>
      </c>
      <c r="AE74" s="19">
        <f>MAYO!AG74</f>
        <v>0</v>
      </c>
      <c r="AF74" s="374">
        <v>0</v>
      </c>
      <c r="AG74" s="18">
        <f t="shared" si="79"/>
        <v>0</v>
      </c>
      <c r="AH74" s="19">
        <f t="shared" si="80"/>
        <v>36082760</v>
      </c>
      <c r="AI74" s="15">
        <f t="shared" si="81"/>
        <v>36082760</v>
      </c>
      <c r="AJ74" s="16">
        <f t="shared" si="82"/>
        <v>36082760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3">
        <f>+IF(MAYO!A75=0,"",MAYO!A75)</f>
        <v>1130117</v>
      </c>
      <c r="B75" s="645" t="str">
        <f>+IF(MAYO!B75=0,"",MAYO!B75)</f>
        <v>CUOTAS DE RECUPERACION</v>
      </c>
      <c r="C75" s="43">
        <f t="shared" ref="C75:N75" si="84">SUM(C76:C77)</f>
        <v>52000000</v>
      </c>
      <c r="D75" s="44">
        <f t="shared" si="84"/>
        <v>0</v>
      </c>
      <c r="E75" s="44">
        <f t="shared" si="84"/>
        <v>602749</v>
      </c>
      <c r="F75" s="44">
        <f t="shared" si="84"/>
        <v>52602749</v>
      </c>
      <c r="G75" s="44">
        <f t="shared" si="84"/>
        <v>31367263</v>
      </c>
      <c r="H75" s="44">
        <f t="shared" si="84"/>
        <v>0</v>
      </c>
      <c r="I75" s="44">
        <f t="shared" si="84"/>
        <v>31367263</v>
      </c>
      <c r="J75" s="44">
        <f t="shared" si="84"/>
        <v>1509049</v>
      </c>
      <c r="K75" s="44">
        <f t="shared" si="84"/>
        <v>0</v>
      </c>
      <c r="L75" s="44">
        <f t="shared" si="84"/>
        <v>1509049</v>
      </c>
      <c r="M75" s="44">
        <f t="shared" si="84"/>
        <v>21235486</v>
      </c>
      <c r="N75" s="45">
        <f t="shared" si="84"/>
        <v>51093700</v>
      </c>
      <c r="P75" s="43">
        <f>SUM(P76:P77)</f>
        <v>0</v>
      </c>
      <c r="Q75" s="45">
        <f>SUM(Q76:Q77)</f>
        <v>0</v>
      </c>
      <c r="R75" s="9"/>
      <c r="S75" s="706" t="str">
        <f>+IF(MAYO!S75=0,"",MAYO!S75)</f>
        <v>1020104-8</v>
      </c>
      <c r="T75" s="682" t="str">
        <f>+IF(MAYO!T75=0,"",MAYO!T75)</f>
        <v>Bonific. por Servicios Prestados</v>
      </c>
      <c r="U75" s="27">
        <f>+ENERO!U75</f>
        <v>17770724</v>
      </c>
      <c r="V75" s="15">
        <f>MAYO!V75+JUNIO!AL75</f>
        <v>0</v>
      </c>
      <c r="W75" s="15">
        <f>MAYO!W75+JUNIO!AM75</f>
        <v>0</v>
      </c>
      <c r="X75" s="18">
        <f t="shared" si="76"/>
        <v>17770724</v>
      </c>
      <c r="Y75" s="19">
        <f>MAYO!AA75</f>
        <v>10033251</v>
      </c>
      <c r="Z75" s="374">
        <v>0</v>
      </c>
      <c r="AA75" s="18">
        <f t="shared" si="77"/>
        <v>10033251</v>
      </c>
      <c r="AB75" s="19">
        <f>MAYO!AD75</f>
        <v>10033251</v>
      </c>
      <c r="AC75" s="374">
        <v>0</v>
      </c>
      <c r="AD75" s="18">
        <f t="shared" si="78"/>
        <v>10033251</v>
      </c>
      <c r="AE75" s="19">
        <f>MAYO!AG75</f>
        <v>10033251</v>
      </c>
      <c r="AF75" s="374">
        <v>0</v>
      </c>
      <c r="AG75" s="18">
        <f t="shared" si="79"/>
        <v>10033251</v>
      </c>
      <c r="AH75" s="19">
        <f t="shared" si="80"/>
        <v>7737473</v>
      </c>
      <c r="AI75" s="15">
        <f t="shared" si="81"/>
        <v>7737473</v>
      </c>
      <c r="AJ75" s="16">
        <f t="shared" si="82"/>
        <v>7737473</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+IF(MAYO!A76=0,"",MAYO!A76)</f>
        <v>1130117-1</v>
      </c>
      <c r="B76" s="646" t="str">
        <f>+CONCATENATE("Vigencia ",INSTRUCCIONES!$F$3)</f>
        <v>Vigencia 2017</v>
      </c>
      <c r="C76" s="671">
        <f>+ENERO!C76</f>
        <v>52000000</v>
      </c>
      <c r="D76" s="373">
        <f>MAYO!D76+JUNIO!P76</f>
        <v>0</v>
      </c>
      <c r="E76" s="373">
        <f>MAYO!E76+JUNIO!Q76</f>
        <v>0</v>
      </c>
      <c r="F76" s="373">
        <f t="shared" ref="F76:F83" si="85">SUM(C76:E76)</f>
        <v>52000000</v>
      </c>
      <c r="G76" s="373">
        <f>MAYO!I76</f>
        <v>30764514</v>
      </c>
      <c r="H76" s="374">
        <v>0</v>
      </c>
      <c r="I76" s="373">
        <f t="shared" ref="I76:I83" si="86">SUM(G76:H76)</f>
        <v>30764514</v>
      </c>
      <c r="J76" s="373">
        <f>MAYO!L76</f>
        <v>906300</v>
      </c>
      <c r="K76" s="374">
        <v>0</v>
      </c>
      <c r="L76" s="373">
        <f t="shared" ref="L76:L83" si="87">SUM(J76:K76)</f>
        <v>906300</v>
      </c>
      <c r="M76" s="373">
        <f t="shared" ref="M76:M83" si="88">F76-I76</f>
        <v>21235486</v>
      </c>
      <c r="N76" s="143">
        <f t="shared" ref="N76:N83" si="89">F76-L76</f>
        <v>51093700</v>
      </c>
      <c r="O76" s="382"/>
      <c r="P76" s="372">
        <v>0</v>
      </c>
      <c r="Q76" s="375">
        <v>0</v>
      </c>
      <c r="R76" s="9"/>
      <c r="S76" s="706" t="str">
        <f>+IF(MAYO!S76=0,"",MAYO!S76)</f>
        <v>1020104-9</v>
      </c>
      <c r="T76" s="682" t="str">
        <f>+IF(MAYO!T76=0,"",MAYO!T76)</f>
        <v>Auxilio de Transporte</v>
      </c>
      <c r="U76" s="27">
        <f>+ENERO!U76</f>
        <v>1703268</v>
      </c>
      <c r="V76" s="15">
        <f>MAYO!V76+JUNIO!AL76</f>
        <v>0</v>
      </c>
      <c r="W76" s="15">
        <f>MAYO!W76+JUNIO!AM76</f>
        <v>0</v>
      </c>
      <c r="X76" s="18">
        <f t="shared" si="76"/>
        <v>1703268</v>
      </c>
      <c r="Y76" s="19">
        <f>MAYO!AA76</f>
        <v>972708</v>
      </c>
      <c r="Z76" s="374">
        <v>180137</v>
      </c>
      <c r="AA76" s="18">
        <f t="shared" si="77"/>
        <v>1152845</v>
      </c>
      <c r="AB76" s="19">
        <f>MAYO!AD76</f>
        <v>972708</v>
      </c>
      <c r="AC76" s="374">
        <v>180137</v>
      </c>
      <c r="AD76" s="18">
        <f t="shared" si="78"/>
        <v>1152845</v>
      </c>
      <c r="AE76" s="19">
        <f>MAYO!AG76</f>
        <v>972708</v>
      </c>
      <c r="AF76" s="374">
        <v>180137</v>
      </c>
      <c r="AG76" s="18">
        <f t="shared" si="79"/>
        <v>1152845</v>
      </c>
      <c r="AH76" s="19">
        <f t="shared" si="80"/>
        <v>550423</v>
      </c>
      <c r="AI76" s="15">
        <f t="shared" si="81"/>
        <v>550423</v>
      </c>
      <c r="AJ76" s="16">
        <f t="shared" si="82"/>
        <v>550423</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+IF(MAYO!A77=0,"",MAYO!A77)</f>
        <v>1130117-2</v>
      </c>
      <c r="B77" s="646" t="str">
        <f>+IF(MAYO!B77=0,"",MAYO!B77)</f>
        <v>Vigencia Anterior</v>
      </c>
      <c r="C77" s="671">
        <f>+ENERO!C77</f>
        <v>0</v>
      </c>
      <c r="D77" s="373">
        <f>MAYO!D77+JUNIO!P77</f>
        <v>0</v>
      </c>
      <c r="E77" s="373">
        <f>MAYO!E77+JUNIO!Q77</f>
        <v>602749</v>
      </c>
      <c r="F77" s="373">
        <f t="shared" si="85"/>
        <v>602749</v>
      </c>
      <c r="G77" s="373">
        <f>MAYO!I77</f>
        <v>602749</v>
      </c>
      <c r="H77" s="374">
        <v>0</v>
      </c>
      <c r="I77" s="373">
        <f t="shared" si="86"/>
        <v>602749</v>
      </c>
      <c r="J77" s="373">
        <f>MAYO!L77</f>
        <v>602749</v>
      </c>
      <c r="K77" s="374">
        <v>0</v>
      </c>
      <c r="L77" s="373">
        <f t="shared" si="87"/>
        <v>602749</v>
      </c>
      <c r="M77" s="373">
        <f t="shared" si="88"/>
        <v>0</v>
      </c>
      <c r="N77" s="143">
        <f t="shared" si="89"/>
        <v>0</v>
      </c>
      <c r="O77" s="382"/>
      <c r="P77" s="372">
        <v>0</v>
      </c>
      <c r="Q77" s="375">
        <v>0</v>
      </c>
      <c r="R77" s="9"/>
      <c r="S77" s="706" t="str">
        <f>+IF(MAYO!S77=0,"",MAYO!S77)</f>
        <v>1020104-10</v>
      </c>
      <c r="T77" s="682" t="str">
        <f>+IF(MAYO!T77=0,"",MAYO!T77)</f>
        <v>Subsidio de Alimentación</v>
      </c>
      <c r="U77" s="27">
        <f>+ENERO!U77</f>
        <v>1200000</v>
      </c>
      <c r="V77" s="15">
        <f>MAYO!V77+JUNIO!AL77</f>
        <v>0</v>
      </c>
      <c r="W77" s="15">
        <f>MAYO!W77+JUNIO!AM77</f>
        <v>0</v>
      </c>
      <c r="X77" s="18">
        <f t="shared" si="76"/>
        <v>1200000</v>
      </c>
      <c r="Y77" s="19">
        <f>MAYO!AA77</f>
        <v>520255</v>
      </c>
      <c r="Z77" s="374">
        <v>89390</v>
      </c>
      <c r="AA77" s="18">
        <f t="shared" si="77"/>
        <v>609645</v>
      </c>
      <c r="AB77" s="19">
        <f>MAYO!AD77</f>
        <v>520255</v>
      </c>
      <c r="AC77" s="374">
        <v>89390</v>
      </c>
      <c r="AD77" s="18">
        <f t="shared" si="78"/>
        <v>609645</v>
      </c>
      <c r="AE77" s="19">
        <f>MAYO!AG77</f>
        <v>520255</v>
      </c>
      <c r="AF77" s="374">
        <v>89390</v>
      </c>
      <c r="AG77" s="18">
        <f t="shared" si="79"/>
        <v>609645</v>
      </c>
      <c r="AH77" s="19">
        <f t="shared" si="80"/>
        <v>590355</v>
      </c>
      <c r="AI77" s="15">
        <f t="shared" si="81"/>
        <v>590355</v>
      </c>
      <c r="AJ77" s="16">
        <f t="shared" si="82"/>
        <v>590355</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3">
        <f>+IF(MAYO!A78=0,"",MAYO!A78)</f>
        <v>1130118</v>
      </c>
      <c r="B78" s="645" t="str">
        <f>+IF(MAYO!B78=0,"",MAYO!B78)</f>
        <v>PARTICULARES   (Venta de Contado)</v>
      </c>
      <c r="C78" s="43">
        <f>SUM(C79:C80)</f>
        <v>435000000</v>
      </c>
      <c r="D78" s="44">
        <f>SUM(D79:D80)</f>
        <v>0</v>
      </c>
      <c r="E78" s="44">
        <f>SUM(E79:E80)</f>
        <v>1773400</v>
      </c>
      <c r="F78" s="44">
        <f t="shared" si="85"/>
        <v>436773400</v>
      </c>
      <c r="G78" s="44">
        <f>SUM(G79:G80)</f>
        <v>281444552</v>
      </c>
      <c r="H78" s="44">
        <f>SUM(H79:H80)</f>
        <v>19669156</v>
      </c>
      <c r="I78" s="44">
        <f t="shared" si="86"/>
        <v>301113708</v>
      </c>
      <c r="J78" s="44">
        <f>SUM(J79:J80)</f>
        <v>281444552</v>
      </c>
      <c r="K78" s="44">
        <f>SUM(K79:K80)</f>
        <v>19669156</v>
      </c>
      <c r="L78" s="44">
        <f t="shared" si="87"/>
        <v>301113708</v>
      </c>
      <c r="M78" s="44">
        <f t="shared" si="88"/>
        <v>135659692</v>
      </c>
      <c r="N78" s="45">
        <f t="shared" si="89"/>
        <v>135659692</v>
      </c>
      <c r="O78" s="382"/>
      <c r="P78" s="43">
        <f>SUM(P79:P80)</f>
        <v>0</v>
      </c>
      <c r="Q78" s="45">
        <f>SUM(Q79:Q80)</f>
        <v>43200</v>
      </c>
      <c r="R78" s="9"/>
      <c r="S78" s="706" t="str">
        <f>+IF(MAYO!S78=0,"",MAYO!S78)</f>
        <v>1020104-12</v>
      </c>
      <c r="T78" s="682" t="str">
        <f>+IF(MAYO!T78=0,"",MAYO!T78)</f>
        <v>Indemnizaciones por Vacaciones o Supresión de Cargos por Reestructuración</v>
      </c>
      <c r="U78" s="27">
        <f>+ENERO!U78</f>
        <v>0</v>
      </c>
      <c r="V78" s="15">
        <f>MAYO!V78+JUNIO!AL78</f>
        <v>0</v>
      </c>
      <c r="W78" s="15">
        <f>MAYO!W78+JUNIO!AM78</f>
        <v>0</v>
      </c>
      <c r="X78" s="18">
        <f t="shared" si="76"/>
        <v>0</v>
      </c>
      <c r="Y78" s="19">
        <f>MAYO!AA78</f>
        <v>0</v>
      </c>
      <c r="Z78" s="374">
        <v>0</v>
      </c>
      <c r="AA78" s="18">
        <f t="shared" si="77"/>
        <v>0</v>
      </c>
      <c r="AB78" s="19">
        <f>MAYO!AD78</f>
        <v>0</v>
      </c>
      <c r="AC78" s="374">
        <v>0</v>
      </c>
      <c r="AD78" s="18">
        <f t="shared" si="78"/>
        <v>0</v>
      </c>
      <c r="AE78" s="19">
        <f>MAYO!AG78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+IF(MAYO!A79=0,"",MAYO!A79)</f>
        <v>1130118-1</v>
      </c>
      <c r="B79" s="646" t="str">
        <f>+CONCATENATE("Vigencia ",INSTRUCCIONES!$F$3)</f>
        <v>Vigencia 2017</v>
      </c>
      <c r="C79" s="671">
        <f>+ENERO!C79</f>
        <v>435000000</v>
      </c>
      <c r="D79" s="373">
        <f>MAYO!D79+JUNIO!P79</f>
        <v>0</v>
      </c>
      <c r="E79" s="373">
        <f>MAYO!E79+JUNIO!Q79</f>
        <v>0</v>
      </c>
      <c r="F79" s="373">
        <f t="shared" si="85"/>
        <v>435000000</v>
      </c>
      <c r="G79" s="373">
        <f>MAYO!I79</f>
        <v>279611552</v>
      </c>
      <c r="H79" s="374">
        <v>19669156</v>
      </c>
      <c r="I79" s="373">
        <f t="shared" si="86"/>
        <v>299280708</v>
      </c>
      <c r="J79" s="373">
        <f>MAYO!L79</f>
        <v>279611552</v>
      </c>
      <c r="K79" s="374">
        <v>19669156</v>
      </c>
      <c r="L79" s="373">
        <f t="shared" si="87"/>
        <v>299280708</v>
      </c>
      <c r="M79" s="373">
        <f t="shared" si="88"/>
        <v>135719292</v>
      </c>
      <c r="N79" s="143">
        <f t="shared" si="89"/>
        <v>135719292</v>
      </c>
      <c r="P79" s="372">
        <v>0</v>
      </c>
      <c r="Q79" s="375">
        <v>0</v>
      </c>
      <c r="R79" s="9"/>
      <c r="S79" s="706" t="str">
        <f>+IF(MAYO!S79=0,"",MAYO!S79)</f>
        <v>1020104-13</v>
      </c>
      <c r="T79" s="682" t="str">
        <f>+IF(MAYO!T79=0,"",MAYO!T79)</f>
        <v>Bonificación Especial por Recreación</v>
      </c>
      <c r="U79" s="27">
        <f>+ENERO!U79</f>
        <v>2582164</v>
      </c>
      <c r="V79" s="15">
        <f>MAYO!V79+JUNIO!AL79</f>
        <v>0</v>
      </c>
      <c r="W79" s="15">
        <f>MAYO!W79+JUNIO!AM79</f>
        <v>0</v>
      </c>
      <c r="X79" s="18">
        <f t="shared" si="76"/>
        <v>2582164</v>
      </c>
      <c r="Y79" s="19">
        <f>MAYO!AA79</f>
        <v>1745745</v>
      </c>
      <c r="Z79" s="374">
        <v>257966</v>
      </c>
      <c r="AA79" s="18">
        <f t="shared" si="77"/>
        <v>2003711</v>
      </c>
      <c r="AB79" s="19">
        <f>MAYO!AD79</f>
        <v>1745745</v>
      </c>
      <c r="AC79" s="374">
        <v>257966</v>
      </c>
      <c r="AD79" s="18">
        <f t="shared" si="78"/>
        <v>2003711</v>
      </c>
      <c r="AE79" s="19">
        <f>MAYO!AG79</f>
        <v>1745745</v>
      </c>
      <c r="AF79" s="374">
        <v>257966</v>
      </c>
      <c r="AG79" s="18">
        <f t="shared" si="79"/>
        <v>2003711</v>
      </c>
      <c r="AH79" s="19">
        <f t="shared" si="80"/>
        <v>578453</v>
      </c>
      <c r="AI79" s="15">
        <f t="shared" si="81"/>
        <v>578453</v>
      </c>
      <c r="AJ79" s="16">
        <f t="shared" si="82"/>
        <v>578453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+IF(MAYO!A80=0,"",MAYO!A80)</f>
        <v>1130118-2</v>
      </c>
      <c r="B80" s="646" t="str">
        <f>+IF(MAYO!B80=0,"",MAYO!B80)</f>
        <v>Vigencia Anterior</v>
      </c>
      <c r="C80" s="671">
        <f>+ENERO!C80</f>
        <v>0</v>
      </c>
      <c r="D80" s="373">
        <f>MAYO!D80+JUNIO!P80</f>
        <v>0</v>
      </c>
      <c r="E80" s="373">
        <f>MAYO!E80+JUNIO!Q80</f>
        <v>1773400</v>
      </c>
      <c r="F80" s="373">
        <f t="shared" si="85"/>
        <v>1773400</v>
      </c>
      <c r="G80" s="373">
        <f>MAYO!I80</f>
        <v>1833000</v>
      </c>
      <c r="H80" s="374">
        <v>0</v>
      </c>
      <c r="I80" s="373">
        <f t="shared" si="86"/>
        <v>1833000</v>
      </c>
      <c r="J80" s="373">
        <f>MAYO!L80</f>
        <v>1833000</v>
      </c>
      <c r="K80" s="374">
        <v>0</v>
      </c>
      <c r="L80" s="373">
        <f t="shared" si="87"/>
        <v>1833000</v>
      </c>
      <c r="M80" s="373">
        <f t="shared" si="88"/>
        <v>-59600</v>
      </c>
      <c r="N80" s="143">
        <f t="shared" si="89"/>
        <v>-59600</v>
      </c>
      <c r="O80" s="382"/>
      <c r="P80" s="372">
        <v>0</v>
      </c>
      <c r="Q80" s="375">
        <v>43200</v>
      </c>
      <c r="S80" s="706" t="str">
        <f>+IF(MAYO!S80=0,"",MAYO!S80)</f>
        <v>1020104-14</v>
      </c>
      <c r="T80" s="682" t="str">
        <f>+IF(MAYO!T80=0,"",MAYO!T80)</f>
        <v/>
      </c>
      <c r="U80" s="27">
        <f>+ENERO!U80</f>
        <v>48881820</v>
      </c>
      <c r="V80" s="15">
        <f>MAYO!V80+JUNIO!AL80</f>
        <v>0</v>
      </c>
      <c r="W80" s="15">
        <f>MAYO!W80+JUNIO!AM80</f>
        <v>0</v>
      </c>
      <c r="X80" s="18">
        <f t="shared" si="76"/>
        <v>48881820</v>
      </c>
      <c r="Y80" s="19">
        <f>MAYO!AA80</f>
        <v>34659042</v>
      </c>
      <c r="Z80" s="374">
        <v>6244682</v>
      </c>
      <c r="AA80" s="18">
        <f t="shared" si="77"/>
        <v>40903724</v>
      </c>
      <c r="AB80" s="19">
        <f>MAYO!AD80</f>
        <v>34659042</v>
      </c>
      <c r="AC80" s="374">
        <v>6244682</v>
      </c>
      <c r="AD80" s="18">
        <f t="shared" si="78"/>
        <v>40903724</v>
      </c>
      <c r="AE80" s="19">
        <f>MAYO!AG80</f>
        <v>34659042</v>
      </c>
      <c r="AF80" s="374">
        <v>6244682</v>
      </c>
      <c r="AG80" s="18">
        <f t="shared" si="79"/>
        <v>40903724</v>
      </c>
      <c r="AH80" s="19">
        <f t="shared" si="80"/>
        <v>7978096</v>
      </c>
      <c r="AI80" s="15">
        <f t="shared" si="81"/>
        <v>7978096</v>
      </c>
      <c r="AJ80" s="16">
        <f t="shared" si="82"/>
        <v>7978096</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3">
        <f>+IF(MAYO!A81=0,"",MAYO!A81)</f>
        <v>1130119</v>
      </c>
      <c r="B81" s="649" t="str">
        <f>+IF(MAYO!B81=0,"",MAYO!B81)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5">
        <f>+IF(MAYO!S81=0,"",MAYO!S81)</f>
        <v>1020199</v>
      </c>
      <c r="T81" s="681" t="str">
        <f>+IF(MAYO!T81=0,"",MAYO!T81)</f>
        <v>Vigencias Anteriores</v>
      </c>
      <c r="U81" s="27">
        <f>+ENERO!U81</f>
        <v>0</v>
      </c>
      <c r="V81" s="15">
        <f>MAYO!V81+JUNIO!AL81</f>
        <v>0</v>
      </c>
      <c r="W81" s="15">
        <f>MAYO!W81+JUNIO!AM81</f>
        <v>0</v>
      </c>
      <c r="X81" s="18">
        <f t="shared" si="76"/>
        <v>0</v>
      </c>
      <c r="Y81" s="19">
        <f>MAYO!AA81</f>
        <v>0</v>
      </c>
      <c r="Z81" s="374">
        <v>0</v>
      </c>
      <c r="AA81" s="18">
        <f t="shared" si="77"/>
        <v>0</v>
      </c>
      <c r="AB81" s="19">
        <f>MAYO!AD81</f>
        <v>0</v>
      </c>
      <c r="AC81" s="374">
        <v>0</v>
      </c>
      <c r="AD81" s="18">
        <f t="shared" si="78"/>
        <v>0</v>
      </c>
      <c r="AE81" s="19">
        <f>MAYO!AG81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+IF(MAYO!A82=0,"",MAYO!A82)</f>
        <v>1130119-1</v>
      </c>
      <c r="B82" s="646" t="str">
        <f>+CONCATENATE("Vigencia ",INSTRUCCIONES!$F$3)</f>
        <v>Vigencia 2017</v>
      </c>
      <c r="C82" s="671">
        <f>+ENERO!C82</f>
        <v>0</v>
      </c>
      <c r="D82" s="373">
        <f>MAYO!D82+JUNIO!P82</f>
        <v>0</v>
      </c>
      <c r="E82" s="373">
        <f>MAYO!E82+JUNIO!Q82</f>
        <v>0</v>
      </c>
      <c r="F82" s="373">
        <f t="shared" si="85"/>
        <v>0</v>
      </c>
      <c r="G82" s="373">
        <f>MAYO!I82</f>
        <v>0</v>
      </c>
      <c r="H82" s="374">
        <v>0</v>
      </c>
      <c r="I82" s="373">
        <f t="shared" si="86"/>
        <v>0</v>
      </c>
      <c r="J82" s="373">
        <f>MAYO!L82</f>
        <v>0</v>
      </c>
      <c r="K82" s="374">
        <v>0</v>
      </c>
      <c r="L82" s="373">
        <f t="shared" si="87"/>
        <v>0</v>
      </c>
      <c r="M82" s="373">
        <f t="shared" si="88"/>
        <v>0</v>
      </c>
      <c r="N82" s="143">
        <f t="shared" si="89"/>
        <v>0</v>
      </c>
      <c r="P82" s="372">
        <v>0</v>
      </c>
      <c r="Q82" s="375">
        <v>0</v>
      </c>
      <c r="R82" s="9"/>
      <c r="S82" s="366" t="str">
        <f>+IF(MAYO!S82=0,"",MAYO!S82)</f>
        <v/>
      </c>
      <c r="T82" s="695"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+IF(MAYO!A83=0,"",MAYO!A83)</f>
        <v>1130119-2</v>
      </c>
      <c r="B83" s="650" t="str">
        <f>+IF(MAYO!B83=0,"",MAYO!B83)</f>
        <v>Vigencia Anterior</v>
      </c>
      <c r="C83" s="769">
        <f>+ENERO!C83</f>
        <v>0</v>
      </c>
      <c r="D83" s="385">
        <f>MAYO!D83+JUNIO!P83</f>
        <v>0</v>
      </c>
      <c r="E83" s="385">
        <f>MAYO!E83+JUNIO!Q83</f>
        <v>0</v>
      </c>
      <c r="F83" s="385">
        <f t="shared" si="85"/>
        <v>0</v>
      </c>
      <c r="G83" s="385">
        <f>MAYO!I83</f>
        <v>0</v>
      </c>
      <c r="H83" s="388">
        <v>0</v>
      </c>
      <c r="I83" s="385">
        <f t="shared" si="86"/>
        <v>0</v>
      </c>
      <c r="J83" s="385">
        <f>MAYO!L83</f>
        <v>0</v>
      </c>
      <c r="K83" s="388">
        <v>0</v>
      </c>
      <c r="L83" s="385">
        <f t="shared" si="87"/>
        <v>0</v>
      </c>
      <c r="M83" s="385">
        <f t="shared" si="88"/>
        <v>0</v>
      </c>
      <c r="N83" s="386">
        <f t="shared" si="89"/>
        <v>0</v>
      </c>
      <c r="P83" s="372">
        <v>0</v>
      </c>
      <c r="Q83" s="375">
        <v>0</v>
      </c>
      <c r="R83" s="9"/>
      <c r="S83" s="704">
        <f>+IF(MAYO!S83=0,"",MAYO!S83)</f>
        <v>1020200</v>
      </c>
      <c r="T83" s="680" t="str">
        <f>+IF(MAYO!T83=0,"",MAYO!T83)</f>
        <v>Servicios Personales Indirectos</v>
      </c>
      <c r="U83" s="132">
        <f t="shared" ref="U83:AJ83" si="91">SUM(U84:U88)</f>
        <v>22232471701</v>
      </c>
      <c r="V83" s="122">
        <f t="shared" si="91"/>
        <v>220127949</v>
      </c>
      <c r="W83" s="122">
        <f t="shared" si="91"/>
        <v>4500000000</v>
      </c>
      <c r="X83" s="129">
        <f t="shared" si="91"/>
        <v>26952599650</v>
      </c>
      <c r="Y83" s="128">
        <f t="shared" si="91"/>
        <v>17777393911</v>
      </c>
      <c r="Z83" s="122">
        <f t="shared" si="91"/>
        <v>6559047416</v>
      </c>
      <c r="AA83" s="129">
        <f t="shared" si="91"/>
        <v>24336441327</v>
      </c>
      <c r="AB83" s="128">
        <f t="shared" si="91"/>
        <v>13969053445</v>
      </c>
      <c r="AC83" s="122">
        <f t="shared" si="91"/>
        <v>2868906019</v>
      </c>
      <c r="AD83" s="129">
        <f t="shared" si="91"/>
        <v>16837959464</v>
      </c>
      <c r="AE83" s="128">
        <f t="shared" si="91"/>
        <v>7955603164</v>
      </c>
      <c r="AF83" s="122">
        <f t="shared" si="91"/>
        <v>1391116753</v>
      </c>
      <c r="AG83" s="129">
        <f t="shared" si="91"/>
        <v>9346719917</v>
      </c>
      <c r="AH83" s="128">
        <f t="shared" si="91"/>
        <v>2616158323</v>
      </c>
      <c r="AI83" s="122">
        <f t="shared" si="91"/>
        <v>10114640186</v>
      </c>
      <c r="AJ83" s="130">
        <f t="shared" si="91"/>
        <v>17605879733</v>
      </c>
      <c r="AK83" s="9"/>
      <c r="AL83" s="128">
        <f>SUM(AL84:AL88)</f>
        <v>340000000</v>
      </c>
      <c r="AM83" s="130">
        <f>SUM(AM84:AM88)</f>
        <v>2500000000</v>
      </c>
      <c r="AN83" s="9"/>
      <c r="AO83" s="294"/>
      <c r="AP83" s="294"/>
      <c r="AQ83" s="294"/>
      <c r="AR83" s="294"/>
      <c r="AS83" s="294"/>
      <c r="AT83" s="294"/>
      <c r="AU83" s="294"/>
      <c r="AV83" s="294"/>
      <c r="AW83" s="294"/>
      <c r="AX83" s="294"/>
      <c r="AY83" s="294"/>
      <c r="AZ83" s="294"/>
      <c r="BM83" s="9"/>
    </row>
    <row r="84" spans="1:70" s="382" customFormat="1" ht="24.95" customHeight="1" thickBot="1">
      <c r="A84" s="736" t="str">
        <f>+IF(MAYO!A84=0,"",MAYO!A84)</f>
        <v/>
      </c>
      <c r="B84" s="651" t="str">
        <f>+IF(MAYO!B84=0,"",MAYO!B84)</f>
        <v/>
      </c>
      <c r="C84" s="294"/>
      <c r="D84" s="294"/>
      <c r="E84" s="294"/>
      <c r="F84" s="294"/>
      <c r="G84" s="294"/>
      <c r="H84" s="294"/>
      <c r="I84" s="294"/>
      <c r="J84" s="294"/>
      <c r="K84" s="294"/>
      <c r="L84" s="294"/>
      <c r="M84" s="294"/>
      <c r="N84" s="463"/>
      <c r="O84" s="461"/>
      <c r="P84" s="467"/>
      <c r="Q84" s="391"/>
      <c r="R84" s="9"/>
      <c r="S84" s="705" t="str">
        <f>+IF(MAYO!S84=0,"",MAYO!S84)</f>
        <v>1020200-1</v>
      </c>
      <c r="T84" s="681" t="str">
        <f>+IF(MAYO!T84=0,"",MAYO!T84)</f>
        <v>Remuneración y Honorarios por Servicios Técnicos y Profesionales</v>
      </c>
      <c r="U84" s="27">
        <f>+ENERO!U84</f>
        <v>1000000000</v>
      </c>
      <c r="V84" s="15">
        <f>MAYO!V84+JUNIO!AL84</f>
        <v>1381000000</v>
      </c>
      <c r="W84" s="15">
        <f>MAYO!W84+JUNIO!AM84</f>
        <v>500000000</v>
      </c>
      <c r="X84" s="18">
        <f>SUM(U84:W84)</f>
        <v>2881000000</v>
      </c>
      <c r="Y84" s="19">
        <f>MAYO!AA84</f>
        <v>2223996058</v>
      </c>
      <c r="Z84" s="374">
        <v>641400000</v>
      </c>
      <c r="AA84" s="18">
        <f>SUM(Y84:Z84)</f>
        <v>2865396058</v>
      </c>
      <c r="AB84" s="19">
        <f>MAYO!AD84</f>
        <v>1377137759</v>
      </c>
      <c r="AC84" s="374">
        <v>313771828</v>
      </c>
      <c r="AD84" s="18">
        <f>SUM(AB84:AC84)</f>
        <v>1690909587</v>
      </c>
      <c r="AE84" s="19">
        <f>MAYO!AG84</f>
        <v>958718182</v>
      </c>
      <c r="AF84" s="374">
        <v>260795300</v>
      </c>
      <c r="AG84" s="18">
        <f>SUM(AE84:AF84)</f>
        <v>1219513482</v>
      </c>
      <c r="AH84" s="19">
        <f>X84-AA84</f>
        <v>15603942</v>
      </c>
      <c r="AI84" s="15">
        <f>X84-AD84</f>
        <v>1190090413</v>
      </c>
      <c r="AJ84" s="16">
        <f>X84-AG84</f>
        <v>1661486518</v>
      </c>
      <c r="AK84" s="9"/>
      <c r="AL84" s="372">
        <v>90000000</v>
      </c>
      <c r="AM84" s="375">
        <v>500000000</v>
      </c>
      <c r="AN84" s="9"/>
      <c r="AO84" s="294"/>
      <c r="AP84" s="294"/>
      <c r="AQ84" s="294"/>
      <c r="AR84" s="294"/>
      <c r="AS84" s="294"/>
      <c r="AT84" s="294"/>
      <c r="AU84" s="294"/>
      <c r="AV84" s="294"/>
      <c r="AW84" s="294"/>
      <c r="AX84" s="294"/>
      <c r="AY84" s="294"/>
      <c r="AZ84" s="294"/>
    </row>
    <row r="85" spans="1:70" s="382" customFormat="1" ht="24.95" customHeight="1">
      <c r="A85" s="737">
        <f>+IF(MAYO!A85=0,"",MAYO!A85)</f>
        <v>11302</v>
      </c>
      <c r="B85" s="652" t="str">
        <f>+IF(MAYO!B85=0,"",MAYO!B85)</f>
        <v>Otras Ventas de Servicios de Salud</v>
      </c>
      <c r="C85" s="617">
        <f t="shared" ref="C85:N85" si="92">SUM(C86:C92)</f>
        <v>0</v>
      </c>
      <c r="D85" s="615">
        <f t="shared" si="92"/>
        <v>0</v>
      </c>
      <c r="E85" s="615">
        <f t="shared" si="92"/>
        <v>0</v>
      </c>
      <c r="F85" s="615">
        <f t="shared" si="92"/>
        <v>0</v>
      </c>
      <c r="G85" s="615">
        <f t="shared" si="92"/>
        <v>0</v>
      </c>
      <c r="H85" s="615">
        <f t="shared" si="92"/>
        <v>0</v>
      </c>
      <c r="I85" s="615">
        <f t="shared" si="92"/>
        <v>0</v>
      </c>
      <c r="J85" s="615">
        <f t="shared" si="92"/>
        <v>0</v>
      </c>
      <c r="K85" s="615">
        <f t="shared" si="92"/>
        <v>0</v>
      </c>
      <c r="L85" s="615">
        <f t="shared" si="92"/>
        <v>0</v>
      </c>
      <c r="M85" s="615">
        <f t="shared" si="92"/>
        <v>0</v>
      </c>
      <c r="N85" s="616">
        <f t="shared" si="92"/>
        <v>0</v>
      </c>
      <c r="P85" s="43">
        <f>SUM(P86:P92)</f>
        <v>0</v>
      </c>
      <c r="Q85" s="45">
        <f>SUM(Q86:Q92)</f>
        <v>0</v>
      </c>
      <c r="R85" s="9"/>
      <c r="S85" s="705" t="str">
        <f>+IF(MAYO!S85=0,"",MAYO!S85)</f>
        <v>1020200-2</v>
      </c>
      <c r="T85" s="681" t="str">
        <f>+IF(MAYO!T85=0,"",MAYO!T85)</f>
        <v>Personal Supernumerario</v>
      </c>
      <c r="U85" s="27">
        <f>+ENERO!U85</f>
        <v>0</v>
      </c>
      <c r="V85" s="15">
        <f>MAYO!V85+JUNIO!AL85</f>
        <v>0</v>
      </c>
      <c r="W85" s="15">
        <f>MAYO!W85+JUNIO!AM85</f>
        <v>0</v>
      </c>
      <c r="X85" s="18">
        <f>SUM(U85:W85)</f>
        <v>0</v>
      </c>
      <c r="Y85" s="19">
        <f>MAYO!AA85</f>
        <v>0</v>
      </c>
      <c r="Z85" s="374">
        <v>0</v>
      </c>
      <c r="AA85" s="18">
        <f>SUM(Y85:Z85)</f>
        <v>0</v>
      </c>
      <c r="AB85" s="19">
        <f>MAYO!AD85</f>
        <v>0</v>
      </c>
      <c r="AC85" s="374">
        <v>0</v>
      </c>
      <c r="AD85" s="18">
        <f>SUM(AB85:AC85)</f>
        <v>0</v>
      </c>
      <c r="AE85" s="19">
        <f>MAYO!AG85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8">
        <f>+IF(MAYO!A86=0,"",MAYO!A86)</f>
        <v>1130201</v>
      </c>
      <c r="B86" s="626" t="str">
        <f>+IF(MAYO!B86=0,"",MAYO!B86)</f>
        <v/>
      </c>
      <c r="C86" s="669">
        <f>+ENERO!C86</f>
        <v>0</v>
      </c>
      <c r="D86" s="373">
        <f>MAYO!D86+JUNIO!P86</f>
        <v>0</v>
      </c>
      <c r="E86" s="373">
        <f>MAYO!E86+JUNIO!Q86</f>
        <v>0</v>
      </c>
      <c r="F86" s="373">
        <f t="shared" ref="F86:F92" si="93">SUM(C86:E86)</f>
        <v>0</v>
      </c>
      <c r="G86" s="373">
        <f>MAYO!I86</f>
        <v>0</v>
      </c>
      <c r="H86" s="374">
        <v>0</v>
      </c>
      <c r="I86" s="373">
        <f t="shared" ref="I86:I92" si="94">SUM(G86:H86)</f>
        <v>0</v>
      </c>
      <c r="J86" s="373">
        <f>MAYO!L86</f>
        <v>0</v>
      </c>
      <c r="K86" s="374">
        <v>0</v>
      </c>
      <c r="L86" s="373">
        <f t="shared" ref="L86:L92" si="95">SUM(J86:K86)</f>
        <v>0</v>
      </c>
      <c r="M86" s="373">
        <f t="shared" ref="M86:M92" si="96">F86-I86</f>
        <v>0</v>
      </c>
      <c r="N86" s="143">
        <f t="shared" ref="N86:N92" si="97">F86-L86</f>
        <v>0</v>
      </c>
      <c r="O86" s="382"/>
      <c r="P86" s="372">
        <v>0</v>
      </c>
      <c r="Q86" s="375">
        <v>0</v>
      </c>
      <c r="S86" s="705" t="str">
        <f>+IF(MAYO!S86=0,"",MAYO!S86)</f>
        <v>1020200-4</v>
      </c>
      <c r="T86" s="681" t="str">
        <f>+IF(MAYO!T86=0,"",MAYO!T86)</f>
        <v>Otros Honorarios</v>
      </c>
      <c r="U86" s="27">
        <f>+ENERO!U86</f>
        <v>19000000000</v>
      </c>
      <c r="V86" s="15">
        <f>MAYO!V86+JUNIO!AL86</f>
        <v>-2727459976</v>
      </c>
      <c r="W86" s="15">
        <f>MAYO!W86+JUNIO!AM86</f>
        <v>2000000000</v>
      </c>
      <c r="X86" s="18">
        <f>SUM(U86:W86)</f>
        <v>18272540024</v>
      </c>
      <c r="Y86" s="19">
        <f>MAYO!AA86</f>
        <v>10105730146</v>
      </c>
      <c r="Z86" s="374">
        <v>5623984340</v>
      </c>
      <c r="AA86" s="18">
        <f>SUM(Y86:Z86)</f>
        <v>15729714486</v>
      </c>
      <c r="AB86" s="19">
        <f>MAYO!AD86</f>
        <v>7144247979</v>
      </c>
      <c r="AC86" s="374">
        <v>2261471115</v>
      </c>
      <c r="AD86" s="18">
        <f>SUM(AB86:AC86)</f>
        <v>9405719094</v>
      </c>
      <c r="AE86" s="19">
        <f>MAYO!AG86</f>
        <v>1549217275</v>
      </c>
      <c r="AF86" s="374">
        <v>836658377</v>
      </c>
      <c r="AG86" s="18">
        <f>SUM(AE86:AF86)</f>
        <v>2385875652</v>
      </c>
      <c r="AH86" s="19">
        <f>X86-AA86</f>
        <v>2542825538</v>
      </c>
      <c r="AI86" s="15">
        <f>X86-AD86</f>
        <v>8866820930</v>
      </c>
      <c r="AJ86" s="16">
        <f>X86-AG86</f>
        <v>15886664372</v>
      </c>
      <c r="AL86" s="372">
        <v>-90000000</v>
      </c>
      <c r="AM86" s="375">
        <v>2000000000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38">
        <f>+IF(MAYO!A87=0,"",MAYO!A87)</f>
        <v>1130202</v>
      </c>
      <c r="B87" s="626" t="str">
        <f>+IF(MAYO!B87=0,"",MAYO!B87)</f>
        <v/>
      </c>
      <c r="C87" s="669">
        <f>+ENERO!C87</f>
        <v>0</v>
      </c>
      <c r="D87" s="373">
        <f>MAYO!D87+JUNIO!P87</f>
        <v>0</v>
      </c>
      <c r="E87" s="373">
        <f>MAYO!E87+JUNIO!Q87</f>
        <v>0</v>
      </c>
      <c r="F87" s="373">
        <f t="shared" si="93"/>
        <v>0</v>
      </c>
      <c r="G87" s="373">
        <f>MAYO!I87</f>
        <v>0</v>
      </c>
      <c r="H87" s="374">
        <v>0</v>
      </c>
      <c r="I87" s="373">
        <f t="shared" si="94"/>
        <v>0</v>
      </c>
      <c r="J87" s="373">
        <f>MAYO!L87</f>
        <v>0</v>
      </c>
      <c r="K87" s="374">
        <v>0</v>
      </c>
      <c r="L87" s="373">
        <f t="shared" si="95"/>
        <v>0</v>
      </c>
      <c r="M87" s="373">
        <f t="shared" si="96"/>
        <v>0</v>
      </c>
      <c r="N87" s="143">
        <f t="shared" si="97"/>
        <v>0</v>
      </c>
      <c r="P87" s="372">
        <v>0</v>
      </c>
      <c r="Q87" s="375">
        <v>0</v>
      </c>
      <c r="R87" s="9"/>
      <c r="S87" s="705" t="str">
        <f>+IF(MAYO!S87=0,"",MAYO!S87)</f>
        <v/>
      </c>
      <c r="T87" s="681" t="str">
        <f>+IF(MAYO!T87=0,"",MAYO!T87)</f>
        <v/>
      </c>
      <c r="U87" s="27">
        <f>+ENERO!U87</f>
        <v>0</v>
      </c>
      <c r="V87" s="15">
        <f>MAYO!V87+JUNIO!AL87</f>
        <v>0</v>
      </c>
      <c r="W87" s="15">
        <f>MAYO!W87+JUNIO!AM87</f>
        <v>0</v>
      </c>
      <c r="X87" s="18">
        <f>SUM(U87:W87)</f>
        <v>0</v>
      </c>
      <c r="Y87" s="19">
        <f>MAYO!AA87</f>
        <v>0</v>
      </c>
      <c r="Z87" s="374">
        <v>0</v>
      </c>
      <c r="AA87" s="18">
        <f>SUM(Y87:Z87)</f>
        <v>0</v>
      </c>
      <c r="AB87" s="19">
        <f>MAYO!AD87</f>
        <v>0</v>
      </c>
      <c r="AC87" s="374">
        <v>0</v>
      </c>
      <c r="AD87" s="18">
        <f>SUM(AB87:AC87)</f>
        <v>0</v>
      </c>
      <c r="AE87" s="19">
        <f>MAYO!AG87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8">
        <f>+IF(MAYO!A88=0,"",MAYO!A88)</f>
        <v>1130203</v>
      </c>
      <c r="B88" s="627" t="str">
        <f>+IF(MAYO!B88=0,"",MAYO!B88)</f>
        <v>CONVENIOS CON LA NACION LIGADOS A LA VENTA DE SERVICIOS</v>
      </c>
      <c r="C88" s="669">
        <f>+ENERO!C88</f>
        <v>0</v>
      </c>
      <c r="D88" s="373">
        <f>MAYO!D88+JUNIO!P88</f>
        <v>0</v>
      </c>
      <c r="E88" s="373">
        <f>MAYO!E88+JUNIO!Q88</f>
        <v>0</v>
      </c>
      <c r="F88" s="373">
        <f t="shared" si="93"/>
        <v>0</v>
      </c>
      <c r="G88" s="373">
        <f>MAYO!I88</f>
        <v>0</v>
      </c>
      <c r="H88" s="374">
        <v>0</v>
      </c>
      <c r="I88" s="373">
        <f t="shared" si="94"/>
        <v>0</v>
      </c>
      <c r="J88" s="373">
        <f>MAYO!L88</f>
        <v>0</v>
      </c>
      <c r="K88" s="374">
        <v>0</v>
      </c>
      <c r="L88" s="373">
        <f t="shared" si="95"/>
        <v>0</v>
      </c>
      <c r="M88" s="373">
        <f t="shared" si="96"/>
        <v>0</v>
      </c>
      <c r="N88" s="143">
        <f t="shared" si="97"/>
        <v>0</v>
      </c>
      <c r="P88" s="372">
        <v>0</v>
      </c>
      <c r="Q88" s="375">
        <v>0</v>
      </c>
      <c r="R88" s="9"/>
      <c r="S88" s="705">
        <f>+IF(MAYO!S88=0,"",MAYO!S88)</f>
        <v>1020299</v>
      </c>
      <c r="T88" s="681" t="str">
        <f>+IF(MAYO!T88=0,"",MAYO!T88)</f>
        <v>Vigencias Anteriores</v>
      </c>
      <c r="U88" s="27">
        <f>+ENERO!U88</f>
        <v>2232471701</v>
      </c>
      <c r="V88" s="15">
        <f>MAYO!V88+JUNIO!AL88</f>
        <v>1566587925</v>
      </c>
      <c r="W88" s="15">
        <f>MAYO!W88+JUNIO!AM88</f>
        <v>2000000000</v>
      </c>
      <c r="X88" s="18">
        <f>SUM(U88:W88)</f>
        <v>5799059626</v>
      </c>
      <c r="Y88" s="19">
        <f>MAYO!AA88</f>
        <v>5447667707</v>
      </c>
      <c r="Z88" s="374">
        <v>293663076</v>
      </c>
      <c r="AA88" s="18">
        <f>SUM(Y88:Z88)</f>
        <v>5741330783</v>
      </c>
      <c r="AB88" s="19">
        <f>MAYO!AD88</f>
        <v>5447667707</v>
      </c>
      <c r="AC88" s="374">
        <v>293663076</v>
      </c>
      <c r="AD88" s="18">
        <f>SUM(AB88:AC88)</f>
        <v>5741330783</v>
      </c>
      <c r="AE88" s="19">
        <f>MAYO!AG88</f>
        <v>5447667707</v>
      </c>
      <c r="AF88" s="374">
        <v>293663076</v>
      </c>
      <c r="AG88" s="18">
        <f>SUM(AE88:AF88)</f>
        <v>5741330783</v>
      </c>
      <c r="AH88" s="19">
        <f>X88-AA88</f>
        <v>57728843</v>
      </c>
      <c r="AI88" s="15">
        <f>X88-AD88</f>
        <v>57728843</v>
      </c>
      <c r="AJ88" s="16">
        <f>X88-AG88</f>
        <v>57728843</v>
      </c>
      <c r="AK88" s="9"/>
      <c r="AL88" s="372">
        <v>340000000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8">
        <f>+IF(MAYO!A89=0,"",MAYO!A89)</f>
        <v>1130204</v>
      </c>
      <c r="B89" s="627" t="str">
        <f>+IF(MAYO!B89=0,"",MAYO!B89)</f>
        <v>CONVENIOS CON EL DEPARTAMENTO LIGADOS A LA VENTA SERVICIOS</v>
      </c>
      <c r="C89" s="669">
        <f>+ENERO!C89</f>
        <v>0</v>
      </c>
      <c r="D89" s="373">
        <f>MAYO!D89+JUNIO!P89</f>
        <v>0</v>
      </c>
      <c r="E89" s="373">
        <f>MAYO!E89+JUNIO!Q89</f>
        <v>0</v>
      </c>
      <c r="F89" s="373">
        <f t="shared" si="93"/>
        <v>0</v>
      </c>
      <c r="G89" s="373">
        <f>MAYO!I89</f>
        <v>0</v>
      </c>
      <c r="H89" s="374">
        <v>0</v>
      </c>
      <c r="I89" s="373">
        <f t="shared" si="94"/>
        <v>0</v>
      </c>
      <c r="J89" s="373">
        <f>MAYO!L89</f>
        <v>0</v>
      </c>
      <c r="K89" s="374">
        <v>0</v>
      </c>
      <c r="L89" s="373">
        <f t="shared" si="95"/>
        <v>0</v>
      </c>
      <c r="M89" s="373">
        <f t="shared" si="96"/>
        <v>0</v>
      </c>
      <c r="N89" s="143">
        <f t="shared" si="97"/>
        <v>0</v>
      </c>
      <c r="P89" s="372">
        <v>0</v>
      </c>
      <c r="Q89" s="375">
        <v>0</v>
      </c>
      <c r="R89" s="9"/>
      <c r="S89" s="366" t="str">
        <f>+IF(MAYO!S89=0,"",MAYO!S89)</f>
        <v/>
      </c>
      <c r="T89" s="695"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8">
        <f>+IF(MAYO!A90=0,"",MAYO!A90)</f>
        <v>1130205</v>
      </c>
      <c r="B90" s="627" t="str">
        <f>+IF(MAYO!B90=0,"",MAYO!B90)</f>
        <v>CONVENIOS CON EL MUNICIPIO LIGADOS A LA VENTA DE SERVICIOS</v>
      </c>
      <c r="C90" s="669">
        <f>+ENERO!C90</f>
        <v>0</v>
      </c>
      <c r="D90" s="373">
        <f>MAYO!D90+JUNIO!P90</f>
        <v>0</v>
      </c>
      <c r="E90" s="373">
        <f>MAYO!E90+JUNIO!Q90</f>
        <v>0</v>
      </c>
      <c r="F90" s="373">
        <f t="shared" si="93"/>
        <v>0</v>
      </c>
      <c r="G90" s="373">
        <f>MAYO!I90</f>
        <v>0</v>
      </c>
      <c r="H90" s="374">
        <v>0</v>
      </c>
      <c r="I90" s="373">
        <f t="shared" si="94"/>
        <v>0</v>
      </c>
      <c r="J90" s="373">
        <f>MAYO!L90</f>
        <v>0</v>
      </c>
      <c r="K90" s="374">
        <v>0</v>
      </c>
      <c r="L90" s="373">
        <f t="shared" si="95"/>
        <v>0</v>
      </c>
      <c r="M90" s="373">
        <f t="shared" si="96"/>
        <v>0</v>
      </c>
      <c r="N90" s="143">
        <f t="shared" si="97"/>
        <v>0</v>
      </c>
      <c r="O90" s="382"/>
      <c r="P90" s="372">
        <v>0</v>
      </c>
      <c r="Q90" s="375">
        <v>0</v>
      </c>
      <c r="R90" s="30"/>
      <c r="S90" s="704">
        <f>+IF(MAYO!S90=0,"",MAYO!S90)</f>
        <v>1020300</v>
      </c>
      <c r="T90" s="680" t="str">
        <f>+IF(MAYO!T90=0,"",MAYO!T90)</f>
        <v>Contribuciones Inherentes nómina al Sector Privado</v>
      </c>
      <c r="U90" s="132">
        <f t="shared" ref="U90:AJ90" si="98">U91+U96+U102</f>
        <v>259627762</v>
      </c>
      <c r="V90" s="122">
        <f t="shared" si="98"/>
        <v>-72539920</v>
      </c>
      <c r="W90" s="122">
        <f t="shared" si="98"/>
        <v>292097670</v>
      </c>
      <c r="X90" s="129">
        <f t="shared" si="98"/>
        <v>479185512</v>
      </c>
      <c r="Y90" s="128">
        <f t="shared" si="98"/>
        <v>93581466</v>
      </c>
      <c r="Z90" s="122">
        <f t="shared" si="98"/>
        <v>19158195</v>
      </c>
      <c r="AA90" s="129">
        <f t="shared" si="98"/>
        <v>112739661</v>
      </c>
      <c r="AB90" s="128">
        <f t="shared" si="98"/>
        <v>93581466</v>
      </c>
      <c r="AC90" s="122">
        <f t="shared" si="98"/>
        <v>19158195</v>
      </c>
      <c r="AD90" s="129">
        <f t="shared" si="98"/>
        <v>112739661</v>
      </c>
      <c r="AE90" s="128">
        <f t="shared" si="98"/>
        <v>93581466</v>
      </c>
      <c r="AF90" s="122">
        <f t="shared" si="98"/>
        <v>19158195</v>
      </c>
      <c r="AG90" s="129">
        <f t="shared" si="98"/>
        <v>112739661</v>
      </c>
      <c r="AH90" s="128">
        <f t="shared" si="98"/>
        <v>366445851</v>
      </c>
      <c r="AI90" s="122">
        <f t="shared" si="98"/>
        <v>366445851</v>
      </c>
      <c r="AJ90" s="130">
        <f t="shared" si="98"/>
        <v>366445851</v>
      </c>
      <c r="AK90" s="9"/>
      <c r="AL90" s="128">
        <f>AL91+AL96+AL102</f>
        <v>0</v>
      </c>
      <c r="AM90" s="130">
        <f>AM91+AM96+AM102</f>
        <v>213557750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8">
        <f>+IF(MAYO!A91=0,"",MAYO!A91)</f>
        <v>1130206</v>
      </c>
      <c r="B91" s="627" t="str">
        <f>+IF(MAYO!B91=0,"",MAYO!B91)</f>
        <v>OTROS CONVENIOS LIGADOS A LA VENTA DE SERVICIOS</v>
      </c>
      <c r="C91" s="669">
        <f>+ENERO!C91</f>
        <v>0</v>
      </c>
      <c r="D91" s="373">
        <f>MAYO!D91+JUNIO!P91</f>
        <v>0</v>
      </c>
      <c r="E91" s="373">
        <f>MAYO!E91+JUNIO!Q91</f>
        <v>0</v>
      </c>
      <c r="F91" s="373">
        <f t="shared" si="93"/>
        <v>0</v>
      </c>
      <c r="G91" s="373">
        <f>MAYO!I91</f>
        <v>0</v>
      </c>
      <c r="H91" s="374">
        <v>0</v>
      </c>
      <c r="I91" s="373">
        <f t="shared" si="94"/>
        <v>0</v>
      </c>
      <c r="J91" s="373">
        <f>MAYO!L91</f>
        <v>0</v>
      </c>
      <c r="K91" s="374">
        <v>0</v>
      </c>
      <c r="L91" s="373">
        <f t="shared" si="95"/>
        <v>0</v>
      </c>
      <c r="M91" s="373">
        <f t="shared" si="96"/>
        <v>0</v>
      </c>
      <c r="N91" s="143">
        <f t="shared" si="97"/>
        <v>0</v>
      </c>
      <c r="O91" s="382"/>
      <c r="P91" s="372">
        <v>0</v>
      </c>
      <c r="Q91" s="375">
        <v>0</v>
      </c>
      <c r="R91" s="30"/>
      <c r="S91" s="705">
        <f>+IF(MAYO!S91=0,"",MAYO!S91)</f>
        <v>1020301</v>
      </c>
      <c r="T91" s="681" t="str">
        <f>+IF(MAYO!T91=0,"",MAYO!T91)</f>
        <v>Contribuciones - SGP - Aportes Patronales - Cuentas Maestras</v>
      </c>
      <c r="U91" s="27">
        <f t="shared" ref="U91:AJ91" si="99">SUM(U92:U95)</f>
        <v>0</v>
      </c>
      <c r="V91" s="15">
        <f t="shared" si="99"/>
        <v>0</v>
      </c>
      <c r="W91" s="15">
        <f t="shared" si="99"/>
        <v>193557750</v>
      </c>
      <c r="X91" s="18">
        <f t="shared" si="99"/>
        <v>193557750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193557750</v>
      </c>
      <c r="AI91" s="15">
        <f t="shared" si="99"/>
        <v>193557750</v>
      </c>
      <c r="AJ91" s="16">
        <f t="shared" si="99"/>
        <v>193557750</v>
      </c>
      <c r="AK91" s="9"/>
      <c r="AL91" s="29">
        <f>SUM(AL92:AL95)</f>
        <v>0</v>
      </c>
      <c r="AM91" s="26">
        <f>SUM(AM92:AM95)</f>
        <v>193557750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8">
        <f>+IF(MAYO!A92=0,"",MAYO!A92)</f>
        <v>1130207</v>
      </c>
      <c r="B92" s="628" t="str">
        <f>+IF(MAYO!B92=0,"",MAYO!B92)</f>
        <v>Vigencia Anterior</v>
      </c>
      <c r="C92" s="770">
        <f>+ENERO!C92</f>
        <v>0</v>
      </c>
      <c r="D92" s="385">
        <f>MAYO!D92+JUNIO!P92</f>
        <v>0</v>
      </c>
      <c r="E92" s="385">
        <f>MAYO!E92+JUNIO!Q92</f>
        <v>0</v>
      </c>
      <c r="F92" s="385">
        <f t="shared" si="93"/>
        <v>0</v>
      </c>
      <c r="G92" s="385">
        <f>MAYO!I92</f>
        <v>0</v>
      </c>
      <c r="H92" s="388">
        <v>0</v>
      </c>
      <c r="I92" s="385">
        <f t="shared" si="94"/>
        <v>0</v>
      </c>
      <c r="J92" s="385">
        <f>MAYO!L92</f>
        <v>0</v>
      </c>
      <c r="K92" s="388">
        <v>0</v>
      </c>
      <c r="L92" s="385">
        <f t="shared" si="95"/>
        <v>0</v>
      </c>
      <c r="M92" s="385">
        <f t="shared" si="96"/>
        <v>0</v>
      </c>
      <c r="N92" s="386">
        <f t="shared" si="97"/>
        <v>0</v>
      </c>
      <c r="O92" s="382"/>
      <c r="P92" s="372">
        <v>0</v>
      </c>
      <c r="Q92" s="375">
        <v>0</v>
      </c>
      <c r="R92" s="30"/>
      <c r="S92" s="706" t="str">
        <f>+IF(MAYO!S92=0,"",MAYO!S92)</f>
        <v>1020301-1</v>
      </c>
      <c r="T92" s="682" t="str">
        <f>+IF(MAYO!T92=0,"",MAYO!T92)</f>
        <v>E.P.S. - Aportes cuentas maestras</v>
      </c>
      <c r="U92" s="27">
        <f>+ENERO!U92</f>
        <v>0</v>
      </c>
      <c r="V92" s="15">
        <f>MAYO!V92+JUNIO!AL92</f>
        <v>0</v>
      </c>
      <c r="W92" s="15">
        <f>MAYO!W92+JUNIO!AM92</f>
        <v>40900445</v>
      </c>
      <c r="X92" s="18">
        <f>SUM(U92:W92)</f>
        <v>40900445</v>
      </c>
      <c r="Y92" s="19">
        <f>MAYO!AA92</f>
        <v>0</v>
      </c>
      <c r="Z92" s="374">
        <v>0</v>
      </c>
      <c r="AA92" s="18">
        <f>SUM(Y92:Z92)</f>
        <v>0</v>
      </c>
      <c r="AB92" s="19">
        <f>MAYO!AD92</f>
        <v>0</v>
      </c>
      <c r="AC92" s="374">
        <v>0</v>
      </c>
      <c r="AD92" s="18">
        <f>SUM(AB92:AC92)</f>
        <v>0</v>
      </c>
      <c r="AE92" s="19">
        <f>MAYO!AG92</f>
        <v>0</v>
      </c>
      <c r="AF92" s="374">
        <v>0</v>
      </c>
      <c r="AG92" s="18">
        <f>SUM(AE92:AF92)</f>
        <v>0</v>
      </c>
      <c r="AH92" s="19">
        <f>X92-AA92</f>
        <v>40900445</v>
      </c>
      <c r="AI92" s="15">
        <f>X92-AD92</f>
        <v>40900445</v>
      </c>
      <c r="AJ92" s="16">
        <f>X92-AG92</f>
        <v>40900445</v>
      </c>
      <c r="AK92" s="9"/>
      <c r="AL92" s="372">
        <v>0</v>
      </c>
      <c r="AM92" s="375">
        <v>40900445</v>
      </c>
      <c r="AN92" s="30"/>
      <c r="AO92" s="460"/>
      <c r="AP92" s="460"/>
      <c r="AQ92" s="460"/>
      <c r="AR92" s="460"/>
      <c r="AS92" s="460"/>
      <c r="AT92" s="460"/>
      <c r="AU92" s="460"/>
      <c r="AV92" s="460"/>
      <c r="AW92" s="460"/>
      <c r="AX92" s="460"/>
      <c r="AY92" s="460"/>
      <c r="AZ92" s="460"/>
      <c r="BL92" s="30"/>
    </row>
    <row r="93" spans="1:70" s="461" customFormat="1" ht="24.95" customHeight="1" thickBot="1">
      <c r="A93" s="736" t="str">
        <f>+IF(MAYO!A93=0,"",MAYO!A93)</f>
        <v/>
      </c>
      <c r="B93" s="651" t="str">
        <f>+IF(MAYO!B93=0,"",MAYO!B93)</f>
        <v/>
      </c>
      <c r="C93" s="294"/>
      <c r="D93" s="294"/>
      <c r="E93" s="294"/>
      <c r="F93" s="294"/>
      <c r="G93" s="294"/>
      <c r="H93" s="294"/>
      <c r="I93" s="294"/>
      <c r="J93" s="294"/>
      <c r="K93" s="294"/>
      <c r="L93" s="294"/>
      <c r="M93" s="294"/>
      <c r="N93" s="463"/>
      <c r="P93" s="467"/>
      <c r="Q93" s="391"/>
      <c r="R93" s="30"/>
      <c r="S93" s="706" t="str">
        <f>+IF(MAYO!S93=0,"",MAYO!S93)</f>
        <v>1020301-2</v>
      </c>
      <c r="T93" s="682" t="str">
        <f>+IF(MAYO!T93=0,"",MAYO!T93)</f>
        <v>Fondos pensionales - Aportes cuentas maestras</v>
      </c>
      <c r="U93" s="27">
        <f>+ENERO!U93</f>
        <v>0</v>
      </c>
      <c r="V93" s="15">
        <f>MAYO!V93+JUNIO!AL93</f>
        <v>0</v>
      </c>
      <c r="W93" s="15">
        <f>MAYO!W93+JUNIO!AM93</f>
        <v>114718500</v>
      </c>
      <c r="X93" s="18">
        <f>SUM(U93:W93)</f>
        <v>114718500</v>
      </c>
      <c r="Y93" s="19">
        <f>MAYO!AA93</f>
        <v>0</v>
      </c>
      <c r="Z93" s="374">
        <v>0</v>
      </c>
      <c r="AA93" s="18">
        <f>SUM(Y93:Z93)</f>
        <v>0</v>
      </c>
      <c r="AB93" s="19">
        <f>MAYO!AD93</f>
        <v>0</v>
      </c>
      <c r="AC93" s="374">
        <v>0</v>
      </c>
      <c r="AD93" s="18">
        <f>SUM(AB93:AC93)</f>
        <v>0</v>
      </c>
      <c r="AE93" s="19">
        <f>MAYO!AG93</f>
        <v>0</v>
      </c>
      <c r="AF93" s="374">
        <v>0</v>
      </c>
      <c r="AG93" s="18">
        <f>SUM(AE93:AF93)</f>
        <v>0</v>
      </c>
      <c r="AH93" s="19">
        <f>X93-AA93</f>
        <v>114718500</v>
      </c>
      <c r="AI93" s="15">
        <f>X93-AD93</f>
        <v>114718500</v>
      </c>
      <c r="AJ93" s="16">
        <f>X93-AG93</f>
        <v>114718500</v>
      </c>
      <c r="AK93" s="9"/>
      <c r="AL93" s="372">
        <v>0</v>
      </c>
      <c r="AM93" s="375">
        <v>114718500</v>
      </c>
      <c r="AN93" s="30"/>
      <c r="AO93" s="460"/>
      <c r="AP93" s="460"/>
      <c r="AQ93" s="460"/>
      <c r="AR93" s="460"/>
      <c r="AS93" s="460"/>
      <c r="AT93" s="460"/>
      <c r="AU93" s="460"/>
      <c r="AV93" s="460"/>
      <c r="AW93" s="460"/>
      <c r="AX93" s="460"/>
      <c r="AY93" s="460"/>
      <c r="AZ93" s="460"/>
      <c r="BL93" s="30"/>
    </row>
    <row r="94" spans="1:70" s="461" customFormat="1" ht="31.5" customHeight="1">
      <c r="A94" s="739">
        <f>+IF(MAYO!A94=0,"",MAYO!A94)</f>
        <v>11303</v>
      </c>
      <c r="B94" s="618" t="str">
        <f>+IF(MAYO!B94=0,"",MAYO!B94)</f>
        <v>Aportes (No ligados a la venta de servicios de salud)</v>
      </c>
      <c r="C94" s="617">
        <f>SUM(C95:C102)</f>
        <v>0</v>
      </c>
      <c r="D94" s="615">
        <f t="shared" ref="D94:N94" si="100">SUM(D95:D102)</f>
        <v>0</v>
      </c>
      <c r="E94" s="615">
        <f t="shared" si="100"/>
        <v>176903055</v>
      </c>
      <c r="F94" s="615">
        <f t="shared" si="100"/>
        <v>176903055</v>
      </c>
      <c r="G94" s="615">
        <f t="shared" si="100"/>
        <v>51666127</v>
      </c>
      <c r="H94" s="615">
        <f t="shared" si="100"/>
        <v>0</v>
      </c>
      <c r="I94" s="615">
        <f t="shared" si="100"/>
        <v>51666127</v>
      </c>
      <c r="J94" s="615">
        <f t="shared" si="100"/>
        <v>51666127</v>
      </c>
      <c r="K94" s="615">
        <f t="shared" si="100"/>
        <v>0</v>
      </c>
      <c r="L94" s="615">
        <f t="shared" si="100"/>
        <v>51666127</v>
      </c>
      <c r="M94" s="615">
        <f t="shared" si="100"/>
        <v>125236928</v>
      </c>
      <c r="N94" s="616">
        <f t="shared" si="100"/>
        <v>125236928</v>
      </c>
      <c r="O94" s="382"/>
      <c r="P94" s="43">
        <f>SUM(P95:P102)</f>
        <v>0</v>
      </c>
      <c r="Q94" s="45">
        <f>SUM(Q95:Q102)</f>
        <v>125236928</v>
      </c>
      <c r="R94" s="30"/>
      <c r="S94" s="706" t="str">
        <f>+IF(MAYO!S94=0,"",MAYO!S94)</f>
        <v>1020301-3</v>
      </c>
      <c r="T94" s="682" t="str">
        <f>+IF(MAYO!T94=0,"",MAYO!T94)</f>
        <v>Fondos de cesantías - Aportes cuentas maestras</v>
      </c>
      <c r="U94" s="27">
        <f>+ENERO!U94</f>
        <v>0</v>
      </c>
      <c r="V94" s="15">
        <f>MAYO!V94+JUNIO!AL94</f>
        <v>0</v>
      </c>
      <c r="W94" s="15">
        <f>MAYO!W94+JUNIO!AM94</f>
        <v>28200000</v>
      </c>
      <c r="X94" s="18">
        <f>SUM(U94:W94)</f>
        <v>28200000</v>
      </c>
      <c r="Y94" s="19">
        <f>MAYO!AA94</f>
        <v>0</v>
      </c>
      <c r="Z94" s="374">
        <v>0</v>
      </c>
      <c r="AA94" s="18">
        <f>SUM(Y94:Z94)</f>
        <v>0</v>
      </c>
      <c r="AB94" s="19">
        <f>MAYO!AD94</f>
        <v>0</v>
      </c>
      <c r="AC94" s="374">
        <v>0</v>
      </c>
      <c r="AD94" s="18">
        <f>SUM(AB94:AC94)</f>
        <v>0</v>
      </c>
      <c r="AE94" s="19">
        <f>MAYO!AG94</f>
        <v>0</v>
      </c>
      <c r="AF94" s="374">
        <v>0</v>
      </c>
      <c r="AG94" s="18">
        <f>SUM(AE94:AF94)</f>
        <v>0</v>
      </c>
      <c r="AH94" s="19">
        <f>X94-AA94</f>
        <v>28200000</v>
      </c>
      <c r="AI94" s="15">
        <f>X94-AD94</f>
        <v>28200000</v>
      </c>
      <c r="AJ94" s="16">
        <f>X94-AG94</f>
        <v>28200000</v>
      </c>
      <c r="AK94" s="9"/>
      <c r="AL94" s="372">
        <v>0</v>
      </c>
      <c r="AM94" s="375">
        <v>28200000</v>
      </c>
      <c r="AN94" s="30"/>
      <c r="AO94" s="460"/>
      <c r="AP94" s="460"/>
      <c r="AQ94" s="460"/>
      <c r="AR94" s="460"/>
      <c r="AS94" s="460"/>
      <c r="AT94" s="460"/>
      <c r="AU94" s="460"/>
      <c r="AV94" s="460"/>
      <c r="AW94" s="460"/>
      <c r="AX94" s="460"/>
      <c r="AY94" s="460"/>
      <c r="AZ94" s="460"/>
      <c r="BL94" s="30"/>
    </row>
    <row r="95" spans="1:70" s="461" customFormat="1" ht="24.95" customHeight="1">
      <c r="A95" s="740" t="str">
        <f>+IF(MAYO!A95=0,"",MAYO!A95)</f>
        <v>11303-1</v>
      </c>
      <c r="B95" s="619" t="str">
        <f>+IF(MAYO!B95=0,"",MAYO!B95)</f>
        <v>CONVENIOS CON LA NACION NO LIGADOS A LA VENTA DE SERVICIOS</v>
      </c>
      <c r="C95" s="669">
        <f>+ENERO!C95</f>
        <v>0</v>
      </c>
      <c r="D95" s="373">
        <f>MAYO!D95+JUNIO!P95</f>
        <v>0</v>
      </c>
      <c r="E95" s="373">
        <f>MAYO!E95+JUNIO!Q95</f>
        <v>0</v>
      </c>
      <c r="F95" s="373">
        <f t="shared" ref="F95:F102" si="101">SUM(C95:E95)</f>
        <v>0</v>
      </c>
      <c r="G95" s="373">
        <f>MAYO!I95</f>
        <v>0</v>
      </c>
      <c r="H95" s="374">
        <v>0</v>
      </c>
      <c r="I95" s="373">
        <f t="shared" ref="I95:I102" si="102">SUM(G95:H95)</f>
        <v>0</v>
      </c>
      <c r="J95" s="373">
        <f>MAYO!L95</f>
        <v>0</v>
      </c>
      <c r="K95" s="374">
        <v>0</v>
      </c>
      <c r="L95" s="373">
        <f t="shared" ref="L95:L102" si="103">SUM(J95:K95)</f>
        <v>0</v>
      </c>
      <c r="M95" s="373">
        <f t="shared" ref="M95:M102" si="104">F95-I95</f>
        <v>0</v>
      </c>
      <c r="N95" s="143">
        <f t="shared" ref="N95:N102" si="105">F95-L95</f>
        <v>0</v>
      </c>
      <c r="O95" s="382"/>
      <c r="P95" s="372">
        <v>0</v>
      </c>
      <c r="Q95" s="375">
        <v>0</v>
      </c>
      <c r="R95" s="30"/>
      <c r="S95" s="706" t="str">
        <f>+IF(MAYO!S95=0,"",MAYO!S95)</f>
        <v>1020301-4</v>
      </c>
      <c r="T95" s="682" t="str">
        <f>+IF(MAYO!T95=0,"",MAYO!T95)</f>
        <v>Riesgos laborales - Aportes cuentas maestras</v>
      </c>
      <c r="U95" s="27">
        <f>+ENERO!U95</f>
        <v>0</v>
      </c>
      <c r="V95" s="15">
        <f>MAYO!V95+JUNIO!AL95</f>
        <v>0</v>
      </c>
      <c r="W95" s="15">
        <f>MAYO!W95+JUNIO!AM95</f>
        <v>9738805</v>
      </c>
      <c r="X95" s="18">
        <f>SUM(U95:W95)</f>
        <v>9738805</v>
      </c>
      <c r="Y95" s="19">
        <f>MAYO!AA95</f>
        <v>0</v>
      </c>
      <c r="Z95" s="374">
        <v>0</v>
      </c>
      <c r="AA95" s="18">
        <f>SUM(Y95:Z95)</f>
        <v>0</v>
      </c>
      <c r="AB95" s="19">
        <f>MAYO!AD95</f>
        <v>0</v>
      </c>
      <c r="AC95" s="374">
        <v>0</v>
      </c>
      <c r="AD95" s="18">
        <f>SUM(AB95:AC95)</f>
        <v>0</v>
      </c>
      <c r="AE95" s="19">
        <f>MAYO!AG95</f>
        <v>0</v>
      </c>
      <c r="AF95" s="374">
        <v>0</v>
      </c>
      <c r="AG95" s="18">
        <f>SUM(AE95:AF95)</f>
        <v>0</v>
      </c>
      <c r="AH95" s="19">
        <f>X95-AA95</f>
        <v>9738805</v>
      </c>
      <c r="AI95" s="15">
        <f>X95-AD95</f>
        <v>9738805</v>
      </c>
      <c r="AJ95" s="16">
        <f>X95-AG95</f>
        <v>9738805</v>
      </c>
      <c r="AK95" s="9"/>
      <c r="AL95" s="372">
        <v>0</v>
      </c>
      <c r="AM95" s="375">
        <v>9738805</v>
      </c>
      <c r="AN95" s="30"/>
      <c r="AO95" s="460"/>
      <c r="AP95" s="460"/>
      <c r="AQ95" s="460"/>
      <c r="AR95" s="460"/>
      <c r="AS95" s="460"/>
      <c r="AT95" s="460"/>
      <c r="AU95" s="460"/>
      <c r="AV95" s="460"/>
      <c r="AW95" s="460"/>
      <c r="AX95" s="460"/>
      <c r="AY95" s="460"/>
      <c r="AZ95" s="460"/>
      <c r="BL95" s="30"/>
    </row>
    <row r="96" spans="1:70" s="30" customFormat="1" ht="24.95" customHeight="1">
      <c r="A96" s="740" t="str">
        <f>+IF(MAYO!A96=0,"",MAYO!A96)</f>
        <v>11303-2</v>
      </c>
      <c r="B96" s="619" t="str">
        <f>+IF(MAYO!B96=0,"",MAYO!B96)</f>
        <v>CONVENIOS CON EL DEPARTAMENTO NO LIGADOS A LA VENTA SERVICIOS</v>
      </c>
      <c r="C96" s="669">
        <f>+ENERO!C96</f>
        <v>0</v>
      </c>
      <c r="D96" s="373">
        <f>MAYO!D96+JUNIO!P96</f>
        <v>0</v>
      </c>
      <c r="E96" s="373">
        <f>MAYO!E96+JUNIO!Q96</f>
        <v>125236928</v>
      </c>
      <c r="F96" s="373">
        <f t="shared" si="101"/>
        <v>125236928</v>
      </c>
      <c r="G96" s="373">
        <f>MAYO!I96</f>
        <v>0</v>
      </c>
      <c r="H96" s="374">
        <v>0</v>
      </c>
      <c r="I96" s="373">
        <f t="shared" si="102"/>
        <v>0</v>
      </c>
      <c r="J96" s="373">
        <f>MAYO!L96</f>
        <v>0</v>
      </c>
      <c r="K96" s="374">
        <v>0</v>
      </c>
      <c r="L96" s="373">
        <f t="shared" si="103"/>
        <v>0</v>
      </c>
      <c r="M96" s="373">
        <f t="shared" si="104"/>
        <v>125236928</v>
      </c>
      <c r="N96" s="143">
        <f t="shared" si="105"/>
        <v>125236928</v>
      </c>
      <c r="O96" s="382"/>
      <c r="P96" s="372">
        <v>0</v>
      </c>
      <c r="Q96" s="375">
        <v>125236928</v>
      </c>
      <c r="S96" s="705">
        <f>+IF(MAYO!S96=0,"",MAYO!S96)</f>
        <v>1020302</v>
      </c>
      <c r="T96" s="681" t="str">
        <f>+IF(MAYO!T96=0,"",MAYO!T96)</f>
        <v>Contribuciones - Otros</v>
      </c>
      <c r="U96" s="27">
        <f t="shared" ref="U96:AJ96" si="106">SUM(U97:U101)</f>
        <v>259627762</v>
      </c>
      <c r="V96" s="15">
        <f t="shared" si="106"/>
        <v>6000000</v>
      </c>
      <c r="W96" s="15">
        <f t="shared" si="106"/>
        <v>20000000</v>
      </c>
      <c r="X96" s="18">
        <f t="shared" si="106"/>
        <v>285627762</v>
      </c>
      <c r="Y96" s="19">
        <f t="shared" si="106"/>
        <v>93581466</v>
      </c>
      <c r="Z96" s="142">
        <f t="shared" si="106"/>
        <v>19158195</v>
      </c>
      <c r="AA96" s="18">
        <f t="shared" si="106"/>
        <v>112739661</v>
      </c>
      <c r="AB96" s="19">
        <f t="shared" si="106"/>
        <v>93581466</v>
      </c>
      <c r="AC96" s="142">
        <f t="shared" si="106"/>
        <v>19158195</v>
      </c>
      <c r="AD96" s="18">
        <f t="shared" si="106"/>
        <v>112739661</v>
      </c>
      <c r="AE96" s="19">
        <f t="shared" si="106"/>
        <v>93581466</v>
      </c>
      <c r="AF96" s="142">
        <f t="shared" si="106"/>
        <v>19158195</v>
      </c>
      <c r="AG96" s="18">
        <f t="shared" si="106"/>
        <v>112739661</v>
      </c>
      <c r="AH96" s="19">
        <f t="shared" si="106"/>
        <v>172888101</v>
      </c>
      <c r="AI96" s="15">
        <f t="shared" si="106"/>
        <v>172888101</v>
      </c>
      <c r="AJ96" s="16">
        <f t="shared" si="106"/>
        <v>172888101</v>
      </c>
      <c r="AL96" s="32">
        <f>SUM(AL97:AL101)</f>
        <v>0</v>
      </c>
      <c r="AM96" s="33">
        <f>SUM(AM97:AM101)</f>
        <v>20000000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0" t="str">
        <f>+IF(MAYO!A97=0,"",MAYO!A97)</f>
        <v>11303-3</v>
      </c>
      <c r="B97" s="619" t="str">
        <f>+IF(MAYO!B97=0,"",MAYO!B97)</f>
        <v>CONVENIOS CON EL MUNICIPIO NO LIGADOS A LA VENTA DE SERVICIOS</v>
      </c>
      <c r="C97" s="669">
        <f>+ENERO!C97</f>
        <v>0</v>
      </c>
      <c r="D97" s="373">
        <f>MAYO!D97+JUNIO!P97</f>
        <v>0</v>
      </c>
      <c r="E97" s="373">
        <f>MAYO!E97+JUNIO!Q97</f>
        <v>0</v>
      </c>
      <c r="F97" s="373">
        <f t="shared" si="101"/>
        <v>0</v>
      </c>
      <c r="G97" s="373">
        <f>MAYO!I97</f>
        <v>0</v>
      </c>
      <c r="H97" s="374">
        <v>0</v>
      </c>
      <c r="I97" s="373">
        <f t="shared" si="102"/>
        <v>0</v>
      </c>
      <c r="J97" s="373">
        <f>MAYO!L97</f>
        <v>0</v>
      </c>
      <c r="K97" s="374">
        <v>0</v>
      </c>
      <c r="L97" s="373">
        <f t="shared" si="103"/>
        <v>0</v>
      </c>
      <c r="M97" s="373">
        <f t="shared" si="104"/>
        <v>0</v>
      </c>
      <c r="N97" s="143">
        <f t="shared" si="105"/>
        <v>0</v>
      </c>
      <c r="O97" s="382"/>
      <c r="P97" s="372">
        <v>0</v>
      </c>
      <c r="Q97" s="375">
        <v>0</v>
      </c>
      <c r="R97" s="30"/>
      <c r="S97" s="706" t="str">
        <f>+IF(MAYO!S97=0,"",MAYO!S97)</f>
        <v>1020302-1</v>
      </c>
      <c r="T97" s="682" t="str">
        <f>+IF(MAYO!T97=0,"",MAYO!T97)</f>
        <v>Aportes a E.P.S.- Con sit. Fondos</v>
      </c>
      <c r="U97" s="27">
        <f>+ENERO!U97</f>
        <v>52772649</v>
      </c>
      <c r="V97" s="15">
        <f>MAYO!V97+JUNIO!AL97</f>
        <v>0</v>
      </c>
      <c r="W97" s="15">
        <f>MAYO!W97+JUNIO!AM97</f>
        <v>0</v>
      </c>
      <c r="X97" s="18">
        <f t="shared" ref="X97:X102" si="107">SUM(U97:W97)</f>
        <v>52772649</v>
      </c>
      <c r="Y97" s="19">
        <f>MAYO!AA97</f>
        <v>30777621</v>
      </c>
      <c r="Z97" s="374">
        <v>6232553</v>
      </c>
      <c r="AA97" s="18">
        <f t="shared" ref="AA97:AA102" si="108">SUM(Y97:Z97)</f>
        <v>37010174</v>
      </c>
      <c r="AB97" s="19">
        <f>MAYO!AD97</f>
        <v>30777621</v>
      </c>
      <c r="AC97" s="374">
        <v>6232553</v>
      </c>
      <c r="AD97" s="18">
        <f t="shared" ref="AD97:AD102" si="109">SUM(AB97:AC97)</f>
        <v>37010174</v>
      </c>
      <c r="AE97" s="19">
        <f>MAYO!AG97</f>
        <v>30777621</v>
      </c>
      <c r="AF97" s="374">
        <v>6232553</v>
      </c>
      <c r="AG97" s="18">
        <f t="shared" ref="AG97:AG102" si="110">SUM(AE97:AF97)</f>
        <v>37010174</v>
      </c>
      <c r="AH97" s="19">
        <f t="shared" ref="AH97:AH102" si="111">X97-AA97</f>
        <v>15762475</v>
      </c>
      <c r="AI97" s="15">
        <f t="shared" ref="AI97:AI102" si="112">X97-AD97</f>
        <v>15762475</v>
      </c>
      <c r="AJ97" s="16">
        <f t="shared" ref="AJ97:AJ102" si="113">X97-AG97</f>
        <v>15762475</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0" t="str">
        <f>+IF(MAYO!A98=0,"",MAYO!A98)</f>
        <v>11303-4</v>
      </c>
      <c r="B98" s="619" t="str">
        <f>+IF(MAYO!B98=0,"",MAYO!B98)</f>
        <v>OTROS CONVENIOS NO LIGADOS A LA VENTA DE SERVICIOS</v>
      </c>
      <c r="C98" s="669">
        <f>+ENERO!C98</f>
        <v>0</v>
      </c>
      <c r="D98" s="373">
        <f>MAYO!D98+JUNIO!P98</f>
        <v>0</v>
      </c>
      <c r="E98" s="373">
        <f>MAYO!E98+JUNIO!Q98</f>
        <v>0</v>
      </c>
      <c r="F98" s="373">
        <f t="shared" si="101"/>
        <v>0</v>
      </c>
      <c r="G98" s="373">
        <f>MAYO!I98</f>
        <v>0</v>
      </c>
      <c r="H98" s="374">
        <v>0</v>
      </c>
      <c r="I98" s="373">
        <f t="shared" si="102"/>
        <v>0</v>
      </c>
      <c r="J98" s="373">
        <f>MAYO!L98</f>
        <v>0</v>
      </c>
      <c r="K98" s="374">
        <v>0</v>
      </c>
      <c r="L98" s="373">
        <f t="shared" si="103"/>
        <v>0</v>
      </c>
      <c r="M98" s="373">
        <f t="shared" si="104"/>
        <v>0</v>
      </c>
      <c r="N98" s="143">
        <f t="shared" si="105"/>
        <v>0</v>
      </c>
      <c r="O98" s="382"/>
      <c r="P98" s="372">
        <v>0</v>
      </c>
      <c r="Q98" s="375">
        <v>0</v>
      </c>
      <c r="R98" s="30"/>
      <c r="S98" s="706" t="str">
        <f>+IF(MAYO!S98=0,"",MAYO!S98)</f>
        <v>1020302-2</v>
      </c>
      <c r="T98" s="682" t="str">
        <f>+IF(MAYO!T98=0,"",MAYO!T98)</f>
        <v>Aportes Fondos Pensionales - Con Sit. Fondos</v>
      </c>
      <c r="U98" s="27">
        <f>+ENERO!U98</f>
        <v>103712246</v>
      </c>
      <c r="V98" s="15">
        <f>MAYO!V98+JUNIO!AL98</f>
        <v>0</v>
      </c>
      <c r="W98" s="15">
        <f>MAYO!W98+JUNIO!AM98</f>
        <v>0</v>
      </c>
      <c r="X98" s="18">
        <f t="shared" si="107"/>
        <v>103712246</v>
      </c>
      <c r="Y98" s="19">
        <f>MAYO!AA98</f>
        <v>41842982</v>
      </c>
      <c r="Z98" s="374">
        <v>8281921</v>
      </c>
      <c r="AA98" s="18">
        <f t="shared" si="108"/>
        <v>50124903</v>
      </c>
      <c r="AB98" s="19">
        <f>MAYO!AD98</f>
        <v>41842982</v>
      </c>
      <c r="AC98" s="374">
        <v>8281921</v>
      </c>
      <c r="AD98" s="18">
        <f t="shared" si="109"/>
        <v>50124903</v>
      </c>
      <c r="AE98" s="19">
        <f>MAYO!AG98</f>
        <v>41842982</v>
      </c>
      <c r="AF98" s="374">
        <v>8281921</v>
      </c>
      <c r="AG98" s="18">
        <f t="shared" si="110"/>
        <v>50124903</v>
      </c>
      <c r="AH98" s="19">
        <f t="shared" si="111"/>
        <v>53587343</v>
      </c>
      <c r="AI98" s="15">
        <f t="shared" si="112"/>
        <v>53587343</v>
      </c>
      <c r="AJ98" s="16">
        <f t="shared" si="113"/>
        <v>53587343</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0" t="str">
        <f>+IF(MAYO!A99=0,"",MAYO!A99)</f>
        <v>11303-5</v>
      </c>
      <c r="B99" s="619" t="str">
        <f>+IF(MAYO!B99=0,"",MAYO!B99)</f>
        <v>APORTES PATRONALES - MUNICIPIO / DEPARTAMENTO</v>
      </c>
      <c r="C99" s="669">
        <f>+ENERO!C99</f>
        <v>0</v>
      </c>
      <c r="D99" s="373">
        <f>MAYO!D99+JUNIO!P99</f>
        <v>0</v>
      </c>
      <c r="E99" s="373">
        <f>MAYO!E99+JUNIO!Q99</f>
        <v>0</v>
      </c>
      <c r="F99" s="373">
        <f t="shared" si="101"/>
        <v>0</v>
      </c>
      <c r="G99" s="373">
        <f>MAYO!I99</f>
        <v>0</v>
      </c>
      <c r="H99" s="670">
        <v>0</v>
      </c>
      <c r="I99" s="373">
        <f t="shared" si="102"/>
        <v>0</v>
      </c>
      <c r="J99" s="373">
        <f>MAYO!L99</f>
        <v>0</v>
      </c>
      <c r="K99" s="670">
        <v>0</v>
      </c>
      <c r="L99" s="373">
        <f t="shared" si="103"/>
        <v>0</v>
      </c>
      <c r="M99" s="373">
        <f t="shared" si="104"/>
        <v>0</v>
      </c>
      <c r="N99" s="143">
        <f t="shared" si="105"/>
        <v>0</v>
      </c>
      <c r="O99" s="382"/>
      <c r="P99" s="671">
        <v>0</v>
      </c>
      <c r="Q99" s="672">
        <v>0</v>
      </c>
      <c r="R99" s="30"/>
      <c r="S99" s="706" t="str">
        <f>+IF(MAYO!S99=0,"",MAYO!S99)</f>
        <v>1020302-3</v>
      </c>
      <c r="T99" s="682" t="str">
        <f>+IF(MAYO!T99=0,"",MAYO!T99)</f>
        <v xml:space="preserve">Aportes a Fondos de Cesantia - Con Sit. de Fondos </v>
      </c>
      <c r="U99" s="27">
        <f>+ENERO!U99</f>
        <v>72193404</v>
      </c>
      <c r="V99" s="15">
        <f>MAYO!V99+JUNIO!AL99</f>
        <v>0</v>
      </c>
      <c r="W99" s="15">
        <f>MAYO!W99+JUNIO!AM99</f>
        <v>0</v>
      </c>
      <c r="X99" s="18">
        <f t="shared" si="107"/>
        <v>72193404</v>
      </c>
      <c r="Y99" s="19">
        <f>MAYO!AA99</f>
        <v>0</v>
      </c>
      <c r="Z99" s="374">
        <v>0</v>
      </c>
      <c r="AA99" s="18">
        <f t="shared" si="108"/>
        <v>0</v>
      </c>
      <c r="AB99" s="19">
        <f>MAYO!AD99</f>
        <v>0</v>
      </c>
      <c r="AC99" s="374">
        <v>0</v>
      </c>
      <c r="AD99" s="18">
        <f t="shared" si="109"/>
        <v>0</v>
      </c>
      <c r="AE99" s="19">
        <f>MAYO!AG99</f>
        <v>0</v>
      </c>
      <c r="AF99" s="374">
        <v>0</v>
      </c>
      <c r="AG99" s="18">
        <f t="shared" si="110"/>
        <v>0</v>
      </c>
      <c r="AH99" s="19">
        <f t="shared" si="111"/>
        <v>72193404</v>
      </c>
      <c r="AI99" s="15">
        <f t="shared" si="112"/>
        <v>72193404</v>
      </c>
      <c r="AJ99" s="16">
        <f t="shared" si="113"/>
        <v>72193404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0" t="str">
        <f>+IF(MAYO!A100=0,"",MAYO!A100)</f>
        <v>11303-6</v>
      </c>
      <c r="B100" s="619" t="str">
        <f>+IF(MAYO!B100=0,"",MAYO!B100)</f>
        <v>RECURSOS PARA PROGRAMA DE SANEAMIENTO FINANCIERO</v>
      </c>
      <c r="C100" s="669">
        <f>+ENERO!C100</f>
        <v>0</v>
      </c>
      <c r="D100" s="373">
        <f>MAYO!D100+JUNIO!P100</f>
        <v>0</v>
      </c>
      <c r="E100" s="373">
        <f>MAYO!E100+JUNIO!Q100</f>
        <v>0</v>
      </c>
      <c r="F100" s="373">
        <f t="shared" si="101"/>
        <v>0</v>
      </c>
      <c r="G100" s="373">
        <f>MAYO!I100</f>
        <v>0</v>
      </c>
      <c r="H100" s="374">
        <v>0</v>
      </c>
      <c r="I100" s="373">
        <f t="shared" si="102"/>
        <v>0</v>
      </c>
      <c r="J100" s="373">
        <f>MAYO!L100</f>
        <v>0</v>
      </c>
      <c r="K100" s="374">
        <v>0</v>
      </c>
      <c r="L100" s="373">
        <f t="shared" si="103"/>
        <v>0</v>
      </c>
      <c r="M100" s="373">
        <f t="shared" si="104"/>
        <v>0</v>
      </c>
      <c r="N100" s="143">
        <f t="shared" si="105"/>
        <v>0</v>
      </c>
      <c r="P100" s="372">
        <v>0</v>
      </c>
      <c r="Q100" s="375">
        <v>0</v>
      </c>
      <c r="R100" s="9"/>
      <c r="S100" s="706" t="str">
        <f>+IF(MAYO!S100=0,"",MAYO!S100)</f>
        <v>1020302-4</v>
      </c>
      <c r="T100" s="682" t="str">
        <f>+IF(MAYO!T100=0,"",MAYO!T100)</f>
        <v>Aporte a ARL. - Con Sit. de Fondos</v>
      </c>
      <c r="U100" s="27">
        <f>+ENERO!U100</f>
        <v>20885552</v>
      </c>
      <c r="V100" s="15">
        <f>MAYO!V100+JUNIO!AL100</f>
        <v>0</v>
      </c>
      <c r="W100" s="15">
        <f>MAYO!W100+JUNIO!AM100</f>
        <v>0</v>
      </c>
      <c r="X100" s="18">
        <f t="shared" si="107"/>
        <v>20885552</v>
      </c>
      <c r="Y100" s="19">
        <f>MAYO!AA100</f>
        <v>8122812</v>
      </c>
      <c r="Z100" s="374">
        <v>1708955</v>
      </c>
      <c r="AA100" s="18">
        <f t="shared" si="108"/>
        <v>9831767</v>
      </c>
      <c r="AB100" s="19">
        <f>MAYO!AD100</f>
        <v>8122812</v>
      </c>
      <c r="AC100" s="374">
        <v>1708955</v>
      </c>
      <c r="AD100" s="18">
        <f t="shared" si="109"/>
        <v>9831767</v>
      </c>
      <c r="AE100" s="19">
        <f>MAYO!AG100</f>
        <v>8122812</v>
      </c>
      <c r="AF100" s="374">
        <v>1708955</v>
      </c>
      <c r="AG100" s="18">
        <f t="shared" si="110"/>
        <v>9831767</v>
      </c>
      <c r="AH100" s="19">
        <f t="shared" si="111"/>
        <v>11053785</v>
      </c>
      <c r="AI100" s="15">
        <f t="shared" si="112"/>
        <v>11053785</v>
      </c>
      <c r="AJ100" s="16">
        <f t="shared" si="113"/>
        <v>11053785</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0" t="str">
        <f>+IF(MAYO!A101=0,"",MAYO!A101)</f>
        <v>11303-7</v>
      </c>
      <c r="B101" s="619" t="str">
        <f>+IF(MAYO!B101=0,"",MAYO!B101)</f>
        <v/>
      </c>
      <c r="C101" s="669">
        <f>+ENERO!C101</f>
        <v>0</v>
      </c>
      <c r="D101" s="373">
        <f>MAYO!D101+JUNIO!P101</f>
        <v>0</v>
      </c>
      <c r="E101" s="373">
        <f>MAYO!E101+JUNIO!Q101</f>
        <v>0</v>
      </c>
      <c r="F101" s="373">
        <f t="shared" si="101"/>
        <v>0</v>
      </c>
      <c r="G101" s="373">
        <f>MAYO!I101</f>
        <v>0</v>
      </c>
      <c r="H101" s="374">
        <v>0</v>
      </c>
      <c r="I101" s="373">
        <f t="shared" si="102"/>
        <v>0</v>
      </c>
      <c r="J101" s="373">
        <f>MAYO!L101</f>
        <v>0</v>
      </c>
      <c r="K101" s="374">
        <v>0</v>
      </c>
      <c r="L101" s="373">
        <f t="shared" si="103"/>
        <v>0</v>
      </c>
      <c r="M101" s="373">
        <f t="shared" si="104"/>
        <v>0</v>
      </c>
      <c r="N101" s="143">
        <f t="shared" si="105"/>
        <v>0</v>
      </c>
      <c r="P101" s="372">
        <v>0</v>
      </c>
      <c r="Q101" s="375">
        <v>0</v>
      </c>
      <c r="R101" s="9"/>
      <c r="S101" s="706" t="str">
        <f>+IF(MAYO!S101=0,"",MAYO!S101)</f>
        <v>1020302-5</v>
      </c>
      <c r="T101" s="682" t="str">
        <f>+IF(MAYO!T101=0,"",MAYO!T101)</f>
        <v>Aporte a Caja Compensación Familiar</v>
      </c>
      <c r="U101" s="27">
        <f>+ENERO!U101</f>
        <v>10063911</v>
      </c>
      <c r="V101" s="15">
        <f>MAYO!V101+JUNIO!AL101</f>
        <v>6000000</v>
      </c>
      <c r="W101" s="15">
        <f>MAYO!W101+JUNIO!AM101</f>
        <v>20000000</v>
      </c>
      <c r="X101" s="18">
        <f t="shared" si="107"/>
        <v>36063911</v>
      </c>
      <c r="Y101" s="19">
        <f>MAYO!AA101</f>
        <v>12838051</v>
      </c>
      <c r="Z101" s="374">
        <v>2934766</v>
      </c>
      <c r="AA101" s="18">
        <f t="shared" si="108"/>
        <v>15772817</v>
      </c>
      <c r="AB101" s="19">
        <f>MAYO!AD101</f>
        <v>12838051</v>
      </c>
      <c r="AC101" s="374">
        <v>2934766</v>
      </c>
      <c r="AD101" s="18">
        <f t="shared" si="109"/>
        <v>15772817</v>
      </c>
      <c r="AE101" s="19">
        <f>MAYO!AG101</f>
        <v>12838051</v>
      </c>
      <c r="AF101" s="374">
        <v>2934766</v>
      </c>
      <c r="AG101" s="18">
        <f t="shared" si="110"/>
        <v>15772817</v>
      </c>
      <c r="AH101" s="19">
        <f t="shared" si="111"/>
        <v>20291094</v>
      </c>
      <c r="AI101" s="15">
        <f t="shared" si="112"/>
        <v>20291094</v>
      </c>
      <c r="AJ101" s="16">
        <f t="shared" si="113"/>
        <v>20291094</v>
      </c>
      <c r="AK101" s="30"/>
      <c r="AL101" s="372">
        <v>0</v>
      </c>
      <c r="AM101" s="375">
        <v>20000000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tr">
        <f>+IF(MAYO!A102=0,"",MAYO!A102)</f>
        <v>11303-8</v>
      </c>
      <c r="B102" s="628" t="str">
        <f>+IF(MAYO!B102=0,"",MAYO!B102)</f>
        <v>Vigencia Anterior</v>
      </c>
      <c r="C102" s="770">
        <f>+ENERO!C102</f>
        <v>0</v>
      </c>
      <c r="D102" s="385">
        <f>MAYO!D102+JUNIO!P102</f>
        <v>0</v>
      </c>
      <c r="E102" s="385">
        <f>MAYO!E102+JUNIO!Q102</f>
        <v>51666127</v>
      </c>
      <c r="F102" s="385">
        <f t="shared" si="101"/>
        <v>51666127</v>
      </c>
      <c r="G102" s="385">
        <f>MAYO!I102</f>
        <v>51666127</v>
      </c>
      <c r="H102" s="388">
        <v>0</v>
      </c>
      <c r="I102" s="385">
        <f t="shared" si="102"/>
        <v>51666127</v>
      </c>
      <c r="J102" s="385">
        <f>MAYO!L102</f>
        <v>51666127</v>
      </c>
      <c r="K102" s="388">
        <v>0</v>
      </c>
      <c r="L102" s="385">
        <f t="shared" si="103"/>
        <v>51666127</v>
      </c>
      <c r="M102" s="385">
        <f t="shared" si="104"/>
        <v>0</v>
      </c>
      <c r="N102" s="386">
        <f t="shared" si="105"/>
        <v>0</v>
      </c>
      <c r="P102" s="372">
        <v>0</v>
      </c>
      <c r="Q102" s="375">
        <v>0</v>
      </c>
      <c r="R102" s="9"/>
      <c r="S102" s="705">
        <f>+IF(MAYO!S102=0,"",MAYO!S102)</f>
        <v>1020399</v>
      </c>
      <c r="T102" s="681" t="str">
        <f>+IF(MAYO!T102=0,"",MAYO!T102)</f>
        <v>Vigencias Anteriores</v>
      </c>
      <c r="U102" s="27">
        <f>+ENERO!U102</f>
        <v>0</v>
      </c>
      <c r="V102" s="15">
        <f>MAYO!V102+JUNIO!AL102</f>
        <v>-78539920</v>
      </c>
      <c r="W102" s="15">
        <f>MAYO!W102+JUNIO!AM102</f>
        <v>78539920</v>
      </c>
      <c r="X102" s="18">
        <f t="shared" si="107"/>
        <v>0</v>
      </c>
      <c r="Y102" s="19">
        <f>MAYO!AA102</f>
        <v>0</v>
      </c>
      <c r="Z102" s="374">
        <v>0</v>
      </c>
      <c r="AA102" s="18">
        <f t="shared" si="108"/>
        <v>0</v>
      </c>
      <c r="AB102" s="19">
        <f>MAYO!AD102</f>
        <v>0</v>
      </c>
      <c r="AC102" s="374">
        <v>0</v>
      </c>
      <c r="AD102" s="18">
        <f t="shared" si="109"/>
        <v>0</v>
      </c>
      <c r="AE102" s="19">
        <f>MAYO!AG102</f>
        <v>0</v>
      </c>
      <c r="AF102" s="374">
        <v>0</v>
      </c>
      <c r="AG102" s="18">
        <f t="shared" si="110"/>
        <v>0</v>
      </c>
      <c r="AH102" s="19">
        <f t="shared" si="111"/>
        <v>0</v>
      </c>
      <c r="AI102" s="15">
        <f t="shared" si="112"/>
        <v>0</v>
      </c>
      <c r="AJ102" s="16">
        <f t="shared" si="113"/>
        <v>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1" t="str">
        <f>+IF(MAYO!A103=0,"",MAYO!A103)</f>
        <v/>
      </c>
      <c r="B103" s="653" t="str">
        <f>+IF(MAYO!B103=0,"",MAYO!B103)</f>
        <v/>
      </c>
      <c r="C103" s="480"/>
      <c r="D103" s="480"/>
      <c r="E103" s="480"/>
      <c r="F103" s="480"/>
      <c r="G103" s="480"/>
      <c r="H103" s="480"/>
      <c r="I103" s="480"/>
      <c r="J103" s="480"/>
      <c r="K103" s="480"/>
      <c r="L103" s="480"/>
      <c r="M103" s="480"/>
      <c r="N103" s="481"/>
      <c r="P103" s="482"/>
      <c r="Q103" s="481"/>
      <c r="R103" s="9"/>
      <c r="S103" s="366" t="str">
        <f>+IF(MAYO!S103=0,"",MAYO!S103)</f>
        <v/>
      </c>
      <c r="T103" s="695"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39">
        <f>+IF(MAYO!A104=0,"",MAYO!A104)</f>
        <v>11304</v>
      </c>
      <c r="B104" s="618" t="str">
        <f>+IF(MAYO!B104=0,"",MAYO!B104)</f>
        <v>Otros ingresos corrientes</v>
      </c>
      <c r="C104" s="617">
        <f>SUM(C105:C111)</f>
        <v>667440000</v>
      </c>
      <c r="D104" s="615">
        <f t="shared" ref="D104:N104" si="114">SUM(D105:D111)</f>
        <v>0</v>
      </c>
      <c r="E104" s="615">
        <f t="shared" si="114"/>
        <v>66506795</v>
      </c>
      <c r="F104" s="615">
        <f t="shared" si="114"/>
        <v>733946795</v>
      </c>
      <c r="G104" s="615">
        <f t="shared" si="114"/>
        <v>1029108451</v>
      </c>
      <c r="H104" s="615">
        <f t="shared" si="114"/>
        <v>-421079363</v>
      </c>
      <c r="I104" s="615">
        <f t="shared" si="114"/>
        <v>608029088</v>
      </c>
      <c r="J104" s="615">
        <f t="shared" si="114"/>
        <v>279856560</v>
      </c>
      <c r="K104" s="615">
        <f t="shared" si="114"/>
        <v>99413676</v>
      </c>
      <c r="L104" s="615">
        <f t="shared" si="114"/>
        <v>379270236</v>
      </c>
      <c r="M104" s="615">
        <f t="shared" si="114"/>
        <v>125917707</v>
      </c>
      <c r="N104" s="616">
        <f t="shared" si="114"/>
        <v>354676559</v>
      </c>
      <c r="P104" s="43">
        <f>SUM(P105:P111)</f>
        <v>0</v>
      </c>
      <c r="Q104" s="45">
        <f>SUM(Q105:Q111)</f>
        <v>56484569</v>
      </c>
      <c r="R104" s="9"/>
      <c r="S104" s="704">
        <f>+IF(MAYO!S104=0,"",MAYO!S104)</f>
        <v>1020400</v>
      </c>
      <c r="T104" s="680" t="str">
        <f>+IF(MAYO!T104=0,"",MAYO!T104)</f>
        <v>Contribuciones Inherentes nómina del Sector Publico</v>
      </c>
      <c r="U104" s="132">
        <f t="shared" ref="U104:AJ104" si="115">U105+U108</f>
        <v>43075476</v>
      </c>
      <c r="V104" s="122">
        <f t="shared" si="115"/>
        <v>0</v>
      </c>
      <c r="W104" s="122">
        <f t="shared" si="115"/>
        <v>0</v>
      </c>
      <c r="X104" s="129">
        <f t="shared" si="115"/>
        <v>43075476</v>
      </c>
      <c r="Y104" s="128">
        <f t="shared" si="115"/>
        <v>18105371</v>
      </c>
      <c r="Z104" s="122">
        <f t="shared" si="115"/>
        <v>3668458</v>
      </c>
      <c r="AA104" s="129">
        <f t="shared" si="115"/>
        <v>21773829</v>
      </c>
      <c r="AB104" s="128">
        <f t="shared" si="115"/>
        <v>18105371</v>
      </c>
      <c r="AC104" s="122">
        <f t="shared" si="115"/>
        <v>3668458</v>
      </c>
      <c r="AD104" s="129">
        <f t="shared" si="115"/>
        <v>21773829</v>
      </c>
      <c r="AE104" s="128">
        <f t="shared" si="115"/>
        <v>18105371</v>
      </c>
      <c r="AF104" s="122">
        <f t="shared" si="115"/>
        <v>3668458</v>
      </c>
      <c r="AG104" s="129">
        <f t="shared" si="115"/>
        <v>21773829</v>
      </c>
      <c r="AH104" s="128">
        <f t="shared" si="115"/>
        <v>21301647</v>
      </c>
      <c r="AI104" s="122">
        <f t="shared" si="115"/>
        <v>21301647</v>
      </c>
      <c r="AJ104" s="130">
        <f t="shared" si="115"/>
        <v>21301647</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0" t="str">
        <f>+IF(MAYO!A105=0,"",MAYO!A105)</f>
        <v>11304-1</v>
      </c>
      <c r="B105" s="619" t="str">
        <f>+IF(MAYO!B105=0,"",MAYO!B105)</f>
        <v>ARRENDAMIENTO Y ALQUILER DE BIENES MUEBLES E INMUEBLES</v>
      </c>
      <c r="C105" s="669">
        <f>+ENERO!C105</f>
        <v>667440000</v>
      </c>
      <c r="D105" s="373">
        <f>MAYO!D105+JUNIO!P105</f>
        <v>0</v>
      </c>
      <c r="E105" s="373">
        <f>MAYO!E105+JUNIO!Q105</f>
        <v>0</v>
      </c>
      <c r="F105" s="373">
        <f t="shared" ref="F105:F111" si="116">SUM(C105:E105)</f>
        <v>667440000</v>
      </c>
      <c r="G105" s="373">
        <f>MAYO!I105</f>
        <v>937820704</v>
      </c>
      <c r="H105" s="374">
        <v>-457669341</v>
      </c>
      <c r="I105" s="373">
        <f t="shared" ref="I105:I111" si="117">SUM(G105:H105)</f>
        <v>480151363</v>
      </c>
      <c r="J105" s="373">
        <f>MAYO!L105</f>
        <v>195506570</v>
      </c>
      <c r="K105" s="374">
        <v>89194430</v>
      </c>
      <c r="L105" s="373">
        <f t="shared" ref="L105:L111" si="118">SUM(J105:K105)</f>
        <v>284701000</v>
      </c>
      <c r="M105" s="373">
        <f t="shared" ref="M105:M111" si="119">F105-I105</f>
        <v>187288637</v>
      </c>
      <c r="N105" s="143">
        <f t="shared" ref="N105:N111" si="120">F105-L105</f>
        <v>382739000</v>
      </c>
      <c r="P105" s="372">
        <v>0</v>
      </c>
      <c r="Q105" s="375">
        <v>0</v>
      </c>
      <c r="R105" s="9"/>
      <c r="S105" s="705">
        <f>+IF(MAYO!S105=0,"",MAYO!S105)</f>
        <v>1020402</v>
      </c>
      <c r="T105" s="681" t="str">
        <f>+IF(MAYO!T105=0,"",MAYO!T105)</f>
        <v>Contribuciones - Otros</v>
      </c>
      <c r="U105" s="27">
        <f t="shared" ref="U105:AJ105" si="121">SUM(U106:U107)</f>
        <v>43075476</v>
      </c>
      <c r="V105" s="15">
        <f t="shared" si="121"/>
        <v>0</v>
      </c>
      <c r="W105" s="15">
        <f t="shared" si="121"/>
        <v>0</v>
      </c>
      <c r="X105" s="18">
        <f t="shared" si="121"/>
        <v>43075476</v>
      </c>
      <c r="Y105" s="19">
        <f t="shared" si="121"/>
        <v>18105371</v>
      </c>
      <c r="Z105" s="142">
        <f t="shared" si="121"/>
        <v>3668458</v>
      </c>
      <c r="AA105" s="18">
        <f t="shared" si="121"/>
        <v>21773829</v>
      </c>
      <c r="AB105" s="19">
        <f t="shared" si="121"/>
        <v>18105371</v>
      </c>
      <c r="AC105" s="142">
        <f t="shared" si="121"/>
        <v>3668458</v>
      </c>
      <c r="AD105" s="18">
        <f t="shared" si="121"/>
        <v>21773829</v>
      </c>
      <c r="AE105" s="19">
        <f t="shared" si="121"/>
        <v>18105371</v>
      </c>
      <c r="AF105" s="142">
        <f t="shared" si="121"/>
        <v>3668458</v>
      </c>
      <c r="AG105" s="18">
        <f t="shared" si="121"/>
        <v>21773829</v>
      </c>
      <c r="AH105" s="19">
        <f t="shared" si="121"/>
        <v>21301647</v>
      </c>
      <c r="AI105" s="15">
        <f t="shared" si="121"/>
        <v>21301647</v>
      </c>
      <c r="AJ105" s="16">
        <f t="shared" si="121"/>
        <v>21301647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0" t="str">
        <f>+IF(MAYO!A106=0,"",MAYO!A106)</f>
        <v>11304-2</v>
      </c>
      <c r="B106" s="620" t="str">
        <f>+IF(MAYO!B106=0,"",MAYO!B106)</f>
        <v>COMERCIALIZACIÓN DE MERCANCÍAS</v>
      </c>
      <c r="C106" s="669">
        <f>+ENERO!C106</f>
        <v>0</v>
      </c>
      <c r="D106" s="373">
        <f>MAYO!D106+JUNIO!P106</f>
        <v>0</v>
      </c>
      <c r="E106" s="373">
        <f>MAYO!E106+JUNIO!Q106</f>
        <v>0</v>
      </c>
      <c r="F106" s="373">
        <f t="shared" si="116"/>
        <v>0</v>
      </c>
      <c r="G106" s="373">
        <f>MAYO!I106</f>
        <v>0</v>
      </c>
      <c r="H106" s="374">
        <v>0</v>
      </c>
      <c r="I106" s="373">
        <f t="shared" si="117"/>
        <v>0</v>
      </c>
      <c r="J106" s="373">
        <f>MAYO!L106</f>
        <v>0</v>
      </c>
      <c r="K106" s="374">
        <v>0</v>
      </c>
      <c r="L106" s="373">
        <f t="shared" si="118"/>
        <v>0</v>
      </c>
      <c r="M106" s="373">
        <f t="shared" si="119"/>
        <v>0</v>
      </c>
      <c r="N106" s="143">
        <f t="shared" si="120"/>
        <v>0</v>
      </c>
      <c r="P106" s="372">
        <v>0</v>
      </c>
      <c r="Q106" s="375">
        <v>0</v>
      </c>
      <c r="R106" s="9"/>
      <c r="S106" s="706" t="str">
        <f>+IF(MAYO!S106=0,"",MAYO!S106)</f>
        <v>1020402-1</v>
      </c>
      <c r="T106" s="681" t="str">
        <f>+IF(MAYO!T106=0,"",MAYO!T106)</f>
        <v>S.E.N.A.</v>
      </c>
      <c r="U106" s="27">
        <f>+ENERO!U106</f>
        <v>25928061</v>
      </c>
      <c r="V106" s="15">
        <f>MAYO!V106+JUNIO!AL106</f>
        <v>0</v>
      </c>
      <c r="W106" s="15">
        <f>MAYO!W106+JUNIO!AM106</f>
        <v>0</v>
      </c>
      <c r="X106" s="18">
        <f>SUM(U106:W106)</f>
        <v>25928061</v>
      </c>
      <c r="Y106" s="19">
        <f>MAYO!AA106</f>
        <v>7410934</v>
      </c>
      <c r="Z106" s="374">
        <v>1467383</v>
      </c>
      <c r="AA106" s="18">
        <f>SUM(Y106:Z106)</f>
        <v>8878317</v>
      </c>
      <c r="AB106" s="19">
        <f>MAYO!AD106</f>
        <v>7410934</v>
      </c>
      <c r="AC106" s="374">
        <v>1467383</v>
      </c>
      <c r="AD106" s="18">
        <f>SUM(AB106:AC106)</f>
        <v>8878317</v>
      </c>
      <c r="AE106" s="19">
        <f>MAYO!AG106</f>
        <v>7410934</v>
      </c>
      <c r="AF106" s="374">
        <v>1467383</v>
      </c>
      <c r="AG106" s="18">
        <f>SUM(AE106:AF106)</f>
        <v>8878317</v>
      </c>
      <c r="AH106" s="19">
        <f>X106-AA106</f>
        <v>17049744</v>
      </c>
      <c r="AI106" s="15">
        <f>X106-AD106</f>
        <v>17049744</v>
      </c>
      <c r="AJ106" s="16">
        <f>X106-AG106</f>
        <v>17049744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0" t="str">
        <f>+IF(MAYO!A107=0,"",MAYO!A107)</f>
        <v>11304-3</v>
      </c>
      <c r="B107" s="619" t="str">
        <f>+IF(MAYO!B107=0,"",MAYO!B107)</f>
        <v>Bienestar Social</v>
      </c>
      <c r="C107" s="669">
        <f>+ENERO!C107</f>
        <v>0</v>
      </c>
      <c r="D107" s="373">
        <f>MAYO!D107+JUNIO!P107</f>
        <v>0</v>
      </c>
      <c r="E107" s="373">
        <f>MAYO!E107+JUNIO!Q107</f>
        <v>0</v>
      </c>
      <c r="F107" s="373">
        <f t="shared" si="116"/>
        <v>0</v>
      </c>
      <c r="G107" s="373">
        <f>MAYO!I107</f>
        <v>445983</v>
      </c>
      <c r="H107" s="374">
        <v>0</v>
      </c>
      <c r="I107" s="373">
        <f t="shared" si="117"/>
        <v>445983</v>
      </c>
      <c r="J107" s="373">
        <f>MAYO!L107</f>
        <v>445983</v>
      </c>
      <c r="K107" s="374">
        <v>0</v>
      </c>
      <c r="L107" s="373">
        <f t="shared" si="118"/>
        <v>445983</v>
      </c>
      <c r="M107" s="373">
        <f t="shared" si="119"/>
        <v>-445983</v>
      </c>
      <c r="N107" s="143">
        <f t="shared" si="120"/>
        <v>-445983</v>
      </c>
      <c r="P107" s="372">
        <v>0</v>
      </c>
      <c r="Q107" s="375">
        <v>0</v>
      </c>
      <c r="R107" s="9"/>
      <c r="S107" s="706" t="str">
        <f>+IF(MAYO!S107=0,"",MAYO!S107)</f>
        <v>1020402-2</v>
      </c>
      <c r="T107" s="681" t="str">
        <f>+IF(MAYO!T107=0,"",MAYO!T107)</f>
        <v>I.C.B.F.</v>
      </c>
      <c r="U107" s="27">
        <f>+ENERO!U107</f>
        <v>17147415</v>
      </c>
      <c r="V107" s="15">
        <f>MAYO!V107+JUNIO!AL107</f>
        <v>0</v>
      </c>
      <c r="W107" s="15">
        <f>MAYO!W107+JUNIO!AM107</f>
        <v>0</v>
      </c>
      <c r="X107" s="18">
        <f>SUM(U107:W107)</f>
        <v>17147415</v>
      </c>
      <c r="Y107" s="19">
        <f>MAYO!AA107</f>
        <v>10694437</v>
      </c>
      <c r="Z107" s="374">
        <v>2201075</v>
      </c>
      <c r="AA107" s="18">
        <f>SUM(Y107:Z107)</f>
        <v>12895512</v>
      </c>
      <c r="AB107" s="19">
        <f>MAYO!AD107</f>
        <v>10694437</v>
      </c>
      <c r="AC107" s="374">
        <v>2201075</v>
      </c>
      <c r="AD107" s="18">
        <f>SUM(AB107:AC107)</f>
        <v>12895512</v>
      </c>
      <c r="AE107" s="19">
        <f>MAYO!AG107</f>
        <v>10694437</v>
      </c>
      <c r="AF107" s="374">
        <v>2201075</v>
      </c>
      <c r="AG107" s="18">
        <f>SUM(AE107:AF107)</f>
        <v>12895512</v>
      </c>
      <c r="AH107" s="19">
        <f>X107-AA107</f>
        <v>4251903</v>
      </c>
      <c r="AI107" s="15">
        <f>X107-AD107</f>
        <v>4251903</v>
      </c>
      <c r="AJ107" s="16">
        <f>X107-AG107</f>
        <v>4251903</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0" t="str">
        <f>+IF(MAYO!A108=0,"",MAYO!A108)</f>
        <v>11304-4</v>
      </c>
      <c r="B108" s="619" t="str">
        <f>+IF(MAYO!B108=0,"",MAYO!B108)</f>
        <v>Fondo de la Vivienda</v>
      </c>
      <c r="C108" s="669">
        <f>+ENERO!C108</f>
        <v>0</v>
      </c>
      <c r="D108" s="373">
        <f>MAYO!D108+JUNIO!P108</f>
        <v>0</v>
      </c>
      <c r="E108" s="373">
        <f>MAYO!E108+JUNIO!Q108</f>
        <v>0</v>
      </c>
      <c r="F108" s="373">
        <f t="shared" si="116"/>
        <v>0</v>
      </c>
      <c r="G108" s="373">
        <f>MAYO!I108</f>
        <v>11884697</v>
      </c>
      <c r="H108" s="374">
        <v>1474115</v>
      </c>
      <c r="I108" s="373">
        <f t="shared" si="117"/>
        <v>13358812</v>
      </c>
      <c r="J108" s="373">
        <f>MAYO!L108</f>
        <v>11884697</v>
      </c>
      <c r="K108" s="374">
        <v>1474115</v>
      </c>
      <c r="L108" s="373">
        <f t="shared" si="118"/>
        <v>13358812</v>
      </c>
      <c r="M108" s="373">
        <f t="shared" si="119"/>
        <v>-13358812</v>
      </c>
      <c r="N108" s="143">
        <f t="shared" si="120"/>
        <v>-13358812</v>
      </c>
      <c r="P108" s="372">
        <v>0</v>
      </c>
      <c r="Q108" s="375">
        <v>0</v>
      </c>
      <c r="R108" s="9"/>
      <c r="S108" s="705">
        <f>+IF(MAYO!S108=0,"",MAYO!S108)</f>
        <v>1020499</v>
      </c>
      <c r="T108" s="681" t="str">
        <f>+IF(MAYO!T108=0,"",MAYO!T108)</f>
        <v>Vigencias Anteriores</v>
      </c>
      <c r="U108" s="27">
        <f>+ENERO!U108</f>
        <v>0</v>
      </c>
      <c r="V108" s="15">
        <f>MAYO!V108+JUNIO!AL108</f>
        <v>0</v>
      </c>
      <c r="W108" s="15">
        <f>MAYO!W108+JUNIO!AM108</f>
        <v>0</v>
      </c>
      <c r="X108" s="18">
        <f>SUM(U108:W108)</f>
        <v>0</v>
      </c>
      <c r="Y108" s="19">
        <f>MAYO!AA108</f>
        <v>0</v>
      </c>
      <c r="Z108" s="374">
        <v>0</v>
      </c>
      <c r="AA108" s="18">
        <f>SUM(Y108:Z108)</f>
        <v>0</v>
      </c>
      <c r="AB108" s="19">
        <f>MAYO!AD108</f>
        <v>0</v>
      </c>
      <c r="AC108" s="374">
        <v>0</v>
      </c>
      <c r="AD108" s="18">
        <f>SUM(AB108:AC108)</f>
        <v>0</v>
      </c>
      <c r="AE108" s="19">
        <f>MAYO!AG108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0" t="str">
        <f>+IF(MAYO!A109=0,"",MAYO!A109)</f>
        <v>11304-5</v>
      </c>
      <c r="B109" s="619" t="str">
        <f>+IF(MAYO!B109=0,"",MAYO!B109)</f>
        <v xml:space="preserve">Aprovechamientos </v>
      </c>
      <c r="C109" s="669">
        <f>+ENERO!C109</f>
        <v>0</v>
      </c>
      <c r="D109" s="373">
        <f>MAYO!D109+JUNIO!P109</f>
        <v>0</v>
      </c>
      <c r="E109" s="373">
        <f>MAYO!E109+JUNIO!Q109</f>
        <v>0</v>
      </c>
      <c r="F109" s="373">
        <f t="shared" si="116"/>
        <v>0</v>
      </c>
      <c r="G109" s="373">
        <f>MAYO!I109</f>
        <v>0</v>
      </c>
      <c r="H109" s="374">
        <v>0</v>
      </c>
      <c r="I109" s="373">
        <f t="shared" si="117"/>
        <v>0</v>
      </c>
      <c r="J109" s="373">
        <f>MAYO!L109</f>
        <v>0</v>
      </c>
      <c r="K109" s="374">
        <v>0</v>
      </c>
      <c r="L109" s="373">
        <f t="shared" si="118"/>
        <v>0</v>
      </c>
      <c r="M109" s="373">
        <f t="shared" si="119"/>
        <v>0</v>
      </c>
      <c r="N109" s="143">
        <f t="shared" si="120"/>
        <v>0</v>
      </c>
      <c r="P109" s="372">
        <v>0</v>
      </c>
      <c r="Q109" s="375">
        <v>0</v>
      </c>
      <c r="R109" s="9"/>
      <c r="S109" s="366" t="str">
        <f>+IF(MAYO!S109=0,"",MAYO!S109)</f>
        <v/>
      </c>
      <c r="T109" s="695"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0" t="str">
        <f>+IF(MAYO!A110=0,"",MAYO!A110)</f>
        <v>11304-6</v>
      </c>
      <c r="B110" s="619" t="str">
        <f>+IF(MAYO!B110=0,"",MAYO!B110)</f>
        <v>Otros</v>
      </c>
      <c r="C110" s="669">
        <f>+ENERO!C110</f>
        <v>0</v>
      </c>
      <c r="D110" s="373">
        <f>MAYO!D110+JUNIO!P110</f>
        <v>0</v>
      </c>
      <c r="E110" s="373">
        <f>MAYO!E110+JUNIO!Q110</f>
        <v>66506795</v>
      </c>
      <c r="F110" s="373">
        <f t="shared" si="116"/>
        <v>66506795</v>
      </c>
      <c r="G110" s="373">
        <f>MAYO!I110</f>
        <v>78957067</v>
      </c>
      <c r="H110" s="374">
        <v>35115863</v>
      </c>
      <c r="I110" s="373">
        <f t="shared" si="117"/>
        <v>114072930</v>
      </c>
      <c r="J110" s="373">
        <f>MAYO!L110</f>
        <v>72019310</v>
      </c>
      <c r="K110" s="374">
        <v>8745131</v>
      </c>
      <c r="L110" s="373">
        <f t="shared" si="118"/>
        <v>80764441</v>
      </c>
      <c r="M110" s="373">
        <f t="shared" si="119"/>
        <v>-47566135</v>
      </c>
      <c r="N110" s="143">
        <f t="shared" si="120"/>
        <v>-14257646</v>
      </c>
      <c r="P110" s="372">
        <v>0</v>
      </c>
      <c r="Q110" s="375">
        <v>56484569</v>
      </c>
      <c r="R110" s="9"/>
      <c r="S110" s="703">
        <f>+IF(MAYO!S110=0,"",MAYO!S110)</f>
        <v>2000000</v>
      </c>
      <c r="T110" s="685" t="str">
        <f>+IF(MAYO!T110=0,"",MAYO!T110)</f>
        <v>GASTOS GENERALES</v>
      </c>
      <c r="U110" s="470">
        <f t="shared" ref="U110:AJ110" si="122">U112+U145</f>
        <v>7574161274</v>
      </c>
      <c r="V110" s="471">
        <f t="shared" si="122"/>
        <v>-1100319672</v>
      </c>
      <c r="W110" s="471">
        <f t="shared" si="122"/>
        <v>3408156707</v>
      </c>
      <c r="X110" s="472">
        <f t="shared" si="122"/>
        <v>9881998309</v>
      </c>
      <c r="Y110" s="379">
        <f t="shared" si="122"/>
        <v>7113591917</v>
      </c>
      <c r="Z110" s="471">
        <f t="shared" si="122"/>
        <v>473984028</v>
      </c>
      <c r="AA110" s="472">
        <f t="shared" si="122"/>
        <v>7587575945</v>
      </c>
      <c r="AB110" s="379">
        <f t="shared" si="122"/>
        <v>4157841171</v>
      </c>
      <c r="AC110" s="471">
        <f t="shared" si="122"/>
        <v>833550529</v>
      </c>
      <c r="AD110" s="472">
        <f t="shared" si="122"/>
        <v>4991391700</v>
      </c>
      <c r="AE110" s="379">
        <f t="shared" si="122"/>
        <v>2604686687</v>
      </c>
      <c r="AF110" s="471">
        <f t="shared" si="122"/>
        <v>525974646</v>
      </c>
      <c r="AG110" s="472">
        <f t="shared" si="122"/>
        <v>3130661333</v>
      </c>
      <c r="AH110" s="379">
        <f t="shared" si="122"/>
        <v>2294422364</v>
      </c>
      <c r="AI110" s="471">
        <f t="shared" si="122"/>
        <v>4890606609</v>
      </c>
      <c r="AJ110" s="380">
        <f t="shared" si="122"/>
        <v>6751336976</v>
      </c>
      <c r="AK110" s="10"/>
      <c r="AL110" s="128">
        <f>AL112+AL145</f>
        <v>-140000000</v>
      </c>
      <c r="AM110" s="130">
        <f>AM112+AM145</f>
        <v>322000000</v>
      </c>
      <c r="AN110" s="9"/>
      <c r="AO110" s="294"/>
      <c r="AP110" s="294"/>
      <c r="AQ110" s="294"/>
      <c r="AR110" s="294"/>
      <c r="AS110" s="294"/>
      <c r="AT110" s="294"/>
      <c r="AU110" s="294"/>
      <c r="AV110" s="294"/>
      <c r="AW110" s="294"/>
      <c r="AX110" s="294"/>
      <c r="AY110" s="294"/>
      <c r="AZ110" s="294"/>
    </row>
    <row r="111" spans="1:70" s="382" customFormat="1" ht="24.95" customHeight="1" thickBot="1">
      <c r="A111" s="740" t="str">
        <f>+IF(MAYO!A111=0,"",MAYO!A111)</f>
        <v>11304-7</v>
      </c>
      <c r="B111" s="654" t="str">
        <f>+IF(MAYO!B111=0,"",MAYO!B111)</f>
        <v>Vigencia Anterior</v>
      </c>
      <c r="C111" s="770">
        <f>+ENERO!C111</f>
        <v>0</v>
      </c>
      <c r="D111" s="385">
        <f>MAYO!D111+JUNIO!P111</f>
        <v>0</v>
      </c>
      <c r="E111" s="385">
        <f>MAYO!E111+JUNIO!Q111</f>
        <v>0</v>
      </c>
      <c r="F111" s="385">
        <f t="shared" si="116"/>
        <v>0</v>
      </c>
      <c r="G111" s="385">
        <f>MAYO!I111</f>
        <v>0</v>
      </c>
      <c r="H111" s="388">
        <v>0</v>
      </c>
      <c r="I111" s="385">
        <f t="shared" si="117"/>
        <v>0</v>
      </c>
      <c r="J111" s="385">
        <f>MAYO!L111</f>
        <v>0</v>
      </c>
      <c r="K111" s="388">
        <v>0</v>
      </c>
      <c r="L111" s="385">
        <f t="shared" si="118"/>
        <v>0</v>
      </c>
      <c r="M111" s="385">
        <f t="shared" si="119"/>
        <v>0</v>
      </c>
      <c r="N111" s="386">
        <f t="shared" si="120"/>
        <v>0</v>
      </c>
      <c r="P111" s="372">
        <v>0</v>
      </c>
      <c r="Q111" s="375">
        <v>0</v>
      </c>
      <c r="R111" s="9"/>
      <c r="S111" s="366" t="str">
        <f>+IF(MAYO!S111=0,"",MAYO!S111)</f>
        <v/>
      </c>
      <c r="T111" s="695" t="str">
        <f>+IF(MAYO!T111=0,"",MAYO!T111)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1" t="str">
        <f>+IF(MAYO!A112=0,"",MAYO!A112)</f>
        <v/>
      </c>
      <c r="B112" s="653" t="str">
        <f>+IF(MAYO!B112=0,"",MAYO!B112)</f>
        <v/>
      </c>
      <c r="C112" s="480"/>
      <c r="D112" s="480"/>
      <c r="E112" s="480"/>
      <c r="F112" s="480"/>
      <c r="G112" s="480"/>
      <c r="H112" s="480"/>
      <c r="I112" s="480"/>
      <c r="J112" s="480"/>
      <c r="K112" s="480"/>
      <c r="L112" s="480"/>
      <c r="M112" s="480"/>
      <c r="N112" s="481"/>
      <c r="P112" s="482"/>
      <c r="Q112" s="481"/>
      <c r="R112" s="9"/>
      <c r="S112" s="703">
        <f>+IF(MAYO!S112=0,"",MAYO!S112)</f>
        <v>2010000</v>
      </c>
      <c r="T112" s="679" t="str">
        <f>+IF(MAYO!T112=0,"",MAYO!T112)</f>
        <v>Gastos de Administración</v>
      </c>
      <c r="U112" s="132">
        <f t="shared" ref="U112:AJ112" si="123">U114+U123+U141</f>
        <v>4915028612</v>
      </c>
      <c r="V112" s="122">
        <f t="shared" si="123"/>
        <v>-91773425</v>
      </c>
      <c r="W112" s="122">
        <f t="shared" si="123"/>
        <v>1758156707</v>
      </c>
      <c r="X112" s="129">
        <f t="shared" si="123"/>
        <v>6581411894</v>
      </c>
      <c r="Y112" s="128">
        <f t="shared" si="123"/>
        <v>5441725382</v>
      </c>
      <c r="Z112" s="122">
        <f t="shared" si="123"/>
        <v>182776461</v>
      </c>
      <c r="AA112" s="129">
        <f t="shared" si="123"/>
        <v>5624501843</v>
      </c>
      <c r="AB112" s="128">
        <f t="shared" si="123"/>
        <v>3154796242</v>
      </c>
      <c r="AC112" s="122">
        <f t="shared" si="123"/>
        <v>526177752</v>
      </c>
      <c r="AD112" s="129">
        <f t="shared" si="123"/>
        <v>3680973994</v>
      </c>
      <c r="AE112" s="128">
        <f t="shared" si="123"/>
        <v>2087072083</v>
      </c>
      <c r="AF112" s="122">
        <f t="shared" si="123"/>
        <v>354614277</v>
      </c>
      <c r="AG112" s="129">
        <f t="shared" si="123"/>
        <v>2441686360</v>
      </c>
      <c r="AH112" s="128">
        <f t="shared" si="123"/>
        <v>956910051</v>
      </c>
      <c r="AI112" s="122">
        <f t="shared" si="123"/>
        <v>2900437900</v>
      </c>
      <c r="AJ112" s="130">
        <f t="shared" si="123"/>
        <v>4139725534</v>
      </c>
      <c r="AK112" s="9"/>
      <c r="AL112" s="128">
        <f>AL114+AL123+AL141</f>
        <v>-527401332</v>
      </c>
      <c r="AM112" s="130">
        <f>AM114+AM123+AM141</f>
        <v>322000000</v>
      </c>
      <c r="AN112" s="9"/>
      <c r="AO112" s="294"/>
      <c r="AP112" s="294"/>
      <c r="AQ112" s="294"/>
      <c r="AR112" s="294"/>
      <c r="AS112" s="294"/>
      <c r="AT112" s="294"/>
      <c r="AU112" s="294"/>
      <c r="AV112" s="294"/>
      <c r="AW112" s="294"/>
      <c r="AX112" s="294"/>
      <c r="AY112" s="294"/>
      <c r="AZ112" s="294"/>
    </row>
    <row r="113" spans="1:52" s="382" customFormat="1" ht="24.95" customHeight="1" thickBot="1">
      <c r="A113" s="730">
        <f>+IF(MAYO!A113=0,"",MAYO!A113)</f>
        <v>2000</v>
      </c>
      <c r="B113" s="640" t="str">
        <f>+IF(MAYO!B113=0,"",MAYO!B113)</f>
        <v>INGRESOS DE CAPITAL</v>
      </c>
      <c r="C113" s="623">
        <f>SUM(C115:C124)</f>
        <v>9052927194</v>
      </c>
      <c r="D113" s="624">
        <f>SUM(D115:D124)</f>
        <v>0</v>
      </c>
      <c r="E113" s="624">
        <f t="shared" ref="E113:N113" si="124">SUM(E115:E124)</f>
        <v>1599074</v>
      </c>
      <c r="F113" s="624">
        <f t="shared" si="124"/>
        <v>9054526268</v>
      </c>
      <c r="G113" s="624">
        <f t="shared" si="124"/>
        <v>2391317</v>
      </c>
      <c r="H113" s="624">
        <f t="shared" si="124"/>
        <v>1125064</v>
      </c>
      <c r="I113" s="624">
        <f t="shared" si="124"/>
        <v>3516381</v>
      </c>
      <c r="J113" s="624">
        <f t="shared" si="124"/>
        <v>2391317</v>
      </c>
      <c r="K113" s="624">
        <f t="shared" si="124"/>
        <v>1125064</v>
      </c>
      <c r="L113" s="624">
        <f t="shared" si="124"/>
        <v>3516381</v>
      </c>
      <c r="M113" s="624">
        <f t="shared" si="124"/>
        <v>9051009887</v>
      </c>
      <c r="N113" s="625">
        <f t="shared" si="124"/>
        <v>9051009887</v>
      </c>
      <c r="O113" s="461"/>
      <c r="P113" s="174">
        <f>SUM(P115:P124)</f>
        <v>0</v>
      </c>
      <c r="Q113" s="175">
        <f>SUM(Q115:Q124)</f>
        <v>187235</v>
      </c>
      <c r="R113" s="9"/>
      <c r="S113" s="366" t="str">
        <f>+IF(MAYO!S113=0,"",MAYO!S113)</f>
        <v/>
      </c>
      <c r="T113" s="695" t="str">
        <f>+IF(MAYO!T113=0,"",MAYO!T113)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1" t="str">
        <f>+IF(MAYO!A114=0,"",MAYO!A114)</f>
        <v/>
      </c>
      <c r="B114" s="653" t="str">
        <f>+IF(MAYO!B114=0,"",MAYO!B114)</f>
        <v/>
      </c>
      <c r="C114" s="480"/>
      <c r="D114" s="480"/>
      <c r="E114" s="480"/>
      <c r="F114" s="480"/>
      <c r="G114" s="480"/>
      <c r="H114" s="480"/>
      <c r="I114" s="480"/>
      <c r="J114" s="480"/>
      <c r="K114" s="480"/>
      <c r="L114" s="480"/>
      <c r="M114" s="480"/>
      <c r="N114" s="481"/>
      <c r="P114" s="482"/>
      <c r="Q114" s="481"/>
      <c r="R114" s="9"/>
      <c r="S114" s="704">
        <f>+IF(MAYO!S114=0,"",MAYO!S114)</f>
        <v>2010100</v>
      </c>
      <c r="T114" s="680" t="str">
        <f>+IF(MAYO!T114=0,"",MAYO!T114)</f>
        <v>Adquisición de bienes</v>
      </c>
      <c r="U114" s="132">
        <f t="shared" ref="U114:AJ114" si="125">SUM(U115:U121)</f>
        <v>256200000</v>
      </c>
      <c r="V114" s="122">
        <f t="shared" si="125"/>
        <v>-37200430</v>
      </c>
      <c r="W114" s="122">
        <f t="shared" si="125"/>
        <v>330000000</v>
      </c>
      <c r="X114" s="129">
        <f t="shared" si="125"/>
        <v>548999570</v>
      </c>
      <c r="Y114" s="128">
        <f t="shared" si="125"/>
        <v>281484282</v>
      </c>
      <c r="Z114" s="122">
        <f t="shared" si="125"/>
        <v>7261334</v>
      </c>
      <c r="AA114" s="129">
        <f t="shared" si="125"/>
        <v>288745616</v>
      </c>
      <c r="AB114" s="128">
        <f t="shared" si="125"/>
        <v>215767458</v>
      </c>
      <c r="AC114" s="122">
        <f t="shared" si="125"/>
        <v>8222188</v>
      </c>
      <c r="AD114" s="129">
        <f t="shared" si="125"/>
        <v>223989646</v>
      </c>
      <c r="AE114" s="128">
        <f t="shared" si="125"/>
        <v>184195637</v>
      </c>
      <c r="AF114" s="122">
        <f t="shared" si="125"/>
        <v>3529601</v>
      </c>
      <c r="AG114" s="129">
        <f t="shared" si="125"/>
        <v>187725238</v>
      </c>
      <c r="AH114" s="128">
        <f t="shared" si="125"/>
        <v>260253954</v>
      </c>
      <c r="AI114" s="122">
        <f t="shared" si="125"/>
        <v>325009924</v>
      </c>
      <c r="AJ114" s="130">
        <f t="shared" si="125"/>
        <v>361274332</v>
      </c>
      <c r="AK114" s="9"/>
      <c r="AL114" s="128">
        <f>SUM(AL115:AL121)</f>
        <v>-30000000</v>
      </c>
      <c r="AM114" s="130">
        <f>SUM(AM115:AM121)</f>
        <v>50000000</v>
      </c>
      <c r="AN114" s="9"/>
      <c r="AO114" s="294"/>
      <c r="AP114" s="294"/>
      <c r="AQ114" s="294"/>
      <c r="AR114" s="294"/>
      <c r="AS114" s="294"/>
      <c r="AT114" s="294"/>
      <c r="AU114" s="294"/>
      <c r="AV114" s="294"/>
      <c r="AW114" s="294"/>
      <c r="AX114" s="294"/>
      <c r="AY114" s="294"/>
      <c r="AZ114" s="294"/>
    </row>
    <row r="115" spans="1:52" s="382" customFormat="1" ht="24.95" customHeight="1">
      <c r="A115" s="742">
        <f>+IF(MAYO!A115=0,"",MAYO!A115)</f>
        <v>2100</v>
      </c>
      <c r="B115" s="626" t="str">
        <f>+IF(MAYO!B115=0,"",MAYO!B115)</f>
        <v>CREDITO INTERNO</v>
      </c>
      <c r="C115" s="671">
        <f>+ENERO!C115</f>
        <v>0</v>
      </c>
      <c r="D115" s="464">
        <f>MAYO!D115+JUNIO!P115</f>
        <v>0</v>
      </c>
      <c r="E115" s="464">
        <f>MAYO!E115+JUNIO!Q115</f>
        <v>0</v>
      </c>
      <c r="F115" s="468">
        <f t="shared" ref="F115:F124" si="126">SUM(C115:E115)</f>
        <v>0</v>
      </c>
      <c r="G115" s="466">
        <f>MAYO!I115</f>
        <v>0</v>
      </c>
      <c r="H115" s="374">
        <v>0</v>
      </c>
      <c r="I115" s="468">
        <f t="shared" ref="I115:I124" si="127">SUM(G115:H115)</f>
        <v>0</v>
      </c>
      <c r="J115" s="466">
        <f>MAYO!L115</f>
        <v>0</v>
      </c>
      <c r="K115" s="374">
        <v>0</v>
      </c>
      <c r="L115" s="465">
        <f t="shared" ref="L115:L124" si="128">SUM(J115:K115)</f>
        <v>0</v>
      </c>
      <c r="M115" s="469">
        <f t="shared" ref="M115:M124" si="129">F115-I115</f>
        <v>0</v>
      </c>
      <c r="N115" s="465">
        <f t="shared" ref="N115:N124" si="130">F115-L115</f>
        <v>0</v>
      </c>
      <c r="O115" s="461"/>
      <c r="P115" s="372">
        <v>0</v>
      </c>
      <c r="Q115" s="375">
        <v>0</v>
      </c>
      <c r="R115" s="9"/>
      <c r="S115" s="705" t="str">
        <f>+IF(MAYO!S115=0,"",MAYO!S115)</f>
        <v>2010100-1</v>
      </c>
      <c r="T115" s="681" t="str">
        <f>+IF(MAYO!T115=0,"",MAYO!T115)</f>
        <v>Compra de Equipos</v>
      </c>
      <c r="U115" s="27">
        <f>+ENERO!U115</f>
        <v>175000000</v>
      </c>
      <c r="V115" s="15">
        <f>MAYO!V115+JUNIO!AL115</f>
        <v>0</v>
      </c>
      <c r="W115" s="15">
        <f>MAYO!W115+JUNIO!AM115</f>
        <v>0</v>
      </c>
      <c r="X115" s="18">
        <f t="shared" ref="X115:X121" si="131">SUM(U115:W115)</f>
        <v>175000000</v>
      </c>
      <c r="Y115" s="19">
        <f>MAYO!AA115</f>
        <v>44766975</v>
      </c>
      <c r="Z115" s="374">
        <v>5687998</v>
      </c>
      <c r="AA115" s="18">
        <f t="shared" ref="AA115:AA121" si="132">SUM(Y115:Z115)</f>
        <v>50454973</v>
      </c>
      <c r="AB115" s="19">
        <f>MAYO!AD115</f>
        <v>42482770</v>
      </c>
      <c r="AC115" s="374">
        <v>5687998</v>
      </c>
      <c r="AD115" s="18">
        <f t="shared" ref="AD115:AD121" si="133">SUM(AB115:AC115)</f>
        <v>48170768</v>
      </c>
      <c r="AE115" s="19">
        <f>MAYO!AG115</f>
        <v>42251807</v>
      </c>
      <c r="AF115" s="374">
        <v>0</v>
      </c>
      <c r="AG115" s="18">
        <f t="shared" ref="AG115:AG121" si="134">SUM(AE115:AF115)</f>
        <v>42251807</v>
      </c>
      <c r="AH115" s="19">
        <f t="shared" ref="AH115:AH121" si="135">X115-AA115</f>
        <v>124545027</v>
      </c>
      <c r="AI115" s="15">
        <f t="shared" ref="AI115:AI121" si="136">X115-AD115</f>
        <v>126829232</v>
      </c>
      <c r="AJ115" s="16">
        <f t="shared" ref="AJ115:AJ121" si="137">X115-AG115</f>
        <v>132748193</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2" t="str">
        <f>+IF(MAYO!A116=0,"",MAYO!A116)</f>
        <v>2100-1</v>
      </c>
      <c r="B116" s="627" t="str">
        <f>+IF(MAYO!B116=0,"",MAYO!B116)</f>
        <v>Vigencia Anterior</v>
      </c>
      <c r="C116" s="671">
        <f>+ENERO!C116</f>
        <v>0</v>
      </c>
      <c r="D116" s="464">
        <f>MAYO!D116+JUNIO!P116</f>
        <v>0</v>
      </c>
      <c r="E116" s="464">
        <f>MAYO!E116+JUNIO!Q116</f>
        <v>0</v>
      </c>
      <c r="F116" s="468">
        <f t="shared" si="126"/>
        <v>0</v>
      </c>
      <c r="G116" s="466">
        <f>MAYO!I116</f>
        <v>0</v>
      </c>
      <c r="H116" s="374">
        <v>0</v>
      </c>
      <c r="I116" s="468">
        <f t="shared" si="127"/>
        <v>0</v>
      </c>
      <c r="J116" s="466">
        <f>MAYO!L116</f>
        <v>0</v>
      </c>
      <c r="K116" s="374">
        <v>0</v>
      </c>
      <c r="L116" s="465">
        <f t="shared" si="128"/>
        <v>0</v>
      </c>
      <c r="M116" s="469">
        <f t="shared" si="129"/>
        <v>0</v>
      </c>
      <c r="N116" s="465">
        <f t="shared" si="130"/>
        <v>0</v>
      </c>
      <c r="O116" s="461"/>
      <c r="P116" s="372">
        <v>0</v>
      </c>
      <c r="Q116" s="375">
        <v>0</v>
      </c>
      <c r="R116" s="9"/>
      <c r="S116" s="705" t="str">
        <f>+IF(MAYO!S116=0,"",MAYO!S116)</f>
        <v>2010100-2</v>
      </c>
      <c r="T116" s="681" t="str">
        <f>+IF(MAYO!T116=0,"",MAYO!T116)</f>
        <v>Materiales</v>
      </c>
      <c r="U116" s="27">
        <f>+ENERO!U116</f>
        <v>76200000</v>
      </c>
      <c r="V116" s="15">
        <f>MAYO!V116+JUNIO!AL116</f>
        <v>0</v>
      </c>
      <c r="W116" s="15">
        <f>MAYO!W116+JUNIO!AM116</f>
        <v>130000000</v>
      </c>
      <c r="X116" s="18">
        <f t="shared" si="131"/>
        <v>206200000</v>
      </c>
      <c r="Y116" s="19">
        <f>MAYO!AA116</f>
        <v>123526843</v>
      </c>
      <c r="Z116" s="374">
        <v>1573336</v>
      </c>
      <c r="AA116" s="18">
        <f t="shared" si="132"/>
        <v>125100179</v>
      </c>
      <c r="AB116" s="19">
        <f>MAYO!AD116</f>
        <v>60094224</v>
      </c>
      <c r="AC116" s="374">
        <v>2534190</v>
      </c>
      <c r="AD116" s="18">
        <f t="shared" si="133"/>
        <v>62628414</v>
      </c>
      <c r="AE116" s="19">
        <f>MAYO!AG116</f>
        <v>30909266</v>
      </c>
      <c r="AF116" s="374">
        <v>3529601</v>
      </c>
      <c r="AG116" s="18">
        <f t="shared" si="134"/>
        <v>34438867</v>
      </c>
      <c r="AH116" s="19">
        <f t="shared" si="135"/>
        <v>81099821</v>
      </c>
      <c r="AI116" s="15">
        <f t="shared" si="136"/>
        <v>143571586</v>
      </c>
      <c r="AJ116" s="16">
        <f t="shared" si="137"/>
        <v>171761133</v>
      </c>
      <c r="AK116" s="9"/>
      <c r="AL116" s="372">
        <v>0</v>
      </c>
      <c r="AM116" s="375">
        <v>50000000</v>
      </c>
      <c r="AN116" s="9"/>
      <c r="AO116" s="294"/>
      <c r="AP116" s="294"/>
      <c r="AQ116" s="294"/>
      <c r="AR116" s="294"/>
      <c r="AS116" s="294"/>
      <c r="AT116" s="294"/>
      <c r="AU116" s="294"/>
      <c r="AV116" s="294"/>
      <c r="AW116" s="294"/>
      <c r="AX116" s="294"/>
      <c r="AY116" s="294"/>
      <c r="AZ116" s="294"/>
    </row>
    <row r="117" spans="1:52" s="382" customFormat="1" ht="24.95" customHeight="1">
      <c r="A117" s="742">
        <f>+IF(MAYO!A117=0,"",MAYO!A117)</f>
        <v>2200</v>
      </c>
      <c r="B117" s="626" t="str">
        <f>+IF(MAYO!B117=0,"",MAYO!B117)</f>
        <v>CREDITO EXTERNO</v>
      </c>
      <c r="C117" s="671">
        <f>+ENERO!C117</f>
        <v>0</v>
      </c>
      <c r="D117" s="464">
        <f>MAYO!D117+JUNIO!P117</f>
        <v>0</v>
      </c>
      <c r="E117" s="464">
        <f>MAYO!E117+JUNIO!Q117</f>
        <v>0</v>
      </c>
      <c r="F117" s="468">
        <f t="shared" si="126"/>
        <v>0</v>
      </c>
      <c r="G117" s="466">
        <f>MAYO!I117</f>
        <v>0</v>
      </c>
      <c r="H117" s="374">
        <v>0</v>
      </c>
      <c r="I117" s="468">
        <f t="shared" si="127"/>
        <v>0</v>
      </c>
      <c r="J117" s="466">
        <f>MAYO!L117</f>
        <v>0</v>
      </c>
      <c r="K117" s="374">
        <v>0</v>
      </c>
      <c r="L117" s="465">
        <f t="shared" si="128"/>
        <v>0</v>
      </c>
      <c r="M117" s="469">
        <f t="shared" si="129"/>
        <v>0</v>
      </c>
      <c r="N117" s="465">
        <f t="shared" si="130"/>
        <v>0</v>
      </c>
      <c r="O117" s="461"/>
      <c r="P117" s="372">
        <v>0</v>
      </c>
      <c r="Q117" s="375">
        <v>0</v>
      </c>
      <c r="R117" s="9"/>
      <c r="S117" s="705" t="str">
        <f>+IF(MAYO!S117=0,"",MAYO!S117)</f>
        <v>2010100-3</v>
      </c>
      <c r="T117" s="681" t="str">
        <f>+IF(MAYO!T117=0,"",MAYO!T117)</f>
        <v>Salud Ocupacional</v>
      </c>
      <c r="U117" s="27">
        <f>+ENERO!U117</f>
        <v>5000000</v>
      </c>
      <c r="V117" s="15">
        <f>MAYO!V117+JUNIO!AL117</f>
        <v>0</v>
      </c>
      <c r="W117" s="15">
        <f>MAYO!W117+JUNIO!AM117</f>
        <v>0</v>
      </c>
      <c r="X117" s="18">
        <f t="shared" si="131"/>
        <v>5000000</v>
      </c>
      <c r="Y117" s="19">
        <f>MAYO!AA117</f>
        <v>2231045</v>
      </c>
      <c r="Z117" s="374">
        <v>0</v>
      </c>
      <c r="AA117" s="18">
        <f t="shared" si="132"/>
        <v>2231045</v>
      </c>
      <c r="AB117" s="19">
        <f>MAYO!AD117</f>
        <v>2231045</v>
      </c>
      <c r="AC117" s="374">
        <v>0</v>
      </c>
      <c r="AD117" s="18">
        <f t="shared" si="133"/>
        <v>2231045</v>
      </c>
      <c r="AE117" s="19">
        <f>MAYO!AG117</f>
        <v>75145</v>
      </c>
      <c r="AF117" s="374">
        <v>0</v>
      </c>
      <c r="AG117" s="18">
        <f t="shared" si="134"/>
        <v>75145</v>
      </c>
      <c r="AH117" s="19">
        <f t="shared" si="135"/>
        <v>2768955</v>
      </c>
      <c r="AI117" s="15">
        <f t="shared" si="136"/>
        <v>2768955</v>
      </c>
      <c r="AJ117" s="16">
        <f t="shared" si="137"/>
        <v>4924855</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3" t="str">
        <f>+IF(MAYO!A118=0,"",MAYO!A118)</f>
        <v>2200-1</v>
      </c>
      <c r="B118" s="627" t="str">
        <f>+IF(MAYO!B118=0,"",MAYO!B118)</f>
        <v>Vigencia Anterior</v>
      </c>
      <c r="C118" s="671">
        <f>+ENERO!C118</f>
        <v>0</v>
      </c>
      <c r="D118" s="464">
        <f>MAYO!D118+JUNIO!P118</f>
        <v>0</v>
      </c>
      <c r="E118" s="464">
        <f>MAYO!E118+JUNIO!Q118</f>
        <v>0</v>
      </c>
      <c r="F118" s="468">
        <f t="shared" si="126"/>
        <v>0</v>
      </c>
      <c r="G118" s="466">
        <f>MAYO!I118</f>
        <v>0</v>
      </c>
      <c r="H118" s="374">
        <v>0</v>
      </c>
      <c r="I118" s="468">
        <f t="shared" si="127"/>
        <v>0</v>
      </c>
      <c r="J118" s="466">
        <f>MAYO!L118</f>
        <v>0</v>
      </c>
      <c r="K118" s="374">
        <v>0</v>
      </c>
      <c r="L118" s="465">
        <f t="shared" si="128"/>
        <v>0</v>
      </c>
      <c r="M118" s="469">
        <f t="shared" si="129"/>
        <v>0</v>
      </c>
      <c r="N118" s="465">
        <f t="shared" si="130"/>
        <v>0</v>
      </c>
      <c r="O118" s="461"/>
      <c r="P118" s="372">
        <v>0</v>
      </c>
      <c r="Q118" s="375">
        <v>0</v>
      </c>
      <c r="R118" s="9"/>
      <c r="S118" s="705" t="str">
        <f>+IF(MAYO!S118=0,"",MAYO!S118)</f>
        <v>2010100-4</v>
      </c>
      <c r="T118" s="681" t="str">
        <f>+IF(MAYO!T118=0,"",MAYO!T118)</f>
        <v/>
      </c>
      <c r="U118" s="27">
        <f>+ENERO!U118</f>
        <v>0</v>
      </c>
      <c r="V118" s="15">
        <f>MAYO!V118+JUNIO!AL118</f>
        <v>0</v>
      </c>
      <c r="W118" s="15">
        <f>MAYO!W118+JUNIO!AM118</f>
        <v>0</v>
      </c>
      <c r="X118" s="18">
        <f t="shared" si="131"/>
        <v>0</v>
      </c>
      <c r="Y118" s="19">
        <f>MAYO!AA118</f>
        <v>0</v>
      </c>
      <c r="Z118" s="374">
        <v>0</v>
      </c>
      <c r="AA118" s="18">
        <f t="shared" si="132"/>
        <v>0</v>
      </c>
      <c r="AB118" s="19">
        <f>MAYO!AD118</f>
        <v>0</v>
      </c>
      <c r="AC118" s="374">
        <v>0</v>
      </c>
      <c r="AD118" s="18">
        <f t="shared" si="133"/>
        <v>0</v>
      </c>
      <c r="AE118" s="19">
        <f>MAYO!AG118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2">
        <f>+IF(MAYO!A119=0,"",MAYO!A119)</f>
        <v>2300</v>
      </c>
      <c r="B119" s="626" t="str">
        <f>+IF(MAYO!B119=0,"",MAYO!B119)</f>
        <v>RENDIMIENTOS FINANCIEROS</v>
      </c>
      <c r="C119" s="671">
        <f>+ENERO!C119</f>
        <v>0</v>
      </c>
      <c r="D119" s="464">
        <f>MAYO!D119+JUNIO!P119</f>
        <v>0</v>
      </c>
      <c r="E119" s="464">
        <f>MAYO!E119+JUNIO!Q119</f>
        <v>1599074</v>
      </c>
      <c r="F119" s="468">
        <f t="shared" si="126"/>
        <v>1599074</v>
      </c>
      <c r="G119" s="219">
        <f>MAYO!I119</f>
        <v>2391317</v>
      </c>
      <c r="H119" s="374">
        <v>1125064</v>
      </c>
      <c r="I119" s="473">
        <f t="shared" si="127"/>
        <v>3516381</v>
      </c>
      <c r="J119" s="219">
        <f>MAYO!L119</f>
        <v>2391317</v>
      </c>
      <c r="K119" s="374">
        <v>1125064</v>
      </c>
      <c r="L119" s="143">
        <f t="shared" si="128"/>
        <v>3516381</v>
      </c>
      <c r="M119" s="438">
        <f t="shared" si="129"/>
        <v>-1917307</v>
      </c>
      <c r="N119" s="143">
        <f t="shared" si="130"/>
        <v>-1917307</v>
      </c>
      <c r="O119" s="461"/>
      <c r="P119" s="372">
        <v>0</v>
      </c>
      <c r="Q119" s="375">
        <v>187235</v>
      </c>
      <c r="R119" s="9"/>
      <c r="S119" s="705" t="str">
        <f>+IF(MAYO!S119=0,"",MAYO!S119)</f>
        <v>2010100-5</v>
      </c>
      <c r="T119" s="681" t="str">
        <f>+IF(MAYO!T119=0,"",MAYO!T119)</f>
        <v/>
      </c>
      <c r="U119" s="27">
        <f>+ENERO!U119</f>
        <v>0</v>
      </c>
      <c r="V119" s="15">
        <f>MAYO!V119+JUNIO!AL119</f>
        <v>0</v>
      </c>
      <c r="W119" s="15">
        <f>MAYO!W119+JUNIO!AM119</f>
        <v>0</v>
      </c>
      <c r="X119" s="18">
        <f t="shared" si="131"/>
        <v>0</v>
      </c>
      <c r="Y119" s="19">
        <f>MAYO!AA119</f>
        <v>0</v>
      </c>
      <c r="Z119" s="374">
        <v>0</v>
      </c>
      <c r="AA119" s="18">
        <f t="shared" si="132"/>
        <v>0</v>
      </c>
      <c r="AB119" s="19">
        <f>MAYO!AD119</f>
        <v>0</v>
      </c>
      <c r="AC119" s="374">
        <v>0</v>
      </c>
      <c r="AD119" s="18">
        <f t="shared" si="133"/>
        <v>0</v>
      </c>
      <c r="AE119" s="19">
        <f>MAYO!AG119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4">
        <f>+IF(MAYO!A120=0,"",MAYO!A120)</f>
        <v>2400</v>
      </c>
      <c r="B120" s="627" t="str">
        <f>+IF(MAYO!B120=0,"",MAYO!B120)</f>
        <v>VENTA DE ACTIVOS</v>
      </c>
      <c r="C120" s="671">
        <f>+ENERO!C120</f>
        <v>0</v>
      </c>
      <c r="D120" s="464">
        <f>MAYO!D120+JUNIO!P120</f>
        <v>0</v>
      </c>
      <c r="E120" s="464">
        <f>MAYO!E120+JUNIO!Q120</f>
        <v>0</v>
      </c>
      <c r="F120" s="468">
        <f t="shared" si="126"/>
        <v>0</v>
      </c>
      <c r="G120" s="219">
        <f>MAYO!I120</f>
        <v>0</v>
      </c>
      <c r="H120" s="374">
        <v>0</v>
      </c>
      <c r="I120" s="473">
        <f t="shared" si="127"/>
        <v>0</v>
      </c>
      <c r="J120" s="219">
        <f>MAYO!L120</f>
        <v>0</v>
      </c>
      <c r="K120" s="374">
        <v>0</v>
      </c>
      <c r="L120" s="143">
        <f t="shared" si="128"/>
        <v>0</v>
      </c>
      <c r="M120" s="438">
        <f t="shared" si="129"/>
        <v>0</v>
      </c>
      <c r="N120" s="143">
        <f t="shared" si="130"/>
        <v>0</v>
      </c>
      <c r="P120" s="372">
        <v>0</v>
      </c>
      <c r="Q120" s="375">
        <v>0</v>
      </c>
      <c r="R120" s="9"/>
      <c r="S120" s="705" t="str">
        <f>+IF(MAYO!S120=0,"",MAYO!S120)</f>
        <v>2010100-6</v>
      </c>
      <c r="T120" s="681" t="str">
        <f>+IF(MAYO!T120=0,"",MAYO!T120)</f>
        <v/>
      </c>
      <c r="U120" s="27">
        <f>+ENERO!U120</f>
        <v>0</v>
      </c>
      <c r="V120" s="15">
        <f>MAYO!V120+JUNIO!AL120</f>
        <v>0</v>
      </c>
      <c r="W120" s="15">
        <f>MAYO!W120+JUNIO!AM120</f>
        <v>0</v>
      </c>
      <c r="X120" s="18">
        <f t="shared" si="131"/>
        <v>0</v>
      </c>
      <c r="Y120" s="19">
        <f>MAYO!AA120</f>
        <v>0</v>
      </c>
      <c r="Z120" s="374">
        <v>0</v>
      </c>
      <c r="AA120" s="18">
        <f t="shared" si="132"/>
        <v>0</v>
      </c>
      <c r="AB120" s="19">
        <f>MAYO!AD120</f>
        <v>0</v>
      </c>
      <c r="AC120" s="374">
        <v>0</v>
      </c>
      <c r="AD120" s="18">
        <f t="shared" si="133"/>
        <v>0</v>
      </c>
      <c r="AE120" s="19">
        <f>MAYO!AG120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4">
        <f>+IF(MAYO!A121=0,"",MAYO!A121)</f>
        <v>2500</v>
      </c>
      <c r="B121" s="627" t="str">
        <f>+IF(MAYO!B121=0,"",MAYO!B121)</f>
        <v>DONACIONES</v>
      </c>
      <c r="C121" s="671">
        <f>+ENERO!C121</f>
        <v>0</v>
      </c>
      <c r="D121" s="464">
        <f>MAYO!D121+JUNIO!P121</f>
        <v>0</v>
      </c>
      <c r="E121" s="464">
        <f>MAYO!E121+JUNIO!Q121</f>
        <v>0</v>
      </c>
      <c r="F121" s="468">
        <f t="shared" si="126"/>
        <v>0</v>
      </c>
      <c r="G121" s="219">
        <f>MAYO!I121</f>
        <v>0</v>
      </c>
      <c r="H121" s="374">
        <v>0</v>
      </c>
      <c r="I121" s="473">
        <f t="shared" si="127"/>
        <v>0</v>
      </c>
      <c r="J121" s="219">
        <f>MAYO!L121</f>
        <v>0</v>
      </c>
      <c r="K121" s="374">
        <v>0</v>
      </c>
      <c r="L121" s="143">
        <f t="shared" si="128"/>
        <v>0</v>
      </c>
      <c r="M121" s="438">
        <f t="shared" si="129"/>
        <v>0</v>
      </c>
      <c r="N121" s="143">
        <f t="shared" si="130"/>
        <v>0</v>
      </c>
      <c r="P121" s="372">
        <v>0</v>
      </c>
      <c r="Q121" s="375">
        <v>0</v>
      </c>
      <c r="R121" s="9"/>
      <c r="S121" s="705">
        <f>+IF(MAYO!S121=0,"",MAYO!S121)</f>
        <v>2010199</v>
      </c>
      <c r="T121" s="681" t="str">
        <f>+IF(MAYO!T121=0,"",MAYO!T121)</f>
        <v>Vigencias Anteriores</v>
      </c>
      <c r="U121" s="27">
        <f>+ENERO!U121</f>
        <v>0</v>
      </c>
      <c r="V121" s="15">
        <f>MAYO!V121+JUNIO!AL121</f>
        <v>-37200430</v>
      </c>
      <c r="W121" s="15">
        <f>MAYO!W121+JUNIO!AM121</f>
        <v>200000000</v>
      </c>
      <c r="X121" s="18">
        <f t="shared" si="131"/>
        <v>162799570</v>
      </c>
      <c r="Y121" s="19">
        <f>MAYO!AA121</f>
        <v>110959419</v>
      </c>
      <c r="Z121" s="374">
        <v>0</v>
      </c>
      <c r="AA121" s="18">
        <f t="shared" si="132"/>
        <v>110959419</v>
      </c>
      <c r="AB121" s="19">
        <f>MAYO!AD121</f>
        <v>110959419</v>
      </c>
      <c r="AC121" s="374">
        <v>0</v>
      </c>
      <c r="AD121" s="18">
        <f t="shared" si="133"/>
        <v>110959419</v>
      </c>
      <c r="AE121" s="19">
        <f>MAYO!AG121</f>
        <v>110959419</v>
      </c>
      <c r="AF121" s="374">
        <v>0</v>
      </c>
      <c r="AG121" s="18">
        <f t="shared" si="134"/>
        <v>110959419</v>
      </c>
      <c r="AH121" s="19">
        <f t="shared" si="135"/>
        <v>51840151</v>
      </c>
      <c r="AI121" s="15">
        <f t="shared" si="136"/>
        <v>51840151</v>
      </c>
      <c r="AJ121" s="16">
        <f t="shared" si="137"/>
        <v>51840151</v>
      </c>
      <c r="AK121" s="9"/>
      <c r="AL121" s="372">
        <v>-30000000</v>
      </c>
      <c r="AM121" s="375">
        <v>0</v>
      </c>
      <c r="AN121" s="9"/>
      <c r="AO121" s="294"/>
      <c r="AP121" s="294"/>
      <c r="AQ121" s="294"/>
      <c r="AR121" s="294"/>
      <c r="AS121" s="294"/>
      <c r="AT121" s="294"/>
      <c r="AU121" s="294"/>
      <c r="AV121" s="294"/>
      <c r="AW121" s="294"/>
      <c r="AX121" s="294"/>
      <c r="AY121" s="294"/>
      <c r="AZ121" s="294"/>
    </row>
    <row r="122" spans="1:52" s="382" customFormat="1" ht="24.95" customHeight="1">
      <c r="A122" s="744">
        <f>+IF(MAYO!A122=0,"",MAYO!A122)</f>
        <v>2600</v>
      </c>
      <c r="B122" s="627" t="str">
        <f>+IF(MAYO!B122=0,"",MAYO!B122)</f>
        <v>RECUPERACIÓN DE CARTERA (AÑO 2015 Y ANTERIORES)</v>
      </c>
      <c r="C122" s="671">
        <f>+ENERO!C122</f>
        <v>9052927194</v>
      </c>
      <c r="D122" s="464">
        <f>MAYO!D122+JUNIO!P122</f>
        <v>0</v>
      </c>
      <c r="E122" s="464">
        <f>MAYO!E122+JUNIO!Q122</f>
        <v>0</v>
      </c>
      <c r="F122" s="468">
        <f t="shared" si="126"/>
        <v>9052927194</v>
      </c>
      <c r="G122" s="219">
        <f>MAYO!I122</f>
        <v>0</v>
      </c>
      <c r="H122" s="374">
        <v>0</v>
      </c>
      <c r="I122" s="473">
        <f t="shared" si="127"/>
        <v>0</v>
      </c>
      <c r="J122" s="219">
        <f>MAYO!L122</f>
        <v>0</v>
      </c>
      <c r="K122" s="374">
        <v>0</v>
      </c>
      <c r="L122" s="143">
        <f t="shared" si="128"/>
        <v>0</v>
      </c>
      <c r="M122" s="438">
        <f t="shared" si="129"/>
        <v>9052927194</v>
      </c>
      <c r="N122" s="143">
        <f t="shared" si="130"/>
        <v>9052927194</v>
      </c>
      <c r="P122" s="372">
        <v>0</v>
      </c>
      <c r="Q122" s="375">
        <v>0</v>
      </c>
      <c r="R122" s="9"/>
      <c r="S122" s="366" t="str">
        <f>+IF(MAYO!S122=0,"",MAYO!S122)</f>
        <v/>
      </c>
      <c r="T122" s="695"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5">
        <f>+IF(MAYO!A123=0,"",MAYO!A123)</f>
        <v>2700</v>
      </c>
      <c r="B123" s="627" t="str">
        <f>+IF(MAYO!B123=0,"",MAYO!B123)</f>
        <v>OTROS INGRESOS DE CAPITAL</v>
      </c>
      <c r="C123" s="671">
        <f>+ENERO!C123</f>
        <v>0</v>
      </c>
      <c r="D123" s="464">
        <f>MAYO!D123+JUNIO!P123</f>
        <v>0</v>
      </c>
      <c r="E123" s="464">
        <f>MAYO!E123+JUNIO!Q123</f>
        <v>0</v>
      </c>
      <c r="F123" s="468">
        <f t="shared" si="126"/>
        <v>0</v>
      </c>
      <c r="G123" s="219">
        <f>MAYO!I123</f>
        <v>0</v>
      </c>
      <c r="H123" s="374">
        <v>0</v>
      </c>
      <c r="I123" s="473">
        <f t="shared" si="127"/>
        <v>0</v>
      </c>
      <c r="J123" s="219">
        <f>MAYO!L123</f>
        <v>0</v>
      </c>
      <c r="K123" s="374">
        <v>0</v>
      </c>
      <c r="L123" s="143">
        <f t="shared" si="128"/>
        <v>0</v>
      </c>
      <c r="M123" s="438">
        <f t="shared" si="129"/>
        <v>0</v>
      </c>
      <c r="N123" s="143">
        <f t="shared" si="130"/>
        <v>0</v>
      </c>
      <c r="P123" s="372">
        <v>0</v>
      </c>
      <c r="Q123" s="375">
        <v>0</v>
      </c>
      <c r="R123" s="9"/>
      <c r="S123" s="704">
        <f>+IF(MAYO!S123=0,"",MAYO!S123)</f>
        <v>2010200</v>
      </c>
      <c r="T123" s="680" t="str">
        <f>+IF(MAYO!T123=0,"",MAYO!T123)</f>
        <v>Adquisición de Servicios</v>
      </c>
      <c r="U123" s="132">
        <f t="shared" ref="U123:AJ123" si="138">SUM(U124:U139)</f>
        <v>4658828612</v>
      </c>
      <c r="V123" s="122">
        <f t="shared" si="138"/>
        <v>-54572995</v>
      </c>
      <c r="W123" s="122">
        <f t="shared" si="138"/>
        <v>1428156707</v>
      </c>
      <c r="X123" s="129">
        <f t="shared" si="138"/>
        <v>6032412324</v>
      </c>
      <c r="Y123" s="128">
        <f t="shared" si="138"/>
        <v>5160241100</v>
      </c>
      <c r="Z123" s="122">
        <f t="shared" si="138"/>
        <v>175515127</v>
      </c>
      <c r="AA123" s="129">
        <f t="shared" si="138"/>
        <v>5335756227</v>
      </c>
      <c r="AB123" s="128">
        <f t="shared" si="138"/>
        <v>2939028784</v>
      </c>
      <c r="AC123" s="122">
        <f t="shared" si="138"/>
        <v>517955564</v>
      </c>
      <c r="AD123" s="129">
        <f t="shared" si="138"/>
        <v>3456984348</v>
      </c>
      <c r="AE123" s="128">
        <f t="shared" si="138"/>
        <v>1902876446</v>
      </c>
      <c r="AF123" s="122">
        <f t="shared" si="138"/>
        <v>351084676</v>
      </c>
      <c r="AG123" s="129">
        <f t="shared" si="138"/>
        <v>2253961122</v>
      </c>
      <c r="AH123" s="128">
        <f t="shared" si="138"/>
        <v>696656097</v>
      </c>
      <c r="AI123" s="122">
        <f t="shared" si="138"/>
        <v>2575427976</v>
      </c>
      <c r="AJ123" s="130">
        <f t="shared" si="138"/>
        <v>3778451202</v>
      </c>
      <c r="AK123" s="9"/>
      <c r="AL123" s="128">
        <f>SUM(AL124:AL139)</f>
        <v>-497401332</v>
      </c>
      <c r="AM123" s="130">
        <f>SUM(AM124:AM139)</f>
        <v>272000000</v>
      </c>
      <c r="AN123" s="9"/>
      <c r="AO123" s="294"/>
      <c r="AP123" s="294"/>
      <c r="AQ123" s="294"/>
      <c r="AR123" s="294"/>
      <c r="AS123" s="294"/>
      <c r="AT123" s="294"/>
      <c r="AU123" s="294"/>
      <c r="AV123" s="294"/>
      <c r="AW123" s="294"/>
      <c r="AX123" s="294"/>
      <c r="AY123" s="294"/>
      <c r="AZ123" s="294"/>
    </row>
    <row r="124" spans="1:52" s="382" customFormat="1" ht="24.95" customHeight="1" thickBot="1">
      <c r="A124" s="746">
        <f>+IF(MAYO!A124=0,"",MAYO!A124)</f>
        <v>2800</v>
      </c>
      <c r="B124" s="655" t="str">
        <f>+IF(MAYO!B124=0,"",MAYO!B124)</f>
        <v/>
      </c>
      <c r="C124" s="769">
        <f>+ENERO!C124</f>
        <v>0</v>
      </c>
      <c r="D124" s="462">
        <f>MAYO!D124+JUNIO!P124</f>
        <v>0</v>
      </c>
      <c r="E124" s="462">
        <f>MAYO!E124+JUNIO!Q124</f>
        <v>0</v>
      </c>
      <c r="F124" s="474">
        <f t="shared" si="126"/>
        <v>0</v>
      </c>
      <c r="G124" s="387">
        <f>MAYO!I124</f>
        <v>0</v>
      </c>
      <c r="H124" s="388">
        <v>0</v>
      </c>
      <c r="I124" s="475">
        <f t="shared" si="127"/>
        <v>0</v>
      </c>
      <c r="J124" s="387">
        <f>MAYO!L124</f>
        <v>0</v>
      </c>
      <c r="K124" s="388">
        <v>0</v>
      </c>
      <c r="L124" s="386">
        <f t="shared" si="128"/>
        <v>0</v>
      </c>
      <c r="M124" s="476">
        <f t="shared" si="129"/>
        <v>0</v>
      </c>
      <c r="N124" s="386">
        <f t="shared" si="130"/>
        <v>0</v>
      </c>
      <c r="P124" s="384">
        <v>0</v>
      </c>
      <c r="Q124" s="389">
        <v>0</v>
      </c>
      <c r="R124" s="9"/>
      <c r="S124" s="705" t="str">
        <f>+IF(MAYO!S124=0,"",MAYO!S124)</f>
        <v>2010200-1</v>
      </c>
      <c r="T124" s="681" t="str">
        <f>+IF(MAYO!T124=0,"",MAYO!T124)</f>
        <v>Seguros</v>
      </c>
      <c r="U124" s="27">
        <f>+ENERO!U124</f>
        <v>350000000</v>
      </c>
      <c r="V124" s="15">
        <f>MAYO!V124+JUNIO!AL124</f>
        <v>21168059</v>
      </c>
      <c r="W124" s="15">
        <f>MAYO!W124+JUNIO!AM124</f>
        <v>0</v>
      </c>
      <c r="X124" s="18">
        <f t="shared" ref="X124:X139" si="139">SUM(U124:W124)</f>
        <v>371168059</v>
      </c>
      <c r="Y124" s="19">
        <f>MAYO!AA124</f>
        <v>371168059</v>
      </c>
      <c r="Z124" s="374">
        <v>0</v>
      </c>
      <c r="AA124" s="18">
        <f t="shared" ref="AA124:AA139" si="140">SUM(Y124:Z124)</f>
        <v>371168059</v>
      </c>
      <c r="AB124" s="19">
        <f>MAYO!AD124</f>
        <v>371133202</v>
      </c>
      <c r="AC124" s="374">
        <v>0</v>
      </c>
      <c r="AD124" s="18">
        <f t="shared" ref="AD124:AD139" si="141">SUM(AB124:AC124)</f>
        <v>371133202</v>
      </c>
      <c r="AE124" s="19">
        <f>MAYO!AG124</f>
        <v>368485217</v>
      </c>
      <c r="AF124" s="374">
        <v>0</v>
      </c>
      <c r="AG124" s="18">
        <f t="shared" ref="AG124:AG139" si="142">SUM(AE124:AF124)</f>
        <v>368485217</v>
      </c>
      <c r="AH124" s="19">
        <f t="shared" ref="AH124:AH139" si="143">X124-AA124</f>
        <v>0</v>
      </c>
      <c r="AI124" s="15">
        <f t="shared" ref="AI124:AI139" si="144">X124-AD124</f>
        <v>34857</v>
      </c>
      <c r="AJ124" s="16">
        <f t="shared" ref="AJ124:AJ139" si="145">X124-AG124</f>
        <v>2682842</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tr">
        <f>+IF(MAYO!S125=0,"",MAYO!S125)</f>
        <v>2010200-2</v>
      </c>
      <c r="T125" s="681" t="str">
        <f>+IF(MAYO!T125=0,"",MAYO!T125)</f>
        <v>Impresos y Publicaciones</v>
      </c>
      <c r="U125" s="27">
        <f>+ENERO!U125</f>
        <v>60000000</v>
      </c>
      <c r="V125" s="15">
        <f>MAYO!V125+JUNIO!AL125</f>
        <v>-5688</v>
      </c>
      <c r="W125" s="15">
        <f>MAYO!W125+JUNIO!AM125</f>
        <v>0</v>
      </c>
      <c r="X125" s="18">
        <f t="shared" si="139"/>
        <v>59994312</v>
      </c>
      <c r="Y125" s="19">
        <f>MAYO!AA125</f>
        <v>48655000</v>
      </c>
      <c r="Z125" s="374">
        <v>-3129994</v>
      </c>
      <c r="AA125" s="18">
        <f t="shared" si="140"/>
        <v>45525006</v>
      </c>
      <c r="AB125" s="19">
        <f>MAYO!AD125</f>
        <v>43300000</v>
      </c>
      <c r="AC125" s="374">
        <v>1785000</v>
      </c>
      <c r="AD125" s="18">
        <f t="shared" si="141"/>
        <v>45085000</v>
      </c>
      <c r="AE125" s="19">
        <f>MAYO!AG125</f>
        <v>26982728</v>
      </c>
      <c r="AF125" s="374">
        <v>0</v>
      </c>
      <c r="AG125" s="18">
        <f t="shared" si="142"/>
        <v>26982728</v>
      </c>
      <c r="AH125" s="19">
        <f t="shared" si="143"/>
        <v>14469306</v>
      </c>
      <c r="AI125" s="15">
        <f t="shared" si="144"/>
        <v>14909312</v>
      </c>
      <c r="AJ125" s="16">
        <f t="shared" si="145"/>
        <v>33011584</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5" t="s">
        <v>246</v>
      </c>
      <c r="B126" s="656"/>
      <c r="C126" s="477">
        <f t="shared" ref="C126:N126" si="146">C8-C128</f>
        <v>41169250887</v>
      </c>
      <c r="D126" s="477">
        <f t="shared" si="146"/>
        <v>0</v>
      </c>
      <c r="E126" s="477">
        <f t="shared" si="146"/>
        <v>1068749719</v>
      </c>
      <c r="F126" s="477">
        <f t="shared" si="146"/>
        <v>42238000606</v>
      </c>
      <c r="G126" s="477">
        <f t="shared" si="146"/>
        <v>19020200215</v>
      </c>
      <c r="H126" s="477">
        <f t="shared" si="146"/>
        <v>4431372730</v>
      </c>
      <c r="I126" s="477">
        <f t="shared" si="146"/>
        <v>23451572945</v>
      </c>
      <c r="J126" s="477">
        <f t="shared" si="146"/>
        <v>3045198059</v>
      </c>
      <c r="K126" s="477">
        <f t="shared" si="146"/>
        <v>841839854</v>
      </c>
      <c r="L126" s="477">
        <f t="shared" si="146"/>
        <v>3887037913</v>
      </c>
      <c r="M126" s="477">
        <f t="shared" si="146"/>
        <v>27839354855</v>
      </c>
      <c r="N126" s="613">
        <f t="shared" si="146"/>
        <v>38350962693</v>
      </c>
      <c r="P126" s="478">
        <f>P8-P128</f>
        <v>0</v>
      </c>
      <c r="Q126" s="479">
        <f>Q8-Q128</f>
        <v>439985732</v>
      </c>
      <c r="R126" s="9"/>
      <c r="S126" s="705" t="str">
        <f>+IF(MAYO!S126=0,"",MAYO!S126)</f>
        <v>2010200-3</v>
      </c>
      <c r="T126" s="681" t="str">
        <f>+IF(MAYO!T126=0,"",MAYO!T126)</f>
        <v xml:space="preserve">Servicios Públicos </v>
      </c>
      <c r="U126" s="27">
        <f>+ENERO!U126</f>
        <v>904500000</v>
      </c>
      <c r="V126" s="15">
        <f>MAYO!V126+JUNIO!AL126</f>
        <v>0</v>
      </c>
      <c r="W126" s="15">
        <f>MAYO!W126+JUNIO!AM126</f>
        <v>0</v>
      </c>
      <c r="X126" s="18">
        <f t="shared" si="139"/>
        <v>904500000</v>
      </c>
      <c r="Y126" s="19">
        <f>MAYO!AA126</f>
        <v>479836069</v>
      </c>
      <c r="Z126" s="374">
        <v>83285818</v>
      </c>
      <c r="AA126" s="18">
        <f t="shared" si="140"/>
        <v>563121887</v>
      </c>
      <c r="AB126" s="19">
        <f>MAYO!AD126</f>
        <v>479767784</v>
      </c>
      <c r="AC126" s="374">
        <v>83285818</v>
      </c>
      <c r="AD126" s="18">
        <f t="shared" si="141"/>
        <v>563053602</v>
      </c>
      <c r="AE126" s="19">
        <f>MAYO!AG126</f>
        <v>429532658</v>
      </c>
      <c r="AF126" s="374">
        <v>94796360</v>
      </c>
      <c r="AG126" s="18">
        <f t="shared" si="142"/>
        <v>524329018</v>
      </c>
      <c r="AH126" s="19">
        <f t="shared" si="143"/>
        <v>341378113</v>
      </c>
      <c r="AI126" s="15">
        <f t="shared" si="144"/>
        <v>341446398</v>
      </c>
      <c r="AJ126" s="16">
        <f t="shared" si="145"/>
        <v>380170982</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68"/>
      <c r="B127" s="653"/>
      <c r="C127" s="480"/>
      <c r="D127" s="480"/>
      <c r="E127" s="480"/>
      <c r="F127" s="480"/>
      <c r="G127" s="480"/>
      <c r="H127" s="480"/>
      <c r="I127" s="480"/>
      <c r="J127" s="480"/>
      <c r="K127" s="480"/>
      <c r="L127" s="480"/>
      <c r="M127" s="480"/>
      <c r="N127" s="481"/>
      <c r="P127" s="482"/>
      <c r="Q127" s="481"/>
      <c r="R127" s="9"/>
      <c r="S127" s="705" t="str">
        <f>+IF(MAYO!S127=0,"",MAYO!S127)</f>
        <v>2010200-4</v>
      </c>
      <c r="T127" s="681" t="str">
        <f>+IF(MAYO!T127=0,"",MAYO!T127)</f>
        <v>Comunicaciones y Transportes</v>
      </c>
      <c r="U127" s="27">
        <f>+ENERO!U127</f>
        <v>35257108</v>
      </c>
      <c r="V127" s="15">
        <f>MAYO!V127+JUNIO!AL127</f>
        <v>0</v>
      </c>
      <c r="W127" s="15">
        <f>MAYO!W127+JUNIO!AM127</f>
        <v>0</v>
      </c>
      <c r="X127" s="18">
        <f t="shared" si="139"/>
        <v>35257108</v>
      </c>
      <c r="Y127" s="19">
        <f>MAYO!AA127</f>
        <v>26967071</v>
      </c>
      <c r="Z127" s="374">
        <v>2800040</v>
      </c>
      <c r="AA127" s="18">
        <f t="shared" si="140"/>
        <v>29767111</v>
      </c>
      <c r="AB127" s="19">
        <f>MAYO!AD127</f>
        <v>9694345</v>
      </c>
      <c r="AC127" s="374">
        <v>11436404</v>
      </c>
      <c r="AD127" s="18">
        <f t="shared" si="141"/>
        <v>21130749</v>
      </c>
      <c r="AE127" s="19">
        <f>MAYO!AG127</f>
        <v>7785253</v>
      </c>
      <c r="AF127" s="374">
        <v>1845540</v>
      </c>
      <c r="AG127" s="18">
        <f t="shared" si="142"/>
        <v>9630793</v>
      </c>
      <c r="AH127" s="19">
        <f t="shared" si="143"/>
        <v>5489997</v>
      </c>
      <c r="AI127" s="15">
        <f t="shared" si="144"/>
        <v>14126359</v>
      </c>
      <c r="AJ127" s="16">
        <f t="shared" si="145"/>
        <v>25626315</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6" t="s">
        <v>249</v>
      </c>
      <c r="B128" s="657"/>
      <c r="C128" s="483">
        <f>SUMIF($B8:$B$122,$B$24,C8:C122)+C122</f>
        <v>9052927194</v>
      </c>
      <c r="D128" s="483">
        <f>SUMIF($B8:$B$122,$B$24,D8:D122)+D122</f>
        <v>0</v>
      </c>
      <c r="E128" s="483">
        <f>SUMIF($B8:$B$122,$B$24,E8:E122)+E122</f>
        <v>11883801151</v>
      </c>
      <c r="F128" s="483">
        <f>SUMIF($B8:$B$122,$B$24,F8:F122)+F122</f>
        <v>20936728345</v>
      </c>
      <c r="G128" s="483">
        <f>SUMIF($B8:$B$122,$B$24,G8:G122)+G122</f>
        <v>13493925657</v>
      </c>
      <c r="H128" s="483">
        <f>SUMIF($B8:$B$122,$B$24,H8:H122)+H122</f>
        <v>2075249930</v>
      </c>
      <c r="I128" s="483">
        <f>SUMIF($B8:$B$122,$B$24,I8:I122)+I122</f>
        <v>15569175587</v>
      </c>
      <c r="J128" s="483">
        <f>SUMIF($B8:$B$122,$B$24,J8:J122)+J1212</f>
        <v>13493925657</v>
      </c>
      <c r="K128" s="483">
        <f>SUMIF($B8:$B$122,$B$24,K8:K122)+K122</f>
        <v>2075249930</v>
      </c>
      <c r="L128" s="483">
        <f>SUMIF($B8:$B$122,$B$24,L8:L122)+L122</f>
        <v>15569175587</v>
      </c>
      <c r="M128" s="483">
        <f>SUMIF($B8:$B$122,$B$24,M8:M122)+M12</f>
        <v>-3685374436</v>
      </c>
      <c r="N128" s="614">
        <f>SUMIF($B8:$B$122,$B$24,N8:N122)+N122</f>
        <v>5367552758</v>
      </c>
      <c r="O128" s="461"/>
      <c r="P128" s="483">
        <f>SUMIF($B8:$B$122,$B$24,P8:P122)+P122</f>
        <v>0</v>
      </c>
      <c r="Q128" s="484">
        <f>SUMIF($B8:$B$122,$B$24,Q8:Q122)+Q122</f>
        <v>4299252537</v>
      </c>
      <c r="R128" s="9"/>
      <c r="S128" s="705" t="str">
        <f>+IF(MAYO!S128=0,"",MAYO!S128)</f>
        <v>2010200-5</v>
      </c>
      <c r="T128" s="681" t="str">
        <f>+IF(MAYO!T128=0,"",MAYO!T128)</f>
        <v>Viáticos y Gastos de Viaje</v>
      </c>
      <c r="U128" s="27">
        <f>+ENERO!U128</f>
        <v>12609000</v>
      </c>
      <c r="V128" s="15">
        <f>MAYO!V128+JUNIO!AL128</f>
        <v>0</v>
      </c>
      <c r="W128" s="15">
        <f>MAYO!W128+JUNIO!AM128</f>
        <v>0</v>
      </c>
      <c r="X128" s="18">
        <f t="shared" si="139"/>
        <v>12609000</v>
      </c>
      <c r="Y128" s="19">
        <f>MAYO!AA128</f>
        <v>1704874</v>
      </c>
      <c r="Z128" s="374">
        <v>1014137</v>
      </c>
      <c r="AA128" s="18">
        <f t="shared" si="140"/>
        <v>2719011</v>
      </c>
      <c r="AB128" s="19">
        <f>MAYO!AD128</f>
        <v>1704874</v>
      </c>
      <c r="AC128" s="374">
        <v>1014137</v>
      </c>
      <c r="AD128" s="18">
        <f t="shared" si="141"/>
        <v>2719011</v>
      </c>
      <c r="AE128" s="19">
        <f>MAYO!AG128</f>
        <v>1704874</v>
      </c>
      <c r="AF128" s="374">
        <v>450526</v>
      </c>
      <c r="AG128" s="18">
        <f t="shared" si="142"/>
        <v>2155400</v>
      </c>
      <c r="AH128" s="19">
        <f t="shared" si="143"/>
        <v>9889989</v>
      </c>
      <c r="AI128" s="15">
        <f t="shared" si="144"/>
        <v>9889989</v>
      </c>
      <c r="AJ128" s="16">
        <f t="shared" si="145"/>
        <v>10453600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68"/>
      <c r="B129" s="653"/>
      <c r="C129" s="480"/>
      <c r="D129" s="480"/>
      <c r="E129" s="480"/>
      <c r="F129" s="480"/>
      <c r="G129" s="480"/>
      <c r="H129" s="480"/>
      <c r="I129" s="480"/>
      <c r="J129" s="480"/>
      <c r="K129" s="480"/>
      <c r="L129" s="480"/>
      <c r="M129" s="480"/>
      <c r="N129" s="481"/>
      <c r="P129" s="482"/>
      <c r="Q129" s="481"/>
      <c r="R129" s="9"/>
      <c r="S129" s="705" t="str">
        <f>+IF(MAYO!S129=0,"",MAYO!S129)</f>
        <v>2010200-6</v>
      </c>
      <c r="T129" s="681" t="str">
        <f>+IF(MAYO!T129=0,"",MAYO!T129)</f>
        <v>Arrendamientos</v>
      </c>
      <c r="U129" s="27">
        <f>+ENERO!U129</f>
        <v>1100000000</v>
      </c>
      <c r="V129" s="15">
        <f>MAYO!V129+JUNIO!AL129</f>
        <v>1164817483</v>
      </c>
      <c r="W129" s="15">
        <f>MAYO!W129+JUNIO!AM129</f>
        <v>60000000</v>
      </c>
      <c r="X129" s="18">
        <f t="shared" si="139"/>
        <v>2324817483</v>
      </c>
      <c r="Y129" s="19">
        <f>MAYO!AA129</f>
        <v>2269107100</v>
      </c>
      <c r="Z129" s="374">
        <v>48000000</v>
      </c>
      <c r="AA129" s="18">
        <f t="shared" si="140"/>
        <v>2317107100</v>
      </c>
      <c r="AB129" s="19">
        <f>MAYO!AD129</f>
        <v>1015722991</v>
      </c>
      <c r="AC129" s="374">
        <v>209780782</v>
      </c>
      <c r="AD129" s="18">
        <f t="shared" si="141"/>
        <v>1225503773</v>
      </c>
      <c r="AE129" s="19">
        <f>MAYO!AG129</f>
        <v>629593207</v>
      </c>
      <c r="AF129" s="374">
        <v>75107921</v>
      </c>
      <c r="AG129" s="18">
        <f t="shared" si="142"/>
        <v>704701128</v>
      </c>
      <c r="AH129" s="19">
        <f t="shared" si="143"/>
        <v>7710383</v>
      </c>
      <c r="AI129" s="15">
        <f t="shared" si="144"/>
        <v>1099313710</v>
      </c>
      <c r="AJ129" s="16">
        <f t="shared" si="145"/>
        <v>1620116355</v>
      </c>
      <c r="AK129" s="9"/>
      <c r="AL129" s="372">
        <v>0</v>
      </c>
      <c r="AM129" s="375">
        <v>50000000</v>
      </c>
      <c r="AN129" s="9"/>
      <c r="AO129" s="294"/>
      <c r="AP129" s="294"/>
      <c r="AQ129" s="294"/>
      <c r="AR129" s="294"/>
      <c r="AS129" s="294"/>
      <c r="AT129" s="294"/>
      <c r="AU129" s="294"/>
      <c r="AV129" s="294"/>
      <c r="AW129" s="294"/>
      <c r="AX129" s="294"/>
      <c r="AY129" s="294"/>
      <c r="AZ129" s="294"/>
    </row>
    <row r="130" spans="1:52" s="382" customFormat="1" ht="24.95" customHeight="1" thickBot="1">
      <c r="A130" s="767" t="s">
        <v>252</v>
      </c>
      <c r="B130" s="658"/>
      <c r="C130" s="485">
        <f t="shared" ref="C130:N130" si="147">C128+C126</f>
        <v>50222178081</v>
      </c>
      <c r="D130" s="486">
        <f t="shared" si="147"/>
        <v>0</v>
      </c>
      <c r="E130" s="486">
        <f t="shared" si="147"/>
        <v>12952550870</v>
      </c>
      <c r="F130" s="487">
        <f t="shared" si="147"/>
        <v>63174728951</v>
      </c>
      <c r="G130" s="485">
        <f t="shared" si="147"/>
        <v>32514125872</v>
      </c>
      <c r="H130" s="486">
        <f t="shared" si="147"/>
        <v>6506622660</v>
      </c>
      <c r="I130" s="487">
        <f t="shared" si="147"/>
        <v>39020748532</v>
      </c>
      <c r="J130" s="485">
        <f t="shared" si="147"/>
        <v>16539123716</v>
      </c>
      <c r="K130" s="486">
        <f t="shared" si="147"/>
        <v>2917089784</v>
      </c>
      <c r="L130" s="487">
        <f t="shared" si="147"/>
        <v>19456213500</v>
      </c>
      <c r="M130" s="485">
        <f t="shared" si="147"/>
        <v>24153980419</v>
      </c>
      <c r="N130" s="487">
        <f t="shared" si="147"/>
        <v>43718515451</v>
      </c>
      <c r="P130" s="478">
        <f>P128+P126</f>
        <v>0</v>
      </c>
      <c r="Q130" s="479">
        <f>Q128+Q126</f>
        <v>4739238269</v>
      </c>
      <c r="R130" s="9"/>
      <c r="S130" s="705" t="str">
        <f>+IF(MAYO!S130=0,"",MAYO!S130)</f>
        <v>2010200-7</v>
      </c>
      <c r="T130" s="681" t="str">
        <f>+IF(MAYO!T130=0,"",MAYO!T130)</f>
        <v>Vigilancia y Aseo</v>
      </c>
      <c r="U130" s="27">
        <f>+ENERO!U130</f>
        <v>2121073970</v>
      </c>
      <c r="V130" s="15">
        <f>MAYO!V130+JUNIO!AL130</f>
        <v>-513426849</v>
      </c>
      <c r="W130" s="15">
        <f>MAYO!W130+JUNIO!AM130</f>
        <v>220000000</v>
      </c>
      <c r="X130" s="18">
        <f t="shared" si="139"/>
        <v>1827647121</v>
      </c>
      <c r="Y130" s="19">
        <f>MAYO!AA130</f>
        <v>1644784174</v>
      </c>
      <c r="Z130" s="374">
        <v>-11997504</v>
      </c>
      <c r="AA130" s="18">
        <f t="shared" si="140"/>
        <v>1632786670</v>
      </c>
      <c r="AB130" s="19">
        <f>MAYO!AD130</f>
        <v>700731158</v>
      </c>
      <c r="AC130" s="374">
        <v>155110793</v>
      </c>
      <c r="AD130" s="18">
        <f t="shared" si="141"/>
        <v>855841951</v>
      </c>
      <c r="AE130" s="19">
        <f>MAYO!AG130</f>
        <v>130014249</v>
      </c>
      <c r="AF130" s="374">
        <v>120049907</v>
      </c>
      <c r="AG130" s="18">
        <f t="shared" si="142"/>
        <v>250064156</v>
      </c>
      <c r="AH130" s="19">
        <f t="shared" si="143"/>
        <v>194860451</v>
      </c>
      <c r="AI130" s="15">
        <f t="shared" si="144"/>
        <v>971805170</v>
      </c>
      <c r="AJ130" s="16">
        <f t="shared" si="145"/>
        <v>1577582965</v>
      </c>
      <c r="AK130" s="9"/>
      <c r="AL130" s="372">
        <v>-497401332</v>
      </c>
      <c r="AM130" s="375">
        <v>220000000</v>
      </c>
      <c r="AN130" s="9"/>
      <c r="AO130" s="294"/>
      <c r="AP130" s="294"/>
      <c r="AQ130" s="294"/>
      <c r="AR130" s="294"/>
      <c r="AS130" s="294"/>
      <c r="AT130" s="294"/>
      <c r="AU130" s="294"/>
      <c r="AV130" s="294"/>
      <c r="AW130" s="294"/>
      <c r="AX130" s="294"/>
      <c r="AY130" s="294"/>
      <c r="AZ130" s="294"/>
    </row>
    <row r="131" spans="1:52" s="382" customFormat="1" ht="24.95" customHeight="1">
      <c r="A131" s="752"/>
      <c r="B131" s="660"/>
      <c r="N131" s="9"/>
      <c r="R131" s="9"/>
      <c r="S131" s="705" t="str">
        <f>+IF(MAYO!S131=0,"",MAYO!S131)</f>
        <v>2010200-8</v>
      </c>
      <c r="T131" s="681" t="str">
        <f>+IF(MAYO!T131=0,"",MAYO!T131)</f>
        <v>Bienestar Social</v>
      </c>
      <c r="U131" s="27">
        <f>+ENERO!U131</f>
        <v>45388534</v>
      </c>
      <c r="V131" s="15">
        <f>MAYO!V131+JUNIO!AL131</f>
        <v>0</v>
      </c>
      <c r="W131" s="15">
        <f>MAYO!W131+JUNIO!AM131</f>
        <v>26156707</v>
      </c>
      <c r="X131" s="18">
        <f t="shared" si="139"/>
        <v>71545241</v>
      </c>
      <c r="Y131" s="19">
        <f>MAYO!AA131</f>
        <v>15376415</v>
      </c>
      <c r="Z131" s="374">
        <v>3551071</v>
      </c>
      <c r="AA131" s="18">
        <f t="shared" si="140"/>
        <v>18927486</v>
      </c>
      <c r="AB131" s="19">
        <f>MAYO!AD131</f>
        <v>14332092</v>
      </c>
      <c r="AC131" s="374">
        <v>3551071</v>
      </c>
      <c r="AD131" s="18">
        <f t="shared" si="141"/>
        <v>17883163</v>
      </c>
      <c r="AE131" s="19">
        <f>MAYO!AG131</f>
        <v>6606800</v>
      </c>
      <c r="AF131" s="374">
        <v>6842863</v>
      </c>
      <c r="AG131" s="18">
        <f t="shared" si="142"/>
        <v>13449663</v>
      </c>
      <c r="AH131" s="19">
        <f t="shared" si="143"/>
        <v>52617755</v>
      </c>
      <c r="AI131" s="15">
        <f t="shared" si="144"/>
        <v>53662078</v>
      </c>
      <c r="AJ131" s="16">
        <f t="shared" si="145"/>
        <v>58095578</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2"/>
      <c r="B132" s="660"/>
      <c r="N132" s="9"/>
      <c r="R132" s="9"/>
      <c r="S132" s="705" t="str">
        <f>+IF(MAYO!S132=0,"",MAYO!S132)</f>
        <v>2010200-9</v>
      </c>
      <c r="T132" s="681" t="str">
        <f>+IF(MAYO!T132=0,"",MAYO!T132)</f>
        <v>Capacitación, estimulos, incentivos, programa de calidad</v>
      </c>
      <c r="U132" s="27">
        <f>+ENERO!U132</f>
        <v>15000000</v>
      </c>
      <c r="V132" s="15">
        <f>MAYO!V132+JUNIO!AL132</f>
        <v>0</v>
      </c>
      <c r="W132" s="15">
        <f>MAYO!W132+JUNIO!AM132</f>
        <v>0</v>
      </c>
      <c r="X132" s="18">
        <f t="shared" si="139"/>
        <v>15000000</v>
      </c>
      <c r="Y132" s="19">
        <f>MAYO!AA132</f>
        <v>0</v>
      </c>
      <c r="Z132" s="374">
        <v>0</v>
      </c>
      <c r="AA132" s="18">
        <f t="shared" si="140"/>
        <v>0</v>
      </c>
      <c r="AB132" s="19">
        <f>MAYO!AD132</f>
        <v>0</v>
      </c>
      <c r="AC132" s="374">
        <v>0</v>
      </c>
      <c r="AD132" s="18">
        <f t="shared" si="141"/>
        <v>0</v>
      </c>
      <c r="AE132" s="19">
        <f>MAYO!AG132</f>
        <v>0</v>
      </c>
      <c r="AF132" s="374">
        <v>0</v>
      </c>
      <c r="AG132" s="18">
        <f t="shared" si="142"/>
        <v>0</v>
      </c>
      <c r="AH132" s="19">
        <f t="shared" si="143"/>
        <v>15000000</v>
      </c>
      <c r="AI132" s="15">
        <f t="shared" si="144"/>
        <v>15000000</v>
      </c>
      <c r="AJ132" s="16">
        <f t="shared" si="145"/>
        <v>15000000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2"/>
      <c r="B133" s="660"/>
      <c r="N133" s="9"/>
      <c r="R133" s="9"/>
      <c r="S133" s="705" t="str">
        <f>+IF(MAYO!S133=0,"",MAYO!S133)</f>
        <v>2010200-10</v>
      </c>
      <c r="T133" s="681" t="str">
        <f>+IF(MAYO!T133=0,"",MAYO!T133)</f>
        <v>Pagos otras IPS</v>
      </c>
      <c r="U133" s="27">
        <f>+ENERO!U133</f>
        <v>5000000</v>
      </c>
      <c r="V133" s="15">
        <f>MAYO!V133+JUNIO!AL133</f>
        <v>0</v>
      </c>
      <c r="W133" s="15">
        <f>MAYO!W133+JUNIO!AM133</f>
        <v>0</v>
      </c>
      <c r="X133" s="18">
        <f t="shared" si="139"/>
        <v>5000000</v>
      </c>
      <c r="Y133" s="19">
        <f>MAYO!AA133</f>
        <v>0</v>
      </c>
      <c r="Z133" s="374">
        <v>0</v>
      </c>
      <c r="AA133" s="18">
        <f t="shared" si="140"/>
        <v>0</v>
      </c>
      <c r="AB133" s="19">
        <f>MAYO!AD133</f>
        <v>0</v>
      </c>
      <c r="AC133" s="374">
        <v>0</v>
      </c>
      <c r="AD133" s="18">
        <f t="shared" si="141"/>
        <v>0</v>
      </c>
      <c r="AE133" s="19">
        <f>MAYO!AG133</f>
        <v>0</v>
      </c>
      <c r="AF133" s="374">
        <v>0</v>
      </c>
      <c r="AG133" s="18">
        <f t="shared" si="142"/>
        <v>0</v>
      </c>
      <c r="AH133" s="19">
        <f t="shared" si="143"/>
        <v>5000000</v>
      </c>
      <c r="AI133" s="15">
        <f t="shared" si="144"/>
        <v>5000000</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2"/>
      <c r="B134" s="660"/>
      <c r="N134" s="9"/>
      <c r="R134" s="9"/>
      <c r="S134" s="705" t="str">
        <f>+IF(MAYO!S134=0,"",MAYO!S134)</f>
        <v>2010200-11</v>
      </c>
      <c r="T134" s="681" t="str">
        <f>+IF(MAYO!T134=0,"",MAYO!T134)</f>
        <v>Gastos financieros</v>
      </c>
      <c r="U134" s="27">
        <f>+ENERO!U134</f>
        <v>10000000</v>
      </c>
      <c r="V134" s="15">
        <f>MAYO!V134+JUNIO!AL134</f>
        <v>12000000</v>
      </c>
      <c r="W134" s="15">
        <f>MAYO!W134+JUNIO!AM134</f>
        <v>2000000</v>
      </c>
      <c r="X134" s="18">
        <f t="shared" si="139"/>
        <v>24000000</v>
      </c>
      <c r="Y134" s="19">
        <f>MAYO!AA134</f>
        <v>19797769</v>
      </c>
      <c r="Z134" s="374">
        <v>3835958</v>
      </c>
      <c r="AA134" s="18">
        <f t="shared" si="140"/>
        <v>23633727</v>
      </c>
      <c r="AB134" s="19">
        <f>MAYO!AD134</f>
        <v>19797769</v>
      </c>
      <c r="AC134" s="374">
        <v>3835958</v>
      </c>
      <c r="AD134" s="18">
        <f t="shared" si="141"/>
        <v>23633727</v>
      </c>
      <c r="AE134" s="19">
        <f>MAYO!AG134</f>
        <v>19326891</v>
      </c>
      <c r="AF134" s="374">
        <v>3835958</v>
      </c>
      <c r="AG134" s="18">
        <f t="shared" si="142"/>
        <v>23162849</v>
      </c>
      <c r="AH134" s="19">
        <f t="shared" si="143"/>
        <v>366273</v>
      </c>
      <c r="AI134" s="15">
        <f t="shared" si="144"/>
        <v>366273</v>
      </c>
      <c r="AJ134" s="16">
        <f t="shared" si="145"/>
        <v>837151</v>
      </c>
      <c r="AK134" s="9"/>
      <c r="AL134" s="372">
        <v>0</v>
      </c>
      <c r="AM134" s="375">
        <v>2000000</v>
      </c>
      <c r="AN134" s="9"/>
      <c r="AO134" s="294"/>
      <c r="AP134" s="294"/>
      <c r="AQ134" s="294"/>
      <c r="AR134" s="294"/>
      <c r="AS134" s="294"/>
      <c r="AT134" s="294"/>
      <c r="AU134" s="294"/>
      <c r="AV134" s="294"/>
      <c r="AW134" s="294"/>
      <c r="AX134" s="294"/>
      <c r="AY134" s="294"/>
      <c r="AZ134" s="294"/>
    </row>
    <row r="135" spans="1:52" s="382" customFormat="1" ht="24.95" customHeight="1">
      <c r="A135" s="752"/>
      <c r="B135" s="660"/>
      <c r="N135" s="9"/>
      <c r="R135" s="9"/>
      <c r="S135" s="705" t="str">
        <f>+IF(MAYO!S135=0,"",MAYO!S135)</f>
        <v>2010200-12</v>
      </c>
      <c r="T135" s="681" t="str">
        <f>+IF(MAYO!T135=0,"",MAYO!T135)</f>
        <v/>
      </c>
      <c r="U135" s="27">
        <f>+ENERO!U135</f>
        <v>0</v>
      </c>
      <c r="V135" s="15">
        <f>MAYO!V135+JUNIO!AL135</f>
        <v>0</v>
      </c>
      <c r="W135" s="15">
        <f>MAYO!W135+JUNIO!AM135</f>
        <v>0</v>
      </c>
      <c r="X135" s="18">
        <f t="shared" si="139"/>
        <v>0</v>
      </c>
      <c r="Y135" s="19">
        <f>MAYO!AA135</f>
        <v>0</v>
      </c>
      <c r="Z135" s="374">
        <v>0</v>
      </c>
      <c r="AA135" s="18">
        <f t="shared" si="140"/>
        <v>0</v>
      </c>
      <c r="AB135" s="19">
        <f>MAYO!AD135</f>
        <v>0</v>
      </c>
      <c r="AC135" s="374">
        <v>0</v>
      </c>
      <c r="AD135" s="18">
        <f t="shared" si="141"/>
        <v>0</v>
      </c>
      <c r="AE135" s="19">
        <f>MAYO!AG135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2"/>
      <c r="B136" s="660"/>
      <c r="N136" s="9"/>
      <c r="R136" s="9"/>
      <c r="S136" s="705" t="str">
        <f>+IF(MAYO!S136=0,"",MAYO!S136)</f>
        <v>2010200-13</v>
      </c>
      <c r="T136" s="681" t="str">
        <f>+IF(MAYO!T136=0,"",MAYO!T136)</f>
        <v/>
      </c>
      <c r="U136" s="27">
        <f>+ENERO!U136</f>
        <v>0</v>
      </c>
      <c r="V136" s="15">
        <f>MAYO!V136+JUNIO!AL136</f>
        <v>0</v>
      </c>
      <c r="W136" s="15">
        <f>MAYO!W136+JUNIO!AM136</f>
        <v>0</v>
      </c>
      <c r="X136" s="18">
        <f t="shared" si="139"/>
        <v>0</v>
      </c>
      <c r="Y136" s="19">
        <f>MAYO!AA136</f>
        <v>0</v>
      </c>
      <c r="Z136" s="374">
        <v>0</v>
      </c>
      <c r="AA136" s="18">
        <f t="shared" si="140"/>
        <v>0</v>
      </c>
      <c r="AB136" s="19">
        <f>MAYO!AD136</f>
        <v>0</v>
      </c>
      <c r="AC136" s="374">
        <v>0</v>
      </c>
      <c r="AD136" s="18">
        <f t="shared" si="141"/>
        <v>0</v>
      </c>
      <c r="AE136" s="19">
        <f>MAYO!AG136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2"/>
      <c r="B137" s="660"/>
      <c r="N137" s="9"/>
      <c r="R137" s="9"/>
      <c r="S137" s="705" t="str">
        <f>+IF(MAYO!S137=0,"",MAYO!S137)</f>
        <v>2010020-14</v>
      </c>
      <c r="T137" s="681" t="str">
        <f>+IF(MAYO!T137=0,"",MAYO!T137)</f>
        <v/>
      </c>
      <c r="U137" s="27">
        <f>+ENERO!U137</f>
        <v>0</v>
      </c>
      <c r="V137" s="15">
        <f>MAYO!V137+JUNIO!AL137</f>
        <v>0</v>
      </c>
      <c r="W137" s="15">
        <f>MAYO!W137+JUNIO!AM137</f>
        <v>0</v>
      </c>
      <c r="X137" s="18">
        <f t="shared" si="139"/>
        <v>0</v>
      </c>
      <c r="Y137" s="19">
        <f>MAYO!AA137</f>
        <v>0</v>
      </c>
      <c r="Z137" s="374">
        <v>0</v>
      </c>
      <c r="AA137" s="18">
        <f t="shared" si="140"/>
        <v>0</v>
      </c>
      <c r="AB137" s="19">
        <f>MAYO!AD137</f>
        <v>0</v>
      </c>
      <c r="AC137" s="374">
        <v>0</v>
      </c>
      <c r="AD137" s="18">
        <f t="shared" si="141"/>
        <v>0</v>
      </c>
      <c r="AE137" s="19">
        <f>MAYO!AG137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2"/>
      <c r="B138" s="660"/>
      <c r="N138" s="9"/>
      <c r="R138" s="9"/>
      <c r="S138" s="705" t="str">
        <f>+IF(MAYO!S138=0,"",MAYO!S138)</f>
        <v>2010200-15</v>
      </c>
      <c r="T138" s="681" t="str">
        <f>+IF(MAYO!T138=0,"",MAYO!T138)</f>
        <v/>
      </c>
      <c r="U138" s="27">
        <f>+ENERO!U138</f>
        <v>0</v>
      </c>
      <c r="V138" s="15">
        <f>MAYO!V138+JUNIO!AL138</f>
        <v>0</v>
      </c>
      <c r="W138" s="15">
        <f>MAYO!W138+JUNIO!AM138</f>
        <v>0</v>
      </c>
      <c r="X138" s="18">
        <f t="shared" si="139"/>
        <v>0</v>
      </c>
      <c r="Y138" s="19">
        <f>MAYO!AA138</f>
        <v>0</v>
      </c>
      <c r="Z138" s="374">
        <v>0</v>
      </c>
      <c r="AA138" s="18">
        <f t="shared" si="140"/>
        <v>0</v>
      </c>
      <c r="AB138" s="19">
        <f>MAYO!AD138</f>
        <v>0</v>
      </c>
      <c r="AC138" s="374">
        <v>0</v>
      </c>
      <c r="AD138" s="18">
        <f t="shared" si="141"/>
        <v>0</v>
      </c>
      <c r="AE138" s="19">
        <f>MAYO!AG138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2"/>
      <c r="B139" s="660"/>
      <c r="N139" s="9"/>
      <c r="R139" s="9"/>
      <c r="S139" s="705">
        <f>+IF(MAYO!S139=0,"",MAYO!S139)</f>
        <v>2010299</v>
      </c>
      <c r="T139" s="681" t="str">
        <f>+IF(MAYO!T139=0,"",MAYO!T139)</f>
        <v>Vigencias Anteriores</v>
      </c>
      <c r="U139" s="27">
        <f>+ENERO!U139</f>
        <v>0</v>
      </c>
      <c r="V139" s="15">
        <f>MAYO!V139+JUNIO!AL139</f>
        <v>-739126000</v>
      </c>
      <c r="W139" s="15">
        <f>MAYO!W139+JUNIO!AM139</f>
        <v>1120000000</v>
      </c>
      <c r="X139" s="18">
        <f t="shared" si="139"/>
        <v>380874000</v>
      </c>
      <c r="Y139" s="19">
        <f>MAYO!AA139</f>
        <v>282844569</v>
      </c>
      <c r="Z139" s="374">
        <v>48155601</v>
      </c>
      <c r="AA139" s="18">
        <f t="shared" si="140"/>
        <v>331000170</v>
      </c>
      <c r="AB139" s="19">
        <f>MAYO!AD139</f>
        <v>282844569</v>
      </c>
      <c r="AC139" s="374">
        <v>48155601</v>
      </c>
      <c r="AD139" s="18">
        <f t="shared" si="141"/>
        <v>331000170</v>
      </c>
      <c r="AE139" s="19">
        <f>MAYO!AG139</f>
        <v>282844569</v>
      </c>
      <c r="AF139" s="374">
        <v>48155601</v>
      </c>
      <c r="AG139" s="18">
        <f t="shared" si="142"/>
        <v>331000170</v>
      </c>
      <c r="AH139" s="19">
        <f t="shared" si="143"/>
        <v>49873830</v>
      </c>
      <c r="AI139" s="15">
        <f t="shared" si="144"/>
        <v>49873830</v>
      </c>
      <c r="AJ139" s="16">
        <f t="shared" si="145"/>
        <v>49873830</v>
      </c>
      <c r="AK139" s="9"/>
      <c r="AL139" s="372">
        <v>0</v>
      </c>
      <c r="AM139" s="375">
        <v>0</v>
      </c>
      <c r="AN139" s="9"/>
      <c r="AO139" s="294"/>
      <c r="AP139" s="294"/>
      <c r="AQ139" s="294"/>
    </row>
    <row r="140" spans="1:52" s="382" customFormat="1" ht="24.95" customHeight="1">
      <c r="A140" s="752"/>
      <c r="B140" s="660"/>
      <c r="N140" s="9"/>
      <c r="R140" s="9"/>
      <c r="S140" s="366" t="str">
        <f>+IF(MAYO!S140=0,"",MAYO!S140)</f>
        <v/>
      </c>
      <c r="T140" s="695"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2"/>
      <c r="B141" s="660"/>
      <c r="N141" s="9"/>
      <c r="R141" s="9"/>
      <c r="S141" s="704">
        <f>+IF(MAYO!S141=0,"",MAYO!S141)</f>
        <v>2010300</v>
      </c>
      <c r="T141" s="680" t="str">
        <f>+IF(MAYO!T141=0,"",MAYO!T141)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c r="A142" s="752"/>
      <c r="B142" s="660"/>
      <c r="N142" s="9"/>
      <c r="R142" s="9"/>
      <c r="S142" s="705" t="str">
        <f>+IF(MAYO!S142=0,"",MAYO!S142)</f>
        <v>2010300-1</v>
      </c>
      <c r="T142" s="681" t="str">
        <f>+IF(MAYO!T142=0,"",MAYO!T142)</f>
        <v>Impuestos (Predial, Vehiculos, Otros)</v>
      </c>
      <c r="U142" s="27">
        <f>+ENERO!U142</f>
        <v>0</v>
      </c>
      <c r="V142" s="15">
        <f>MAYO!V142+JUNIO!AL142</f>
        <v>0</v>
      </c>
      <c r="W142" s="15">
        <f>MAYO!W142+JUNIO!AM142</f>
        <v>0</v>
      </c>
      <c r="X142" s="18">
        <f>SUM(U142:W142)</f>
        <v>0</v>
      </c>
      <c r="Y142" s="19">
        <f>MAYO!AA142</f>
        <v>0</v>
      </c>
      <c r="Z142" s="374">
        <v>0</v>
      </c>
      <c r="AA142" s="18">
        <f>SUM(Y142:Z142)</f>
        <v>0</v>
      </c>
      <c r="AB142" s="19">
        <f>MAYO!AD142</f>
        <v>0</v>
      </c>
      <c r="AC142" s="374">
        <v>0</v>
      </c>
      <c r="AD142" s="18">
        <f>SUM(AB142:AC142)</f>
        <v>0</v>
      </c>
      <c r="AE142" s="19">
        <f>MAYO!AG142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2"/>
      <c r="B143" s="660"/>
      <c r="N143" s="9"/>
      <c r="R143" s="9"/>
      <c r="S143" s="705">
        <f>+IF(MAYO!S143=0,"",MAYO!S143)</f>
        <v>2010399</v>
      </c>
      <c r="T143" s="681" t="str">
        <f>+IF(MAYO!T143=0,"",MAYO!T143)</f>
        <v>Vigencias Anteriores</v>
      </c>
      <c r="U143" s="27">
        <f>+ENERO!U143</f>
        <v>0</v>
      </c>
      <c r="V143" s="15">
        <f>MAYO!V143+JUNIO!AL143</f>
        <v>0</v>
      </c>
      <c r="W143" s="15">
        <f>MAYO!W143+JUNIO!AM143</f>
        <v>0</v>
      </c>
      <c r="X143" s="18">
        <f>SUM(U143:W143)</f>
        <v>0</v>
      </c>
      <c r="Y143" s="19">
        <f>MAYO!AA143</f>
        <v>0</v>
      </c>
      <c r="Z143" s="374">
        <v>0</v>
      </c>
      <c r="AA143" s="18">
        <f>SUM(Y143:Z143)</f>
        <v>0</v>
      </c>
      <c r="AB143" s="19">
        <f>MAYO!AD143</f>
        <v>0</v>
      </c>
      <c r="AC143" s="374">
        <v>0</v>
      </c>
      <c r="AD143" s="18">
        <f>SUM(AB143:AC143)</f>
        <v>0</v>
      </c>
      <c r="AE143" s="19">
        <f>MAYO!AG143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2"/>
      <c r="B144" s="660"/>
      <c r="N144" s="9"/>
      <c r="R144" s="9"/>
      <c r="S144" s="366" t="str">
        <f>+IF(MAYO!S144=0,"",MAYO!S144)</f>
        <v/>
      </c>
      <c r="T144" s="695"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2"/>
      <c r="B145" s="660"/>
      <c r="N145" s="9"/>
      <c r="R145" s="9"/>
      <c r="S145" s="703">
        <f>+IF(MAYO!S145=0,"",MAYO!S145)</f>
        <v>2020010</v>
      </c>
      <c r="T145" s="679" t="str">
        <f>+IF(MAYO!T145=0,"",MAYO!T145)</f>
        <v>Gastos de Operación</v>
      </c>
      <c r="U145" s="132">
        <f t="shared" ref="U145:AJ145" si="149">U147+U155</f>
        <v>2659132662</v>
      </c>
      <c r="V145" s="122">
        <f t="shared" si="149"/>
        <v>-1008546247</v>
      </c>
      <c r="W145" s="122">
        <f t="shared" si="149"/>
        <v>1650000000</v>
      </c>
      <c r="X145" s="129">
        <f t="shared" si="149"/>
        <v>3300586415</v>
      </c>
      <c r="Y145" s="128">
        <f t="shared" si="149"/>
        <v>1671866535</v>
      </c>
      <c r="Z145" s="122">
        <f t="shared" si="149"/>
        <v>291207567</v>
      </c>
      <c r="AA145" s="129">
        <f t="shared" si="149"/>
        <v>1963074102</v>
      </c>
      <c r="AB145" s="128">
        <f t="shared" si="149"/>
        <v>1003044929</v>
      </c>
      <c r="AC145" s="122">
        <f t="shared" si="149"/>
        <v>307372777</v>
      </c>
      <c r="AD145" s="129">
        <f t="shared" si="149"/>
        <v>1310417706</v>
      </c>
      <c r="AE145" s="128">
        <f t="shared" si="149"/>
        <v>517614604</v>
      </c>
      <c r="AF145" s="122">
        <f t="shared" si="149"/>
        <v>171360369</v>
      </c>
      <c r="AG145" s="129">
        <f t="shared" si="149"/>
        <v>688974973</v>
      </c>
      <c r="AH145" s="128">
        <f t="shared" si="149"/>
        <v>1337512313</v>
      </c>
      <c r="AI145" s="122">
        <f t="shared" si="149"/>
        <v>1990168709</v>
      </c>
      <c r="AJ145" s="130">
        <f t="shared" si="149"/>
        <v>2611611442</v>
      </c>
      <c r="AK145" s="10"/>
      <c r="AL145" s="128">
        <f>AL147+AL155</f>
        <v>387401332</v>
      </c>
      <c r="AM145" s="130">
        <f>AM147+AM155</f>
        <v>0</v>
      </c>
      <c r="AN145" s="9"/>
    </row>
    <row r="146" spans="1:40" s="382" customFormat="1" ht="24.95" customHeight="1">
      <c r="A146" s="752"/>
      <c r="B146" s="660"/>
      <c r="N146" s="9"/>
      <c r="R146" s="9"/>
      <c r="S146" s="706" t="str">
        <f>+IF(MAYO!S146=0,"",MAYO!S146)</f>
        <v/>
      </c>
      <c r="T146" s="682"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2"/>
      <c r="B147" s="660"/>
      <c r="N147" s="9"/>
      <c r="R147" s="9"/>
      <c r="S147" s="704">
        <f>+IF(MAYO!S147=0,"",MAYO!S147)</f>
        <v>2020100</v>
      </c>
      <c r="T147" s="680" t="str">
        <f>+IF(MAYO!T147=0,"",MAYO!T147)</f>
        <v>Adquisición de bienes</v>
      </c>
      <c r="U147" s="132">
        <f t="shared" ref="U147:AJ147" si="150">SUM(U148:U149)+U153</f>
        <v>1878602056</v>
      </c>
      <c r="V147" s="122">
        <f t="shared" si="150"/>
        <v>-458246913</v>
      </c>
      <c r="W147" s="122">
        <f t="shared" si="150"/>
        <v>550000000</v>
      </c>
      <c r="X147" s="129">
        <f t="shared" si="150"/>
        <v>1970355143</v>
      </c>
      <c r="Y147" s="128">
        <f t="shared" si="150"/>
        <v>854524180</v>
      </c>
      <c r="Z147" s="122">
        <f t="shared" si="150"/>
        <v>85803629</v>
      </c>
      <c r="AA147" s="129">
        <f t="shared" si="150"/>
        <v>940327809</v>
      </c>
      <c r="AB147" s="128">
        <f t="shared" si="150"/>
        <v>622433077</v>
      </c>
      <c r="AC147" s="122">
        <f t="shared" si="150"/>
        <v>125960104</v>
      </c>
      <c r="AD147" s="129">
        <f t="shared" si="150"/>
        <v>748393181</v>
      </c>
      <c r="AE147" s="128">
        <f t="shared" si="150"/>
        <v>347312344</v>
      </c>
      <c r="AF147" s="122">
        <f t="shared" si="150"/>
        <v>88961322</v>
      </c>
      <c r="AG147" s="129">
        <f t="shared" si="150"/>
        <v>436273666</v>
      </c>
      <c r="AH147" s="128">
        <f t="shared" si="150"/>
        <v>1030027334</v>
      </c>
      <c r="AI147" s="122">
        <f t="shared" si="150"/>
        <v>1221961962</v>
      </c>
      <c r="AJ147" s="130">
        <f t="shared" si="150"/>
        <v>1534081477</v>
      </c>
      <c r="AK147" s="9"/>
      <c r="AL147" s="128">
        <f>SUM(AL148:AL149)+AL153</f>
        <v>118700666</v>
      </c>
      <c r="AM147" s="130">
        <f>SUM(AM148:AM149)+AM153</f>
        <v>0</v>
      </c>
      <c r="AN147" s="9"/>
    </row>
    <row r="148" spans="1:40" s="382" customFormat="1" ht="24.95" customHeight="1">
      <c r="A148" s="752"/>
      <c r="B148" s="660"/>
      <c r="N148" s="9"/>
      <c r="R148" s="9"/>
      <c r="S148" s="705">
        <f>+IF(MAYO!S148=0,"",MAYO!S148)</f>
        <v>2020101</v>
      </c>
      <c r="T148" s="681" t="str">
        <f>+IF(MAYO!T148=0,"",MAYO!T148)</f>
        <v>Mantenimiento Hospitalario</v>
      </c>
      <c r="U148" s="27">
        <f>+ENERO!U148</f>
        <v>780530606</v>
      </c>
      <c r="V148" s="15">
        <f>MAYO!V148+JUNIO!AL148</f>
        <v>148700666</v>
      </c>
      <c r="W148" s="15">
        <f>MAYO!W148+JUNIO!AM148</f>
        <v>0</v>
      </c>
      <c r="X148" s="18">
        <f>SUM(U148:W148)</f>
        <v>929231272</v>
      </c>
      <c r="Y148" s="19">
        <f>MAYO!AA148</f>
        <v>239184030</v>
      </c>
      <c r="Z148" s="374">
        <v>-23818317</v>
      </c>
      <c r="AA148" s="18">
        <f>SUM(Y148:Z148)</f>
        <v>215365713</v>
      </c>
      <c r="AB148" s="19">
        <f>MAYO!AD148</f>
        <v>66899375</v>
      </c>
      <c r="AC148" s="374">
        <v>42208397</v>
      </c>
      <c r="AD148" s="18">
        <f>SUM(AB148:AC148)</f>
        <v>109107772</v>
      </c>
      <c r="AE148" s="19">
        <f>MAYO!AG148</f>
        <v>32418394</v>
      </c>
      <c r="AF148" s="374">
        <v>36594515</v>
      </c>
      <c r="AG148" s="18">
        <f>SUM(AE148:AF148)</f>
        <v>69012909</v>
      </c>
      <c r="AH148" s="19">
        <f>X148-AA148</f>
        <v>713865559</v>
      </c>
      <c r="AI148" s="15">
        <f>X148-AD148</f>
        <v>820123500</v>
      </c>
      <c r="AJ148" s="16">
        <f>X148-AG148</f>
        <v>860218363</v>
      </c>
      <c r="AK148" s="9"/>
      <c r="AL148" s="372">
        <v>148700666</v>
      </c>
      <c r="AM148" s="375">
        <v>0</v>
      </c>
      <c r="AN148" s="9"/>
    </row>
    <row r="149" spans="1:40" s="382" customFormat="1" ht="24.95" customHeight="1">
      <c r="A149" s="752"/>
      <c r="B149" s="660"/>
      <c r="N149" s="9"/>
      <c r="R149" s="9"/>
      <c r="S149" s="705">
        <f>+IF(MAYO!S149=0,"",MAYO!S149)</f>
        <v>2020102</v>
      </c>
      <c r="T149" s="681" t="str">
        <f>+IF(MAYO!T149=0,"",MAYO!T149)</f>
        <v>Otros</v>
      </c>
      <c r="U149" s="27">
        <f t="shared" ref="U149:AJ149" si="151">SUM(U150:U152)</f>
        <v>1098071450</v>
      </c>
      <c r="V149" s="15">
        <f t="shared" si="151"/>
        <v>-364218476</v>
      </c>
      <c r="W149" s="15">
        <f t="shared" si="151"/>
        <v>0</v>
      </c>
      <c r="X149" s="18">
        <f t="shared" si="151"/>
        <v>733852974</v>
      </c>
      <c r="Y149" s="19">
        <f t="shared" si="151"/>
        <v>380501736</v>
      </c>
      <c r="Z149" s="142">
        <f t="shared" si="151"/>
        <v>80554627</v>
      </c>
      <c r="AA149" s="18">
        <f t="shared" si="151"/>
        <v>461056363</v>
      </c>
      <c r="AB149" s="19">
        <f t="shared" si="151"/>
        <v>320695288</v>
      </c>
      <c r="AC149" s="142">
        <f t="shared" si="151"/>
        <v>54684388</v>
      </c>
      <c r="AD149" s="18">
        <f t="shared" si="151"/>
        <v>375379676</v>
      </c>
      <c r="AE149" s="19">
        <f t="shared" si="151"/>
        <v>80055536</v>
      </c>
      <c r="AF149" s="142">
        <f t="shared" si="151"/>
        <v>23299488</v>
      </c>
      <c r="AG149" s="18">
        <f t="shared" si="151"/>
        <v>103355024</v>
      </c>
      <c r="AH149" s="19">
        <f t="shared" si="151"/>
        <v>272796611</v>
      </c>
      <c r="AI149" s="15">
        <f t="shared" si="151"/>
        <v>358473298</v>
      </c>
      <c r="AJ149" s="16">
        <f t="shared" si="151"/>
        <v>630497950</v>
      </c>
      <c r="AK149" s="9"/>
      <c r="AL149" s="29">
        <f>SUM(AL150:AL152)</f>
        <v>0</v>
      </c>
      <c r="AM149" s="26">
        <f>SUM(AM150:AM152)</f>
        <v>0</v>
      </c>
      <c r="AN149" s="9"/>
    </row>
    <row r="150" spans="1:40" s="382" customFormat="1" ht="24.95" customHeight="1">
      <c r="A150" s="752"/>
      <c r="B150" s="660"/>
      <c r="N150" s="9"/>
      <c r="R150" s="9"/>
      <c r="S150" s="706" t="str">
        <f>+IF(MAYO!S150=0,"",MAYO!S150)</f>
        <v>2020102-1</v>
      </c>
      <c r="T150" s="681" t="str">
        <f>+IF(MAYO!T150=0,"",MAYO!T150)</f>
        <v>Compra de Equipo e Instr. Mco. y Laborat.</v>
      </c>
      <c r="U150" s="27">
        <f>+ENERO!U150</f>
        <v>514625084</v>
      </c>
      <c r="V150" s="15">
        <f>MAYO!V150+JUNIO!AL150</f>
        <v>-339050000</v>
      </c>
      <c r="W150" s="15">
        <f>MAYO!W150+JUNIO!AM150</f>
        <v>0</v>
      </c>
      <c r="X150" s="18">
        <f>SUM(U150:W150)</f>
        <v>175575084</v>
      </c>
      <c r="Y150" s="19">
        <f>MAYO!AA150</f>
        <v>27339029</v>
      </c>
      <c r="Z150" s="374">
        <v>33460550</v>
      </c>
      <c r="AA150" s="18">
        <f>SUM(Y150:Z150)</f>
        <v>60799579</v>
      </c>
      <c r="AB150" s="19">
        <f>MAYO!AD150</f>
        <v>13782604</v>
      </c>
      <c r="AC150" s="374">
        <v>7899826</v>
      </c>
      <c r="AD150" s="18">
        <f>SUM(AB150:AC150)</f>
        <v>21682430</v>
      </c>
      <c r="AE150" s="19">
        <f>MAYO!AG150</f>
        <v>12973604</v>
      </c>
      <c r="AF150" s="374">
        <v>8118705</v>
      </c>
      <c r="AG150" s="18">
        <f>SUM(AE150:AF150)</f>
        <v>21092309</v>
      </c>
      <c r="AH150" s="19">
        <f>X150-AA150</f>
        <v>114775505</v>
      </c>
      <c r="AI150" s="15">
        <f>X150-AD150</f>
        <v>153892654</v>
      </c>
      <c r="AJ150" s="16">
        <f>X150-AG150</f>
        <v>154482775</v>
      </c>
      <c r="AK150" s="9"/>
      <c r="AL150" s="372">
        <v>0</v>
      </c>
      <c r="AM150" s="375">
        <v>0</v>
      </c>
      <c r="AN150" s="9"/>
    </row>
    <row r="151" spans="1:40" s="382" customFormat="1" ht="24.95" customHeight="1">
      <c r="A151" s="752"/>
      <c r="B151" s="660"/>
      <c r="N151" s="9"/>
      <c r="R151" s="9"/>
      <c r="S151" s="706" t="str">
        <f>+IF(MAYO!S151=0,"",MAYO!S151)</f>
        <v>2020102-2</v>
      </c>
      <c r="T151" s="681" t="str">
        <f>+IF(MAYO!T151=0,"",MAYO!T151)</f>
        <v>Materiales</v>
      </c>
      <c r="U151" s="27">
        <f>+ENERO!U151</f>
        <v>583446366</v>
      </c>
      <c r="V151" s="15">
        <f>MAYO!V151+JUNIO!AL151</f>
        <v>-25168476</v>
      </c>
      <c r="W151" s="15">
        <f>MAYO!W151+JUNIO!AM151</f>
        <v>0</v>
      </c>
      <c r="X151" s="18">
        <f>SUM(U151:W151)</f>
        <v>558277890</v>
      </c>
      <c r="Y151" s="19">
        <f>MAYO!AA151</f>
        <v>353162707</v>
      </c>
      <c r="Z151" s="374">
        <v>47094077</v>
      </c>
      <c r="AA151" s="18">
        <f>SUM(Y151:Z151)</f>
        <v>400256784</v>
      </c>
      <c r="AB151" s="19">
        <f>MAYO!AD151</f>
        <v>306912684</v>
      </c>
      <c r="AC151" s="374">
        <v>46784562</v>
      </c>
      <c r="AD151" s="18">
        <f>SUM(AB151:AC151)</f>
        <v>353697246</v>
      </c>
      <c r="AE151" s="19">
        <f>MAYO!AG151</f>
        <v>67081932</v>
      </c>
      <c r="AF151" s="374">
        <v>15180783</v>
      </c>
      <c r="AG151" s="18">
        <f>SUM(AE151:AF151)</f>
        <v>82262715</v>
      </c>
      <c r="AH151" s="19">
        <f>X151-AA151</f>
        <v>158021106</v>
      </c>
      <c r="AI151" s="15">
        <f>X151-AD151</f>
        <v>204580644</v>
      </c>
      <c r="AJ151" s="16">
        <f>X151-AG151</f>
        <v>476015175</v>
      </c>
      <c r="AK151" s="9"/>
      <c r="AL151" s="372">
        <v>0</v>
      </c>
      <c r="AM151" s="375">
        <v>0</v>
      </c>
      <c r="AN151" s="9"/>
    </row>
    <row r="152" spans="1:40" s="382" customFormat="1" ht="24.95" customHeight="1">
      <c r="A152" s="752"/>
      <c r="B152" s="660"/>
      <c r="N152" s="9"/>
      <c r="R152" s="9"/>
      <c r="S152" s="706" t="str">
        <f>+IF(MAYO!S152=0,"",MAYO!S152)</f>
        <v>2020102-3</v>
      </c>
      <c r="T152" s="681" t="str">
        <f>+IF(MAYO!T152=0,"",MAYO!T152)</f>
        <v/>
      </c>
      <c r="U152" s="27">
        <f>+ENERO!U152</f>
        <v>0</v>
      </c>
      <c r="V152" s="15">
        <f>MAYO!V152+JUNIO!AL152</f>
        <v>0</v>
      </c>
      <c r="W152" s="15">
        <f>MAYO!W152+JUNIO!AM152</f>
        <v>0</v>
      </c>
      <c r="X152" s="18">
        <f>SUM(U152:W152)</f>
        <v>0</v>
      </c>
      <c r="Y152" s="19">
        <f>MAYO!AA152</f>
        <v>0</v>
      </c>
      <c r="Z152" s="374">
        <v>0</v>
      </c>
      <c r="AA152" s="18">
        <f>SUM(Y152:Z152)</f>
        <v>0</v>
      </c>
      <c r="AB152" s="19">
        <f>MAYO!AD152</f>
        <v>0</v>
      </c>
      <c r="AC152" s="374">
        <v>0</v>
      </c>
      <c r="AD152" s="18">
        <f>SUM(AB152:AC152)</f>
        <v>0</v>
      </c>
      <c r="AE152" s="19">
        <f>MAYO!AG152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2"/>
      <c r="B153" s="660"/>
      <c r="N153" s="9"/>
      <c r="R153" s="9"/>
      <c r="S153" s="705">
        <f>+IF(MAYO!S153=0,"",MAYO!S153)</f>
        <v>2020199</v>
      </c>
      <c r="T153" s="681" t="str">
        <f>+IF(MAYO!T153=0,"",MAYO!T153)</f>
        <v>Vigencias Anteriores</v>
      </c>
      <c r="U153" s="27">
        <f>+ENERO!U153</f>
        <v>0</v>
      </c>
      <c r="V153" s="15">
        <f>MAYO!V153+JUNIO!AL153</f>
        <v>-242729103</v>
      </c>
      <c r="W153" s="15">
        <f>MAYO!W153+JUNIO!AM153</f>
        <v>550000000</v>
      </c>
      <c r="X153" s="18">
        <f>SUM(U153:W153)</f>
        <v>307270897</v>
      </c>
      <c r="Y153" s="19">
        <f>MAYO!AA153</f>
        <v>234838414</v>
      </c>
      <c r="Z153" s="374">
        <v>29067319</v>
      </c>
      <c r="AA153" s="18">
        <f>SUM(Y153:Z153)</f>
        <v>263905733</v>
      </c>
      <c r="AB153" s="19">
        <f>MAYO!AD153</f>
        <v>234838414</v>
      </c>
      <c r="AC153" s="374">
        <v>29067319</v>
      </c>
      <c r="AD153" s="18">
        <f>SUM(AB153:AC153)</f>
        <v>263905733</v>
      </c>
      <c r="AE153" s="19">
        <f>MAYO!AG153</f>
        <v>234838414</v>
      </c>
      <c r="AF153" s="374">
        <v>29067319</v>
      </c>
      <c r="AG153" s="18">
        <f>SUM(AE153:AF153)</f>
        <v>263905733</v>
      </c>
      <c r="AH153" s="19">
        <f>X153-AA153</f>
        <v>43365164</v>
      </c>
      <c r="AI153" s="15">
        <f>X153-AD153</f>
        <v>43365164</v>
      </c>
      <c r="AJ153" s="16">
        <f>X153-AG153</f>
        <v>43365164</v>
      </c>
      <c r="AK153" s="9"/>
      <c r="AL153" s="372">
        <v>-30000000</v>
      </c>
      <c r="AM153" s="375">
        <v>0</v>
      </c>
      <c r="AN153" s="9"/>
    </row>
    <row r="154" spans="1:40" s="382" customFormat="1" ht="24.95" customHeight="1">
      <c r="A154" s="752"/>
      <c r="B154" s="660"/>
      <c r="N154" s="9"/>
      <c r="R154" s="9"/>
      <c r="S154" s="366" t="str">
        <f>+IF(MAYO!S154=0,"",MAYO!S154)</f>
        <v/>
      </c>
      <c r="T154" s="695"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2"/>
      <c r="B155" s="660"/>
      <c r="N155" s="9"/>
      <c r="R155" s="9"/>
      <c r="S155" s="704">
        <f>+IF(MAYO!S155=0,"",MAYO!S155)</f>
        <v>2020200</v>
      </c>
      <c r="T155" s="680" t="str">
        <f>+IF(MAYO!T155=0,"",MAYO!T155)</f>
        <v>Adquisición de Servicios</v>
      </c>
      <c r="U155" s="132">
        <f t="shared" ref="U155:AJ155" si="152">SUM(U156:U157)+U168</f>
        <v>780530606</v>
      </c>
      <c r="V155" s="122">
        <f t="shared" si="152"/>
        <v>-550299334</v>
      </c>
      <c r="W155" s="122">
        <f t="shared" si="152"/>
        <v>1100000000</v>
      </c>
      <c r="X155" s="129">
        <f t="shared" si="152"/>
        <v>1330231272</v>
      </c>
      <c r="Y155" s="128">
        <f t="shared" si="152"/>
        <v>817342355</v>
      </c>
      <c r="Z155" s="122">
        <f t="shared" si="152"/>
        <v>205403938</v>
      </c>
      <c r="AA155" s="129">
        <f t="shared" si="152"/>
        <v>1022746293</v>
      </c>
      <c r="AB155" s="128">
        <f t="shared" si="152"/>
        <v>380611852</v>
      </c>
      <c r="AC155" s="122">
        <f t="shared" si="152"/>
        <v>181412673</v>
      </c>
      <c r="AD155" s="129">
        <f t="shared" si="152"/>
        <v>562024525</v>
      </c>
      <c r="AE155" s="128">
        <f t="shared" si="152"/>
        <v>170302260</v>
      </c>
      <c r="AF155" s="122">
        <f t="shared" si="152"/>
        <v>82399047</v>
      </c>
      <c r="AG155" s="129">
        <f t="shared" si="152"/>
        <v>252701307</v>
      </c>
      <c r="AH155" s="128">
        <f t="shared" si="152"/>
        <v>307484979</v>
      </c>
      <c r="AI155" s="122">
        <f t="shared" si="152"/>
        <v>768206747</v>
      </c>
      <c r="AJ155" s="130">
        <f t="shared" si="152"/>
        <v>1077529965</v>
      </c>
      <c r="AK155" s="9"/>
      <c r="AL155" s="128">
        <f>SUM(AL156:AL157)+AL168</f>
        <v>268700666</v>
      </c>
      <c r="AM155" s="130">
        <f>SUM(AM156:AM157)+AM168</f>
        <v>0</v>
      </c>
      <c r="AN155" s="9"/>
    </row>
    <row r="156" spans="1:40" s="382" customFormat="1" ht="24.95" customHeight="1">
      <c r="A156" s="752"/>
      <c r="B156" s="660"/>
      <c r="N156" s="9"/>
      <c r="P156" s="9"/>
      <c r="Q156" s="9"/>
      <c r="R156" s="9"/>
      <c r="S156" s="705">
        <f>+IF(MAYO!S156=0,"",MAYO!S156)</f>
        <v>2020201</v>
      </c>
      <c r="T156" s="681" t="str">
        <f>+IF(MAYO!T156=0,"",MAYO!T156)</f>
        <v>Mantenimiento Hospitalario</v>
      </c>
      <c r="U156" s="27">
        <f>+ENERO!U156</f>
        <v>780530606</v>
      </c>
      <c r="V156" s="15">
        <f>MAYO!V156+JUNIO!AL156</f>
        <v>348700666</v>
      </c>
      <c r="W156" s="15">
        <f>MAYO!W156+JUNIO!AM156</f>
        <v>0</v>
      </c>
      <c r="X156" s="18">
        <f>SUM(U156:W156)</f>
        <v>1129231272</v>
      </c>
      <c r="Y156" s="19">
        <f>MAYO!AA156</f>
        <v>703532294</v>
      </c>
      <c r="Z156" s="374">
        <v>182759982</v>
      </c>
      <c r="AA156" s="18">
        <f>SUM(Y156:Z156)</f>
        <v>886292276</v>
      </c>
      <c r="AB156" s="19">
        <f>MAYO!AD156</f>
        <v>266801791</v>
      </c>
      <c r="AC156" s="374">
        <v>158768717</v>
      </c>
      <c r="AD156" s="18">
        <f>SUM(AB156:AC156)</f>
        <v>425570508</v>
      </c>
      <c r="AE156" s="19">
        <f>MAYO!AG156</f>
        <v>56492199</v>
      </c>
      <c r="AF156" s="374">
        <v>59755091</v>
      </c>
      <c r="AG156" s="18">
        <f>SUM(AE156:AF156)</f>
        <v>116247290</v>
      </c>
      <c r="AH156" s="19">
        <f>X156-AA156</f>
        <v>242938996</v>
      </c>
      <c r="AI156" s="15">
        <f>X156-AD156</f>
        <v>703660764</v>
      </c>
      <c r="AJ156" s="16">
        <f>X156-AG156</f>
        <v>1012983982</v>
      </c>
      <c r="AK156" s="9"/>
      <c r="AL156" s="372">
        <v>348700666</v>
      </c>
      <c r="AM156" s="375">
        <v>0</v>
      </c>
      <c r="AN156" s="9"/>
    </row>
    <row r="157" spans="1:40" s="382" customFormat="1" ht="24.95" customHeight="1">
      <c r="A157" s="752"/>
      <c r="B157" s="660"/>
      <c r="N157" s="9"/>
      <c r="P157" s="9"/>
      <c r="Q157" s="9"/>
      <c r="R157" s="9"/>
      <c r="S157" s="705">
        <f>+IF(MAYO!S157=0,"",MAYO!S157)</f>
        <v>2020202</v>
      </c>
      <c r="T157" s="681" t="str">
        <f>+IF(MAYO!T157=0,"",MAYO!T157)</f>
        <v>Otros</v>
      </c>
      <c r="U157" s="27">
        <f t="shared" ref="U157:AJ157" si="153">SUM(U158:U167)</f>
        <v>0</v>
      </c>
      <c r="V157" s="15">
        <f t="shared" si="153"/>
        <v>0</v>
      </c>
      <c r="W157" s="15">
        <f t="shared" si="153"/>
        <v>0</v>
      </c>
      <c r="X157" s="18">
        <f t="shared" si="153"/>
        <v>0</v>
      </c>
      <c r="Y157" s="19">
        <f t="shared" si="153"/>
        <v>0</v>
      </c>
      <c r="Z157" s="142">
        <f t="shared" si="153"/>
        <v>0</v>
      </c>
      <c r="AA157" s="18">
        <f t="shared" si="153"/>
        <v>0</v>
      </c>
      <c r="AB157" s="19">
        <f t="shared" si="153"/>
        <v>0</v>
      </c>
      <c r="AC157" s="142">
        <f t="shared" si="153"/>
        <v>0</v>
      </c>
      <c r="AD157" s="18">
        <f t="shared" si="153"/>
        <v>0</v>
      </c>
      <c r="AE157" s="19">
        <f t="shared" si="153"/>
        <v>0</v>
      </c>
      <c r="AF157" s="142">
        <f t="shared" si="153"/>
        <v>0</v>
      </c>
      <c r="AG157" s="18">
        <f t="shared" si="153"/>
        <v>0</v>
      </c>
      <c r="AH157" s="19">
        <f t="shared" si="153"/>
        <v>0</v>
      </c>
      <c r="AI157" s="15">
        <f t="shared" si="153"/>
        <v>0</v>
      </c>
      <c r="AJ157" s="16">
        <f t="shared" si="153"/>
        <v>0</v>
      </c>
      <c r="AK157" s="10"/>
      <c r="AL157" s="29">
        <f>SUM(AL158:AL167)</f>
        <v>0</v>
      </c>
      <c r="AM157" s="26">
        <f>SUM(AM158:AM167)</f>
        <v>0</v>
      </c>
      <c r="AN157" s="9"/>
    </row>
    <row r="158" spans="1:40" s="382" customFormat="1" ht="24.95" customHeight="1">
      <c r="A158" s="752"/>
      <c r="B158" s="660"/>
      <c r="N158" s="9"/>
      <c r="P158" s="9"/>
      <c r="Q158" s="9"/>
      <c r="R158" s="9"/>
      <c r="S158" s="706" t="str">
        <f>+IF(MAYO!S158=0,"",MAYO!S158)</f>
        <v>2020202-1</v>
      </c>
      <c r="T158" s="682" t="str">
        <f>+IF(MAYO!T158=0,"",MAYO!T158)</f>
        <v>Seguros</v>
      </c>
      <c r="U158" s="27">
        <f>+ENERO!U158</f>
        <v>0</v>
      </c>
      <c r="V158" s="15">
        <f>MAYO!V158+JUNIO!AL158</f>
        <v>0</v>
      </c>
      <c r="W158" s="15">
        <f>MAYO!W158+JUNIO!AM158</f>
        <v>0</v>
      </c>
      <c r="X158" s="18">
        <f t="shared" ref="X158:X168" si="154">SUM(U158:W158)</f>
        <v>0</v>
      </c>
      <c r="Y158" s="19">
        <f>MAYO!AA158</f>
        <v>0</v>
      </c>
      <c r="Z158" s="374">
        <v>0</v>
      </c>
      <c r="AA158" s="18">
        <f t="shared" ref="AA158:AA168" si="155">SUM(Y158:Z158)</f>
        <v>0</v>
      </c>
      <c r="AB158" s="19">
        <f>MAYO!AD158</f>
        <v>0</v>
      </c>
      <c r="AC158" s="374">
        <v>0</v>
      </c>
      <c r="AD158" s="18">
        <f t="shared" ref="AD158:AD168" si="156">SUM(AB158:AC158)</f>
        <v>0</v>
      </c>
      <c r="AE158" s="19">
        <f>MAYO!AG158</f>
        <v>0</v>
      </c>
      <c r="AF158" s="374">
        <v>0</v>
      </c>
      <c r="AG158" s="18">
        <f t="shared" ref="AG158:AG168" si="157">SUM(AE158:AF158)</f>
        <v>0</v>
      </c>
      <c r="AH158" s="19">
        <f t="shared" ref="AH158:AH168" si="158">X158-AA158</f>
        <v>0</v>
      </c>
      <c r="AI158" s="15">
        <f t="shared" ref="AI158:AI168" si="159">X158-AD158</f>
        <v>0</v>
      </c>
      <c r="AJ158" s="16">
        <f t="shared" ref="AJ158:AJ168" si="160">X158-AG158</f>
        <v>0</v>
      </c>
      <c r="AK158" s="9"/>
      <c r="AL158" s="372">
        <v>0</v>
      </c>
      <c r="AM158" s="375">
        <v>0</v>
      </c>
      <c r="AN158" s="9"/>
    </row>
    <row r="159" spans="1:40" s="382" customFormat="1" ht="24.95" customHeight="1">
      <c r="A159" s="752"/>
      <c r="B159" s="660"/>
      <c r="N159" s="9"/>
      <c r="P159" s="9"/>
      <c r="Q159" s="9"/>
      <c r="R159" s="9"/>
      <c r="S159" s="706" t="str">
        <f>+IF(MAYO!S159=0,"",MAYO!S159)</f>
        <v>2020202-2</v>
      </c>
      <c r="T159" s="682" t="str">
        <f>+IF(MAYO!T159=0,"",MAYO!T159)</f>
        <v>Impresos y Publicaciones</v>
      </c>
      <c r="U159" s="27">
        <f>+ENERO!U159</f>
        <v>0</v>
      </c>
      <c r="V159" s="15">
        <f>MAYO!V159+JUNIO!AL159</f>
        <v>0</v>
      </c>
      <c r="W159" s="15">
        <f>MAYO!W159+JUNIO!AM159</f>
        <v>0</v>
      </c>
      <c r="X159" s="18">
        <f t="shared" si="154"/>
        <v>0</v>
      </c>
      <c r="Y159" s="19">
        <f>MAYO!AA159</f>
        <v>0</v>
      </c>
      <c r="Z159" s="374">
        <v>0</v>
      </c>
      <c r="AA159" s="18">
        <f t="shared" si="155"/>
        <v>0</v>
      </c>
      <c r="AB159" s="19">
        <f>MAYO!AD159</f>
        <v>0</v>
      </c>
      <c r="AC159" s="374">
        <v>0</v>
      </c>
      <c r="AD159" s="18">
        <f t="shared" si="156"/>
        <v>0</v>
      </c>
      <c r="AE159" s="19">
        <f>MAYO!AG159</f>
        <v>0</v>
      </c>
      <c r="AF159" s="374">
        <v>0</v>
      </c>
      <c r="AG159" s="18">
        <f t="shared" si="157"/>
        <v>0</v>
      </c>
      <c r="AH159" s="19">
        <f t="shared" si="158"/>
        <v>0</v>
      </c>
      <c r="AI159" s="15">
        <f t="shared" si="159"/>
        <v>0</v>
      </c>
      <c r="AJ159" s="16">
        <f t="shared" si="160"/>
        <v>0</v>
      </c>
      <c r="AK159" s="9"/>
      <c r="AL159" s="372">
        <v>0</v>
      </c>
      <c r="AM159" s="375">
        <v>0</v>
      </c>
      <c r="AN159" s="9"/>
    </row>
    <row r="160" spans="1:40" s="382" customFormat="1" ht="24.95" customHeight="1">
      <c r="A160" s="752"/>
      <c r="B160" s="660"/>
      <c r="N160" s="9"/>
      <c r="P160" s="9"/>
      <c r="Q160" s="9"/>
      <c r="R160" s="9"/>
      <c r="S160" s="706" t="str">
        <f>+IF(MAYO!S160=0,"",MAYO!S160)</f>
        <v>2020202-3</v>
      </c>
      <c r="T160" s="682" t="str">
        <f>+IF(MAYO!T160=0,"",MAYO!T160)</f>
        <v>Pago a otras IPS</v>
      </c>
      <c r="U160" s="27">
        <f>+ENERO!U160</f>
        <v>0</v>
      </c>
      <c r="V160" s="15">
        <f>MAYO!V160+JUNIO!AL160</f>
        <v>0</v>
      </c>
      <c r="W160" s="15">
        <f>MAYO!W160+JUNIO!AM160</f>
        <v>0</v>
      </c>
      <c r="X160" s="18">
        <f t="shared" si="154"/>
        <v>0</v>
      </c>
      <c r="Y160" s="19">
        <f>MAYO!AA160</f>
        <v>0</v>
      </c>
      <c r="Z160" s="374">
        <v>0</v>
      </c>
      <c r="AA160" s="18">
        <f t="shared" si="155"/>
        <v>0</v>
      </c>
      <c r="AB160" s="19">
        <f>MAYO!AD160</f>
        <v>0</v>
      </c>
      <c r="AC160" s="374">
        <v>0</v>
      </c>
      <c r="AD160" s="18">
        <f t="shared" si="156"/>
        <v>0</v>
      </c>
      <c r="AE160" s="19">
        <f>MAYO!AG160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2"/>
      <c r="B161" s="660"/>
      <c r="N161" s="9"/>
      <c r="P161" s="9"/>
      <c r="Q161" s="9"/>
      <c r="R161" s="9"/>
      <c r="S161" s="706" t="str">
        <f>+IF(MAYO!S161=0,"",MAYO!S161)</f>
        <v>2020202-4</v>
      </c>
      <c r="T161" s="682" t="str">
        <f>+IF(MAYO!T161=0,"",MAYO!T161)</f>
        <v>Comunicaciones y Transportes</v>
      </c>
      <c r="U161" s="27">
        <f>+ENERO!U161</f>
        <v>0</v>
      </c>
      <c r="V161" s="15">
        <f>MAYO!V161+JUNIO!AL161</f>
        <v>0</v>
      </c>
      <c r="W161" s="15">
        <f>MAYO!W161+JUNIO!AM161</f>
        <v>0</v>
      </c>
      <c r="X161" s="18">
        <f t="shared" si="154"/>
        <v>0</v>
      </c>
      <c r="Y161" s="19">
        <f>MAYO!AA161</f>
        <v>0</v>
      </c>
      <c r="Z161" s="374">
        <v>0</v>
      </c>
      <c r="AA161" s="18">
        <f t="shared" si="155"/>
        <v>0</v>
      </c>
      <c r="AB161" s="19">
        <f>MAYO!AD161</f>
        <v>0</v>
      </c>
      <c r="AC161" s="374">
        <v>0</v>
      </c>
      <c r="AD161" s="18">
        <f t="shared" si="156"/>
        <v>0</v>
      </c>
      <c r="AE161" s="19">
        <f>MAYO!AG161</f>
        <v>0</v>
      </c>
      <c r="AF161" s="374">
        <v>0</v>
      </c>
      <c r="AG161" s="18">
        <f t="shared" si="157"/>
        <v>0</v>
      </c>
      <c r="AH161" s="19">
        <f t="shared" si="158"/>
        <v>0</v>
      </c>
      <c r="AI161" s="15">
        <f t="shared" si="159"/>
        <v>0</v>
      </c>
      <c r="AJ161" s="16">
        <f t="shared" si="160"/>
        <v>0</v>
      </c>
      <c r="AK161" s="9"/>
      <c r="AL161" s="372">
        <v>0</v>
      </c>
      <c r="AM161" s="375">
        <v>0</v>
      </c>
      <c r="AN161" s="9"/>
    </row>
    <row r="162" spans="1:40" s="382" customFormat="1" ht="24.95" customHeight="1">
      <c r="A162" s="752"/>
      <c r="B162" s="660"/>
      <c r="N162" s="9"/>
      <c r="P162" s="9"/>
      <c r="Q162" s="9"/>
      <c r="R162" s="9"/>
      <c r="S162" s="706" t="str">
        <f>+IF(MAYO!S162=0,"",MAYO!S162)</f>
        <v>2020202-5</v>
      </c>
      <c r="T162" s="682" t="str">
        <f>+IF(MAYO!T162=0,"",MAYO!T162)</f>
        <v>Viáticos y Gastos de Viaje</v>
      </c>
      <c r="U162" s="27">
        <f>+ENERO!U162</f>
        <v>0</v>
      </c>
      <c r="V162" s="15">
        <f>MAYO!V162+JUNIO!AL162</f>
        <v>0</v>
      </c>
      <c r="W162" s="15">
        <f>MAYO!W162+JUNIO!AM162</f>
        <v>0</v>
      </c>
      <c r="X162" s="18">
        <f t="shared" si="154"/>
        <v>0</v>
      </c>
      <c r="Y162" s="19">
        <f>MAYO!AA162</f>
        <v>0</v>
      </c>
      <c r="Z162" s="374">
        <v>0</v>
      </c>
      <c r="AA162" s="18">
        <f t="shared" si="155"/>
        <v>0</v>
      </c>
      <c r="AB162" s="19">
        <f>MAYO!AD162</f>
        <v>0</v>
      </c>
      <c r="AC162" s="374">
        <v>0</v>
      </c>
      <c r="AD162" s="18">
        <f t="shared" si="156"/>
        <v>0</v>
      </c>
      <c r="AE162" s="19">
        <f>MAYO!AG162</f>
        <v>0</v>
      </c>
      <c r="AF162" s="374">
        <v>0</v>
      </c>
      <c r="AG162" s="18">
        <f t="shared" si="157"/>
        <v>0</v>
      </c>
      <c r="AH162" s="19">
        <f t="shared" si="158"/>
        <v>0</v>
      </c>
      <c r="AI162" s="15">
        <f t="shared" si="159"/>
        <v>0</v>
      </c>
      <c r="AJ162" s="16">
        <f t="shared" si="160"/>
        <v>0</v>
      </c>
      <c r="AK162" s="9"/>
      <c r="AL162" s="372">
        <v>0</v>
      </c>
      <c r="AM162" s="375">
        <v>0</v>
      </c>
      <c r="AN162" s="9"/>
    </row>
    <row r="163" spans="1:40" s="382" customFormat="1" ht="24.95" customHeight="1">
      <c r="A163" s="752"/>
      <c r="B163" s="660"/>
      <c r="N163" s="9"/>
      <c r="P163" s="9"/>
      <c r="Q163" s="9"/>
      <c r="R163" s="9"/>
      <c r="S163" s="706" t="str">
        <f>+IF(MAYO!S163=0,"",MAYO!S163)</f>
        <v>2020202-6</v>
      </c>
      <c r="T163" s="682" t="str">
        <f>+IF(MAYO!T163=0,"",MAYO!T163)</f>
        <v>Plan Integral de Manejo de Residuos Sólidos Hospitalarios</v>
      </c>
      <c r="U163" s="27">
        <f>+ENERO!U163</f>
        <v>0</v>
      </c>
      <c r="V163" s="15">
        <f>MAYO!V163+JUNIO!AL163</f>
        <v>0</v>
      </c>
      <c r="W163" s="15">
        <f>MAYO!W163+JUNIO!AM163</f>
        <v>0</v>
      </c>
      <c r="X163" s="18">
        <f t="shared" si="154"/>
        <v>0</v>
      </c>
      <c r="Y163" s="19">
        <f>MAYO!AA163</f>
        <v>0</v>
      </c>
      <c r="Z163" s="374">
        <v>0</v>
      </c>
      <c r="AA163" s="18">
        <f t="shared" si="155"/>
        <v>0</v>
      </c>
      <c r="AB163" s="19">
        <f>MAYO!AD163</f>
        <v>0</v>
      </c>
      <c r="AC163" s="374">
        <v>0</v>
      </c>
      <c r="AD163" s="18">
        <f t="shared" si="156"/>
        <v>0</v>
      </c>
      <c r="AE163" s="19">
        <f>MAYO!AG163</f>
        <v>0</v>
      </c>
      <c r="AF163" s="374">
        <v>0</v>
      </c>
      <c r="AG163" s="18">
        <f t="shared" si="157"/>
        <v>0</v>
      </c>
      <c r="AH163" s="19">
        <f t="shared" si="158"/>
        <v>0</v>
      </c>
      <c r="AI163" s="15">
        <f t="shared" si="159"/>
        <v>0</v>
      </c>
      <c r="AJ163" s="16">
        <f t="shared" si="160"/>
        <v>0</v>
      </c>
      <c r="AK163" s="9"/>
      <c r="AL163" s="372">
        <v>0</v>
      </c>
      <c r="AM163" s="375">
        <v>0</v>
      </c>
      <c r="AN163" s="9"/>
    </row>
    <row r="164" spans="1:40" s="382" customFormat="1" ht="24.95" customHeight="1">
      <c r="A164" s="752"/>
      <c r="B164" s="660"/>
      <c r="N164" s="9"/>
      <c r="P164" s="9"/>
      <c r="Q164" s="9"/>
      <c r="R164" s="9"/>
      <c r="S164" s="706" t="str">
        <f>+IF(MAYO!S164=0,"",MAYO!S164)</f>
        <v>2020202-7</v>
      </c>
      <c r="T164" s="682" t="str">
        <f>+IF(MAYO!T164=0,"",MAYO!T164)</f>
        <v>Servicios de Laboratorio contratados con terceros</v>
      </c>
      <c r="U164" s="27">
        <f>+ENERO!U164</f>
        <v>0</v>
      </c>
      <c r="V164" s="15">
        <f>MAYO!V164+JUNIO!AL164</f>
        <v>0</v>
      </c>
      <c r="W164" s="15">
        <f>MAYO!W164+JUNIO!AM164</f>
        <v>0</v>
      </c>
      <c r="X164" s="18">
        <f t="shared" si="154"/>
        <v>0</v>
      </c>
      <c r="Y164" s="19">
        <f>MAYO!AA164</f>
        <v>0</v>
      </c>
      <c r="Z164" s="374">
        <v>0</v>
      </c>
      <c r="AA164" s="18">
        <f t="shared" si="155"/>
        <v>0</v>
      </c>
      <c r="AB164" s="19">
        <f>MAYO!AD164</f>
        <v>0</v>
      </c>
      <c r="AC164" s="374">
        <v>0</v>
      </c>
      <c r="AD164" s="18">
        <f t="shared" si="156"/>
        <v>0</v>
      </c>
      <c r="AE164" s="19">
        <f>MAYO!AG164</f>
        <v>0</v>
      </c>
      <c r="AF164" s="374">
        <v>0</v>
      </c>
      <c r="AG164" s="18">
        <f t="shared" si="157"/>
        <v>0</v>
      </c>
      <c r="AH164" s="19">
        <f t="shared" si="158"/>
        <v>0</v>
      </c>
      <c r="AI164" s="15">
        <f t="shared" si="159"/>
        <v>0</v>
      </c>
      <c r="AJ164" s="16">
        <f t="shared" si="160"/>
        <v>0</v>
      </c>
      <c r="AK164" s="9"/>
      <c r="AL164" s="372">
        <v>0</v>
      </c>
      <c r="AM164" s="375">
        <v>0</v>
      </c>
      <c r="AN164" s="9"/>
    </row>
    <row r="165" spans="1:40" s="382" customFormat="1" ht="24.95" customHeight="1">
      <c r="A165" s="752"/>
      <c r="B165" s="660"/>
      <c r="N165" s="9"/>
      <c r="P165" s="9"/>
      <c r="Q165" s="9"/>
      <c r="R165" s="9"/>
      <c r="S165" s="706" t="str">
        <f>+IF(MAYO!S165=0,"",MAYO!S165)</f>
        <v>2020202-8</v>
      </c>
      <c r="T165" s="682" t="str">
        <f>+IF(MAYO!T165=0,"",MAYO!T165)</f>
        <v>Servicios de Rayos X e Imaginología contratado con terceros</v>
      </c>
      <c r="U165" s="27">
        <f>+ENERO!U165</f>
        <v>0</v>
      </c>
      <c r="V165" s="15">
        <f>MAYO!V165+JUNIO!AL165</f>
        <v>0</v>
      </c>
      <c r="W165" s="15">
        <f>MAYO!W165+JUNIO!AM165</f>
        <v>0</v>
      </c>
      <c r="X165" s="18">
        <f t="shared" si="154"/>
        <v>0</v>
      </c>
      <c r="Y165" s="19">
        <f>MAYO!AA165</f>
        <v>0</v>
      </c>
      <c r="Z165" s="374">
        <v>0</v>
      </c>
      <c r="AA165" s="18">
        <f t="shared" si="155"/>
        <v>0</v>
      </c>
      <c r="AB165" s="19">
        <f>MAYO!AD165</f>
        <v>0</v>
      </c>
      <c r="AC165" s="374">
        <v>0</v>
      </c>
      <c r="AD165" s="18">
        <f t="shared" si="156"/>
        <v>0</v>
      </c>
      <c r="AE165" s="19">
        <f>MAYO!AG165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c r="A166" s="752"/>
      <c r="B166" s="660"/>
      <c r="N166" s="9"/>
      <c r="P166" s="9"/>
      <c r="Q166" s="9"/>
      <c r="R166" s="9"/>
      <c r="S166" s="706" t="str">
        <f>+IF(MAYO!S166=0,"",MAYO!S166)</f>
        <v>2020202-9</v>
      </c>
      <c r="T166" s="682" t="str">
        <f>+IF(MAYO!T166=0,"",MAYO!T166)</f>
        <v>Arrendamientos</v>
      </c>
      <c r="U166" s="27">
        <f>+ENERO!U166</f>
        <v>0</v>
      </c>
      <c r="V166" s="15">
        <f>MAYO!V166+JUNIO!AL166</f>
        <v>0</v>
      </c>
      <c r="W166" s="15">
        <f>MAYO!W166+JUNIO!AM166</f>
        <v>0</v>
      </c>
      <c r="X166" s="18">
        <f t="shared" si="154"/>
        <v>0</v>
      </c>
      <c r="Y166" s="19">
        <f>MAYO!AA166</f>
        <v>0</v>
      </c>
      <c r="Z166" s="374">
        <v>0</v>
      </c>
      <c r="AA166" s="18">
        <f t="shared" si="155"/>
        <v>0</v>
      </c>
      <c r="AB166" s="19">
        <f>MAYO!AD166</f>
        <v>0</v>
      </c>
      <c r="AC166" s="374">
        <v>0</v>
      </c>
      <c r="AD166" s="18">
        <f t="shared" si="156"/>
        <v>0</v>
      </c>
      <c r="AE166" s="19">
        <f>MAYO!AG166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c r="A167" s="752"/>
      <c r="B167" s="660"/>
      <c r="N167" s="9"/>
      <c r="P167" s="9"/>
      <c r="Q167" s="9"/>
      <c r="R167" s="9"/>
      <c r="S167" s="706" t="str">
        <f>+IF(MAYO!S167=0,"",MAYO!S167)</f>
        <v>2020202-10</v>
      </c>
      <c r="T167" s="682" t="str">
        <f>+IF(MAYO!T167=0,"",MAYO!T167)</f>
        <v>Servicios Públicos</v>
      </c>
      <c r="U167" s="27">
        <f>+ENERO!U167</f>
        <v>0</v>
      </c>
      <c r="V167" s="15">
        <f>MAYO!V167+JUNIO!AL167</f>
        <v>0</v>
      </c>
      <c r="W167" s="15">
        <f>MAYO!W167+JUNIO!AM167</f>
        <v>0</v>
      </c>
      <c r="X167" s="18">
        <f>SUM(U167:W167)</f>
        <v>0</v>
      </c>
      <c r="Y167" s="19">
        <f>MAYO!AA167</f>
        <v>0</v>
      </c>
      <c r="Z167" s="374">
        <v>0</v>
      </c>
      <c r="AA167" s="18">
        <f>SUM(Y167:Z167)</f>
        <v>0</v>
      </c>
      <c r="AB167" s="19">
        <f>MAYO!AD167</f>
        <v>0</v>
      </c>
      <c r="AC167" s="374">
        <v>0</v>
      </c>
      <c r="AD167" s="18">
        <f>SUM(AB167:AC167)</f>
        <v>0</v>
      </c>
      <c r="AE167" s="19">
        <f>MAYO!AG167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2"/>
      <c r="B168" s="660"/>
      <c r="N168" s="9"/>
      <c r="P168" s="9"/>
      <c r="Q168" s="9"/>
      <c r="R168" s="9"/>
      <c r="S168" s="705">
        <f>+IF(MAYO!S168=0,"",MAYO!S168)</f>
        <v>2020299</v>
      </c>
      <c r="T168" s="681" t="str">
        <f>+IF(MAYO!T168=0,"",MAYO!T168)</f>
        <v>Vigencias Anteriores</v>
      </c>
      <c r="U168" s="27">
        <f>+ENERO!U168</f>
        <v>0</v>
      </c>
      <c r="V168" s="15">
        <f>MAYO!V168+JUNIO!AL168</f>
        <v>-899000000</v>
      </c>
      <c r="W168" s="15">
        <f>MAYO!W168+JUNIO!AM168</f>
        <v>1100000000</v>
      </c>
      <c r="X168" s="18">
        <f t="shared" si="154"/>
        <v>201000000</v>
      </c>
      <c r="Y168" s="19">
        <f>MAYO!AA168</f>
        <v>113810061</v>
      </c>
      <c r="Z168" s="374">
        <v>22643956</v>
      </c>
      <c r="AA168" s="18">
        <f t="shared" si="155"/>
        <v>136454017</v>
      </c>
      <c r="AB168" s="19">
        <f>MAYO!AD168</f>
        <v>113810061</v>
      </c>
      <c r="AC168" s="374">
        <v>22643956</v>
      </c>
      <c r="AD168" s="18">
        <f t="shared" si="156"/>
        <v>136454017</v>
      </c>
      <c r="AE168" s="19">
        <f>MAYO!AG168</f>
        <v>113810061</v>
      </c>
      <c r="AF168" s="374">
        <v>22643956</v>
      </c>
      <c r="AG168" s="18">
        <f t="shared" si="157"/>
        <v>136454017</v>
      </c>
      <c r="AH168" s="19">
        <f t="shared" si="158"/>
        <v>64545983</v>
      </c>
      <c r="AI168" s="15">
        <f t="shared" si="159"/>
        <v>64545983</v>
      </c>
      <c r="AJ168" s="16">
        <f t="shared" si="160"/>
        <v>64545983</v>
      </c>
      <c r="AK168" s="9"/>
      <c r="AL168" s="372">
        <v>-80000000</v>
      </c>
      <c r="AM168" s="375">
        <v>0</v>
      </c>
      <c r="AN168" s="9"/>
    </row>
    <row r="169" spans="1:40" s="382" customFormat="1" ht="24.95" customHeight="1">
      <c r="A169" s="752"/>
      <c r="B169" s="660"/>
      <c r="N169" s="9"/>
      <c r="P169" s="9"/>
      <c r="Q169" s="9"/>
      <c r="R169" s="9"/>
      <c r="S169" s="366" t="str">
        <f>+IF(MAYO!S169=0,"",MAYO!S169)</f>
        <v/>
      </c>
      <c r="T169" s="695"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82" customFormat="1" ht="24.95" customHeight="1">
      <c r="A170" s="752"/>
      <c r="B170" s="660"/>
      <c r="N170" s="9"/>
      <c r="P170" s="9"/>
      <c r="Q170" s="9"/>
      <c r="R170" s="9"/>
      <c r="S170" s="703">
        <f>+IF(MAYO!S170=0,"",MAYO!S170)</f>
        <v>3000000</v>
      </c>
      <c r="T170" s="685" t="str">
        <f>+IF(MAYO!T170=0,"",MAYO!T170)</f>
        <v>TRANSFERENCIAS CORRIENTES</v>
      </c>
      <c r="U170" s="470">
        <f t="shared" ref="U170:AJ170" si="161">U172+U176+U185</f>
        <v>139736565</v>
      </c>
      <c r="V170" s="471">
        <f t="shared" si="161"/>
        <v>0</v>
      </c>
      <c r="W170" s="471">
        <f t="shared" si="161"/>
        <v>24450868</v>
      </c>
      <c r="X170" s="472">
        <f t="shared" si="161"/>
        <v>164187433</v>
      </c>
      <c r="Y170" s="379">
        <f t="shared" si="161"/>
        <v>89729965</v>
      </c>
      <c r="Z170" s="471">
        <f t="shared" si="161"/>
        <v>381254</v>
      </c>
      <c r="AA170" s="472">
        <f t="shared" si="161"/>
        <v>90111219</v>
      </c>
      <c r="AB170" s="379">
        <f t="shared" si="161"/>
        <v>78854836</v>
      </c>
      <c r="AC170" s="471">
        <f t="shared" si="161"/>
        <v>381254</v>
      </c>
      <c r="AD170" s="472">
        <f t="shared" si="161"/>
        <v>79236090</v>
      </c>
      <c r="AE170" s="379">
        <f t="shared" si="161"/>
        <v>47228781</v>
      </c>
      <c r="AF170" s="471">
        <f t="shared" si="161"/>
        <v>3925228</v>
      </c>
      <c r="AG170" s="472">
        <f t="shared" si="161"/>
        <v>51154009</v>
      </c>
      <c r="AH170" s="379">
        <f t="shared" si="161"/>
        <v>74076214</v>
      </c>
      <c r="AI170" s="471">
        <f t="shared" si="161"/>
        <v>84951343</v>
      </c>
      <c r="AJ170" s="380">
        <f t="shared" si="161"/>
        <v>113033424</v>
      </c>
      <c r="AK170" s="9"/>
      <c r="AL170" s="128">
        <f>AL172+AL176+AL185</f>
        <v>0</v>
      </c>
      <c r="AM170" s="130">
        <f>AM172+AM176+AM185</f>
        <v>1500000</v>
      </c>
      <c r="AN170" s="9"/>
    </row>
    <row r="171" spans="1:40" s="382" customFormat="1" ht="24.95" customHeight="1">
      <c r="A171" s="752"/>
      <c r="B171" s="660"/>
      <c r="N171" s="9"/>
      <c r="P171" s="9"/>
      <c r="Q171" s="9"/>
      <c r="R171" s="9"/>
      <c r="S171" s="366" t="str">
        <f>+IF(MAYO!S171=0,"",MAYO!S171)</f>
        <v/>
      </c>
      <c r="T171" s="695"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2"/>
      <c r="B172" s="660"/>
      <c r="N172" s="9"/>
      <c r="P172" s="9"/>
      <c r="Q172" s="9"/>
      <c r="R172" s="9"/>
      <c r="S172" s="704">
        <f>+IF(MAYO!S172=0,"",MAYO!S172)</f>
        <v>3100000</v>
      </c>
      <c r="T172" s="680" t="str">
        <f>+IF(MAYO!T172=0,"",MAYO!T172)</f>
        <v>Transferencias al Sector Público</v>
      </c>
      <c r="U172" s="132">
        <f t="shared" ref="U172:AJ172" si="162">SUM(U173:U174)</f>
        <v>39651901</v>
      </c>
      <c r="V172" s="122">
        <f t="shared" si="162"/>
        <v>300000</v>
      </c>
      <c r="W172" s="122">
        <f t="shared" si="162"/>
        <v>21500000</v>
      </c>
      <c r="X172" s="129">
        <f t="shared" si="162"/>
        <v>61451901</v>
      </c>
      <c r="Y172" s="128">
        <f t="shared" si="162"/>
        <v>59206793</v>
      </c>
      <c r="Z172" s="122">
        <f t="shared" si="162"/>
        <v>200666</v>
      </c>
      <c r="AA172" s="129">
        <f t="shared" si="162"/>
        <v>59407459</v>
      </c>
      <c r="AB172" s="128">
        <f t="shared" si="162"/>
        <v>48626751</v>
      </c>
      <c r="AC172" s="122">
        <f t="shared" si="162"/>
        <v>200666</v>
      </c>
      <c r="AD172" s="129">
        <f t="shared" si="162"/>
        <v>48827417</v>
      </c>
      <c r="AE172" s="128">
        <f t="shared" si="162"/>
        <v>20274952</v>
      </c>
      <c r="AF172" s="122">
        <f t="shared" si="162"/>
        <v>3744640</v>
      </c>
      <c r="AG172" s="129">
        <f t="shared" si="162"/>
        <v>24019592</v>
      </c>
      <c r="AH172" s="128">
        <f t="shared" si="162"/>
        <v>2044442</v>
      </c>
      <c r="AI172" s="122">
        <f t="shared" si="162"/>
        <v>12624484</v>
      </c>
      <c r="AJ172" s="130">
        <f t="shared" si="162"/>
        <v>37432309</v>
      </c>
      <c r="AK172" s="9"/>
      <c r="AL172" s="128">
        <f>SUM(AL173:AL174)</f>
        <v>0</v>
      </c>
      <c r="AM172" s="130">
        <f>SUM(AM173:AM174)</f>
        <v>1500000</v>
      </c>
      <c r="AN172" s="9"/>
    </row>
    <row r="173" spans="1:40" s="382" customFormat="1" ht="24.95" customHeight="1">
      <c r="A173" s="752"/>
      <c r="B173" s="660"/>
      <c r="N173" s="9"/>
      <c r="P173" s="9"/>
      <c r="Q173" s="9"/>
      <c r="R173" s="9"/>
      <c r="S173" s="705">
        <f>+IF(MAYO!S173=0,"",MAYO!S173)</f>
        <v>3100003</v>
      </c>
      <c r="T173" s="681" t="str">
        <f>+IF(MAYO!T173=0,"",MAYO!T173)</f>
        <v>Entidades Públicas (Contraloria, Supersalud,…)</v>
      </c>
      <c r="U173" s="27">
        <f>+ENERO!U173</f>
        <v>39651901</v>
      </c>
      <c r="V173" s="15">
        <f>MAYO!V173+JUNIO!AL173</f>
        <v>-357430</v>
      </c>
      <c r="W173" s="15">
        <f>MAYO!W173+JUNIO!AM173</f>
        <v>21500000</v>
      </c>
      <c r="X173" s="18">
        <f>SUM(U173:W173)</f>
        <v>60794471</v>
      </c>
      <c r="Y173" s="19">
        <f>MAYO!AA173</f>
        <v>59206793</v>
      </c>
      <c r="Z173" s="374">
        <v>200666</v>
      </c>
      <c r="AA173" s="18">
        <f>SUM(Y173:Z173)</f>
        <v>59407459</v>
      </c>
      <c r="AB173" s="19">
        <f>MAYO!AD173</f>
        <v>48626751</v>
      </c>
      <c r="AC173" s="374">
        <v>200666</v>
      </c>
      <c r="AD173" s="18">
        <f>SUM(AB173:AC173)</f>
        <v>48827417</v>
      </c>
      <c r="AE173" s="19">
        <f>MAYO!AG173</f>
        <v>20274952</v>
      </c>
      <c r="AF173" s="374">
        <v>3744640</v>
      </c>
      <c r="AG173" s="18">
        <f>SUM(AE173:AF173)</f>
        <v>24019592</v>
      </c>
      <c r="AH173" s="19">
        <f>X173-AA173</f>
        <v>1387012</v>
      </c>
      <c r="AI173" s="15">
        <f>X173-AD173</f>
        <v>11967054</v>
      </c>
      <c r="AJ173" s="16">
        <f>X173-AG173</f>
        <v>36774879</v>
      </c>
      <c r="AK173" s="9"/>
      <c r="AL173" s="372">
        <v>0</v>
      </c>
      <c r="AM173" s="375">
        <v>1500000</v>
      </c>
      <c r="AN173" s="9"/>
    </row>
    <row r="174" spans="1:40" s="382" customFormat="1" ht="24.95" customHeight="1">
      <c r="A174" s="752"/>
      <c r="B174" s="660"/>
      <c r="N174" s="9"/>
      <c r="P174" s="9"/>
      <c r="Q174" s="9"/>
      <c r="R174" s="9"/>
      <c r="S174" s="705">
        <f>+IF(MAYO!S174=0,"",MAYO!S174)</f>
        <v>3199999</v>
      </c>
      <c r="T174" s="681" t="str">
        <f>+IF(MAYO!T174=0,"",MAYO!T174)</f>
        <v>Vigencias Anteriores</v>
      </c>
      <c r="U174" s="27">
        <f>+ENERO!U174</f>
        <v>0</v>
      </c>
      <c r="V174" s="15">
        <f>MAYO!V174+JUNIO!AL174</f>
        <v>657430</v>
      </c>
      <c r="W174" s="15">
        <f>MAYO!W174+JUNIO!AM174</f>
        <v>0</v>
      </c>
      <c r="X174" s="18">
        <f>SUM(U174:W174)</f>
        <v>657430</v>
      </c>
      <c r="Y174" s="19">
        <f>MAYO!AA174</f>
        <v>0</v>
      </c>
      <c r="Z174" s="374">
        <v>0</v>
      </c>
      <c r="AA174" s="18">
        <f>SUM(Y174:Z174)</f>
        <v>0</v>
      </c>
      <c r="AB174" s="19">
        <f>MAYO!AD174</f>
        <v>0</v>
      </c>
      <c r="AC174" s="374">
        <v>0</v>
      </c>
      <c r="AD174" s="18">
        <f>SUM(AB174:AC174)</f>
        <v>0</v>
      </c>
      <c r="AE174" s="19">
        <f>MAYO!AG174</f>
        <v>0</v>
      </c>
      <c r="AF174" s="374">
        <v>0</v>
      </c>
      <c r="AG174" s="18">
        <f>SUM(AE174:AF174)</f>
        <v>0</v>
      </c>
      <c r="AH174" s="19">
        <f>X174-AA174</f>
        <v>657430</v>
      </c>
      <c r="AI174" s="15">
        <f>X174-AD174</f>
        <v>657430</v>
      </c>
      <c r="AJ174" s="16">
        <f>X174-AG174</f>
        <v>657430</v>
      </c>
      <c r="AK174" s="9"/>
      <c r="AL174" s="372">
        <v>0</v>
      </c>
      <c r="AM174" s="375">
        <v>0</v>
      </c>
      <c r="AN174" s="9"/>
    </row>
    <row r="175" spans="1:40" s="382" customFormat="1" ht="24.95" customHeight="1">
      <c r="A175" s="752"/>
      <c r="B175" s="660"/>
      <c r="N175" s="9"/>
      <c r="P175" s="9"/>
      <c r="Q175" s="9"/>
      <c r="R175" s="9"/>
      <c r="S175" s="366" t="str">
        <f>+IF(MAYO!S175=0,"",MAYO!S175)</f>
        <v/>
      </c>
      <c r="T175" s="695"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2"/>
      <c r="B176" s="660"/>
      <c r="N176" s="9"/>
      <c r="P176" s="9"/>
      <c r="Q176" s="9"/>
      <c r="R176" s="9"/>
      <c r="S176" s="704">
        <f>+IF(MAYO!S176=0,"",MAYO!S176)</f>
        <v>320000</v>
      </c>
      <c r="T176" s="680" t="str">
        <f>+IF(MAYO!T176=0,"",MAYO!T176)</f>
        <v>Transf. Previsión y Seguridad Social</v>
      </c>
      <c r="U176" s="132">
        <f t="shared" ref="U176:AJ176" si="163">SUM(U177:U183)</f>
        <v>50084664</v>
      </c>
      <c r="V176" s="122">
        <f t="shared" si="163"/>
        <v>0</v>
      </c>
      <c r="W176" s="122">
        <f t="shared" si="163"/>
        <v>0</v>
      </c>
      <c r="X176" s="129">
        <f t="shared" si="163"/>
        <v>50084664</v>
      </c>
      <c r="Y176" s="128">
        <f t="shared" si="163"/>
        <v>18273550</v>
      </c>
      <c r="Z176" s="122">
        <f t="shared" si="163"/>
        <v>180588</v>
      </c>
      <c r="AA176" s="129">
        <f t="shared" si="163"/>
        <v>18454138</v>
      </c>
      <c r="AB176" s="128">
        <f t="shared" si="163"/>
        <v>18273550</v>
      </c>
      <c r="AC176" s="122">
        <f t="shared" si="163"/>
        <v>180588</v>
      </c>
      <c r="AD176" s="129">
        <f t="shared" si="163"/>
        <v>18454138</v>
      </c>
      <c r="AE176" s="128">
        <f t="shared" si="163"/>
        <v>18092962</v>
      </c>
      <c r="AF176" s="122">
        <f t="shared" si="163"/>
        <v>180588</v>
      </c>
      <c r="AG176" s="129">
        <f t="shared" si="163"/>
        <v>18273550</v>
      </c>
      <c r="AH176" s="128">
        <f t="shared" si="163"/>
        <v>31630526</v>
      </c>
      <c r="AI176" s="122">
        <f t="shared" si="163"/>
        <v>31630526</v>
      </c>
      <c r="AJ176" s="130">
        <f t="shared" si="163"/>
        <v>31811114</v>
      </c>
      <c r="AK176" s="9"/>
      <c r="AL176" s="128">
        <f>SUM(AL177:AL183)</f>
        <v>0</v>
      </c>
      <c r="AM176" s="130">
        <f>SUM(AM177:AM183)</f>
        <v>0</v>
      </c>
      <c r="AN176" s="9"/>
    </row>
    <row r="177" spans="1:40" s="382" customFormat="1" ht="24.95" customHeight="1">
      <c r="A177" s="752"/>
      <c r="B177" s="660"/>
      <c r="N177" s="9"/>
      <c r="P177" s="9"/>
      <c r="Q177" s="9"/>
      <c r="R177" s="9"/>
      <c r="S177" s="705">
        <f>+IF(MAYO!S177=0,"",MAYO!S177)</f>
        <v>3200100</v>
      </c>
      <c r="T177" s="681" t="str">
        <f>+IF(MAYO!T177=0,"",MAYO!T177)</f>
        <v>Pensiones y Jubilaciones (Pago Directo)</v>
      </c>
      <c r="U177" s="27">
        <f>+ENERO!U177</f>
        <v>18619412</v>
      </c>
      <c r="V177" s="15">
        <f>MAYO!V177+JUNIO!AL177</f>
        <v>0</v>
      </c>
      <c r="W177" s="15">
        <f>MAYO!W177+JUNIO!AM177</f>
        <v>0</v>
      </c>
      <c r="X177" s="18">
        <f t="shared" ref="X177:X183" si="164">SUM(U177:W177)</f>
        <v>18619412</v>
      </c>
      <c r="Y177" s="19">
        <f>MAYO!AA177</f>
        <v>5307284</v>
      </c>
      <c r="Z177" s="374">
        <v>0</v>
      </c>
      <c r="AA177" s="18">
        <f t="shared" ref="AA177:AA183" si="165">SUM(Y177:Z177)</f>
        <v>5307284</v>
      </c>
      <c r="AB177" s="19">
        <f>MAYO!AD177</f>
        <v>5307284</v>
      </c>
      <c r="AC177" s="374">
        <v>0</v>
      </c>
      <c r="AD177" s="18">
        <f t="shared" ref="AD177:AD183" si="166">SUM(AB177:AC177)</f>
        <v>5307284</v>
      </c>
      <c r="AE177" s="19">
        <f>MAYO!AG177</f>
        <v>5307284</v>
      </c>
      <c r="AF177" s="374">
        <v>0</v>
      </c>
      <c r="AG177" s="18">
        <f t="shared" ref="AG177:AG183" si="167">SUM(AE177:AF177)</f>
        <v>5307284</v>
      </c>
      <c r="AH177" s="19">
        <f t="shared" ref="AH177:AH183" si="168">X177-AA177</f>
        <v>13312128</v>
      </c>
      <c r="AI177" s="15">
        <f t="shared" ref="AI177:AI183" si="169">X177-AD177</f>
        <v>13312128</v>
      </c>
      <c r="AJ177" s="16">
        <f t="shared" ref="AJ177:AJ183" si="170">X177-AG177</f>
        <v>13312128</v>
      </c>
      <c r="AK177" s="9"/>
      <c r="AL177" s="372">
        <v>0</v>
      </c>
      <c r="AM177" s="375">
        <v>0</v>
      </c>
      <c r="AN177" s="9"/>
    </row>
    <row r="178" spans="1:40" s="382" customFormat="1" ht="24.95" customHeight="1">
      <c r="A178" s="752"/>
      <c r="B178" s="660"/>
      <c r="N178" s="9"/>
      <c r="P178" s="9"/>
      <c r="Q178" s="9"/>
      <c r="R178" s="9"/>
      <c r="S178" s="705">
        <f>+IF(MAYO!S178=0,"",MAYO!S178)</f>
        <v>3200200</v>
      </c>
      <c r="T178" s="681" t="str">
        <f>+IF(MAYO!T178=0,"",MAYO!T178)</f>
        <v>Cesantías Pago Directo (Pago Directo)</v>
      </c>
      <c r="U178" s="27">
        <f>+ENERO!U178</f>
        <v>14936566</v>
      </c>
      <c r="V178" s="15">
        <f>MAYO!V178+JUNIO!AL178</f>
        <v>0</v>
      </c>
      <c r="W178" s="15">
        <f>MAYO!W178+JUNIO!AM178</f>
        <v>0</v>
      </c>
      <c r="X178" s="18">
        <f t="shared" si="164"/>
        <v>14936566</v>
      </c>
      <c r="Y178" s="19">
        <f>MAYO!AA178</f>
        <v>331170</v>
      </c>
      <c r="Z178" s="374">
        <v>0</v>
      </c>
      <c r="AA178" s="18">
        <f t="shared" si="165"/>
        <v>331170</v>
      </c>
      <c r="AB178" s="19">
        <f>MAYO!AD178</f>
        <v>331170</v>
      </c>
      <c r="AC178" s="374">
        <v>0</v>
      </c>
      <c r="AD178" s="18">
        <f t="shared" si="166"/>
        <v>331170</v>
      </c>
      <c r="AE178" s="19">
        <f>MAYO!AG178</f>
        <v>331170</v>
      </c>
      <c r="AF178" s="374">
        <v>0</v>
      </c>
      <c r="AG178" s="18">
        <f t="shared" si="167"/>
        <v>331170</v>
      </c>
      <c r="AH178" s="19">
        <f t="shared" si="168"/>
        <v>14605396</v>
      </c>
      <c r="AI178" s="15">
        <f t="shared" si="169"/>
        <v>14605396</v>
      </c>
      <c r="AJ178" s="16">
        <f t="shared" si="170"/>
        <v>14605396</v>
      </c>
      <c r="AK178" s="9"/>
      <c r="AL178" s="372">
        <v>0</v>
      </c>
      <c r="AM178" s="375">
        <v>0</v>
      </c>
      <c r="AN178" s="9"/>
    </row>
    <row r="179" spans="1:40" s="382" customFormat="1" ht="24.95" customHeight="1">
      <c r="A179" s="752"/>
      <c r="B179" s="660"/>
      <c r="N179" s="9"/>
      <c r="P179" s="9"/>
      <c r="Q179" s="9"/>
      <c r="R179" s="9"/>
      <c r="S179" s="705">
        <f>+IF(MAYO!S179=0,"",MAYO!S179)</f>
        <v>3200300</v>
      </c>
      <c r="T179" s="681" t="str">
        <f>+IF(MAYO!T179=0,"",MAYO!T179)</f>
        <v>Bonos, Cuotas de Bonos y cuotas partes jubilatorias</v>
      </c>
      <c r="U179" s="27">
        <f>+ENERO!U179</f>
        <v>0</v>
      </c>
      <c r="V179" s="15">
        <f>MAYO!V179+JUNIO!AL179</f>
        <v>4000000</v>
      </c>
      <c r="W179" s="15">
        <f>MAYO!W179+JUNIO!AM179</f>
        <v>0</v>
      </c>
      <c r="X179" s="18">
        <f t="shared" si="164"/>
        <v>4000000</v>
      </c>
      <c r="Y179" s="19">
        <f>MAYO!AA179</f>
        <v>1069135</v>
      </c>
      <c r="Z179" s="374">
        <v>180588</v>
      </c>
      <c r="AA179" s="18">
        <f t="shared" si="165"/>
        <v>1249723</v>
      </c>
      <c r="AB179" s="19">
        <f>MAYO!AD179</f>
        <v>1069135</v>
      </c>
      <c r="AC179" s="374">
        <v>180588</v>
      </c>
      <c r="AD179" s="18">
        <f t="shared" si="166"/>
        <v>1249723</v>
      </c>
      <c r="AE179" s="19">
        <f>MAYO!AG179</f>
        <v>888547</v>
      </c>
      <c r="AF179" s="374">
        <v>180588</v>
      </c>
      <c r="AG179" s="18">
        <f t="shared" si="167"/>
        <v>1069135</v>
      </c>
      <c r="AH179" s="19">
        <f t="shared" si="168"/>
        <v>2750277</v>
      </c>
      <c r="AI179" s="15">
        <f t="shared" si="169"/>
        <v>2750277</v>
      </c>
      <c r="AJ179" s="16">
        <f t="shared" si="170"/>
        <v>2930865</v>
      </c>
      <c r="AK179" s="9"/>
      <c r="AL179" s="372">
        <v>0</v>
      </c>
      <c r="AM179" s="375">
        <v>0</v>
      </c>
      <c r="AN179" s="9"/>
    </row>
    <row r="180" spans="1:40" s="382" customFormat="1" ht="24.95" customHeight="1">
      <c r="A180" s="752"/>
      <c r="B180" s="660"/>
      <c r="N180" s="9"/>
      <c r="P180" s="9"/>
      <c r="Q180" s="9"/>
      <c r="R180" s="9"/>
      <c r="S180" s="705">
        <f>+IF(MAYO!S180=0,"",MAYO!S180)</f>
        <v>3200400</v>
      </c>
      <c r="T180" s="681" t="str">
        <f>+IF(MAYO!T180=0,"",MAYO!T180)</f>
        <v>Intereses a las cesantias</v>
      </c>
      <c r="U180" s="27">
        <f>+ENERO!U180</f>
        <v>16528686</v>
      </c>
      <c r="V180" s="15">
        <f>MAYO!V180+JUNIO!AL180</f>
        <v>-4000000</v>
      </c>
      <c r="W180" s="15">
        <f>MAYO!W180+JUNIO!AM180</f>
        <v>0</v>
      </c>
      <c r="X180" s="18">
        <f t="shared" si="164"/>
        <v>12528686</v>
      </c>
      <c r="Y180" s="19">
        <f>MAYO!AA180</f>
        <v>11565961</v>
      </c>
      <c r="Z180" s="374">
        <v>0</v>
      </c>
      <c r="AA180" s="18">
        <f t="shared" si="165"/>
        <v>11565961</v>
      </c>
      <c r="AB180" s="19">
        <f>MAYO!AD180</f>
        <v>11565961</v>
      </c>
      <c r="AC180" s="374">
        <v>0</v>
      </c>
      <c r="AD180" s="18">
        <f t="shared" si="166"/>
        <v>11565961</v>
      </c>
      <c r="AE180" s="19">
        <f>MAYO!AG180</f>
        <v>11565961</v>
      </c>
      <c r="AF180" s="374">
        <v>0</v>
      </c>
      <c r="AG180" s="18">
        <f t="shared" si="167"/>
        <v>11565961</v>
      </c>
      <c r="AH180" s="19">
        <f t="shared" si="168"/>
        <v>962725</v>
      </c>
      <c r="AI180" s="15">
        <f t="shared" si="169"/>
        <v>962725</v>
      </c>
      <c r="AJ180" s="16">
        <f t="shared" si="170"/>
        <v>962725</v>
      </c>
      <c r="AK180" s="9"/>
      <c r="AL180" s="372">
        <v>0</v>
      </c>
      <c r="AM180" s="375">
        <v>0</v>
      </c>
      <c r="AN180" s="9"/>
    </row>
    <row r="181" spans="1:40" s="382" customFormat="1" ht="24.95" customHeight="1">
      <c r="A181" s="752"/>
      <c r="B181" s="660"/>
      <c r="N181" s="9"/>
      <c r="P181" s="9"/>
      <c r="Q181" s="9"/>
      <c r="R181" s="9"/>
      <c r="S181" s="705" t="str">
        <f>+IF(MAYO!S181=0,"",MAYO!S181)</f>
        <v/>
      </c>
      <c r="T181" s="681" t="str">
        <f>+IF(MAYO!T181=0,"",MAYO!T181)</f>
        <v/>
      </c>
      <c r="U181" s="27">
        <f>+ENERO!U181</f>
        <v>0</v>
      </c>
      <c r="V181" s="15">
        <f>MAYO!V181+JUNIO!AL181</f>
        <v>0</v>
      </c>
      <c r="W181" s="15">
        <f>MAYO!W181+JUNIO!AM181</f>
        <v>0</v>
      </c>
      <c r="X181" s="18">
        <f t="shared" si="164"/>
        <v>0</v>
      </c>
      <c r="Y181" s="19">
        <f>MAYO!AA181</f>
        <v>0</v>
      </c>
      <c r="Z181" s="374">
        <v>0</v>
      </c>
      <c r="AA181" s="18">
        <f t="shared" si="165"/>
        <v>0</v>
      </c>
      <c r="AB181" s="19">
        <f>MAYO!AD181</f>
        <v>0</v>
      </c>
      <c r="AC181" s="374">
        <v>0</v>
      </c>
      <c r="AD181" s="18">
        <f t="shared" si="166"/>
        <v>0</v>
      </c>
      <c r="AE181" s="19">
        <f>MAYO!AG181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2"/>
      <c r="B182" s="660"/>
      <c r="N182" s="9"/>
      <c r="P182" s="9"/>
      <c r="Q182" s="9"/>
      <c r="R182" s="9"/>
      <c r="S182" s="705" t="str">
        <f>+IF(MAYO!S182=0,"",MAYO!S182)</f>
        <v/>
      </c>
      <c r="T182" s="681" t="str">
        <f>+IF(MAYO!T182=0,"",MAYO!T182)</f>
        <v/>
      </c>
      <c r="U182" s="27">
        <f>+ENERO!U182</f>
        <v>0</v>
      </c>
      <c r="V182" s="15">
        <f>MAYO!V182+JUNIO!AL182</f>
        <v>0</v>
      </c>
      <c r="W182" s="15">
        <f>MAYO!W182+JUNIO!AM182</f>
        <v>0</v>
      </c>
      <c r="X182" s="18">
        <f t="shared" si="164"/>
        <v>0</v>
      </c>
      <c r="Y182" s="19">
        <f>MAYO!AA182</f>
        <v>0</v>
      </c>
      <c r="Z182" s="374">
        <v>0</v>
      </c>
      <c r="AA182" s="18">
        <f t="shared" si="165"/>
        <v>0</v>
      </c>
      <c r="AB182" s="19">
        <f>MAYO!AD182</f>
        <v>0</v>
      </c>
      <c r="AC182" s="374">
        <v>0</v>
      </c>
      <c r="AD182" s="18">
        <f t="shared" si="166"/>
        <v>0</v>
      </c>
      <c r="AE182" s="19">
        <f>MAYO!AG182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2"/>
      <c r="B183" s="660"/>
      <c r="N183" s="9"/>
      <c r="P183" s="9"/>
      <c r="Q183" s="9"/>
      <c r="R183" s="9"/>
      <c r="S183" s="705">
        <f>+IF(MAYO!S183=0,"",MAYO!S183)</f>
        <v>3299999</v>
      </c>
      <c r="T183" s="681" t="str">
        <f>+IF(MAYO!T183=0,"",MAYO!T183)</f>
        <v>Vigencias Anteriores</v>
      </c>
      <c r="U183" s="27">
        <f>+ENERO!U183</f>
        <v>0</v>
      </c>
      <c r="V183" s="15">
        <f>MAYO!V183+JUNIO!AL183</f>
        <v>0</v>
      </c>
      <c r="W183" s="15">
        <f>MAYO!W183+JUNIO!AM183</f>
        <v>0</v>
      </c>
      <c r="X183" s="18">
        <f t="shared" si="164"/>
        <v>0</v>
      </c>
      <c r="Y183" s="19">
        <f>MAYO!AA183</f>
        <v>0</v>
      </c>
      <c r="Z183" s="374">
        <v>0</v>
      </c>
      <c r="AA183" s="18">
        <f t="shared" si="165"/>
        <v>0</v>
      </c>
      <c r="AB183" s="19">
        <f>MAYO!AD183</f>
        <v>0</v>
      </c>
      <c r="AC183" s="374">
        <v>0</v>
      </c>
      <c r="AD183" s="18">
        <f t="shared" si="166"/>
        <v>0</v>
      </c>
      <c r="AE183" s="19">
        <f>MAYO!AG183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2"/>
      <c r="B184" s="660"/>
      <c r="N184" s="9"/>
      <c r="P184" s="9"/>
      <c r="Q184" s="9"/>
      <c r="R184" s="9"/>
      <c r="S184" s="366" t="str">
        <f>+IF(MAYO!S184=0,"",MAYO!S184)</f>
        <v/>
      </c>
      <c r="T184" s="695"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82" customFormat="1" ht="24.95" customHeight="1">
      <c r="A185" s="752"/>
      <c r="B185" s="660"/>
      <c r="N185" s="9"/>
      <c r="P185" s="9"/>
      <c r="Q185" s="9"/>
      <c r="R185" s="9"/>
      <c r="S185" s="704">
        <f>+IF(MAYO!S185=0,"",MAYO!S185)</f>
        <v>3300000</v>
      </c>
      <c r="T185" s="680" t="str">
        <f>+IF(MAYO!T185=0,"",MAYO!T185)</f>
        <v>Otras Transferencias</v>
      </c>
      <c r="U185" s="132">
        <f t="shared" ref="U185:AJ185" si="171">U186+U187+U191</f>
        <v>50000000</v>
      </c>
      <c r="V185" s="122">
        <f t="shared" si="171"/>
        <v>-300000</v>
      </c>
      <c r="W185" s="122">
        <f t="shared" si="171"/>
        <v>2950868</v>
      </c>
      <c r="X185" s="129">
        <f t="shared" si="171"/>
        <v>52650868</v>
      </c>
      <c r="Y185" s="128">
        <f t="shared" si="171"/>
        <v>12249622</v>
      </c>
      <c r="Z185" s="122">
        <f t="shared" si="171"/>
        <v>0</v>
      </c>
      <c r="AA185" s="129">
        <f t="shared" si="171"/>
        <v>12249622</v>
      </c>
      <c r="AB185" s="128">
        <f t="shared" si="171"/>
        <v>11954535</v>
      </c>
      <c r="AC185" s="122">
        <f t="shared" si="171"/>
        <v>0</v>
      </c>
      <c r="AD185" s="129">
        <f t="shared" si="171"/>
        <v>11954535</v>
      </c>
      <c r="AE185" s="128">
        <f t="shared" si="171"/>
        <v>8860867</v>
      </c>
      <c r="AF185" s="122">
        <f t="shared" si="171"/>
        <v>0</v>
      </c>
      <c r="AG185" s="129">
        <f t="shared" si="171"/>
        <v>8860867</v>
      </c>
      <c r="AH185" s="128">
        <f t="shared" si="171"/>
        <v>40401246</v>
      </c>
      <c r="AI185" s="122">
        <f t="shared" si="171"/>
        <v>40696333</v>
      </c>
      <c r="AJ185" s="130">
        <f t="shared" si="171"/>
        <v>43790001</v>
      </c>
      <c r="AK185" s="9"/>
      <c r="AL185" s="128">
        <f>AL186+AL187+AL191</f>
        <v>0</v>
      </c>
      <c r="AM185" s="130">
        <f>AM186+AM187+AM191</f>
        <v>0</v>
      </c>
      <c r="AN185" s="9"/>
    </row>
    <row r="186" spans="1:40" s="382" customFormat="1" ht="24.95" customHeight="1">
      <c r="A186" s="752"/>
      <c r="B186" s="660"/>
      <c r="N186" s="9"/>
      <c r="P186" s="9"/>
      <c r="Q186" s="9"/>
      <c r="R186" s="9"/>
      <c r="S186" s="705">
        <f>+IF(MAYO!S186=0,"",MAYO!S186)</f>
        <v>3300100</v>
      </c>
      <c r="T186" s="681" t="str">
        <f>+IF(MAYO!T186=0,"",MAYO!T186)</f>
        <v>Sentencias y Conciliaciones</v>
      </c>
      <c r="U186" s="27">
        <f>+ENERO!U186</f>
        <v>50000000</v>
      </c>
      <c r="V186" s="15">
        <f>MAYO!V186+JUNIO!AL186</f>
        <v>-3393668</v>
      </c>
      <c r="W186" s="15">
        <f>MAYO!W186+JUNIO!AM186</f>
        <v>0</v>
      </c>
      <c r="X186" s="18">
        <f>SUM(U186:W186)</f>
        <v>46606332</v>
      </c>
      <c r="Y186" s="19">
        <f>MAYO!AA186</f>
        <v>6205086</v>
      </c>
      <c r="Z186" s="374">
        <v>0</v>
      </c>
      <c r="AA186" s="18">
        <f>SUM(Y186:Z186)</f>
        <v>6205086</v>
      </c>
      <c r="AB186" s="19">
        <f>MAYO!AD186</f>
        <v>6205086</v>
      </c>
      <c r="AC186" s="374">
        <v>0</v>
      </c>
      <c r="AD186" s="18">
        <f>SUM(AB186:AC186)</f>
        <v>6205086</v>
      </c>
      <c r="AE186" s="19">
        <f>MAYO!AG186</f>
        <v>6205086</v>
      </c>
      <c r="AF186" s="374">
        <v>0</v>
      </c>
      <c r="AG186" s="18">
        <f>SUM(AE186:AF186)</f>
        <v>6205086</v>
      </c>
      <c r="AH186" s="19">
        <f>X186-AA186</f>
        <v>40401246</v>
      </c>
      <c r="AI186" s="15">
        <f>X186-AD186</f>
        <v>40401246</v>
      </c>
      <c r="AJ186" s="16">
        <f>X186-AG186</f>
        <v>40401246</v>
      </c>
      <c r="AK186" s="9"/>
      <c r="AL186" s="372">
        <v>0</v>
      </c>
      <c r="AM186" s="375">
        <v>0</v>
      </c>
      <c r="AN186" s="9"/>
    </row>
    <row r="187" spans="1:40" s="382" customFormat="1" ht="24.95" customHeight="1">
      <c r="A187" s="752"/>
      <c r="B187" s="660"/>
      <c r="N187" s="9"/>
      <c r="P187" s="9"/>
      <c r="Q187" s="9"/>
      <c r="R187" s="9"/>
      <c r="S187" s="705">
        <f>+IF(MAYO!S187=0,"",MAYO!S187)</f>
        <v>3300200</v>
      </c>
      <c r="T187" s="681" t="str">
        <f>+IF(MAYO!T187=0,"",MAYO!T187)</f>
        <v>Destinatarios de otras transferencias</v>
      </c>
      <c r="U187" s="27">
        <f t="shared" ref="U187:AM187" si="172">SUM(U188:U190)</f>
        <v>0</v>
      </c>
      <c r="V187" s="15">
        <f t="shared" si="172"/>
        <v>3093668</v>
      </c>
      <c r="W187" s="15">
        <f t="shared" si="172"/>
        <v>2950868</v>
      </c>
      <c r="X187" s="18">
        <f t="shared" si="172"/>
        <v>6044536</v>
      </c>
      <c r="Y187" s="19">
        <f t="shared" si="172"/>
        <v>6044536</v>
      </c>
      <c r="Z187" s="142">
        <f t="shared" si="172"/>
        <v>0</v>
      </c>
      <c r="AA187" s="18">
        <f t="shared" si="172"/>
        <v>6044536</v>
      </c>
      <c r="AB187" s="19">
        <f t="shared" si="172"/>
        <v>5749449</v>
      </c>
      <c r="AC187" s="142">
        <f t="shared" si="172"/>
        <v>0</v>
      </c>
      <c r="AD187" s="18">
        <f t="shared" si="172"/>
        <v>5749449</v>
      </c>
      <c r="AE187" s="19">
        <f t="shared" si="172"/>
        <v>2655781</v>
      </c>
      <c r="AF187" s="142">
        <f t="shared" si="172"/>
        <v>0</v>
      </c>
      <c r="AG187" s="18">
        <f t="shared" si="172"/>
        <v>2655781</v>
      </c>
      <c r="AH187" s="19">
        <f t="shared" si="172"/>
        <v>0</v>
      </c>
      <c r="AI187" s="15">
        <f t="shared" si="172"/>
        <v>295087</v>
      </c>
      <c r="AJ187" s="16">
        <f t="shared" si="172"/>
        <v>3388755</v>
      </c>
      <c r="AK187" s="9"/>
      <c r="AL187" s="29">
        <f t="shared" si="172"/>
        <v>0</v>
      </c>
      <c r="AM187" s="26">
        <f t="shared" si="172"/>
        <v>0</v>
      </c>
      <c r="AN187" s="9"/>
    </row>
    <row r="188" spans="1:40" s="382" customFormat="1" ht="24.95" customHeight="1">
      <c r="A188" s="752"/>
      <c r="B188" s="661"/>
      <c r="N188" s="9"/>
      <c r="P188" s="9"/>
      <c r="Q188" s="9"/>
      <c r="R188" s="9"/>
      <c r="S188" s="706" t="str">
        <f>+IF(MAYO!S188=0,"",MAYO!S188)</f>
        <v>3300200-1</v>
      </c>
      <c r="T188" s="681" t="str">
        <f>+IF(MAYO!T188=0,"",MAYO!T188)</f>
        <v>COHAN</v>
      </c>
      <c r="U188" s="27">
        <f>+ENERO!U188</f>
        <v>0</v>
      </c>
      <c r="V188" s="15">
        <f>MAYO!V188+JUNIO!AL188</f>
        <v>3093668</v>
      </c>
      <c r="W188" s="15">
        <f>MAYO!W188+JUNIO!AM188</f>
        <v>0</v>
      </c>
      <c r="X188" s="18">
        <f>SUM(U188:W188)</f>
        <v>3093668</v>
      </c>
      <c r="Y188" s="19">
        <f>MAYO!AA188</f>
        <v>3093668</v>
      </c>
      <c r="Z188" s="374">
        <v>0</v>
      </c>
      <c r="AA188" s="18">
        <f>SUM(Y188:Z188)</f>
        <v>3093668</v>
      </c>
      <c r="AB188" s="19">
        <f>MAYO!AD188</f>
        <v>3093668</v>
      </c>
      <c r="AC188" s="374">
        <v>0</v>
      </c>
      <c r="AD188" s="18">
        <f>SUM(AB188:AC188)</f>
        <v>3093668</v>
      </c>
      <c r="AE188" s="19">
        <f>MAYO!AG188</f>
        <v>0</v>
      </c>
      <c r="AF188" s="374">
        <v>0</v>
      </c>
      <c r="AG188" s="18">
        <f>SUM(AE188:AF188)</f>
        <v>0</v>
      </c>
      <c r="AH188" s="19">
        <f>X188-AA188</f>
        <v>0</v>
      </c>
      <c r="AI188" s="15">
        <f>X188-AD188</f>
        <v>0</v>
      </c>
      <c r="AJ188" s="16">
        <f>X188-AG188</f>
        <v>3093668</v>
      </c>
      <c r="AK188" s="9"/>
      <c r="AL188" s="372">
        <v>0</v>
      </c>
      <c r="AM188" s="375">
        <v>0</v>
      </c>
      <c r="AN188" s="9"/>
    </row>
    <row r="189" spans="1:40" s="382" customFormat="1" ht="24.95" customHeight="1">
      <c r="A189" s="752"/>
      <c r="B189" s="661"/>
      <c r="N189" s="9"/>
      <c r="P189" s="9"/>
      <c r="Q189" s="9"/>
      <c r="R189" s="9"/>
      <c r="S189" s="706" t="str">
        <f>+IF(MAYO!S189=0,"",MAYO!S189)</f>
        <v>3300200-2</v>
      </c>
      <c r="T189" s="681" t="str">
        <f>+IF(MAYO!T189=0,"",MAYO!T189)</f>
        <v>AESA</v>
      </c>
      <c r="U189" s="27">
        <f>+ENERO!U189</f>
        <v>0</v>
      </c>
      <c r="V189" s="15">
        <f>MAYO!V189+JUNIO!AL189</f>
        <v>0</v>
      </c>
      <c r="W189" s="15">
        <f>MAYO!W189+JUNIO!AM189</f>
        <v>2950868</v>
      </c>
      <c r="X189" s="18">
        <f>SUM(U189:W189)</f>
        <v>2950868</v>
      </c>
      <c r="Y189" s="19">
        <f>MAYO!AA189</f>
        <v>2950868</v>
      </c>
      <c r="Z189" s="374">
        <v>0</v>
      </c>
      <c r="AA189" s="18">
        <f>SUM(Y189:Z189)</f>
        <v>2950868</v>
      </c>
      <c r="AB189" s="19">
        <f>MAYO!AD189</f>
        <v>2655781</v>
      </c>
      <c r="AC189" s="374">
        <v>0</v>
      </c>
      <c r="AD189" s="18">
        <f>SUM(AB189:AC189)</f>
        <v>2655781</v>
      </c>
      <c r="AE189" s="19">
        <f>MAYO!AG189</f>
        <v>2655781</v>
      </c>
      <c r="AF189" s="374">
        <v>0</v>
      </c>
      <c r="AG189" s="18">
        <f>SUM(AE189:AF189)</f>
        <v>2655781</v>
      </c>
      <c r="AH189" s="19">
        <f>X189-AA189</f>
        <v>0</v>
      </c>
      <c r="AI189" s="15">
        <f>X189-AD189</f>
        <v>295087</v>
      </c>
      <c r="AJ189" s="16">
        <f>X189-AG189</f>
        <v>295087</v>
      </c>
      <c r="AK189" s="9"/>
      <c r="AL189" s="372">
        <v>0</v>
      </c>
      <c r="AM189" s="375">
        <v>0</v>
      </c>
      <c r="AN189" s="9"/>
    </row>
    <row r="190" spans="1:40" s="382" customFormat="1" ht="24.95" customHeight="1">
      <c r="A190" s="752"/>
      <c r="B190" s="661"/>
      <c r="N190" s="9"/>
      <c r="P190" s="9"/>
      <c r="Q190" s="9"/>
      <c r="R190" s="9"/>
      <c r="S190" s="706" t="str">
        <f>+IF(MAYO!S190=0,"",MAYO!S190)</f>
        <v>3300200-3</v>
      </c>
      <c r="T190" s="681" t="str">
        <f>+IF(MAYO!T190=0,"",MAYO!T190)</f>
        <v xml:space="preserve">OTRAS </v>
      </c>
      <c r="U190" s="27">
        <f>+ENERO!U190</f>
        <v>0</v>
      </c>
      <c r="V190" s="15">
        <f>MAYO!V190+JUNIO!AL190</f>
        <v>0</v>
      </c>
      <c r="W190" s="15">
        <f>MAYO!W190+JUNIO!AM190</f>
        <v>0</v>
      </c>
      <c r="X190" s="18">
        <f>SUM(U190:W190)</f>
        <v>0</v>
      </c>
      <c r="Y190" s="19">
        <f>MAYO!AA190</f>
        <v>0</v>
      </c>
      <c r="Z190" s="374">
        <v>0</v>
      </c>
      <c r="AA190" s="18">
        <f>SUM(Y190:Z190)</f>
        <v>0</v>
      </c>
      <c r="AB190" s="19">
        <f>MAYO!AD190</f>
        <v>0</v>
      </c>
      <c r="AC190" s="374">
        <v>0</v>
      </c>
      <c r="AD190" s="18">
        <f>SUM(AB190:AC190)</f>
        <v>0</v>
      </c>
      <c r="AE190" s="19">
        <f>MAYO!AG190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2"/>
      <c r="B191" s="661"/>
      <c r="N191" s="9"/>
      <c r="P191" s="9"/>
      <c r="Q191" s="9"/>
      <c r="R191" s="9"/>
      <c r="S191" s="705">
        <f>+IF(MAYO!S191=0,"",MAYO!S191)</f>
        <v>3399999</v>
      </c>
      <c r="T191" s="681" t="str">
        <f>+IF(MAYO!T191=0,"",MAYO!T191)</f>
        <v>Vigencias Anteriores</v>
      </c>
      <c r="U191" s="27">
        <f>+ENERO!U191</f>
        <v>0</v>
      </c>
      <c r="V191" s="15">
        <f>MAYO!V191+JUNIO!AL191</f>
        <v>0</v>
      </c>
      <c r="W191" s="15">
        <f>MAYO!W191+JUNIO!AM191</f>
        <v>0</v>
      </c>
      <c r="X191" s="18">
        <f>SUM(U191:W191)</f>
        <v>0</v>
      </c>
      <c r="Y191" s="19">
        <f>MAYO!AA191</f>
        <v>0</v>
      </c>
      <c r="Z191" s="374">
        <v>0</v>
      </c>
      <c r="AA191" s="18">
        <f>SUM(Y191:Z191)</f>
        <v>0</v>
      </c>
      <c r="AB191" s="19">
        <f>MAYO!AD191</f>
        <v>0</v>
      </c>
      <c r="AC191" s="374">
        <v>0</v>
      </c>
      <c r="AD191" s="18">
        <f>SUM(AB191:AC191)</f>
        <v>0</v>
      </c>
      <c r="AE191" s="19">
        <f>MAYO!AG191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2"/>
      <c r="B192" s="661"/>
      <c r="N192" s="9"/>
      <c r="P192" s="9"/>
      <c r="Q192" s="9"/>
      <c r="R192" s="9"/>
      <c r="S192" s="805"/>
      <c r="T192" s="806"/>
      <c r="U192" s="188"/>
      <c r="V192" s="807"/>
      <c r="W192" s="807"/>
      <c r="X192" s="807"/>
      <c r="Y192" s="807"/>
      <c r="Z192" s="808"/>
      <c r="AA192" s="807"/>
      <c r="AB192" s="807"/>
      <c r="AC192" s="808"/>
      <c r="AD192" s="807"/>
      <c r="AE192" s="807"/>
      <c r="AF192" s="808"/>
      <c r="AG192" s="807"/>
      <c r="AH192" s="807"/>
      <c r="AI192" s="807"/>
      <c r="AJ192" s="173"/>
      <c r="AK192" s="9"/>
      <c r="AL192" s="809"/>
      <c r="AM192" s="810"/>
      <c r="AN192" s="9"/>
    </row>
    <row r="193" spans="1:40" s="382" customFormat="1" ht="42" customHeight="1">
      <c r="A193" s="752"/>
      <c r="B193" s="661"/>
      <c r="N193" s="9"/>
      <c r="P193" s="9"/>
      <c r="Q193" s="9"/>
      <c r="R193" s="9"/>
      <c r="S193" s="493" t="s">
        <v>325</v>
      </c>
      <c r="T193" s="689" t="s">
        <v>581</v>
      </c>
      <c r="U193" s="470">
        <f t="shared" ref="U193:AJ193" si="173">U195+U209</f>
        <v>14750406346</v>
      </c>
      <c r="V193" s="471">
        <f t="shared" si="173"/>
        <v>379588299</v>
      </c>
      <c r="W193" s="471">
        <f t="shared" si="173"/>
        <v>2783980076</v>
      </c>
      <c r="X193" s="380">
        <f t="shared" si="173"/>
        <v>17913974721</v>
      </c>
      <c r="Y193" s="379">
        <f t="shared" si="173"/>
        <v>9156234396</v>
      </c>
      <c r="Z193" s="494">
        <f t="shared" si="173"/>
        <v>1524009617</v>
      </c>
      <c r="AA193" s="380">
        <f t="shared" si="173"/>
        <v>10680244013</v>
      </c>
      <c r="AB193" s="470">
        <f t="shared" si="173"/>
        <v>7735767056</v>
      </c>
      <c r="AC193" s="494">
        <f t="shared" si="173"/>
        <v>1205936105</v>
      </c>
      <c r="AD193" s="472">
        <f t="shared" si="173"/>
        <v>8941703161</v>
      </c>
      <c r="AE193" s="379">
        <f t="shared" si="173"/>
        <v>3350750587</v>
      </c>
      <c r="AF193" s="494">
        <f t="shared" si="173"/>
        <v>689726646</v>
      </c>
      <c r="AG193" s="380">
        <f t="shared" si="173"/>
        <v>4040477233</v>
      </c>
      <c r="AH193" s="379">
        <f t="shared" si="173"/>
        <v>7233730708</v>
      </c>
      <c r="AI193" s="471">
        <f t="shared" si="173"/>
        <v>8972271560</v>
      </c>
      <c r="AJ193" s="380">
        <f t="shared" si="173"/>
        <v>13873497488</v>
      </c>
      <c r="AK193" s="9"/>
      <c r="AL193" s="379">
        <f>AL195+AL209</f>
        <v>-70000000</v>
      </c>
      <c r="AM193" s="380">
        <f>AM195+AM209</f>
        <v>968661269</v>
      </c>
      <c r="AN193" s="9"/>
    </row>
    <row r="194" spans="1:40" s="382" customFormat="1" ht="24.95" customHeight="1">
      <c r="A194" s="752"/>
      <c r="B194" s="661"/>
      <c r="N194" s="9"/>
      <c r="P194" s="9"/>
      <c r="Q194" s="9"/>
      <c r="R194" s="9"/>
      <c r="S194" s="366" t="str">
        <f>+IF(MAYO!S194=0,"",MAYO!S194)</f>
        <v/>
      </c>
      <c r="T194" s="695"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2"/>
      <c r="B195" s="661"/>
      <c r="N195" s="9"/>
      <c r="P195" s="9"/>
      <c r="Q195" s="9"/>
      <c r="R195" s="9"/>
      <c r="S195" s="703">
        <f>+IF(MAYO!S195=0,"",MAYO!S195)</f>
        <v>4000000</v>
      </c>
      <c r="T195" s="685" t="str">
        <f>+IF(MAYO!T195=0,"",MAYO!T195)</f>
        <v>GASTOS  DE PRESTACION DE SERVICIOS</v>
      </c>
      <c r="U195" s="470">
        <f t="shared" ref="U195:AJ195" si="174">U196</f>
        <v>14750406346</v>
      </c>
      <c r="V195" s="471">
        <f t="shared" si="174"/>
        <v>379588299</v>
      </c>
      <c r="W195" s="471">
        <f t="shared" si="174"/>
        <v>2783980076</v>
      </c>
      <c r="X195" s="472">
        <f t="shared" si="174"/>
        <v>17913974721</v>
      </c>
      <c r="Y195" s="379">
        <f t="shared" si="174"/>
        <v>9156234396</v>
      </c>
      <c r="Z195" s="471">
        <f t="shared" si="174"/>
        <v>1524009617</v>
      </c>
      <c r="AA195" s="472">
        <f t="shared" si="174"/>
        <v>10680244013</v>
      </c>
      <c r="AB195" s="379">
        <f t="shared" si="174"/>
        <v>7735767056</v>
      </c>
      <c r="AC195" s="471">
        <f t="shared" si="174"/>
        <v>1205936105</v>
      </c>
      <c r="AD195" s="472">
        <f t="shared" si="174"/>
        <v>8941703161</v>
      </c>
      <c r="AE195" s="379">
        <f t="shared" si="174"/>
        <v>3350750587</v>
      </c>
      <c r="AF195" s="471">
        <f t="shared" si="174"/>
        <v>689726646</v>
      </c>
      <c r="AG195" s="472">
        <f t="shared" si="174"/>
        <v>4040477233</v>
      </c>
      <c r="AH195" s="379">
        <f t="shared" si="174"/>
        <v>7233730708</v>
      </c>
      <c r="AI195" s="471">
        <f t="shared" si="174"/>
        <v>8972271560</v>
      </c>
      <c r="AJ195" s="380">
        <f t="shared" si="174"/>
        <v>13873497488</v>
      </c>
      <c r="AK195" s="9"/>
      <c r="AL195" s="128">
        <f>AL196</f>
        <v>-70000000</v>
      </c>
      <c r="AM195" s="130">
        <f>AM196</f>
        <v>968661269</v>
      </c>
      <c r="AN195" s="9"/>
    </row>
    <row r="196" spans="1:40" s="382" customFormat="1" ht="24.95" customHeight="1">
      <c r="A196" s="752"/>
      <c r="B196" s="661"/>
      <c r="N196" s="9"/>
      <c r="P196" s="9"/>
      <c r="Q196" s="9"/>
      <c r="R196" s="9"/>
      <c r="S196" s="704">
        <f>+IF(MAYO!S196=0,"",MAYO!S196)</f>
        <v>4100000</v>
      </c>
      <c r="T196" s="680" t="str">
        <f>+IF(MAYO!T196=0,"",MAYO!T196)</f>
        <v>Insumos y Suministros Hospitalarios</v>
      </c>
      <c r="U196" s="132">
        <f t="shared" ref="U196:AJ196" si="175">U197+U205+U207</f>
        <v>14750406346</v>
      </c>
      <c r="V196" s="122">
        <f t="shared" si="175"/>
        <v>379588299</v>
      </c>
      <c r="W196" s="122">
        <f t="shared" si="175"/>
        <v>2783980076</v>
      </c>
      <c r="X196" s="129">
        <f t="shared" si="175"/>
        <v>17913974721</v>
      </c>
      <c r="Y196" s="128">
        <f t="shared" si="175"/>
        <v>9156234396</v>
      </c>
      <c r="Z196" s="122">
        <f t="shared" si="175"/>
        <v>1524009617</v>
      </c>
      <c r="AA196" s="129">
        <f t="shared" si="175"/>
        <v>10680244013</v>
      </c>
      <c r="AB196" s="128">
        <f t="shared" si="175"/>
        <v>7735767056</v>
      </c>
      <c r="AC196" s="122">
        <f t="shared" si="175"/>
        <v>1205936105</v>
      </c>
      <c r="AD196" s="129">
        <f t="shared" si="175"/>
        <v>8941703161</v>
      </c>
      <c r="AE196" s="128">
        <f t="shared" si="175"/>
        <v>3350750587</v>
      </c>
      <c r="AF196" s="122">
        <f t="shared" si="175"/>
        <v>689726646</v>
      </c>
      <c r="AG196" s="129">
        <f t="shared" si="175"/>
        <v>4040477233</v>
      </c>
      <c r="AH196" s="128">
        <f t="shared" si="175"/>
        <v>7233730708</v>
      </c>
      <c r="AI196" s="122">
        <f t="shared" si="175"/>
        <v>8972271560</v>
      </c>
      <c r="AJ196" s="130">
        <f t="shared" si="175"/>
        <v>13873497488</v>
      </c>
      <c r="AK196" s="10"/>
      <c r="AL196" s="128">
        <f>AL197+AL205+AL207</f>
        <v>-70000000</v>
      </c>
      <c r="AM196" s="130">
        <f>AM197+AM205+AM207</f>
        <v>968661269</v>
      </c>
      <c r="AN196" s="9"/>
    </row>
    <row r="197" spans="1:40" s="382" customFormat="1" ht="24.95" customHeight="1">
      <c r="A197" s="752"/>
      <c r="B197" s="661"/>
      <c r="N197" s="9"/>
      <c r="P197" s="9"/>
      <c r="Q197" s="9"/>
      <c r="R197" s="9"/>
      <c r="S197" s="705">
        <f>+IF(MAYO!S197=0,"",MAYO!S197)</f>
        <v>4100100</v>
      </c>
      <c r="T197" s="681" t="str">
        <f>+IF(MAYO!T197=0,"",MAYO!T197)</f>
        <v>Compra de Bienes para la Prestacion de servicios</v>
      </c>
      <c r="U197" s="27">
        <f t="shared" ref="U197:AJ197" si="176">SUM(U198:U204)</f>
        <v>13250406346</v>
      </c>
      <c r="V197" s="15">
        <f t="shared" si="176"/>
        <v>-27000000</v>
      </c>
      <c r="W197" s="15">
        <f t="shared" si="176"/>
        <v>125236928</v>
      </c>
      <c r="X197" s="18">
        <f t="shared" si="176"/>
        <v>13348643274</v>
      </c>
      <c r="Y197" s="19">
        <f t="shared" si="176"/>
        <v>5669834786</v>
      </c>
      <c r="Z197" s="142">
        <f t="shared" si="176"/>
        <v>1265822039</v>
      </c>
      <c r="AA197" s="18">
        <f t="shared" si="176"/>
        <v>6935656825</v>
      </c>
      <c r="AB197" s="19">
        <f t="shared" si="176"/>
        <v>4770698414</v>
      </c>
      <c r="AC197" s="142">
        <f t="shared" si="176"/>
        <v>819812662</v>
      </c>
      <c r="AD197" s="18">
        <f t="shared" si="176"/>
        <v>5590511076</v>
      </c>
      <c r="AE197" s="19">
        <f t="shared" si="176"/>
        <v>970519896</v>
      </c>
      <c r="AF197" s="142">
        <f t="shared" si="176"/>
        <v>439165546</v>
      </c>
      <c r="AG197" s="18">
        <f t="shared" si="176"/>
        <v>1409685442</v>
      </c>
      <c r="AH197" s="19">
        <f t="shared" si="176"/>
        <v>6412986449</v>
      </c>
      <c r="AI197" s="15">
        <f t="shared" si="176"/>
        <v>7758132198</v>
      </c>
      <c r="AJ197" s="16">
        <f t="shared" si="176"/>
        <v>11938957832</v>
      </c>
      <c r="AK197" s="9"/>
      <c r="AL197" s="29">
        <f>SUM(AL198:AL204)</f>
        <v>0</v>
      </c>
      <c r="AM197" s="26">
        <f>SUM(AM198:AM204)</f>
        <v>125236928</v>
      </c>
      <c r="AN197" s="9"/>
    </row>
    <row r="198" spans="1:40" s="382" customFormat="1" ht="24.95" customHeight="1">
      <c r="A198" s="752"/>
      <c r="B198" s="661"/>
      <c r="N198" s="9"/>
      <c r="P198" s="9"/>
      <c r="Q198" s="9"/>
      <c r="R198" s="9"/>
      <c r="S198" s="706" t="str">
        <f>+IF(MAYO!S198=0,"",MAYO!S198)</f>
        <v>4100100-1</v>
      </c>
      <c r="T198" s="682" t="str">
        <f>+IF(MAYO!T198=0,"",MAYO!T198)</f>
        <v>Productos Farmaceuticos</v>
      </c>
      <c r="U198" s="27">
        <f>+ENERO!U198</f>
        <v>6473158346</v>
      </c>
      <c r="V198" s="15">
        <f>MAYO!V198+JUNIO!AL198</f>
        <v>-27000000</v>
      </c>
      <c r="W198" s="15">
        <f>MAYO!W198+JUNIO!AM198</f>
        <v>0</v>
      </c>
      <c r="X198" s="18">
        <f t="shared" ref="X198:X204" si="177">SUM(U198:W198)</f>
        <v>6446158346</v>
      </c>
      <c r="Y198" s="19">
        <f>MAYO!AA198</f>
        <v>2183481286</v>
      </c>
      <c r="Z198" s="374">
        <v>185918283</v>
      </c>
      <c r="AA198" s="18">
        <f t="shared" ref="AA198:AA204" si="178">SUM(Y198:Z198)</f>
        <v>2369399569</v>
      </c>
      <c r="AB198" s="19">
        <f>MAYO!AD198</f>
        <v>1759770659</v>
      </c>
      <c r="AC198" s="374">
        <v>230433057</v>
      </c>
      <c r="AD198" s="18">
        <f t="shared" ref="AD198:AD204" si="179">SUM(AB198:AC198)</f>
        <v>1990203716</v>
      </c>
      <c r="AE198" s="19">
        <f>MAYO!AG198</f>
        <v>374547606</v>
      </c>
      <c r="AF198" s="374">
        <v>228209473</v>
      </c>
      <c r="AG198" s="18">
        <f t="shared" ref="AG198:AG204" si="180">SUM(AE198:AF198)</f>
        <v>602757079</v>
      </c>
      <c r="AH198" s="19">
        <f t="shared" ref="AH198:AH204" si="181">X198-AA198</f>
        <v>4076758777</v>
      </c>
      <c r="AI198" s="15">
        <f t="shared" ref="AI198:AI204" si="182">X198-AD198</f>
        <v>4455954630</v>
      </c>
      <c r="AJ198" s="16">
        <f t="shared" ref="AJ198:AJ204" si="183">X198-AG198</f>
        <v>5843401267</v>
      </c>
      <c r="AK198" s="9"/>
      <c r="AL198" s="372">
        <v>0</v>
      </c>
      <c r="AM198" s="375">
        <v>0</v>
      </c>
      <c r="AN198" s="9"/>
    </row>
    <row r="199" spans="1:40" s="382" customFormat="1" ht="24.95" customHeight="1">
      <c r="A199" s="752"/>
      <c r="B199" s="661"/>
      <c r="N199" s="9"/>
      <c r="P199" s="9"/>
      <c r="Q199" s="9"/>
      <c r="R199" s="9"/>
      <c r="S199" s="706" t="str">
        <f>+IF(MAYO!S199=0,"",MAYO!S199)</f>
        <v>4100100-2</v>
      </c>
      <c r="T199" s="682" t="str">
        <f>+IF(MAYO!T199=0,"",MAYO!T199)</f>
        <v>Material Médico Quirúrgico</v>
      </c>
      <c r="U199" s="27">
        <f>+ENERO!U199</f>
        <v>4177248000</v>
      </c>
      <c r="V199" s="15">
        <f>MAYO!V199+JUNIO!AL199</f>
        <v>0</v>
      </c>
      <c r="W199" s="15">
        <f>MAYO!W199+JUNIO!AM199</f>
        <v>125236928</v>
      </c>
      <c r="X199" s="18">
        <f t="shared" si="177"/>
        <v>4302484928</v>
      </c>
      <c r="Y199" s="19">
        <f>MAYO!AA199</f>
        <v>2333464848</v>
      </c>
      <c r="Z199" s="374">
        <v>421040539</v>
      </c>
      <c r="AA199" s="18">
        <f t="shared" si="178"/>
        <v>2754505387</v>
      </c>
      <c r="AB199" s="19">
        <f>MAYO!AD199</f>
        <v>2147661684</v>
      </c>
      <c r="AC199" s="374">
        <v>434481970</v>
      </c>
      <c r="AD199" s="18">
        <f t="shared" si="179"/>
        <v>2582143654</v>
      </c>
      <c r="AE199" s="19">
        <f>MAYO!AG199</f>
        <v>414371751</v>
      </c>
      <c r="AF199" s="374">
        <v>146124831</v>
      </c>
      <c r="AG199" s="18">
        <f t="shared" si="180"/>
        <v>560496582</v>
      </c>
      <c r="AH199" s="19">
        <f t="shared" si="181"/>
        <v>1547979541</v>
      </c>
      <c r="AI199" s="15">
        <f t="shared" si="182"/>
        <v>1720341274</v>
      </c>
      <c r="AJ199" s="16">
        <f t="shared" si="183"/>
        <v>3741988346</v>
      </c>
      <c r="AK199" s="9"/>
      <c r="AL199" s="372">
        <v>0</v>
      </c>
      <c r="AM199" s="375">
        <v>125236928</v>
      </c>
      <c r="AN199" s="9"/>
    </row>
    <row r="200" spans="1:40" s="382" customFormat="1" ht="24.95" customHeight="1">
      <c r="A200" s="752"/>
      <c r="B200" s="661"/>
      <c r="N200" s="9"/>
      <c r="P200" s="9"/>
      <c r="Q200" s="9"/>
      <c r="R200" s="9"/>
      <c r="S200" s="706" t="str">
        <f>+IF(MAYO!S200=0,"",MAYO!S200)</f>
        <v>4100100-3</v>
      </c>
      <c r="T200" s="682" t="str">
        <f>+IF(MAYO!T200=0,"",MAYO!T200)</f>
        <v>Material de Laboratorio</v>
      </c>
      <c r="U200" s="27">
        <f>+ENERO!U200</f>
        <v>1300000000</v>
      </c>
      <c r="V200" s="15">
        <f>MAYO!V200+JUNIO!AL200</f>
        <v>0</v>
      </c>
      <c r="W200" s="15">
        <f>MAYO!W200+JUNIO!AM200</f>
        <v>0</v>
      </c>
      <c r="X200" s="18">
        <f t="shared" si="177"/>
        <v>1300000000</v>
      </c>
      <c r="Y200" s="19">
        <f>MAYO!AA200</f>
        <v>855657736</v>
      </c>
      <c r="Z200" s="374">
        <v>372631217</v>
      </c>
      <c r="AA200" s="18">
        <f t="shared" si="178"/>
        <v>1228288953</v>
      </c>
      <c r="AB200" s="19">
        <f>MAYO!AD200</f>
        <v>624935961</v>
      </c>
      <c r="AC200" s="374">
        <v>75111813</v>
      </c>
      <c r="AD200" s="18">
        <f t="shared" si="179"/>
        <v>700047774</v>
      </c>
      <c r="AE200" s="19">
        <f>MAYO!AG200</f>
        <v>159211621</v>
      </c>
      <c r="AF200" s="374">
        <v>13096000</v>
      </c>
      <c r="AG200" s="18">
        <f t="shared" si="180"/>
        <v>172307621</v>
      </c>
      <c r="AH200" s="19">
        <f t="shared" si="181"/>
        <v>71711047</v>
      </c>
      <c r="AI200" s="15">
        <f t="shared" si="182"/>
        <v>599952226</v>
      </c>
      <c r="AJ200" s="16">
        <f t="shared" si="183"/>
        <v>1127692379</v>
      </c>
      <c r="AK200" s="9"/>
      <c r="AL200" s="372">
        <v>0</v>
      </c>
      <c r="AM200" s="375">
        <v>0</v>
      </c>
      <c r="AN200" s="9"/>
    </row>
    <row r="201" spans="1:40" s="382" customFormat="1" ht="24.95" customHeight="1">
      <c r="A201" s="752"/>
      <c r="B201" s="661"/>
      <c r="N201" s="9"/>
      <c r="P201" s="9"/>
      <c r="Q201" s="9"/>
      <c r="R201" s="9"/>
      <c r="S201" s="706" t="str">
        <f>+IF(MAYO!S201=0,"",MAYO!S201)</f>
        <v>4100100-4</v>
      </c>
      <c r="T201" s="682" t="str">
        <f>+IF(MAYO!T201=0,"",MAYO!T201)</f>
        <v>Material para Odontologia</v>
      </c>
      <c r="U201" s="27">
        <f>+ENERO!U201</f>
        <v>0</v>
      </c>
      <c r="V201" s="15">
        <f>MAYO!V201+JUNIO!AL201</f>
        <v>0</v>
      </c>
      <c r="W201" s="15">
        <f>MAYO!W201+JUNIO!AM201</f>
        <v>0</v>
      </c>
      <c r="X201" s="18">
        <f t="shared" si="177"/>
        <v>0</v>
      </c>
      <c r="Y201" s="19">
        <f>MAYO!AA201</f>
        <v>0</v>
      </c>
      <c r="Z201" s="374">
        <v>0</v>
      </c>
      <c r="AA201" s="18">
        <f t="shared" si="178"/>
        <v>0</v>
      </c>
      <c r="AB201" s="19">
        <f>MAYO!AD201</f>
        <v>0</v>
      </c>
      <c r="AC201" s="374">
        <v>0</v>
      </c>
      <c r="AD201" s="18">
        <f t="shared" si="179"/>
        <v>0</v>
      </c>
      <c r="AE201" s="19">
        <f>MAYO!AG201</f>
        <v>0</v>
      </c>
      <c r="AF201" s="374">
        <v>0</v>
      </c>
      <c r="AG201" s="18">
        <f t="shared" si="180"/>
        <v>0</v>
      </c>
      <c r="AH201" s="19">
        <f t="shared" si="181"/>
        <v>0</v>
      </c>
      <c r="AI201" s="15">
        <f t="shared" si="182"/>
        <v>0</v>
      </c>
      <c r="AJ201" s="16">
        <f t="shared" si="183"/>
        <v>0</v>
      </c>
      <c r="AK201" s="9"/>
      <c r="AL201" s="372">
        <v>0</v>
      </c>
      <c r="AM201" s="375">
        <v>0</v>
      </c>
      <c r="AN201" s="9"/>
    </row>
    <row r="202" spans="1:40" s="382" customFormat="1" ht="24.95" customHeight="1">
      <c r="A202" s="752"/>
      <c r="B202" s="661"/>
      <c r="N202" s="9"/>
      <c r="P202" s="9"/>
      <c r="Q202" s="9"/>
      <c r="R202" s="9"/>
      <c r="S202" s="706" t="str">
        <f>+IF(MAYO!S202=0,"",MAYO!S202)</f>
        <v>4100100-5</v>
      </c>
      <c r="T202" s="682" t="str">
        <f>+IF(MAYO!T202=0,"",MAYO!T202)</f>
        <v>Material para Rayos X</v>
      </c>
      <c r="U202" s="27">
        <f>+ENERO!U202</f>
        <v>1300000000</v>
      </c>
      <c r="V202" s="15">
        <f>MAYO!V202+JUNIO!AL202</f>
        <v>0</v>
      </c>
      <c r="W202" s="15">
        <f>MAYO!W202+JUNIO!AM202</f>
        <v>0</v>
      </c>
      <c r="X202" s="18">
        <f t="shared" si="177"/>
        <v>1300000000</v>
      </c>
      <c r="Y202" s="19">
        <f>MAYO!AA202</f>
        <v>297230916</v>
      </c>
      <c r="Z202" s="374">
        <v>286232000</v>
      </c>
      <c r="AA202" s="18">
        <f t="shared" si="178"/>
        <v>583462916</v>
      </c>
      <c r="AB202" s="19">
        <f>MAYO!AD202</f>
        <v>238330110</v>
      </c>
      <c r="AC202" s="374">
        <v>79785822</v>
      </c>
      <c r="AD202" s="18">
        <f t="shared" si="179"/>
        <v>318115932</v>
      </c>
      <c r="AE202" s="19">
        <f>MAYO!AG202</f>
        <v>22388918</v>
      </c>
      <c r="AF202" s="374">
        <v>51735242</v>
      </c>
      <c r="AG202" s="18">
        <f t="shared" si="180"/>
        <v>74124160</v>
      </c>
      <c r="AH202" s="19">
        <f t="shared" si="181"/>
        <v>716537084</v>
      </c>
      <c r="AI202" s="15">
        <f t="shared" si="182"/>
        <v>981884068</v>
      </c>
      <c r="AJ202" s="16">
        <f t="shared" si="183"/>
        <v>1225875840</v>
      </c>
      <c r="AK202" s="9"/>
      <c r="AL202" s="372">
        <v>0</v>
      </c>
      <c r="AM202" s="375">
        <v>0</v>
      </c>
      <c r="AN202" s="9"/>
    </row>
    <row r="203" spans="1:40" s="382" customFormat="1" ht="24.95" customHeight="1">
      <c r="A203" s="752"/>
      <c r="B203" s="661"/>
      <c r="N203" s="9"/>
      <c r="P203" s="9"/>
      <c r="Q203" s="9"/>
      <c r="R203" s="9"/>
      <c r="S203" s="706" t="str">
        <f>+IF(MAYO!S203=0,"",MAYO!S203)</f>
        <v/>
      </c>
      <c r="T203" s="682" t="str">
        <f>+IF(MAYO!T203=0,"",MAYO!T203)</f>
        <v/>
      </c>
      <c r="U203" s="27">
        <f>+ENERO!U203</f>
        <v>0</v>
      </c>
      <c r="V203" s="15">
        <f>MAYO!V203+JUNIO!AL203</f>
        <v>0</v>
      </c>
      <c r="W203" s="15">
        <f>MAYO!W203+JUNIO!AM203</f>
        <v>0</v>
      </c>
      <c r="X203" s="18">
        <f t="shared" si="177"/>
        <v>0</v>
      </c>
      <c r="Y203" s="19">
        <f>MAYO!AA203</f>
        <v>0</v>
      </c>
      <c r="Z203" s="374">
        <v>0</v>
      </c>
      <c r="AA203" s="18">
        <f t="shared" si="178"/>
        <v>0</v>
      </c>
      <c r="AB203" s="19">
        <f>MAYO!AD203</f>
        <v>0</v>
      </c>
      <c r="AC203" s="374">
        <v>0</v>
      </c>
      <c r="AD203" s="18">
        <f t="shared" si="179"/>
        <v>0</v>
      </c>
      <c r="AE203" s="19">
        <f>MAYO!AG203</f>
        <v>0</v>
      </c>
      <c r="AF203" s="374">
        <v>0</v>
      </c>
      <c r="AG203" s="18">
        <f t="shared" si="180"/>
        <v>0</v>
      </c>
      <c r="AH203" s="19">
        <f t="shared" si="181"/>
        <v>0</v>
      </c>
      <c r="AI203" s="15">
        <f t="shared" si="182"/>
        <v>0</v>
      </c>
      <c r="AJ203" s="16">
        <f t="shared" si="183"/>
        <v>0</v>
      </c>
      <c r="AK203" s="9"/>
      <c r="AL203" s="372">
        <v>0</v>
      </c>
      <c r="AM203" s="375">
        <v>0</v>
      </c>
      <c r="AN203" s="9"/>
    </row>
    <row r="204" spans="1:40" s="382" customFormat="1" ht="24.95" customHeight="1">
      <c r="A204" s="752"/>
      <c r="B204" s="661"/>
      <c r="N204" s="9"/>
      <c r="P204" s="9"/>
      <c r="Q204" s="9"/>
      <c r="R204" s="9"/>
      <c r="S204" s="706" t="str">
        <f>+IF(MAYO!S204=0,"",MAYO!S204)</f>
        <v/>
      </c>
      <c r="T204" s="682" t="str">
        <f>+IF(MAYO!T204=0,"",MAYO!T204)</f>
        <v/>
      </c>
      <c r="U204" s="27">
        <f>+ENERO!U204</f>
        <v>0</v>
      </c>
      <c r="V204" s="15">
        <f>MAYO!V204+JUNIO!AL204</f>
        <v>0</v>
      </c>
      <c r="W204" s="15">
        <f>MAYO!W204+JUNIO!AM204</f>
        <v>0</v>
      </c>
      <c r="X204" s="18">
        <f t="shared" si="177"/>
        <v>0</v>
      </c>
      <c r="Y204" s="19">
        <f>MAYO!AA204</f>
        <v>0</v>
      </c>
      <c r="Z204" s="374">
        <v>0</v>
      </c>
      <c r="AA204" s="18">
        <f t="shared" si="178"/>
        <v>0</v>
      </c>
      <c r="AB204" s="19">
        <f>MAYO!AD204</f>
        <v>0</v>
      </c>
      <c r="AC204" s="374">
        <v>0</v>
      </c>
      <c r="AD204" s="18">
        <f t="shared" si="179"/>
        <v>0</v>
      </c>
      <c r="AE204" s="19">
        <f>MAYO!AG204</f>
        <v>0</v>
      </c>
      <c r="AF204" s="374">
        <v>0</v>
      </c>
      <c r="AG204" s="18">
        <f t="shared" si="180"/>
        <v>0</v>
      </c>
      <c r="AH204" s="19">
        <f t="shared" si="181"/>
        <v>0</v>
      </c>
      <c r="AI204" s="15">
        <f t="shared" si="182"/>
        <v>0</v>
      </c>
      <c r="AJ204" s="16">
        <f t="shared" si="183"/>
        <v>0</v>
      </c>
      <c r="AK204" s="9"/>
      <c r="AL204" s="372">
        <v>0</v>
      </c>
      <c r="AM204" s="375">
        <v>0</v>
      </c>
      <c r="AN204" s="9"/>
    </row>
    <row r="205" spans="1:40" s="382" customFormat="1" ht="24.95" customHeight="1">
      <c r="A205" s="752"/>
      <c r="B205" s="661"/>
      <c r="N205" s="9"/>
      <c r="P205" s="9"/>
      <c r="Q205" s="9"/>
      <c r="R205" s="9"/>
      <c r="S205" s="705">
        <f>+IF(MAYO!S205=0,"",MAYO!S205)</f>
        <v>4100200</v>
      </c>
      <c r="T205" s="681" t="str">
        <f>+IF(MAYO!T205=0,"",MAYO!T205)</f>
        <v>Gastos Complementarios e Intermedios</v>
      </c>
      <c r="U205" s="27">
        <f t="shared" ref="U205:AJ205" si="184">U206</f>
        <v>1500000000</v>
      </c>
      <c r="V205" s="15">
        <f t="shared" si="184"/>
        <v>0</v>
      </c>
      <c r="W205" s="15">
        <f t="shared" si="184"/>
        <v>343424341</v>
      </c>
      <c r="X205" s="18">
        <f t="shared" si="184"/>
        <v>1843424341</v>
      </c>
      <c r="Y205" s="19">
        <f t="shared" si="184"/>
        <v>1212924901</v>
      </c>
      <c r="Z205" s="142">
        <f t="shared" si="184"/>
        <v>7626478</v>
      </c>
      <c r="AA205" s="18">
        <f t="shared" si="184"/>
        <v>1220551379</v>
      </c>
      <c r="AB205" s="19">
        <f t="shared" si="184"/>
        <v>691593933</v>
      </c>
      <c r="AC205" s="142">
        <f t="shared" si="184"/>
        <v>135562343</v>
      </c>
      <c r="AD205" s="18">
        <f t="shared" si="184"/>
        <v>827156276</v>
      </c>
      <c r="AE205" s="19">
        <f t="shared" si="184"/>
        <v>124669982</v>
      </c>
      <c r="AF205" s="142">
        <f t="shared" si="184"/>
        <v>0</v>
      </c>
      <c r="AG205" s="18">
        <f t="shared" si="184"/>
        <v>124669982</v>
      </c>
      <c r="AH205" s="19">
        <f t="shared" si="184"/>
        <v>622872962</v>
      </c>
      <c r="AI205" s="15">
        <f t="shared" si="184"/>
        <v>1016268065</v>
      </c>
      <c r="AJ205" s="16">
        <f t="shared" si="184"/>
        <v>1718754359</v>
      </c>
      <c r="AK205" s="9"/>
      <c r="AL205" s="29">
        <f>AL206</f>
        <v>0</v>
      </c>
      <c r="AM205" s="26">
        <f>AM206</f>
        <v>343424341</v>
      </c>
      <c r="AN205" s="9"/>
    </row>
    <row r="206" spans="1:40" s="382" customFormat="1" ht="24.95" customHeight="1">
      <c r="A206" s="752"/>
      <c r="B206" s="661"/>
      <c r="N206" s="9"/>
      <c r="P206" s="9"/>
      <c r="Q206" s="9"/>
      <c r="R206" s="9"/>
      <c r="S206" s="706" t="str">
        <f>+IF(MAYO!S206=0,"",MAYO!S206)</f>
        <v>4100200-1</v>
      </c>
      <c r="T206" s="682" t="str">
        <f>+IF(MAYO!T206=0,"",MAYO!T206)</f>
        <v>Alimentación</v>
      </c>
      <c r="U206" s="27">
        <f>+ENERO!U206</f>
        <v>1500000000</v>
      </c>
      <c r="V206" s="15">
        <f>MAYO!V206+JUNIO!AL206</f>
        <v>0</v>
      </c>
      <c r="W206" s="15">
        <f>MAYO!W206+JUNIO!AM206</f>
        <v>343424341</v>
      </c>
      <c r="X206" s="18">
        <f>SUM(U206:W206)</f>
        <v>1843424341</v>
      </c>
      <c r="Y206" s="19">
        <f>MAYO!AA206</f>
        <v>1212924901</v>
      </c>
      <c r="Z206" s="374">
        <v>7626478</v>
      </c>
      <c r="AA206" s="18">
        <f>SUM(Y206:Z206)</f>
        <v>1220551379</v>
      </c>
      <c r="AB206" s="19">
        <f>MAYO!AD206</f>
        <v>691593933</v>
      </c>
      <c r="AC206" s="374">
        <v>135562343</v>
      </c>
      <c r="AD206" s="18">
        <f>SUM(AB206:AC206)</f>
        <v>827156276</v>
      </c>
      <c r="AE206" s="19">
        <f>MAYO!AG206</f>
        <v>124669982</v>
      </c>
      <c r="AF206" s="374">
        <v>0</v>
      </c>
      <c r="AG206" s="18">
        <f>SUM(AE206:AF206)</f>
        <v>124669982</v>
      </c>
      <c r="AH206" s="19">
        <f>X206-AA206</f>
        <v>622872962</v>
      </c>
      <c r="AI206" s="15">
        <f>X206-AD206</f>
        <v>1016268065</v>
      </c>
      <c r="AJ206" s="16">
        <f>X206-AG206</f>
        <v>1718754359</v>
      </c>
      <c r="AK206" s="9"/>
      <c r="AL206" s="372">
        <v>0</v>
      </c>
      <c r="AM206" s="375">
        <v>343424341</v>
      </c>
      <c r="AN206" s="9"/>
    </row>
    <row r="207" spans="1:40" s="382" customFormat="1" ht="24.95" customHeight="1" thickBot="1">
      <c r="A207" s="752"/>
      <c r="B207" s="661"/>
      <c r="N207" s="9"/>
      <c r="P207" s="9"/>
      <c r="Q207" s="9"/>
      <c r="R207" s="9"/>
      <c r="S207" s="710">
        <f>+IF(MAYO!S207=0,"",MAYO!S207)</f>
        <v>4199999</v>
      </c>
      <c r="T207" s="687" t="str">
        <f>+IF(MAYO!T207=0,"",MAYO!T207)</f>
        <v>Vigencias Anteriores</v>
      </c>
      <c r="U207" s="133">
        <f>+ENERO!U207</f>
        <v>0</v>
      </c>
      <c r="V207" s="121">
        <f>MAYO!V207+JUNIO!AL207</f>
        <v>406588299</v>
      </c>
      <c r="W207" s="121">
        <f>MAYO!W207+JUNIO!AM207</f>
        <v>2315318807</v>
      </c>
      <c r="X207" s="126">
        <f>SUM(U207:W207)</f>
        <v>2721907106</v>
      </c>
      <c r="Y207" s="124">
        <f>MAYO!AA207</f>
        <v>2273474709</v>
      </c>
      <c r="Z207" s="388">
        <v>250561100</v>
      </c>
      <c r="AA207" s="126">
        <f>SUM(Y207:Z207)</f>
        <v>2524035809</v>
      </c>
      <c r="AB207" s="124">
        <f>MAYO!AD207</f>
        <v>2273474709</v>
      </c>
      <c r="AC207" s="388">
        <v>250561100</v>
      </c>
      <c r="AD207" s="126">
        <f>SUM(AB207:AC207)</f>
        <v>2524035809</v>
      </c>
      <c r="AE207" s="124">
        <f>MAYO!AG207</f>
        <v>2255560709</v>
      </c>
      <c r="AF207" s="388">
        <v>250561100</v>
      </c>
      <c r="AG207" s="126">
        <f>SUM(AE207:AF207)</f>
        <v>2506121809</v>
      </c>
      <c r="AH207" s="124">
        <f>X207-AA207</f>
        <v>197871297</v>
      </c>
      <c r="AI207" s="121">
        <f>X207-AD207</f>
        <v>197871297</v>
      </c>
      <c r="AJ207" s="125">
        <f>X207-AG207</f>
        <v>215785297</v>
      </c>
      <c r="AK207" s="9"/>
      <c r="AL207" s="384">
        <v>-70000000</v>
      </c>
      <c r="AM207" s="389">
        <v>500000000</v>
      </c>
      <c r="AN207" s="9"/>
    </row>
    <row r="208" spans="1:40" s="382" customFormat="1" ht="24.95" customHeight="1">
      <c r="A208" s="752"/>
      <c r="B208" s="661"/>
      <c r="N208" s="9"/>
      <c r="P208" s="9"/>
      <c r="Q208" s="9"/>
      <c r="R208" s="9"/>
      <c r="S208" s="489" t="str">
        <f>+IF(MAYO!S208=0,"",MAYO!S208)</f>
        <v/>
      </c>
      <c r="T208" s="688" t="str">
        <f>+IF(MAYO!T208=0,"",MAYO!T208)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2"/>
      <c r="B209" s="661"/>
      <c r="N209" s="9"/>
      <c r="P209" s="9"/>
      <c r="Q209" s="9"/>
      <c r="R209" s="9"/>
      <c r="S209" s="703">
        <f>+IF(MAYO!S209=0,"",MAYO!S209)</f>
        <v>5000000</v>
      </c>
      <c r="T209" s="727" t="str">
        <f>+IF(MAYO!T209=0,"",MAYO!T209)</f>
        <v>GASTOS DE COMERCIALIZACION</v>
      </c>
      <c r="U209" s="470">
        <f t="shared" ref="U209:AJ209" si="185">U210</f>
        <v>0</v>
      </c>
      <c r="V209" s="471">
        <f t="shared" si="185"/>
        <v>0</v>
      </c>
      <c r="W209" s="471">
        <f t="shared" si="185"/>
        <v>0</v>
      </c>
      <c r="X209" s="472">
        <f t="shared" si="185"/>
        <v>0</v>
      </c>
      <c r="Y209" s="379">
        <f t="shared" si="185"/>
        <v>0</v>
      </c>
      <c r="Z209" s="471">
        <f t="shared" si="185"/>
        <v>0</v>
      </c>
      <c r="AA209" s="472">
        <f t="shared" si="185"/>
        <v>0</v>
      </c>
      <c r="AB209" s="379">
        <f t="shared" si="185"/>
        <v>0</v>
      </c>
      <c r="AC209" s="471">
        <f t="shared" si="185"/>
        <v>0</v>
      </c>
      <c r="AD209" s="472">
        <f t="shared" si="185"/>
        <v>0</v>
      </c>
      <c r="AE209" s="379">
        <f t="shared" si="185"/>
        <v>0</v>
      </c>
      <c r="AF209" s="471">
        <f t="shared" si="185"/>
        <v>0</v>
      </c>
      <c r="AG209" s="472">
        <f t="shared" si="185"/>
        <v>0</v>
      </c>
      <c r="AH209" s="379">
        <f t="shared" si="185"/>
        <v>0</v>
      </c>
      <c r="AI209" s="471">
        <f t="shared" si="185"/>
        <v>0</v>
      </c>
      <c r="AJ209" s="380">
        <f t="shared" si="185"/>
        <v>0</v>
      </c>
      <c r="AK209" s="9"/>
      <c r="AL209" s="128">
        <f>AL210</f>
        <v>0</v>
      </c>
      <c r="AM209" s="130">
        <f>AM210</f>
        <v>0</v>
      </c>
      <c r="AN209" s="9"/>
    </row>
    <row r="210" spans="1:40" s="382" customFormat="1" ht="24.95" customHeight="1">
      <c r="A210" s="752"/>
      <c r="B210" s="661"/>
      <c r="N210" s="9"/>
      <c r="P210" s="9"/>
      <c r="Q210" s="9"/>
      <c r="R210" s="9"/>
      <c r="S210" s="704">
        <f>+IF(MAYO!S210=0,"",MAYO!S210)</f>
        <v>5100000</v>
      </c>
      <c r="T210" s="680" t="str">
        <f>+IF(MAYO!T210=0,"",MAYO!T210)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29">
        <f t="shared" si="186"/>
        <v>0</v>
      </c>
      <c r="AB210" s="128">
        <f t="shared" si="186"/>
        <v>0</v>
      </c>
      <c r="AC210" s="122">
        <f t="shared" si="186"/>
        <v>0</v>
      </c>
      <c r="AD210" s="129">
        <f t="shared" si="186"/>
        <v>0</v>
      </c>
      <c r="AE210" s="128">
        <f t="shared" si="186"/>
        <v>0</v>
      </c>
      <c r="AF210" s="122">
        <f t="shared" si="186"/>
        <v>0</v>
      </c>
      <c r="AG210" s="129">
        <f t="shared" si="186"/>
        <v>0</v>
      </c>
      <c r="AH210" s="128">
        <f t="shared" si="186"/>
        <v>0</v>
      </c>
      <c r="AI210" s="122">
        <f t="shared" si="186"/>
        <v>0</v>
      </c>
      <c r="AJ210" s="130">
        <f t="shared" si="186"/>
        <v>0</v>
      </c>
      <c r="AK210" s="9"/>
      <c r="AL210" s="128">
        <f>AL211+AL218</f>
        <v>0</v>
      </c>
      <c r="AM210" s="130">
        <f>AM211+AM218</f>
        <v>0</v>
      </c>
      <c r="AN210" s="9"/>
    </row>
    <row r="211" spans="1:40" s="382" customFormat="1" ht="24.95" customHeight="1">
      <c r="A211" s="752"/>
      <c r="B211" s="661"/>
      <c r="N211" s="9"/>
      <c r="P211" s="9"/>
      <c r="Q211" s="9"/>
      <c r="R211" s="9"/>
      <c r="S211" s="705">
        <f>+IF(MAYO!S211=0,"",MAYO!S211)</f>
        <v>5100100</v>
      </c>
      <c r="T211" s="681" t="str">
        <f>+IF(MAYO!T211=0,"",MAYO!T211)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8">
        <f t="shared" si="187"/>
        <v>0</v>
      </c>
      <c r="AB211" s="19">
        <f t="shared" si="187"/>
        <v>0</v>
      </c>
      <c r="AC211" s="142">
        <f t="shared" si="187"/>
        <v>0</v>
      </c>
      <c r="AD211" s="18">
        <f t="shared" si="187"/>
        <v>0</v>
      </c>
      <c r="AE211" s="19">
        <f t="shared" si="187"/>
        <v>0</v>
      </c>
      <c r="AF211" s="142">
        <f t="shared" si="187"/>
        <v>0</v>
      </c>
      <c r="AG211" s="18">
        <f t="shared" si="187"/>
        <v>0</v>
      </c>
      <c r="AH211" s="19">
        <f t="shared" si="187"/>
        <v>0</v>
      </c>
      <c r="AI211" s="15">
        <f t="shared" si="187"/>
        <v>0</v>
      </c>
      <c r="AJ211" s="16">
        <f t="shared" si="187"/>
        <v>0</v>
      </c>
      <c r="AK211" s="10"/>
      <c r="AL211" s="29">
        <f>SUM(AL212:AL217)</f>
        <v>0</v>
      </c>
      <c r="AM211" s="26">
        <f>SUM(AM212:AM217)</f>
        <v>0</v>
      </c>
      <c r="AN211" s="9"/>
    </row>
    <row r="212" spans="1:40" s="382" customFormat="1" ht="24.95" customHeight="1">
      <c r="A212" s="752"/>
      <c r="B212" s="661"/>
      <c r="N212" s="9"/>
      <c r="P212" s="9"/>
      <c r="Q212" s="9"/>
      <c r="R212" s="9"/>
      <c r="S212" s="706" t="str">
        <f>+IF(MAYO!S212=0,"",MAYO!S212)</f>
        <v>5100100-1</v>
      </c>
      <c r="T212" s="682" t="str">
        <f>+IF(MAYO!T212=0,"",MAYO!T212)</f>
        <v>Productos Farmaceuticos</v>
      </c>
      <c r="U212" s="27">
        <f>+ENERO!U212</f>
        <v>0</v>
      </c>
      <c r="V212" s="15">
        <f>MAYO!V212+JUNIO!AL212</f>
        <v>0</v>
      </c>
      <c r="W212" s="15">
        <f>MAYO!W212+JUNIO!AM212</f>
        <v>0</v>
      </c>
      <c r="X212" s="18">
        <f t="shared" ref="X212:X218" si="188">SUM(U212:W212)</f>
        <v>0</v>
      </c>
      <c r="Y212" s="19">
        <f>MAYO!AA212</f>
        <v>0</v>
      </c>
      <c r="Z212" s="374">
        <v>0</v>
      </c>
      <c r="AA212" s="18">
        <f t="shared" ref="AA212:AA218" si="189">SUM(Y212:Z212)</f>
        <v>0</v>
      </c>
      <c r="AB212" s="19">
        <f>MAYO!AD212</f>
        <v>0</v>
      </c>
      <c r="AC212" s="374">
        <v>0</v>
      </c>
      <c r="AD212" s="18">
        <f t="shared" ref="AD212:AD218" si="190">SUM(AB212:AC212)</f>
        <v>0</v>
      </c>
      <c r="AE212" s="19">
        <f>MAYO!AG212</f>
        <v>0</v>
      </c>
      <c r="AF212" s="374">
        <v>0</v>
      </c>
      <c r="AG212" s="18">
        <f t="shared" ref="AG212:AG218" si="191">SUM(AE212:AF212)</f>
        <v>0</v>
      </c>
      <c r="AH212" s="19">
        <f t="shared" ref="AH212:AH218" si="192">X212-AA212</f>
        <v>0</v>
      </c>
      <c r="AI212" s="15">
        <f t="shared" ref="AI212:AI218" si="193">X212-AD212</f>
        <v>0</v>
      </c>
      <c r="AJ212" s="16">
        <f t="shared" ref="AJ212:AJ218" si="194">X212-AG212</f>
        <v>0</v>
      </c>
      <c r="AK212" s="9"/>
      <c r="AL212" s="372">
        <v>0</v>
      </c>
      <c r="AM212" s="375">
        <v>0</v>
      </c>
      <c r="AN212" s="9"/>
    </row>
    <row r="213" spans="1:40" s="382" customFormat="1" ht="24.95" customHeight="1">
      <c r="A213" s="752"/>
      <c r="B213" s="661"/>
      <c r="N213" s="9"/>
      <c r="P213" s="9"/>
      <c r="Q213" s="9"/>
      <c r="R213" s="9"/>
      <c r="S213" s="706" t="str">
        <f>+IF(MAYO!S213=0,"",MAYO!S213)</f>
        <v>5100100-2</v>
      </c>
      <c r="T213" s="682" t="str">
        <f>+IF(MAYO!T213=0,"",MAYO!T213)</f>
        <v>Material Médico Quirúrgico</v>
      </c>
      <c r="U213" s="27">
        <f>+ENERO!U213</f>
        <v>0</v>
      </c>
      <c r="V213" s="15">
        <f>MAYO!V213+JUNIO!AL213</f>
        <v>0</v>
      </c>
      <c r="W213" s="15">
        <f>MAYO!W213+JUNIO!AM213</f>
        <v>0</v>
      </c>
      <c r="X213" s="18">
        <f t="shared" si="188"/>
        <v>0</v>
      </c>
      <c r="Y213" s="19">
        <f>MAYO!AA213</f>
        <v>0</v>
      </c>
      <c r="Z213" s="374">
        <v>0</v>
      </c>
      <c r="AA213" s="18">
        <f t="shared" si="189"/>
        <v>0</v>
      </c>
      <c r="AB213" s="19">
        <f>MAYO!AD213</f>
        <v>0</v>
      </c>
      <c r="AC213" s="374">
        <v>0</v>
      </c>
      <c r="AD213" s="18">
        <f t="shared" si="190"/>
        <v>0</v>
      </c>
      <c r="AE213" s="19">
        <f>MAYO!AG213</f>
        <v>0</v>
      </c>
      <c r="AF213" s="374">
        <v>0</v>
      </c>
      <c r="AG213" s="18">
        <f t="shared" si="191"/>
        <v>0</v>
      </c>
      <c r="AH213" s="19">
        <f t="shared" si="192"/>
        <v>0</v>
      </c>
      <c r="AI213" s="15">
        <f t="shared" si="193"/>
        <v>0</v>
      </c>
      <c r="AJ213" s="16">
        <f t="shared" si="194"/>
        <v>0</v>
      </c>
      <c r="AK213" s="9"/>
      <c r="AL213" s="372">
        <v>0</v>
      </c>
      <c r="AM213" s="375">
        <v>0</v>
      </c>
      <c r="AN213" s="9"/>
    </row>
    <row r="214" spans="1:40" s="382" customFormat="1" ht="24.95" customHeight="1">
      <c r="A214" s="752"/>
      <c r="B214" s="661"/>
      <c r="N214" s="9"/>
      <c r="P214" s="9"/>
      <c r="Q214" s="9"/>
      <c r="R214" s="9"/>
      <c r="S214" s="706" t="str">
        <f>+IF(MAYO!S214=0,"",MAYO!S214)</f>
        <v>5100100-3</v>
      </c>
      <c r="T214" s="682" t="str">
        <f>+IF(MAYO!T214=0,"",MAYO!T214)</f>
        <v>Material de Laboratorio</v>
      </c>
      <c r="U214" s="27">
        <f>+ENERO!U214</f>
        <v>0</v>
      </c>
      <c r="V214" s="15">
        <f>MAYO!V214+JUNIO!AL214</f>
        <v>0</v>
      </c>
      <c r="W214" s="15">
        <f>MAYO!W214+JUNIO!AM214</f>
        <v>0</v>
      </c>
      <c r="X214" s="18">
        <f t="shared" si="188"/>
        <v>0</v>
      </c>
      <c r="Y214" s="19">
        <f>MAYO!AA214</f>
        <v>0</v>
      </c>
      <c r="Z214" s="374">
        <v>0</v>
      </c>
      <c r="AA214" s="18">
        <f t="shared" si="189"/>
        <v>0</v>
      </c>
      <c r="AB214" s="19">
        <f>MAYO!AD214</f>
        <v>0</v>
      </c>
      <c r="AC214" s="374">
        <v>0</v>
      </c>
      <c r="AD214" s="18">
        <f t="shared" si="190"/>
        <v>0</v>
      </c>
      <c r="AE214" s="19">
        <f>MAYO!AG214</f>
        <v>0</v>
      </c>
      <c r="AF214" s="374">
        <v>0</v>
      </c>
      <c r="AG214" s="18">
        <f t="shared" si="191"/>
        <v>0</v>
      </c>
      <c r="AH214" s="19">
        <f t="shared" si="192"/>
        <v>0</v>
      </c>
      <c r="AI214" s="15">
        <f t="shared" si="193"/>
        <v>0</v>
      </c>
      <c r="AJ214" s="16">
        <f t="shared" si="194"/>
        <v>0</v>
      </c>
      <c r="AK214" s="9"/>
      <c r="AL214" s="372">
        <v>0</v>
      </c>
      <c r="AM214" s="375">
        <v>0</v>
      </c>
      <c r="AN214" s="9"/>
    </row>
    <row r="215" spans="1:40" s="382" customFormat="1" ht="24.95" customHeight="1">
      <c r="A215" s="752"/>
      <c r="B215" s="661"/>
      <c r="N215" s="9"/>
      <c r="P215" s="9"/>
      <c r="Q215" s="9"/>
      <c r="R215" s="9"/>
      <c r="S215" s="706" t="str">
        <f>+IF(MAYO!S215=0,"",MAYO!S215)</f>
        <v>5100100-4</v>
      </c>
      <c r="T215" s="682" t="str">
        <f>+IF(MAYO!T215=0,"",MAYO!T215)</f>
        <v>Material para Odontologia</v>
      </c>
      <c r="U215" s="27">
        <f>+ENERO!U215</f>
        <v>0</v>
      </c>
      <c r="V215" s="15">
        <f>MAYO!V215+JUNIO!AL215</f>
        <v>0</v>
      </c>
      <c r="W215" s="15">
        <f>MAYO!W215+JUNIO!AM215</f>
        <v>0</v>
      </c>
      <c r="X215" s="18">
        <f t="shared" si="188"/>
        <v>0</v>
      </c>
      <c r="Y215" s="19">
        <f>MAYO!AA215</f>
        <v>0</v>
      </c>
      <c r="Z215" s="374">
        <v>0</v>
      </c>
      <c r="AA215" s="18">
        <f t="shared" si="189"/>
        <v>0</v>
      </c>
      <c r="AB215" s="19">
        <f>MAYO!AD215</f>
        <v>0</v>
      </c>
      <c r="AC215" s="374">
        <v>0</v>
      </c>
      <c r="AD215" s="18">
        <f t="shared" si="190"/>
        <v>0</v>
      </c>
      <c r="AE215" s="19">
        <f>MAYO!AG215</f>
        <v>0</v>
      </c>
      <c r="AF215" s="374">
        <v>0</v>
      </c>
      <c r="AG215" s="18">
        <f t="shared" si="191"/>
        <v>0</v>
      </c>
      <c r="AH215" s="19">
        <f t="shared" si="192"/>
        <v>0</v>
      </c>
      <c r="AI215" s="15">
        <f t="shared" si="193"/>
        <v>0</v>
      </c>
      <c r="AJ215" s="16">
        <f t="shared" si="194"/>
        <v>0</v>
      </c>
      <c r="AK215" s="9"/>
      <c r="AL215" s="372">
        <v>0</v>
      </c>
      <c r="AM215" s="375">
        <v>0</v>
      </c>
      <c r="AN215" s="9"/>
    </row>
    <row r="216" spans="1:40" s="382" customFormat="1" ht="24.95" customHeight="1">
      <c r="A216" s="752"/>
      <c r="B216" s="661"/>
      <c r="N216" s="9"/>
      <c r="P216" s="9"/>
      <c r="Q216" s="9"/>
      <c r="R216" s="9"/>
      <c r="S216" s="706" t="str">
        <f>+IF(MAYO!S216=0,"",MAYO!S216)</f>
        <v>5100100-5</v>
      </c>
      <c r="T216" s="682" t="str">
        <f>+IF(MAYO!T216=0,"",MAYO!T216)</f>
        <v>Material para Rayos X</v>
      </c>
      <c r="U216" s="27">
        <f>+ENERO!U216</f>
        <v>0</v>
      </c>
      <c r="V216" s="15">
        <f>MAYO!V216+JUNIO!AL216</f>
        <v>0</v>
      </c>
      <c r="W216" s="15">
        <f>MAYO!W216+JUNIO!AM216</f>
        <v>0</v>
      </c>
      <c r="X216" s="18">
        <f t="shared" si="188"/>
        <v>0</v>
      </c>
      <c r="Y216" s="19">
        <f>MAYO!AA216</f>
        <v>0</v>
      </c>
      <c r="Z216" s="374">
        <v>0</v>
      </c>
      <c r="AA216" s="18">
        <f t="shared" si="189"/>
        <v>0</v>
      </c>
      <c r="AB216" s="19">
        <f>MAYO!AD216</f>
        <v>0</v>
      </c>
      <c r="AC216" s="374">
        <v>0</v>
      </c>
      <c r="AD216" s="18">
        <f t="shared" si="190"/>
        <v>0</v>
      </c>
      <c r="AE216" s="19">
        <f>MAYO!AG216</f>
        <v>0</v>
      </c>
      <c r="AF216" s="374">
        <v>0</v>
      </c>
      <c r="AG216" s="18">
        <f t="shared" si="191"/>
        <v>0</v>
      </c>
      <c r="AH216" s="19">
        <f t="shared" si="192"/>
        <v>0</v>
      </c>
      <c r="AI216" s="15">
        <f t="shared" si="193"/>
        <v>0</v>
      </c>
      <c r="AJ216" s="16">
        <f t="shared" si="194"/>
        <v>0</v>
      </c>
      <c r="AK216" s="9"/>
      <c r="AL216" s="372">
        <v>0</v>
      </c>
      <c r="AM216" s="375">
        <v>0</v>
      </c>
      <c r="AN216" s="9"/>
    </row>
    <row r="217" spans="1:40" s="382" customFormat="1" ht="24.95" customHeight="1">
      <c r="A217" s="752"/>
      <c r="B217" s="661"/>
      <c r="N217" s="9"/>
      <c r="P217" s="9"/>
      <c r="Q217" s="9"/>
      <c r="R217" s="9"/>
      <c r="S217" s="706" t="str">
        <f>+IF(MAYO!S217=0,"",MAYO!S217)</f>
        <v>5100100-6</v>
      </c>
      <c r="T217" s="682" t="str">
        <f>+IF(MAYO!T217=0,"",MAYO!T217)</f>
        <v>Material aseo personal, etc.</v>
      </c>
      <c r="U217" s="27">
        <f>+ENERO!U217</f>
        <v>0</v>
      </c>
      <c r="V217" s="15">
        <f>MAYO!V217+JUNIO!AL217</f>
        <v>0</v>
      </c>
      <c r="W217" s="15">
        <f>MAYO!W217+JUNIO!AM217</f>
        <v>0</v>
      </c>
      <c r="X217" s="18">
        <f t="shared" si="188"/>
        <v>0</v>
      </c>
      <c r="Y217" s="19">
        <f>MAYO!AA217</f>
        <v>0</v>
      </c>
      <c r="Z217" s="374">
        <v>0</v>
      </c>
      <c r="AA217" s="18">
        <f t="shared" si="189"/>
        <v>0</v>
      </c>
      <c r="AB217" s="19">
        <f>MAYO!AD217</f>
        <v>0</v>
      </c>
      <c r="AC217" s="374">
        <v>0</v>
      </c>
      <c r="AD217" s="18">
        <f t="shared" si="190"/>
        <v>0</v>
      </c>
      <c r="AE217" s="19">
        <f>MAYO!AG217</f>
        <v>0</v>
      </c>
      <c r="AF217" s="374">
        <v>0</v>
      </c>
      <c r="AG217" s="18">
        <f t="shared" si="191"/>
        <v>0</v>
      </c>
      <c r="AH217" s="19">
        <f t="shared" si="192"/>
        <v>0</v>
      </c>
      <c r="AI217" s="15">
        <f t="shared" si="193"/>
        <v>0</v>
      </c>
      <c r="AJ217" s="16">
        <f t="shared" si="194"/>
        <v>0</v>
      </c>
      <c r="AK217" s="9"/>
      <c r="AL217" s="372">
        <v>0</v>
      </c>
      <c r="AM217" s="375">
        <v>0</v>
      </c>
      <c r="AN217" s="9"/>
    </row>
    <row r="218" spans="1:40" s="382" customFormat="1" ht="24.95" customHeight="1" thickBot="1">
      <c r="A218" s="752"/>
      <c r="B218" s="661"/>
      <c r="N218" s="9"/>
      <c r="P218" s="9"/>
      <c r="Q218" s="9"/>
      <c r="R218" s="9"/>
      <c r="S218" s="717">
        <f>+IF(MAYO!S218=0,"",MAYO!S218)</f>
        <v>5199999</v>
      </c>
      <c r="T218" s="697" t="str">
        <f>+IF(MAYO!T218=0,"",MAYO!T218)</f>
        <v>Vigencias Anteriores</v>
      </c>
      <c r="U218" s="133">
        <f>+ENERO!U218</f>
        <v>0</v>
      </c>
      <c r="V218" s="121">
        <f>MAYO!V218+JUNIO!AL218</f>
        <v>0</v>
      </c>
      <c r="W218" s="121">
        <f>MAYO!W218+JUNIO!AM218</f>
        <v>0</v>
      </c>
      <c r="X218" s="126">
        <f t="shared" si="188"/>
        <v>0</v>
      </c>
      <c r="Y218" s="124">
        <f>MAYO!AA218</f>
        <v>0</v>
      </c>
      <c r="Z218" s="388">
        <v>0</v>
      </c>
      <c r="AA218" s="126">
        <f t="shared" si="189"/>
        <v>0</v>
      </c>
      <c r="AB218" s="124">
        <f>MAYO!AD218</f>
        <v>0</v>
      </c>
      <c r="AC218" s="388">
        <v>0</v>
      </c>
      <c r="AD218" s="126">
        <f t="shared" si="190"/>
        <v>0</v>
      </c>
      <c r="AE218" s="124">
        <f>MAYO!AG218</f>
        <v>0</v>
      </c>
      <c r="AF218" s="388">
        <v>0</v>
      </c>
      <c r="AG218" s="126">
        <f t="shared" si="191"/>
        <v>0</v>
      </c>
      <c r="AH218" s="124">
        <f t="shared" si="192"/>
        <v>0</v>
      </c>
      <c r="AI218" s="121">
        <f t="shared" si="193"/>
        <v>0</v>
      </c>
      <c r="AJ218" s="125">
        <f t="shared" si="194"/>
        <v>0</v>
      </c>
      <c r="AK218" s="9"/>
      <c r="AL218" s="501">
        <v>0</v>
      </c>
      <c r="AM218" s="502">
        <v>0</v>
      </c>
      <c r="AN218" s="9"/>
    </row>
    <row r="219" spans="1:40" s="382" customFormat="1" ht="24.95" customHeight="1" thickBot="1">
      <c r="A219" s="752"/>
      <c r="B219" s="661"/>
      <c r="N219" s="9"/>
      <c r="P219" s="9"/>
      <c r="Q219" s="9"/>
      <c r="R219" s="9"/>
      <c r="S219" s="495" t="str">
        <f>+IF(MAYO!S219=0,"",MAYO!S219)</f>
        <v/>
      </c>
      <c r="T219" s="694" t="str">
        <f>+IF(MAYO!T219=0,"",MAYO!T219)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2"/>
      <c r="B220" s="661"/>
      <c r="N220" s="9"/>
      <c r="P220" s="9"/>
      <c r="Q220" s="9"/>
      <c r="R220" s="9"/>
      <c r="S220" s="357" t="str">
        <f>+IF(MAYO!S220=0,"",MAYO!S220)</f>
        <v>C</v>
      </c>
      <c r="T220" s="676" t="str">
        <f>+IF(MAYO!T220=0,"",MAYO!T220)</f>
        <v xml:space="preserve">SERVICIO DE LA DEUDA </v>
      </c>
      <c r="U220" s="358">
        <f t="shared" ref="U220:AJ220" si="195">U222+U227</f>
        <v>0</v>
      </c>
      <c r="V220" s="359">
        <f t="shared" si="195"/>
        <v>0</v>
      </c>
      <c r="W220" s="359">
        <f t="shared" si="195"/>
        <v>0</v>
      </c>
      <c r="X220" s="362">
        <f t="shared" si="195"/>
        <v>0</v>
      </c>
      <c r="Y220" s="361">
        <f t="shared" si="195"/>
        <v>0</v>
      </c>
      <c r="Z220" s="359">
        <f t="shared" si="195"/>
        <v>0</v>
      </c>
      <c r="AA220" s="362">
        <f t="shared" si="195"/>
        <v>0</v>
      </c>
      <c r="AB220" s="361">
        <f t="shared" si="195"/>
        <v>0</v>
      </c>
      <c r="AC220" s="359">
        <f t="shared" si="195"/>
        <v>0</v>
      </c>
      <c r="AD220" s="362">
        <f t="shared" si="195"/>
        <v>0</v>
      </c>
      <c r="AE220" s="361">
        <f t="shared" si="195"/>
        <v>0</v>
      </c>
      <c r="AF220" s="359">
        <f t="shared" si="195"/>
        <v>0</v>
      </c>
      <c r="AG220" s="362">
        <f t="shared" si="195"/>
        <v>0</v>
      </c>
      <c r="AH220" s="361">
        <f t="shared" si="195"/>
        <v>0</v>
      </c>
      <c r="AI220" s="359">
        <f t="shared" si="195"/>
        <v>0</v>
      </c>
      <c r="AJ220" s="360">
        <f t="shared" si="195"/>
        <v>0</v>
      </c>
      <c r="AK220" s="500"/>
      <c r="AL220" s="361">
        <f>AL222+AL227</f>
        <v>0</v>
      </c>
      <c r="AM220" s="360">
        <f>AM222+AM227</f>
        <v>0</v>
      </c>
      <c r="AN220" s="9"/>
    </row>
    <row r="221" spans="1:40" s="382" customFormat="1" ht="24.95" customHeight="1">
      <c r="A221" s="752"/>
      <c r="B221" s="661"/>
      <c r="N221" s="9"/>
      <c r="P221" s="9"/>
      <c r="Q221" s="9"/>
      <c r="R221" s="9"/>
      <c r="S221" s="366" t="str">
        <f>+IF(MAYO!S221=0,"",MAYO!S221)</f>
        <v/>
      </c>
      <c r="T221" s="695"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2"/>
      <c r="B222" s="661"/>
      <c r="N222" s="9"/>
      <c r="P222" s="9"/>
      <c r="Q222" s="9"/>
      <c r="R222" s="9"/>
      <c r="S222" s="704">
        <f>+IF(MAYO!S222=0,"",MAYO!S222)</f>
        <v>7001000</v>
      </c>
      <c r="T222" s="680" t="str">
        <f>+IF(MAYO!T222=0,"",MAYO!T222)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82" customFormat="1" ht="24.95" customHeight="1">
      <c r="A223" s="752"/>
      <c r="B223" s="661"/>
      <c r="N223" s="9"/>
      <c r="P223" s="9"/>
      <c r="Q223" s="9"/>
      <c r="R223" s="9"/>
      <c r="S223" s="705">
        <f>+IF(MAYO!S223=0,"",MAYO!S223)</f>
        <v>7001100</v>
      </c>
      <c r="T223" s="681" t="str">
        <f>+IF(MAYO!T223=0,"",MAYO!T223)</f>
        <v>Amortización deuda Pública Interna</v>
      </c>
      <c r="U223" s="27">
        <f>+ENERO!U223</f>
        <v>0</v>
      </c>
      <c r="V223" s="15">
        <f>MAYO!V223+JUNIO!AL223</f>
        <v>0</v>
      </c>
      <c r="W223" s="15">
        <f>MAYO!W223+JUNIO!AM223</f>
        <v>0</v>
      </c>
      <c r="X223" s="18">
        <f>SUM(U223:W223)</f>
        <v>0</v>
      </c>
      <c r="Y223" s="19">
        <f>MAYO!AA223</f>
        <v>0</v>
      </c>
      <c r="Z223" s="374">
        <v>0</v>
      </c>
      <c r="AA223" s="18">
        <f>SUM(Y223:Z223)</f>
        <v>0</v>
      </c>
      <c r="AB223" s="19">
        <f>MAYO!AD223</f>
        <v>0</v>
      </c>
      <c r="AC223" s="374">
        <v>0</v>
      </c>
      <c r="AD223" s="18">
        <f>SUM(AB223:AC223)</f>
        <v>0</v>
      </c>
      <c r="AE223" s="19">
        <f>MAYO!AG223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2"/>
      <c r="B224" s="661"/>
      <c r="N224" s="9"/>
      <c r="P224" s="9"/>
      <c r="Q224" s="9"/>
      <c r="R224" s="9"/>
      <c r="S224" s="705">
        <f>+IF(MAYO!S224=0,"",MAYO!S224)</f>
        <v>7001200</v>
      </c>
      <c r="T224" s="681" t="str">
        <f>+IF(MAYO!T224=0,"",MAYO!T224)</f>
        <v>Intereses Comisiones y gastos de la Deuda Pública</v>
      </c>
      <c r="U224" s="27">
        <f>+ENERO!U224</f>
        <v>0</v>
      </c>
      <c r="V224" s="15">
        <f>MAYO!V224+JUNIO!AL224</f>
        <v>0</v>
      </c>
      <c r="W224" s="15">
        <f>MAYO!W224+JUNIO!AM224</f>
        <v>0</v>
      </c>
      <c r="X224" s="18">
        <f>SUM(U224:W224)</f>
        <v>0</v>
      </c>
      <c r="Y224" s="19">
        <f>MAYO!AA224</f>
        <v>0</v>
      </c>
      <c r="Z224" s="374">
        <v>0</v>
      </c>
      <c r="AA224" s="18">
        <f>SUM(Y224:Z224)</f>
        <v>0</v>
      </c>
      <c r="AB224" s="19">
        <f>MAYO!AD224</f>
        <v>0</v>
      </c>
      <c r="AC224" s="374">
        <v>0</v>
      </c>
      <c r="AD224" s="18">
        <f>SUM(AB224:AC224)</f>
        <v>0</v>
      </c>
      <c r="AE224" s="19">
        <f>MAYO!AG224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2"/>
      <c r="B225" s="661"/>
      <c r="N225" s="9"/>
      <c r="P225" s="9"/>
      <c r="Q225" s="9"/>
      <c r="R225" s="9"/>
      <c r="S225" s="705">
        <f>+IF(MAYO!S225=0,"",MAYO!S225)</f>
        <v>7001999</v>
      </c>
      <c r="T225" s="681" t="str">
        <f>+IF(MAYO!T225=0,"",MAYO!T225)</f>
        <v>Vigencias Anteriores</v>
      </c>
      <c r="U225" s="27">
        <f>+ENERO!U225</f>
        <v>0</v>
      </c>
      <c r="V225" s="15">
        <f>MAYO!V225+JUNIO!AL225</f>
        <v>0</v>
      </c>
      <c r="W225" s="15">
        <f>MAYO!W225+JUNIO!AM225</f>
        <v>0</v>
      </c>
      <c r="X225" s="18">
        <f>SUM(U225:W225)</f>
        <v>0</v>
      </c>
      <c r="Y225" s="19">
        <f>MAYO!AA225</f>
        <v>0</v>
      </c>
      <c r="Z225" s="374">
        <v>0</v>
      </c>
      <c r="AA225" s="18">
        <f>SUM(Y225:Z225)</f>
        <v>0</v>
      </c>
      <c r="AB225" s="19">
        <f>MAYO!AD225</f>
        <v>0</v>
      </c>
      <c r="AC225" s="374">
        <v>0</v>
      </c>
      <c r="AD225" s="18">
        <f>SUM(AB225:AC225)</f>
        <v>0</v>
      </c>
      <c r="AE225" s="19">
        <f>MAYO!AG225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2"/>
      <c r="B226" s="661"/>
      <c r="N226" s="9"/>
      <c r="P226" s="9"/>
      <c r="Q226" s="9"/>
      <c r="R226" s="9"/>
      <c r="S226" s="366" t="str">
        <f>+IF(MAYO!S226=0,"",MAYO!S226)</f>
        <v/>
      </c>
      <c r="T226" s="695"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2"/>
      <c r="B227" s="661"/>
      <c r="N227" s="9"/>
      <c r="P227" s="9"/>
      <c r="Q227" s="9"/>
      <c r="R227" s="9"/>
      <c r="S227" s="704">
        <f>+IF(MAYO!S227=0,"",MAYO!S227)</f>
        <v>7002001</v>
      </c>
      <c r="T227" s="680" t="str">
        <f>+IF(MAYO!T227=0,"",MAYO!T227)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82" customFormat="1" ht="24.95" customHeight="1">
      <c r="A228" s="752"/>
      <c r="B228" s="661"/>
      <c r="N228" s="9"/>
      <c r="P228" s="9"/>
      <c r="Q228" s="9"/>
      <c r="R228" s="9"/>
      <c r="S228" s="705">
        <f>+IF(MAYO!S228=0,"",MAYO!S228)</f>
        <v>7002100</v>
      </c>
      <c r="T228" s="681" t="str">
        <f>+IF(MAYO!T228=0,"",MAYO!T228)</f>
        <v>Amortización deuda Pública Externa</v>
      </c>
      <c r="U228" s="27">
        <f>+ENERO!U228</f>
        <v>0</v>
      </c>
      <c r="V228" s="15">
        <f>MAYO!V228+JUNIO!AL228</f>
        <v>0</v>
      </c>
      <c r="W228" s="15">
        <f>MAYO!W228+JUNIO!AM228</f>
        <v>0</v>
      </c>
      <c r="X228" s="18">
        <f>SUM(U228:W228)</f>
        <v>0</v>
      </c>
      <c r="Y228" s="19">
        <f>MAYO!AA228</f>
        <v>0</v>
      </c>
      <c r="Z228" s="374">
        <v>0</v>
      </c>
      <c r="AA228" s="18">
        <f>SUM(Y228:Z228)</f>
        <v>0</v>
      </c>
      <c r="AB228" s="19">
        <f>MAYO!AD228</f>
        <v>0</v>
      </c>
      <c r="AC228" s="374">
        <v>0</v>
      </c>
      <c r="AD228" s="18">
        <f>SUM(AB228:AC228)</f>
        <v>0</v>
      </c>
      <c r="AE228" s="19">
        <f>MAYO!AG228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2"/>
      <c r="B229" s="661"/>
      <c r="N229" s="9"/>
      <c r="P229" s="9"/>
      <c r="Q229" s="9"/>
      <c r="R229" s="9"/>
      <c r="S229" s="705">
        <f>+IF(MAYO!S229=0,"",MAYO!S229)</f>
        <v>7002200</v>
      </c>
      <c r="T229" s="681" t="str">
        <f>+IF(MAYO!T229=0,"",MAYO!T229)</f>
        <v>Intereses Comisiones y gastos de la Deuda Pública</v>
      </c>
      <c r="U229" s="27">
        <f>+ENERO!U229</f>
        <v>0</v>
      </c>
      <c r="V229" s="15">
        <f>MAYO!V229+JUNIO!AL229</f>
        <v>0</v>
      </c>
      <c r="W229" s="15">
        <f>MAYO!W229+JUNIO!AM229</f>
        <v>0</v>
      </c>
      <c r="X229" s="18">
        <f>SUM(U229:W229)</f>
        <v>0</v>
      </c>
      <c r="Y229" s="19">
        <f>MAYO!AA229</f>
        <v>0</v>
      </c>
      <c r="Z229" s="374">
        <v>0</v>
      </c>
      <c r="AA229" s="18">
        <f>SUM(Y229:Z229)</f>
        <v>0</v>
      </c>
      <c r="AB229" s="19">
        <f>MAYO!AD229</f>
        <v>0</v>
      </c>
      <c r="AC229" s="374">
        <v>0</v>
      </c>
      <c r="AD229" s="18">
        <f>SUM(AB229:AC229)</f>
        <v>0</v>
      </c>
      <c r="AE229" s="19">
        <f>MAYO!AG229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2"/>
      <c r="B230" s="661"/>
      <c r="N230" s="9"/>
      <c r="P230" s="9"/>
      <c r="Q230" s="9"/>
      <c r="R230" s="9"/>
      <c r="S230" s="710">
        <f>+IF(MAYO!S230=0,"",MAYO!S230)</f>
        <v>7002999</v>
      </c>
      <c r="T230" s="687" t="str">
        <f>+IF(MAYO!T230=0,"",MAYO!T230)</f>
        <v>Vigencias Anteriores</v>
      </c>
      <c r="U230" s="133">
        <f>+ENERO!U230</f>
        <v>0</v>
      </c>
      <c r="V230" s="121">
        <f>MAYO!V230+JUNIO!AL230</f>
        <v>0</v>
      </c>
      <c r="W230" s="121">
        <f>MAYO!W230+JUNIO!AM230</f>
        <v>0</v>
      </c>
      <c r="X230" s="126">
        <f>SUM(U230:W230)</f>
        <v>0</v>
      </c>
      <c r="Y230" s="124">
        <f>MAYO!AA230</f>
        <v>0</v>
      </c>
      <c r="Z230" s="388">
        <v>0</v>
      </c>
      <c r="AA230" s="126">
        <f>SUM(Y230:Z230)</f>
        <v>0</v>
      </c>
      <c r="AB230" s="124">
        <f>MAYO!AD230</f>
        <v>0</v>
      </c>
      <c r="AC230" s="388">
        <v>0</v>
      </c>
      <c r="AD230" s="126">
        <f>SUM(AB230:AC230)</f>
        <v>0</v>
      </c>
      <c r="AE230" s="124">
        <f>MAYO!AG230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2"/>
      <c r="B231" s="661"/>
      <c r="N231" s="9"/>
      <c r="P231" s="9"/>
      <c r="Q231" s="9"/>
      <c r="R231" s="9"/>
      <c r="S231" s="489" t="str">
        <f>+IF(MAYO!S231=0,"",MAYO!S231)</f>
        <v/>
      </c>
      <c r="T231" s="688" t="str">
        <f>+IF(MAYO!T231=0,"",MAYO!T231)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2"/>
      <c r="B232" s="661"/>
      <c r="N232" s="9"/>
      <c r="P232" s="9"/>
      <c r="Q232" s="9"/>
      <c r="R232" s="9"/>
      <c r="S232" s="505" t="str">
        <f>+IF(MAYO!S232=0,"",MAYO!S232)</f>
        <v>D</v>
      </c>
      <c r="T232" s="696" t="str">
        <f>+IF(MAYO!T232=0,"",MAYO!T232)</f>
        <v>INVERSION</v>
      </c>
      <c r="U232" s="470">
        <f>U234+U243</f>
        <v>0</v>
      </c>
      <c r="V232" s="471">
        <f t="shared" ref="V232:AJ232" si="198">V234+V243</f>
        <v>0</v>
      </c>
      <c r="W232" s="471">
        <f t="shared" si="198"/>
        <v>433878092</v>
      </c>
      <c r="X232" s="472">
        <f t="shared" si="198"/>
        <v>433878092</v>
      </c>
      <c r="Y232" s="379">
        <f t="shared" si="198"/>
        <v>352813794</v>
      </c>
      <c r="Z232" s="471">
        <f t="shared" si="198"/>
        <v>0</v>
      </c>
      <c r="AA232" s="472">
        <f t="shared" si="198"/>
        <v>352813794</v>
      </c>
      <c r="AB232" s="379">
        <f t="shared" si="198"/>
        <v>180073229</v>
      </c>
      <c r="AC232" s="471">
        <f t="shared" si="198"/>
        <v>0</v>
      </c>
      <c r="AD232" s="472">
        <f t="shared" si="198"/>
        <v>180073229</v>
      </c>
      <c r="AE232" s="379">
        <f t="shared" si="198"/>
        <v>165407897</v>
      </c>
      <c r="AF232" s="471">
        <f t="shared" si="198"/>
        <v>7332666</v>
      </c>
      <c r="AG232" s="472">
        <f t="shared" si="198"/>
        <v>172740563</v>
      </c>
      <c r="AH232" s="379">
        <f t="shared" si="198"/>
        <v>81064298</v>
      </c>
      <c r="AI232" s="471">
        <f t="shared" si="198"/>
        <v>253804863</v>
      </c>
      <c r="AJ232" s="380">
        <f t="shared" si="198"/>
        <v>261137529</v>
      </c>
      <c r="AK232" s="500"/>
      <c r="AL232" s="379">
        <f t="shared" ref="AL232:AM232" si="199">AL234+AL243</f>
        <v>0</v>
      </c>
      <c r="AM232" s="380">
        <f t="shared" si="199"/>
        <v>0</v>
      </c>
      <c r="AN232" s="9"/>
    </row>
    <row r="233" spans="1:40" s="382" customFormat="1" ht="24.95" customHeight="1">
      <c r="A233" s="752"/>
      <c r="B233" s="661"/>
      <c r="N233" s="9"/>
      <c r="P233" s="9"/>
      <c r="Q233" s="9"/>
      <c r="R233" s="9"/>
      <c r="S233" s="366" t="str">
        <f>+IF(MAYO!S233=0,"",MAYO!S233)</f>
        <v/>
      </c>
      <c r="T233" s="695"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2"/>
      <c r="B234" s="661"/>
      <c r="N234" s="9"/>
      <c r="P234" s="9"/>
      <c r="Q234" s="9"/>
      <c r="R234" s="9"/>
      <c r="S234" s="704">
        <f>+IF(MAYO!S234=0,"",MAYO!S234)</f>
        <v>8000000</v>
      </c>
      <c r="T234" s="680" t="str">
        <f>+IF(MAYO!T234=0,"",MAYO!T234)</f>
        <v>Programas de Inversión</v>
      </c>
      <c r="U234" s="132">
        <f>U235</f>
        <v>0</v>
      </c>
      <c r="V234" s="122">
        <f t="shared" ref="V234:AJ234" si="200">V235</f>
        <v>0</v>
      </c>
      <c r="W234" s="122">
        <f t="shared" si="200"/>
        <v>380000000</v>
      </c>
      <c r="X234" s="129">
        <f t="shared" si="200"/>
        <v>380000000</v>
      </c>
      <c r="Y234" s="128">
        <f t="shared" si="200"/>
        <v>352813794</v>
      </c>
      <c r="Z234" s="122">
        <f t="shared" si="200"/>
        <v>0</v>
      </c>
      <c r="AA234" s="129">
        <f t="shared" si="200"/>
        <v>352813794</v>
      </c>
      <c r="AB234" s="128">
        <f t="shared" si="200"/>
        <v>180073229</v>
      </c>
      <c r="AC234" s="122">
        <f t="shared" si="200"/>
        <v>0</v>
      </c>
      <c r="AD234" s="129">
        <f t="shared" si="200"/>
        <v>180073229</v>
      </c>
      <c r="AE234" s="128">
        <f t="shared" si="200"/>
        <v>165407897</v>
      </c>
      <c r="AF234" s="122">
        <f t="shared" si="200"/>
        <v>7332666</v>
      </c>
      <c r="AG234" s="129">
        <f t="shared" si="200"/>
        <v>172740563</v>
      </c>
      <c r="AH234" s="128">
        <f t="shared" si="200"/>
        <v>27186206</v>
      </c>
      <c r="AI234" s="122">
        <f t="shared" si="200"/>
        <v>199926771</v>
      </c>
      <c r="AJ234" s="130">
        <f t="shared" si="200"/>
        <v>207259437</v>
      </c>
      <c r="AK234" s="9"/>
      <c r="AL234" s="128">
        <f t="shared" ref="AL234:AM234" si="201">AL235</f>
        <v>0</v>
      </c>
      <c r="AM234" s="130">
        <f t="shared" si="201"/>
        <v>0</v>
      </c>
      <c r="AN234" s="9"/>
    </row>
    <row r="235" spans="1:40" s="382" customFormat="1" ht="24.95" customHeight="1">
      <c r="A235" s="752"/>
      <c r="B235" s="661"/>
      <c r="N235" s="9"/>
      <c r="P235" s="9"/>
      <c r="Q235" s="9"/>
      <c r="R235" s="9"/>
      <c r="S235" s="705">
        <f>+IF(MAYO!S235=0,"",MAYO!S235)</f>
        <v>8001000</v>
      </c>
      <c r="T235" s="681" t="str">
        <f>+IF(MAYO!T235=0,"",MAYO!T235)</f>
        <v>Formación Bruta del Capital</v>
      </c>
      <c r="U235" s="27">
        <f t="shared" ref="U235:AJ235" si="202">SUM(U236:U241)</f>
        <v>0</v>
      </c>
      <c r="V235" s="15">
        <f t="shared" si="202"/>
        <v>0</v>
      </c>
      <c r="W235" s="15">
        <f t="shared" si="202"/>
        <v>380000000</v>
      </c>
      <c r="X235" s="18">
        <f t="shared" si="202"/>
        <v>380000000</v>
      </c>
      <c r="Y235" s="19">
        <f t="shared" si="202"/>
        <v>352813794</v>
      </c>
      <c r="Z235" s="142">
        <f t="shared" si="202"/>
        <v>0</v>
      </c>
      <c r="AA235" s="18">
        <f t="shared" si="202"/>
        <v>352813794</v>
      </c>
      <c r="AB235" s="19">
        <f t="shared" si="202"/>
        <v>180073229</v>
      </c>
      <c r="AC235" s="142">
        <f t="shared" si="202"/>
        <v>0</v>
      </c>
      <c r="AD235" s="18">
        <f t="shared" si="202"/>
        <v>180073229</v>
      </c>
      <c r="AE235" s="19">
        <f t="shared" si="202"/>
        <v>165407897</v>
      </c>
      <c r="AF235" s="142">
        <f t="shared" si="202"/>
        <v>7332666</v>
      </c>
      <c r="AG235" s="18">
        <f t="shared" si="202"/>
        <v>172740563</v>
      </c>
      <c r="AH235" s="19">
        <f t="shared" si="202"/>
        <v>27186206</v>
      </c>
      <c r="AI235" s="15">
        <f t="shared" si="202"/>
        <v>199926771</v>
      </c>
      <c r="AJ235" s="16">
        <f t="shared" si="202"/>
        <v>207259437</v>
      </c>
      <c r="AK235" s="9"/>
      <c r="AL235" s="29">
        <f>SUM(AL236:AL241)</f>
        <v>0</v>
      </c>
      <c r="AM235" s="26">
        <f>SUM(AM236:AM241)</f>
        <v>0</v>
      </c>
      <c r="AN235" s="9"/>
    </row>
    <row r="236" spans="1:40" s="382" customFormat="1" ht="24.95" customHeight="1">
      <c r="A236" s="752"/>
      <c r="B236" s="661"/>
      <c r="N236" s="9"/>
      <c r="P236" s="9"/>
      <c r="Q236" s="9"/>
      <c r="R236" s="9"/>
      <c r="S236" s="706" t="str">
        <f>+IF(MAYO!S236=0,"",MAYO!S236)</f>
        <v>8001000-1</v>
      </c>
      <c r="T236" s="682" t="str">
        <f>+IF(MAYO!T236=0,"",MAYO!T236)</f>
        <v>Subprogr.Construc. Remodelac. Adecuación y Apliac.1</v>
      </c>
      <c r="U236" s="27">
        <f>+ENERO!U236</f>
        <v>0</v>
      </c>
      <c r="V236" s="15">
        <f>MAYO!V236+JUNIO!AL236</f>
        <v>0</v>
      </c>
      <c r="W236" s="15">
        <f>MAYO!W236+JUNIO!AM236</f>
        <v>380000000</v>
      </c>
      <c r="X236" s="18">
        <f t="shared" ref="X236:X241" si="203">SUM(U236:W236)</f>
        <v>380000000</v>
      </c>
      <c r="Y236" s="19">
        <f>MAYO!AA236</f>
        <v>352813794</v>
      </c>
      <c r="Z236" s="374">
        <v>0</v>
      </c>
      <c r="AA236" s="18">
        <f t="shared" ref="AA236:AA241" si="204">SUM(Y236:Z236)</f>
        <v>352813794</v>
      </c>
      <c r="AB236" s="19">
        <f>MAYO!AD236</f>
        <v>180073229</v>
      </c>
      <c r="AC236" s="374">
        <v>0</v>
      </c>
      <c r="AD236" s="18">
        <f t="shared" ref="AD236:AD241" si="205">SUM(AB236:AC236)</f>
        <v>180073229</v>
      </c>
      <c r="AE236" s="19">
        <f>MAYO!AG236</f>
        <v>165407897</v>
      </c>
      <c r="AF236" s="374">
        <v>7332666</v>
      </c>
      <c r="AG236" s="18">
        <f t="shared" ref="AG236:AG241" si="206">SUM(AE236:AF236)</f>
        <v>172740563</v>
      </c>
      <c r="AH236" s="19">
        <f t="shared" ref="AH236:AH241" si="207">X236-AA236</f>
        <v>27186206</v>
      </c>
      <c r="AI236" s="15">
        <f t="shared" ref="AI236:AI241" si="208">X236-AD236</f>
        <v>199926771</v>
      </c>
      <c r="AJ236" s="16">
        <f t="shared" ref="AJ236:AJ241" si="209">X236-AG236</f>
        <v>207259437</v>
      </c>
      <c r="AK236" s="9"/>
      <c r="AL236" s="372">
        <v>0</v>
      </c>
      <c r="AM236" s="375">
        <v>0</v>
      </c>
      <c r="AN236" s="9"/>
    </row>
    <row r="237" spans="1:40" s="382" customFormat="1" ht="24.95" customHeight="1">
      <c r="A237" s="752"/>
      <c r="B237" s="661"/>
      <c r="N237" s="9"/>
      <c r="P237" s="9"/>
      <c r="Q237" s="9"/>
      <c r="R237" s="9"/>
      <c r="S237" s="706" t="str">
        <f>+IF(MAYO!S237=0,"",MAYO!S237)</f>
        <v>8001000-2</v>
      </c>
      <c r="T237" s="682" t="str">
        <f>+IF(MAYO!T237=0,"",MAYO!T237)</f>
        <v>Subprogr.Construc. Remodelac. Adecuación y Apliac.2</v>
      </c>
      <c r="U237" s="27">
        <f>+ENERO!U237</f>
        <v>0</v>
      </c>
      <c r="V237" s="15">
        <f>MAYO!V237+JUNIO!AL237</f>
        <v>0</v>
      </c>
      <c r="W237" s="15">
        <f>MAYO!W237+JUNIO!AM237</f>
        <v>0</v>
      </c>
      <c r="X237" s="18">
        <f t="shared" si="203"/>
        <v>0</v>
      </c>
      <c r="Y237" s="19">
        <f>MAYO!AA237</f>
        <v>0</v>
      </c>
      <c r="Z237" s="374">
        <v>0</v>
      </c>
      <c r="AA237" s="18">
        <f t="shared" si="204"/>
        <v>0</v>
      </c>
      <c r="AB237" s="19">
        <f>MAYO!AD237</f>
        <v>0</v>
      </c>
      <c r="AC237" s="374">
        <v>0</v>
      </c>
      <c r="AD237" s="18">
        <f t="shared" si="205"/>
        <v>0</v>
      </c>
      <c r="AE237" s="19">
        <f>MAYO!AG237</f>
        <v>0</v>
      </c>
      <c r="AF237" s="374">
        <v>0</v>
      </c>
      <c r="AG237" s="18">
        <f t="shared" si="206"/>
        <v>0</v>
      </c>
      <c r="AH237" s="19">
        <f t="shared" si="207"/>
        <v>0</v>
      </c>
      <c r="AI237" s="15">
        <f t="shared" si="208"/>
        <v>0</v>
      </c>
      <c r="AJ237" s="16">
        <f t="shared" si="209"/>
        <v>0</v>
      </c>
      <c r="AK237" s="9"/>
      <c r="AL237" s="372">
        <v>0</v>
      </c>
      <c r="AM237" s="375">
        <v>0</v>
      </c>
      <c r="AN237" s="9"/>
    </row>
    <row r="238" spans="1:40" s="382" customFormat="1" ht="24.95" customHeight="1">
      <c r="A238" s="752"/>
      <c r="B238" s="661"/>
      <c r="N238" s="9"/>
      <c r="P238" s="9"/>
      <c r="Q238" s="9"/>
      <c r="R238" s="9"/>
      <c r="S238" s="706" t="str">
        <f>+IF(MAYO!S238=0,"",MAYO!S238)</f>
        <v>8001000-3</v>
      </c>
      <c r="T238" s="682" t="str">
        <f>+IF(MAYO!T238=0,"",MAYO!T238)</f>
        <v>Subprogr.Construc. Remodelac. Adecuación y Apliac.3</v>
      </c>
      <c r="U238" s="27">
        <f>+ENERO!U238</f>
        <v>0</v>
      </c>
      <c r="V238" s="15">
        <f>MAYO!V238+JUNIO!AL238</f>
        <v>0</v>
      </c>
      <c r="W238" s="15">
        <f>MAYO!W238+JUNIO!AM238</f>
        <v>0</v>
      </c>
      <c r="X238" s="18">
        <f t="shared" si="203"/>
        <v>0</v>
      </c>
      <c r="Y238" s="19">
        <f>MAYO!AA238</f>
        <v>0</v>
      </c>
      <c r="Z238" s="374">
        <v>0</v>
      </c>
      <c r="AA238" s="18">
        <f t="shared" si="204"/>
        <v>0</v>
      </c>
      <c r="AB238" s="19">
        <f>MAYO!AD238</f>
        <v>0</v>
      </c>
      <c r="AC238" s="374">
        <v>0</v>
      </c>
      <c r="AD238" s="18">
        <f t="shared" si="205"/>
        <v>0</v>
      </c>
      <c r="AE238" s="19">
        <f>MAYO!AG238</f>
        <v>0</v>
      </c>
      <c r="AF238" s="374">
        <v>0</v>
      </c>
      <c r="AG238" s="18">
        <f t="shared" si="206"/>
        <v>0</v>
      </c>
      <c r="AH238" s="19">
        <f t="shared" si="207"/>
        <v>0</v>
      </c>
      <c r="AI238" s="15">
        <f t="shared" si="208"/>
        <v>0</v>
      </c>
      <c r="AJ238" s="16">
        <f t="shared" si="209"/>
        <v>0</v>
      </c>
      <c r="AK238" s="9"/>
      <c r="AL238" s="372">
        <v>0</v>
      </c>
      <c r="AM238" s="375">
        <v>0</v>
      </c>
      <c r="AN238" s="9"/>
    </row>
    <row r="239" spans="1:40" s="382" customFormat="1" ht="24.95" customHeight="1">
      <c r="A239" s="752"/>
      <c r="B239" s="661"/>
      <c r="N239" s="9"/>
      <c r="P239" s="9"/>
      <c r="Q239" s="9"/>
      <c r="S239" s="706" t="str">
        <f>+IF(MAYO!S239=0,"",MAYO!S239)</f>
        <v>8001000-4</v>
      </c>
      <c r="T239" s="682" t="str">
        <f>+IF(MAYO!T239=0,"",MAYO!T239)</f>
        <v>Subprogr.Construc. Remodelac. Adecuación y Apliac.4</v>
      </c>
      <c r="U239" s="27">
        <f>+ENERO!U239</f>
        <v>0</v>
      </c>
      <c r="V239" s="15">
        <f>MAYO!V239+JUNIO!AL239</f>
        <v>0</v>
      </c>
      <c r="W239" s="15">
        <f>MAYO!W239+JUNIO!AM239</f>
        <v>0</v>
      </c>
      <c r="X239" s="18">
        <f t="shared" si="203"/>
        <v>0</v>
      </c>
      <c r="Y239" s="19">
        <f>MAYO!AA239</f>
        <v>0</v>
      </c>
      <c r="Z239" s="374">
        <v>0</v>
      </c>
      <c r="AA239" s="18">
        <f t="shared" si="204"/>
        <v>0</v>
      </c>
      <c r="AB239" s="19">
        <f>MAYO!AD239</f>
        <v>0</v>
      </c>
      <c r="AC239" s="374">
        <v>0</v>
      </c>
      <c r="AD239" s="18">
        <f t="shared" si="205"/>
        <v>0</v>
      </c>
      <c r="AE239" s="19">
        <f>MAYO!AG239</f>
        <v>0</v>
      </c>
      <c r="AF239" s="374">
        <v>0</v>
      </c>
      <c r="AG239" s="18">
        <f t="shared" si="206"/>
        <v>0</v>
      </c>
      <c r="AH239" s="19">
        <f t="shared" si="207"/>
        <v>0</v>
      </c>
      <c r="AI239" s="15">
        <f t="shared" si="208"/>
        <v>0</v>
      </c>
      <c r="AJ239" s="16">
        <f t="shared" si="209"/>
        <v>0</v>
      </c>
      <c r="AK239" s="9"/>
      <c r="AL239" s="372">
        <v>0</v>
      </c>
      <c r="AM239" s="375">
        <v>0</v>
      </c>
      <c r="AN239" s="9"/>
    </row>
    <row r="240" spans="1:40" s="382" customFormat="1" ht="24.95" customHeight="1">
      <c r="A240" s="752"/>
      <c r="B240" s="661"/>
      <c r="N240" s="9"/>
      <c r="P240" s="9"/>
      <c r="Q240" s="9"/>
      <c r="S240" s="706" t="str">
        <f>+IF(MAYO!S240=0,"",MAYO!S240)</f>
        <v>8001000-7</v>
      </c>
      <c r="T240" s="682" t="str">
        <f>+IF(MAYO!T240=0,"",MAYO!T240)</f>
        <v>Subprogr.Construc. Remodelac. Adecuación y Apliac.5</v>
      </c>
      <c r="U240" s="27">
        <f>+ENERO!U240</f>
        <v>0</v>
      </c>
      <c r="V240" s="15">
        <f>MAYO!V240+JUNIO!AL240</f>
        <v>0</v>
      </c>
      <c r="W240" s="15">
        <f>MAYO!W240+JUNIO!AM240</f>
        <v>0</v>
      </c>
      <c r="X240" s="18">
        <f t="shared" si="203"/>
        <v>0</v>
      </c>
      <c r="Y240" s="19">
        <f>MAYO!AA240</f>
        <v>0</v>
      </c>
      <c r="Z240" s="374">
        <v>0</v>
      </c>
      <c r="AA240" s="18">
        <f t="shared" si="204"/>
        <v>0</v>
      </c>
      <c r="AB240" s="19">
        <f>MAYO!AD240</f>
        <v>0</v>
      </c>
      <c r="AC240" s="374">
        <v>0</v>
      </c>
      <c r="AD240" s="18">
        <f t="shared" si="205"/>
        <v>0</v>
      </c>
      <c r="AE240" s="19">
        <f>MAYO!AG240</f>
        <v>0</v>
      </c>
      <c r="AF240" s="374">
        <v>0</v>
      </c>
      <c r="AG240" s="18">
        <f t="shared" si="206"/>
        <v>0</v>
      </c>
      <c r="AH240" s="19">
        <f t="shared" si="207"/>
        <v>0</v>
      </c>
      <c r="AI240" s="15">
        <f t="shared" si="208"/>
        <v>0</v>
      </c>
      <c r="AJ240" s="16">
        <f t="shared" si="209"/>
        <v>0</v>
      </c>
      <c r="AK240" s="9"/>
      <c r="AL240" s="372">
        <v>0</v>
      </c>
      <c r="AM240" s="375">
        <v>0</v>
      </c>
      <c r="AN240" s="9"/>
    </row>
    <row r="241" spans="1:70" ht="24.95" customHeight="1">
      <c r="A241" s="752"/>
      <c r="B241" s="661"/>
      <c r="C241" s="382"/>
      <c r="D241" s="382"/>
      <c r="E241" s="382"/>
      <c r="F241" s="382"/>
      <c r="G241" s="382"/>
      <c r="H241" s="382"/>
      <c r="I241" s="382"/>
      <c r="J241" s="382"/>
      <c r="K241" s="382"/>
      <c r="L241" s="382"/>
      <c r="M241" s="382"/>
      <c r="N241" s="9"/>
      <c r="O241" s="382"/>
      <c r="P241" s="9"/>
      <c r="Q241" s="9"/>
      <c r="S241" s="716">
        <f>+IF(MAYO!S241=0,"",MAYO!S241)</f>
        <v>8001999</v>
      </c>
      <c r="T241" s="682" t="str">
        <f>+IF(MAYO!T241=0,"",MAYO!T241)</f>
        <v>Vigencias Anteriores</v>
      </c>
      <c r="U241" s="27">
        <f>+ENERO!U241</f>
        <v>0</v>
      </c>
      <c r="V241" s="15">
        <f>MAYO!V241+JUNIO!AL241</f>
        <v>0</v>
      </c>
      <c r="W241" s="15">
        <f>MAYO!W241+JUNIO!AM241</f>
        <v>0</v>
      </c>
      <c r="X241" s="18">
        <f t="shared" si="203"/>
        <v>0</v>
      </c>
      <c r="Y241" s="19">
        <f>MAYO!AA241</f>
        <v>0</v>
      </c>
      <c r="Z241" s="374">
        <v>0</v>
      </c>
      <c r="AA241" s="18">
        <f t="shared" si="204"/>
        <v>0</v>
      </c>
      <c r="AB241" s="19">
        <f>MAYO!AD241</f>
        <v>0</v>
      </c>
      <c r="AC241" s="374">
        <v>0</v>
      </c>
      <c r="AD241" s="18">
        <f t="shared" si="205"/>
        <v>0</v>
      </c>
      <c r="AE241" s="19">
        <f>MAYO!AG241</f>
        <v>0</v>
      </c>
      <c r="AF241" s="374">
        <v>0</v>
      </c>
      <c r="AG241" s="18">
        <f t="shared" si="206"/>
        <v>0</v>
      </c>
      <c r="AH241" s="19">
        <f t="shared" si="207"/>
        <v>0</v>
      </c>
      <c r="AI241" s="15">
        <f t="shared" si="208"/>
        <v>0</v>
      </c>
      <c r="AJ241" s="16">
        <f t="shared" si="209"/>
        <v>0</v>
      </c>
      <c r="AK241" s="9"/>
      <c r="AL241" s="372">
        <v>0</v>
      </c>
      <c r="AM241" s="375">
        <v>0</v>
      </c>
      <c r="BM241" s="382"/>
      <c r="BN241" s="382"/>
      <c r="BO241" s="382"/>
      <c r="BP241" s="382"/>
      <c r="BQ241" s="382"/>
      <c r="BR241" s="382"/>
    </row>
    <row r="242" spans="1:70" ht="24.95" customHeight="1">
      <c r="A242" s="752"/>
      <c r="B242" s="661"/>
      <c r="C242" s="382"/>
      <c r="D242" s="382"/>
      <c r="E242" s="382"/>
      <c r="F242" s="382"/>
      <c r="G242" s="382"/>
      <c r="H242" s="382"/>
      <c r="I242" s="382"/>
      <c r="J242" s="382"/>
      <c r="K242" s="382"/>
      <c r="L242" s="382"/>
      <c r="M242" s="382"/>
      <c r="N242" s="9"/>
      <c r="O242" s="382"/>
      <c r="P242" s="9"/>
      <c r="Q242" s="9"/>
      <c r="S242" s="366" t="str">
        <f>+IF(MAYO!S242=0,"",MAYO!S242)</f>
        <v/>
      </c>
      <c r="T242" s="695"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2"/>
      <c r="B243" s="661"/>
      <c r="C243" s="382"/>
      <c r="D243" s="382"/>
      <c r="E243" s="382"/>
      <c r="F243" s="382"/>
      <c r="G243" s="382"/>
      <c r="H243" s="382"/>
      <c r="I243" s="382"/>
      <c r="J243" s="382"/>
      <c r="K243" s="382"/>
      <c r="L243" s="382"/>
      <c r="M243" s="382"/>
      <c r="N243" s="9"/>
      <c r="O243" s="382"/>
      <c r="P243" s="9"/>
      <c r="Q243" s="9"/>
      <c r="S243" s="704">
        <f>+IF(MAYO!S243=0,"",MAYO!S243)</f>
        <v>8002001</v>
      </c>
      <c r="T243" s="680" t="str">
        <f>+IF(MAYO!T243=0,"",MAYO!T243)</f>
        <v>Gastos Operativos de Inversion   (Programas Especiales)</v>
      </c>
      <c r="U243" s="132">
        <f t="shared" ref="U243:AJ243" si="210">SUM(U244:U256)</f>
        <v>0</v>
      </c>
      <c r="V243" s="122">
        <f t="shared" si="210"/>
        <v>0</v>
      </c>
      <c r="W243" s="122">
        <f t="shared" si="210"/>
        <v>53878092</v>
      </c>
      <c r="X243" s="129">
        <f t="shared" si="210"/>
        <v>53878092</v>
      </c>
      <c r="Y243" s="128">
        <f t="shared" si="210"/>
        <v>0</v>
      </c>
      <c r="Z243" s="122">
        <f t="shared" si="210"/>
        <v>0</v>
      </c>
      <c r="AA243" s="129">
        <f t="shared" si="210"/>
        <v>0</v>
      </c>
      <c r="AB243" s="128">
        <f t="shared" si="210"/>
        <v>0</v>
      </c>
      <c r="AC243" s="122">
        <f t="shared" si="210"/>
        <v>0</v>
      </c>
      <c r="AD243" s="129">
        <f t="shared" si="210"/>
        <v>0</v>
      </c>
      <c r="AE243" s="128">
        <f t="shared" si="210"/>
        <v>0</v>
      </c>
      <c r="AF243" s="122">
        <f t="shared" si="210"/>
        <v>0</v>
      </c>
      <c r="AG243" s="129">
        <f t="shared" si="210"/>
        <v>0</v>
      </c>
      <c r="AH243" s="128">
        <f t="shared" si="210"/>
        <v>53878092</v>
      </c>
      <c r="AI243" s="122">
        <f t="shared" si="210"/>
        <v>53878092</v>
      </c>
      <c r="AJ243" s="130">
        <f t="shared" si="210"/>
        <v>53878092</v>
      </c>
      <c r="AK243" s="9"/>
      <c r="AL243" s="128">
        <f>SUM(AL244:AL256)</f>
        <v>0</v>
      </c>
      <c r="AM243" s="130">
        <f>SUM(AM244:AM256)</f>
        <v>0</v>
      </c>
    </row>
    <row r="244" spans="1:70" ht="24.95" customHeight="1">
      <c r="A244" s="752"/>
      <c r="B244" s="661"/>
      <c r="C244" s="382"/>
      <c r="D244" s="382"/>
      <c r="E244" s="382"/>
      <c r="F244" s="382"/>
      <c r="G244" s="382"/>
      <c r="H244" s="382"/>
      <c r="I244" s="382"/>
      <c r="J244" s="382"/>
      <c r="K244" s="382"/>
      <c r="L244" s="382"/>
      <c r="M244" s="382"/>
      <c r="N244" s="9"/>
      <c r="O244" s="382"/>
      <c r="P244" s="9"/>
      <c r="Q244" s="9"/>
      <c r="S244" s="706" t="str">
        <f>+IF(MAYO!S244=0,"",MAYO!S244)</f>
        <v>8002100-1</v>
      </c>
      <c r="T244" s="682" t="str">
        <f>+IF(MAYO!T244=0,"",MAYO!T244)</f>
        <v>Fondo de la Vivienda</v>
      </c>
      <c r="U244" s="27">
        <f>+ENERO!U244</f>
        <v>0</v>
      </c>
      <c r="V244" s="15">
        <f>MAYO!V244+JUNIO!AL244</f>
        <v>0</v>
      </c>
      <c r="W244" s="15">
        <f>MAYO!W244+JUNIO!AM244</f>
        <v>53878092</v>
      </c>
      <c r="X244" s="18">
        <f t="shared" ref="X244:X256" si="211">SUM(U244:W244)</f>
        <v>53878092</v>
      </c>
      <c r="Y244" s="19">
        <f>MAYO!AA244</f>
        <v>0</v>
      </c>
      <c r="Z244" s="374">
        <v>0</v>
      </c>
      <c r="AA244" s="18">
        <f t="shared" ref="AA244:AA256" si="212">SUM(Y244:Z244)</f>
        <v>0</v>
      </c>
      <c r="AB244" s="19">
        <f>MAYO!AD244</f>
        <v>0</v>
      </c>
      <c r="AC244" s="374">
        <v>0</v>
      </c>
      <c r="AD244" s="18">
        <f t="shared" ref="AD244:AD256" si="213">SUM(AB244:AC244)</f>
        <v>0</v>
      </c>
      <c r="AE244" s="19">
        <f>MAYO!AG244</f>
        <v>0</v>
      </c>
      <c r="AF244" s="374">
        <v>0</v>
      </c>
      <c r="AG244" s="18">
        <f t="shared" ref="AG244:AG256" si="214">SUM(AE244:AF244)</f>
        <v>0</v>
      </c>
      <c r="AH244" s="19">
        <f t="shared" ref="AH244:AH256" si="215">X244-AA244</f>
        <v>53878092</v>
      </c>
      <c r="AI244" s="15">
        <f t="shared" ref="AI244:AI256" si="216">X244-AD244</f>
        <v>53878092</v>
      </c>
      <c r="AJ244" s="16">
        <f t="shared" ref="AJ244:AJ256" si="217">X244-AG244</f>
        <v>53878092</v>
      </c>
      <c r="AK244" s="9"/>
      <c r="AL244" s="372">
        <v>0</v>
      </c>
      <c r="AM244" s="375">
        <v>0</v>
      </c>
    </row>
    <row r="245" spans="1:70" ht="24.95" customHeight="1">
      <c r="A245" s="752"/>
      <c r="B245" s="661"/>
      <c r="C245" s="382"/>
      <c r="D245" s="382"/>
      <c r="E245" s="382"/>
      <c r="F245" s="382"/>
      <c r="G245" s="382"/>
      <c r="H245" s="382"/>
      <c r="I245" s="382"/>
      <c r="J245" s="382"/>
      <c r="K245" s="382"/>
      <c r="L245" s="382"/>
      <c r="M245" s="382"/>
      <c r="N245" s="9"/>
      <c r="O245" s="382"/>
      <c r="P245" s="9"/>
      <c r="Q245" s="9"/>
      <c r="S245" s="706" t="str">
        <f>+IF(MAYO!S245=0,"",MAYO!S245)</f>
        <v>8002100-2</v>
      </c>
      <c r="T245" s="682" t="str">
        <f>+IF(MAYO!T245=0,"",MAYO!T245)</f>
        <v>Programas Especial 01</v>
      </c>
      <c r="U245" s="27">
        <f>+ENERO!U245</f>
        <v>0</v>
      </c>
      <c r="V245" s="15">
        <f>MAYO!V245+JUNIO!AL245</f>
        <v>0</v>
      </c>
      <c r="W245" s="15">
        <f>MAYO!W245+JUNIO!AM245</f>
        <v>0</v>
      </c>
      <c r="X245" s="18">
        <f t="shared" si="211"/>
        <v>0</v>
      </c>
      <c r="Y245" s="19">
        <f>MAYO!AA245</f>
        <v>0</v>
      </c>
      <c r="Z245" s="374">
        <v>0</v>
      </c>
      <c r="AA245" s="18">
        <f t="shared" si="212"/>
        <v>0</v>
      </c>
      <c r="AB245" s="19">
        <f>MAYO!AD245</f>
        <v>0</v>
      </c>
      <c r="AC245" s="374">
        <v>0</v>
      </c>
      <c r="AD245" s="18">
        <f t="shared" si="213"/>
        <v>0</v>
      </c>
      <c r="AE245" s="19">
        <f>MAYO!AG245</f>
        <v>0</v>
      </c>
      <c r="AF245" s="374">
        <v>0</v>
      </c>
      <c r="AG245" s="18">
        <f t="shared" si="214"/>
        <v>0</v>
      </c>
      <c r="AH245" s="19">
        <f t="shared" si="215"/>
        <v>0</v>
      </c>
      <c r="AI245" s="15">
        <f t="shared" si="216"/>
        <v>0</v>
      </c>
      <c r="AJ245" s="16">
        <f t="shared" si="217"/>
        <v>0</v>
      </c>
      <c r="AK245" s="9"/>
      <c r="AL245" s="372">
        <v>0</v>
      </c>
      <c r="AM245" s="375">
        <v>0</v>
      </c>
    </row>
    <row r="246" spans="1:70" ht="24.95" customHeight="1">
      <c r="A246" s="752"/>
      <c r="B246" s="661"/>
      <c r="C246" s="382"/>
      <c r="D246" s="382"/>
      <c r="E246" s="382"/>
      <c r="F246" s="382"/>
      <c r="G246" s="382"/>
      <c r="H246" s="382"/>
      <c r="I246" s="382"/>
      <c r="J246" s="382"/>
      <c r="K246" s="382"/>
      <c r="L246" s="382"/>
      <c r="M246" s="382"/>
      <c r="N246" s="9"/>
      <c r="O246" s="382"/>
      <c r="P246" s="9"/>
      <c r="Q246" s="9"/>
      <c r="S246" s="706" t="str">
        <f>+IF(MAYO!S246=0,"",MAYO!S246)</f>
        <v>8002100-3</v>
      </c>
      <c r="T246" s="682" t="str">
        <f>+IF(MAYO!T246=0,"",MAYO!T246)</f>
        <v>Programas Especial 02</v>
      </c>
      <c r="U246" s="27">
        <f>+ENERO!U246</f>
        <v>0</v>
      </c>
      <c r="V246" s="15">
        <f>MAYO!V246+JUNIO!AL246</f>
        <v>0</v>
      </c>
      <c r="W246" s="15">
        <f>MAYO!W246+JUNIO!AM246</f>
        <v>0</v>
      </c>
      <c r="X246" s="18">
        <f t="shared" si="211"/>
        <v>0</v>
      </c>
      <c r="Y246" s="19">
        <f>MAYO!AA246</f>
        <v>0</v>
      </c>
      <c r="Z246" s="374">
        <v>0</v>
      </c>
      <c r="AA246" s="18">
        <f t="shared" si="212"/>
        <v>0</v>
      </c>
      <c r="AB246" s="19">
        <f>MAYO!AD246</f>
        <v>0</v>
      </c>
      <c r="AC246" s="374">
        <v>0</v>
      </c>
      <c r="AD246" s="18">
        <f t="shared" si="213"/>
        <v>0</v>
      </c>
      <c r="AE246" s="19">
        <f>MAYO!AG246</f>
        <v>0</v>
      </c>
      <c r="AF246" s="374">
        <v>0</v>
      </c>
      <c r="AG246" s="18">
        <f t="shared" si="214"/>
        <v>0</v>
      </c>
      <c r="AH246" s="19">
        <f t="shared" si="215"/>
        <v>0</v>
      </c>
      <c r="AI246" s="15">
        <f t="shared" si="216"/>
        <v>0</v>
      </c>
      <c r="AJ246" s="16">
        <f t="shared" si="217"/>
        <v>0</v>
      </c>
      <c r="AK246" s="9"/>
      <c r="AL246" s="372">
        <v>0</v>
      </c>
      <c r="AM246" s="375">
        <v>0</v>
      </c>
    </row>
    <row r="247" spans="1:70" ht="24.95" customHeight="1">
      <c r="A247" s="752"/>
      <c r="B247" s="661"/>
      <c r="C247" s="382"/>
      <c r="D247" s="382"/>
      <c r="E247" s="382"/>
      <c r="F247" s="382"/>
      <c r="G247" s="382"/>
      <c r="H247" s="382"/>
      <c r="I247" s="382"/>
      <c r="J247" s="382"/>
      <c r="K247" s="382"/>
      <c r="L247" s="382"/>
      <c r="M247" s="382"/>
      <c r="N247" s="9"/>
      <c r="O247" s="382"/>
      <c r="P247" s="9"/>
      <c r="Q247" s="9"/>
      <c r="S247" s="706" t="str">
        <f>+IF(MAYO!S247=0,"",MAYO!S247)</f>
        <v>8002100-4</v>
      </c>
      <c r="T247" s="682" t="str">
        <f>+IF(MAYO!T247=0,"",MAYO!T247)</f>
        <v>Programas Especial 03</v>
      </c>
      <c r="U247" s="27">
        <f>+ENERO!U247</f>
        <v>0</v>
      </c>
      <c r="V247" s="15">
        <f>MAYO!V247+JUNIO!AL247</f>
        <v>0</v>
      </c>
      <c r="W247" s="15">
        <f>MAYO!W247+JUNIO!AM247</f>
        <v>0</v>
      </c>
      <c r="X247" s="18">
        <f t="shared" si="211"/>
        <v>0</v>
      </c>
      <c r="Y247" s="19">
        <f>MAYO!AA247</f>
        <v>0</v>
      </c>
      <c r="Z247" s="374">
        <v>0</v>
      </c>
      <c r="AA247" s="18">
        <f t="shared" si="212"/>
        <v>0</v>
      </c>
      <c r="AB247" s="19">
        <f>MAYO!AD247</f>
        <v>0</v>
      </c>
      <c r="AC247" s="374">
        <v>0</v>
      </c>
      <c r="AD247" s="18">
        <f t="shared" si="213"/>
        <v>0</v>
      </c>
      <c r="AE247" s="19">
        <f>MAYO!AG247</f>
        <v>0</v>
      </c>
      <c r="AF247" s="374">
        <v>0</v>
      </c>
      <c r="AG247" s="18">
        <f t="shared" si="214"/>
        <v>0</v>
      </c>
      <c r="AH247" s="19">
        <f t="shared" si="215"/>
        <v>0</v>
      </c>
      <c r="AI247" s="15">
        <f t="shared" si="216"/>
        <v>0</v>
      </c>
      <c r="AJ247" s="16">
        <f t="shared" si="217"/>
        <v>0</v>
      </c>
      <c r="AK247" s="9"/>
      <c r="AL247" s="372">
        <v>0</v>
      </c>
      <c r="AM247" s="375">
        <v>0</v>
      </c>
    </row>
    <row r="248" spans="1:70" ht="24.95" customHeight="1">
      <c r="A248" s="752"/>
      <c r="B248" s="661"/>
      <c r="C248" s="382"/>
      <c r="D248" s="382"/>
      <c r="E248" s="382"/>
      <c r="F248" s="382"/>
      <c r="G248" s="382"/>
      <c r="H248" s="382"/>
      <c r="I248" s="382"/>
      <c r="J248" s="382"/>
      <c r="K248" s="382"/>
      <c r="L248" s="382"/>
      <c r="M248" s="382"/>
      <c r="N248" s="9"/>
      <c r="O248" s="382"/>
      <c r="P248" s="9"/>
      <c r="Q248" s="9"/>
      <c r="S248" s="706" t="str">
        <f>+IF(MAYO!S248=0,"",MAYO!S248)</f>
        <v>8002100-5</v>
      </c>
      <c r="T248" s="682" t="str">
        <f>+IF(MAYO!T248=0,"",MAYO!T248)</f>
        <v>Programas Especial 04</v>
      </c>
      <c r="U248" s="27">
        <f>+ENERO!U248</f>
        <v>0</v>
      </c>
      <c r="V248" s="15">
        <f>MAYO!V248+JUNIO!AL248</f>
        <v>0</v>
      </c>
      <c r="W248" s="15">
        <f>MAYO!W248+JUNIO!AM248</f>
        <v>0</v>
      </c>
      <c r="X248" s="18">
        <f t="shared" si="211"/>
        <v>0</v>
      </c>
      <c r="Y248" s="19">
        <f>MAYO!AA248</f>
        <v>0</v>
      </c>
      <c r="Z248" s="374">
        <v>0</v>
      </c>
      <c r="AA248" s="18">
        <f t="shared" si="212"/>
        <v>0</v>
      </c>
      <c r="AB248" s="19">
        <f>MAYO!AD248</f>
        <v>0</v>
      </c>
      <c r="AC248" s="374">
        <v>0</v>
      </c>
      <c r="AD248" s="18">
        <f t="shared" si="213"/>
        <v>0</v>
      </c>
      <c r="AE248" s="19">
        <f>MAYO!AG248</f>
        <v>0</v>
      </c>
      <c r="AF248" s="374">
        <v>0</v>
      </c>
      <c r="AG248" s="18">
        <f t="shared" si="214"/>
        <v>0</v>
      </c>
      <c r="AH248" s="19">
        <f t="shared" si="215"/>
        <v>0</v>
      </c>
      <c r="AI248" s="15">
        <f t="shared" si="216"/>
        <v>0</v>
      </c>
      <c r="AJ248" s="16">
        <f t="shared" si="217"/>
        <v>0</v>
      </c>
      <c r="AK248" s="9"/>
      <c r="AL248" s="372">
        <v>0</v>
      </c>
      <c r="AM248" s="375">
        <v>0</v>
      </c>
    </row>
    <row r="249" spans="1:70" ht="24.95" customHeight="1">
      <c r="A249" s="752"/>
      <c r="B249" s="661"/>
      <c r="C249" s="382"/>
      <c r="D249" s="382"/>
      <c r="E249" s="382"/>
      <c r="F249" s="382"/>
      <c r="G249" s="382"/>
      <c r="H249" s="382"/>
      <c r="I249" s="382"/>
      <c r="J249" s="382"/>
      <c r="K249" s="382"/>
      <c r="L249" s="382"/>
      <c r="M249" s="382"/>
      <c r="N249" s="9"/>
      <c r="O249" s="382"/>
      <c r="P249" s="9"/>
      <c r="Q249" s="9"/>
      <c r="S249" s="706" t="str">
        <f>+IF(MAYO!S249=0,"",MAYO!S249)</f>
        <v>8002100-6</v>
      </c>
      <c r="T249" s="682" t="str">
        <f>+IF(MAYO!T249=0,"",MAYO!T249)</f>
        <v>Programas Especial 05</v>
      </c>
      <c r="U249" s="27">
        <f>+ENERO!U249</f>
        <v>0</v>
      </c>
      <c r="V249" s="15">
        <f>MAYO!V249+JUNIO!AL249</f>
        <v>0</v>
      </c>
      <c r="W249" s="15">
        <f>MAYO!W249+JUNIO!AM249</f>
        <v>0</v>
      </c>
      <c r="X249" s="18">
        <f t="shared" si="211"/>
        <v>0</v>
      </c>
      <c r="Y249" s="19">
        <f>MAYO!AA249</f>
        <v>0</v>
      </c>
      <c r="Z249" s="374">
        <v>0</v>
      </c>
      <c r="AA249" s="18">
        <f t="shared" si="212"/>
        <v>0</v>
      </c>
      <c r="AB249" s="19">
        <f>MAYO!AD249</f>
        <v>0</v>
      </c>
      <c r="AC249" s="374">
        <v>0</v>
      </c>
      <c r="AD249" s="18">
        <f t="shared" si="213"/>
        <v>0</v>
      </c>
      <c r="AE249" s="19">
        <f>MAYO!AG249</f>
        <v>0</v>
      </c>
      <c r="AF249" s="374">
        <v>0</v>
      </c>
      <c r="AG249" s="18">
        <f t="shared" si="214"/>
        <v>0</v>
      </c>
      <c r="AH249" s="19">
        <f t="shared" si="215"/>
        <v>0</v>
      </c>
      <c r="AI249" s="15">
        <f t="shared" si="216"/>
        <v>0</v>
      </c>
      <c r="AJ249" s="16">
        <f t="shared" si="217"/>
        <v>0</v>
      </c>
      <c r="AK249" s="9"/>
      <c r="AL249" s="372">
        <v>0</v>
      </c>
      <c r="AM249" s="375">
        <v>0</v>
      </c>
    </row>
    <row r="250" spans="1:70" ht="24.95" customHeight="1">
      <c r="A250" s="752"/>
      <c r="B250" s="661"/>
      <c r="C250" s="382"/>
      <c r="D250" s="382"/>
      <c r="E250" s="382"/>
      <c r="F250" s="382"/>
      <c r="G250" s="382"/>
      <c r="H250" s="382"/>
      <c r="I250" s="382"/>
      <c r="J250" s="382"/>
      <c r="K250" s="382"/>
      <c r="L250" s="382"/>
      <c r="M250" s="382"/>
      <c r="N250" s="9"/>
      <c r="O250" s="382"/>
      <c r="P250" s="9"/>
      <c r="Q250" s="9"/>
      <c r="S250" s="706" t="str">
        <f>+IF(MAYO!S250=0,"",MAYO!S250)</f>
        <v>8002100-7</v>
      </c>
      <c r="T250" s="682" t="str">
        <f>+IF(MAYO!T250=0,"",MAYO!T250)</f>
        <v>Programas Especial 06</v>
      </c>
      <c r="U250" s="27">
        <f>+ENERO!U250</f>
        <v>0</v>
      </c>
      <c r="V250" s="15">
        <f>MAYO!V250+JUNIO!AL250</f>
        <v>0</v>
      </c>
      <c r="W250" s="15">
        <f>MAYO!W250+JUNIO!AM250</f>
        <v>0</v>
      </c>
      <c r="X250" s="18">
        <f>SUM(U250:W250)</f>
        <v>0</v>
      </c>
      <c r="Y250" s="19">
        <f>MAYO!AA250</f>
        <v>0</v>
      </c>
      <c r="Z250" s="374">
        <v>0</v>
      </c>
      <c r="AA250" s="18">
        <f>SUM(Y250:Z250)</f>
        <v>0</v>
      </c>
      <c r="AB250" s="19">
        <f>MAYO!AD250</f>
        <v>0</v>
      </c>
      <c r="AC250" s="374">
        <v>0</v>
      </c>
      <c r="AD250" s="18">
        <f>SUM(AB250:AC250)</f>
        <v>0</v>
      </c>
      <c r="AE250" s="19">
        <f>MAYO!AG250</f>
        <v>0</v>
      </c>
      <c r="AF250" s="374">
        <v>0</v>
      </c>
      <c r="AG250" s="18">
        <f>SUM(AE250:AF250)</f>
        <v>0</v>
      </c>
      <c r="AH250" s="19">
        <f>X250-AA250</f>
        <v>0</v>
      </c>
      <c r="AI250" s="15">
        <f>X250-AD250</f>
        <v>0</v>
      </c>
      <c r="AJ250" s="16">
        <f>X250-AG250</f>
        <v>0</v>
      </c>
      <c r="AK250" s="9"/>
      <c r="AL250" s="372">
        <v>0</v>
      </c>
      <c r="AM250" s="375">
        <v>0</v>
      </c>
    </row>
    <row r="251" spans="1:70" ht="24.95" customHeight="1">
      <c r="A251" s="752"/>
      <c r="B251" s="661"/>
      <c r="C251" s="382"/>
      <c r="D251" s="382"/>
      <c r="E251" s="382"/>
      <c r="F251" s="382"/>
      <c r="G251" s="382"/>
      <c r="H251" s="382"/>
      <c r="I251" s="382"/>
      <c r="J251" s="382"/>
      <c r="K251" s="382"/>
      <c r="L251" s="382"/>
      <c r="M251" s="382"/>
      <c r="N251" s="9"/>
      <c r="O251" s="382"/>
      <c r="P251" s="9"/>
      <c r="Q251" s="9"/>
      <c r="S251" s="706" t="str">
        <f>+IF(MAYO!S251=0,"",MAYO!S251)</f>
        <v>8002100-8</v>
      </c>
      <c r="T251" s="682" t="str">
        <f>+IF(MAYO!T251=0,"",MAYO!T251)</f>
        <v>Programas Especial 07</v>
      </c>
      <c r="U251" s="27">
        <f>+ENERO!U251</f>
        <v>0</v>
      </c>
      <c r="V251" s="15">
        <f>MAYO!V251+JUNIO!AL251</f>
        <v>0</v>
      </c>
      <c r="W251" s="15">
        <f>MAYO!W251+JUNIO!AM251</f>
        <v>0</v>
      </c>
      <c r="X251" s="18">
        <f>SUM(U251:W251)</f>
        <v>0</v>
      </c>
      <c r="Y251" s="19">
        <f>MAYO!AA251</f>
        <v>0</v>
      </c>
      <c r="Z251" s="374">
        <v>0</v>
      </c>
      <c r="AA251" s="18">
        <f>SUM(Y251:Z251)</f>
        <v>0</v>
      </c>
      <c r="AB251" s="19">
        <f>MAYO!AD251</f>
        <v>0</v>
      </c>
      <c r="AC251" s="374">
        <v>0</v>
      </c>
      <c r="AD251" s="18">
        <f>SUM(AB251:AC251)</f>
        <v>0</v>
      </c>
      <c r="AE251" s="19">
        <f>MAYO!AG251</f>
        <v>0</v>
      </c>
      <c r="AF251" s="374">
        <v>0</v>
      </c>
      <c r="AG251" s="18">
        <f>SUM(AE251:AF251)</f>
        <v>0</v>
      </c>
      <c r="AH251" s="19">
        <f>X251-AA251</f>
        <v>0</v>
      </c>
      <c r="AI251" s="15">
        <f>X251-AD251</f>
        <v>0</v>
      </c>
      <c r="AJ251" s="16">
        <f>X251-AG251</f>
        <v>0</v>
      </c>
      <c r="AK251" s="9"/>
      <c r="AL251" s="372">
        <v>0</v>
      </c>
      <c r="AM251" s="375">
        <v>0</v>
      </c>
    </row>
    <row r="252" spans="1:70" ht="24.95" customHeight="1">
      <c r="A252" s="752"/>
      <c r="B252" s="661"/>
      <c r="C252" s="382"/>
      <c r="D252" s="382"/>
      <c r="E252" s="382"/>
      <c r="F252" s="382"/>
      <c r="G252" s="382"/>
      <c r="H252" s="382"/>
      <c r="I252" s="382"/>
      <c r="J252" s="382"/>
      <c r="K252" s="382"/>
      <c r="L252" s="382"/>
      <c r="M252" s="382"/>
      <c r="N252" s="9"/>
      <c r="O252" s="382"/>
      <c r="P252" s="9"/>
      <c r="Q252" s="9"/>
      <c r="S252" s="706" t="str">
        <f>+IF(MAYO!S252=0,"",MAYO!S252)</f>
        <v>8002100-9</v>
      </c>
      <c r="T252" s="682" t="str">
        <f>+IF(MAYO!T252=0,"",MAYO!T252)</f>
        <v>Programas Especial 08</v>
      </c>
      <c r="U252" s="27">
        <f>+ENERO!U252</f>
        <v>0</v>
      </c>
      <c r="V252" s="15">
        <f>MAYO!V252+JUNIO!AL252</f>
        <v>0</v>
      </c>
      <c r="W252" s="15">
        <f>MAYO!W252+JUNIO!AM252</f>
        <v>0</v>
      </c>
      <c r="X252" s="18">
        <f>SUM(U252:W252)</f>
        <v>0</v>
      </c>
      <c r="Y252" s="19">
        <f>MAYO!AA252</f>
        <v>0</v>
      </c>
      <c r="Z252" s="374">
        <v>0</v>
      </c>
      <c r="AA252" s="18">
        <f>SUM(Y252:Z252)</f>
        <v>0</v>
      </c>
      <c r="AB252" s="19">
        <f>MAYO!AD252</f>
        <v>0</v>
      </c>
      <c r="AC252" s="374">
        <v>0</v>
      </c>
      <c r="AD252" s="18">
        <f>SUM(AB252:AC252)</f>
        <v>0</v>
      </c>
      <c r="AE252" s="19">
        <f>MAYO!AG252</f>
        <v>0</v>
      </c>
      <c r="AF252" s="374">
        <v>0</v>
      </c>
      <c r="AG252" s="18">
        <f>SUM(AE252:AF252)</f>
        <v>0</v>
      </c>
      <c r="AH252" s="19">
        <f>X252-AA252</f>
        <v>0</v>
      </c>
      <c r="AI252" s="15">
        <f>X252-AD252</f>
        <v>0</v>
      </c>
      <c r="AJ252" s="16">
        <f>X252-AG252</f>
        <v>0</v>
      </c>
      <c r="AK252" s="9"/>
      <c r="AL252" s="372">
        <v>0</v>
      </c>
      <c r="AM252" s="375">
        <v>0</v>
      </c>
    </row>
    <row r="253" spans="1:70" ht="24.95" customHeight="1">
      <c r="A253" s="752"/>
      <c r="B253" s="661"/>
      <c r="C253" s="382"/>
      <c r="D253" s="382"/>
      <c r="E253" s="382"/>
      <c r="F253" s="382"/>
      <c r="G253" s="382"/>
      <c r="H253" s="382"/>
      <c r="I253" s="382"/>
      <c r="J253" s="382"/>
      <c r="K253" s="382"/>
      <c r="L253" s="382"/>
      <c r="M253" s="382"/>
      <c r="N253" s="9"/>
      <c r="O253" s="382"/>
      <c r="P253" s="9"/>
      <c r="Q253" s="9"/>
      <c r="S253" s="706" t="str">
        <f>+IF(MAYO!S253=0,"",MAYO!S253)</f>
        <v>8002100-10</v>
      </c>
      <c r="T253" s="682" t="str">
        <f>+IF(MAYO!T253=0,"",MAYO!T253)</f>
        <v>Programas Especial 09</v>
      </c>
      <c r="U253" s="27">
        <f>+ENERO!U253</f>
        <v>0</v>
      </c>
      <c r="V253" s="15">
        <f>MAYO!V253+JUNIO!AL253</f>
        <v>0</v>
      </c>
      <c r="W253" s="15">
        <f>MAYO!W253+JUNIO!AM253</f>
        <v>0</v>
      </c>
      <c r="X253" s="18">
        <f>SUM(U253:W253)</f>
        <v>0</v>
      </c>
      <c r="Y253" s="19">
        <f>MAYO!AA253</f>
        <v>0</v>
      </c>
      <c r="Z253" s="374">
        <v>0</v>
      </c>
      <c r="AA253" s="18">
        <f>SUM(Y253:Z253)</f>
        <v>0</v>
      </c>
      <c r="AB253" s="19">
        <f>MAYO!AD253</f>
        <v>0</v>
      </c>
      <c r="AC253" s="374">
        <v>0</v>
      </c>
      <c r="AD253" s="18">
        <f>SUM(AB253:AC253)</f>
        <v>0</v>
      </c>
      <c r="AE253" s="19">
        <f>MAYO!AG253</f>
        <v>0</v>
      </c>
      <c r="AF253" s="374">
        <v>0</v>
      </c>
      <c r="AG253" s="18">
        <f>SUM(AE253:AF253)</f>
        <v>0</v>
      </c>
      <c r="AH253" s="19">
        <f>X253-AA253</f>
        <v>0</v>
      </c>
      <c r="AI253" s="15">
        <f>X253-AD253</f>
        <v>0</v>
      </c>
      <c r="AJ253" s="16">
        <f>X253-AG253</f>
        <v>0</v>
      </c>
      <c r="AK253" s="9"/>
      <c r="AL253" s="372">
        <v>0</v>
      </c>
      <c r="AM253" s="375">
        <v>0</v>
      </c>
    </row>
    <row r="254" spans="1:70" ht="24.95" customHeight="1">
      <c r="A254" s="752"/>
      <c r="B254" s="661"/>
      <c r="C254" s="382"/>
      <c r="D254" s="382"/>
      <c r="E254" s="382"/>
      <c r="F254" s="382"/>
      <c r="G254" s="382"/>
      <c r="H254" s="382"/>
      <c r="I254" s="382"/>
      <c r="J254" s="382"/>
      <c r="K254" s="382"/>
      <c r="L254" s="382"/>
      <c r="M254" s="382"/>
      <c r="N254" s="9"/>
      <c r="O254" s="382"/>
      <c r="P254" s="9"/>
      <c r="Q254" s="9"/>
      <c r="S254" s="706" t="str">
        <f>+IF(MAYO!S254=0,"",MAYO!S254)</f>
        <v>8002100-11</v>
      </c>
      <c r="T254" s="682" t="str">
        <f>+IF(MAYO!T254=0,"",MAYO!T254)</f>
        <v>Programas Especial 10</v>
      </c>
      <c r="U254" s="27">
        <f>+ENERO!U254</f>
        <v>0</v>
      </c>
      <c r="V254" s="15">
        <f>MAYO!V254+JUNIO!AL254</f>
        <v>0</v>
      </c>
      <c r="W254" s="15">
        <f>MAYO!W254+JUNIO!AM254</f>
        <v>0</v>
      </c>
      <c r="X254" s="18">
        <f>SUM(U254:W254)</f>
        <v>0</v>
      </c>
      <c r="Y254" s="19">
        <f>MAYO!AA254</f>
        <v>0</v>
      </c>
      <c r="Z254" s="374">
        <v>0</v>
      </c>
      <c r="AA254" s="18">
        <f>SUM(Y254:Z254)</f>
        <v>0</v>
      </c>
      <c r="AB254" s="19">
        <f>MAYO!AD254</f>
        <v>0</v>
      </c>
      <c r="AC254" s="374">
        <v>0</v>
      </c>
      <c r="AD254" s="18">
        <f>SUM(AB254:AC254)</f>
        <v>0</v>
      </c>
      <c r="AE254" s="19">
        <f>MAYO!AG254</f>
        <v>0</v>
      </c>
      <c r="AF254" s="374">
        <v>0</v>
      </c>
      <c r="AG254" s="18">
        <f>SUM(AE254:AF254)</f>
        <v>0</v>
      </c>
      <c r="AH254" s="19">
        <f>X254-AA254</f>
        <v>0</v>
      </c>
      <c r="AI254" s="15">
        <f>X254-AD254</f>
        <v>0</v>
      </c>
      <c r="AJ254" s="16">
        <f>X254-AG254</f>
        <v>0</v>
      </c>
      <c r="AK254" s="9"/>
      <c r="AL254" s="372">
        <v>0</v>
      </c>
      <c r="AM254" s="375">
        <v>0</v>
      </c>
    </row>
    <row r="255" spans="1:70" ht="24.95" customHeight="1">
      <c r="A255" s="752"/>
      <c r="B255" s="661"/>
      <c r="C255" s="382"/>
      <c r="D255" s="382"/>
      <c r="E255" s="382"/>
      <c r="F255" s="382"/>
      <c r="G255" s="382"/>
      <c r="H255" s="382"/>
      <c r="I255" s="382"/>
      <c r="J255" s="382"/>
      <c r="K255" s="382"/>
      <c r="L255" s="382"/>
      <c r="M255" s="382"/>
      <c r="N255" s="9"/>
      <c r="O255" s="382"/>
      <c r="P255" s="9"/>
      <c r="Q255" s="9"/>
      <c r="S255" s="706" t="str">
        <f>+IF(MAYO!S255=0,"",MAYO!S255)</f>
        <v>8002100-12</v>
      </c>
      <c r="T255" s="682" t="str">
        <f>+IF(MAYO!T255=0,"",MAYO!T255)</f>
        <v>Programas Especial 11</v>
      </c>
      <c r="U255" s="27">
        <f>+ENERO!U255</f>
        <v>0</v>
      </c>
      <c r="V255" s="15">
        <f>MAYO!V255+JUNIO!AL255</f>
        <v>0</v>
      </c>
      <c r="W255" s="15">
        <f>MAYO!W255+JUNIO!AM255</f>
        <v>0</v>
      </c>
      <c r="X255" s="18">
        <f t="shared" si="211"/>
        <v>0</v>
      </c>
      <c r="Y255" s="19">
        <f>MAYO!AA255</f>
        <v>0</v>
      </c>
      <c r="Z255" s="374">
        <v>0</v>
      </c>
      <c r="AA255" s="18">
        <f t="shared" si="212"/>
        <v>0</v>
      </c>
      <c r="AB255" s="19">
        <f>MAYO!AD255</f>
        <v>0</v>
      </c>
      <c r="AC255" s="374">
        <v>0</v>
      </c>
      <c r="AD255" s="18">
        <f t="shared" si="213"/>
        <v>0</v>
      </c>
      <c r="AE255" s="19">
        <f>MAYO!AG255</f>
        <v>0</v>
      </c>
      <c r="AF255" s="374">
        <v>0</v>
      </c>
      <c r="AG255" s="18">
        <f t="shared" si="214"/>
        <v>0</v>
      </c>
      <c r="AH255" s="19">
        <f t="shared" si="215"/>
        <v>0</v>
      </c>
      <c r="AI255" s="15">
        <f t="shared" si="216"/>
        <v>0</v>
      </c>
      <c r="AJ255" s="16">
        <f t="shared" si="217"/>
        <v>0</v>
      </c>
      <c r="AK255" s="9"/>
      <c r="AL255" s="372">
        <v>0</v>
      </c>
      <c r="AM255" s="375">
        <v>0</v>
      </c>
    </row>
    <row r="256" spans="1:70" ht="24.95" customHeight="1" thickBot="1">
      <c r="A256" s="752"/>
      <c r="B256" s="661"/>
      <c r="C256" s="382"/>
      <c r="D256" s="382"/>
      <c r="E256" s="382"/>
      <c r="F256" s="382"/>
      <c r="G256" s="382"/>
      <c r="H256" s="382"/>
      <c r="I256" s="382"/>
      <c r="J256" s="382"/>
      <c r="K256" s="382"/>
      <c r="L256" s="382"/>
      <c r="M256" s="382"/>
      <c r="N256" s="9"/>
      <c r="O256" s="382"/>
      <c r="P256" s="9"/>
      <c r="Q256" s="9"/>
      <c r="S256" s="717">
        <f>+IF(MAYO!S256=0,"",MAYO!S256)</f>
        <v>8002999</v>
      </c>
      <c r="T256" s="697" t="str">
        <f>+IF(MAYO!T256=0,"",MAYO!T256)</f>
        <v>Vigencias Anteriores</v>
      </c>
      <c r="U256" s="133">
        <f>+ENERO!U256</f>
        <v>0</v>
      </c>
      <c r="V256" s="121">
        <f>MAYO!V256+JUNIO!AL256</f>
        <v>0</v>
      </c>
      <c r="W256" s="121">
        <f>MAYO!W256+JUNIO!AM256</f>
        <v>0</v>
      </c>
      <c r="X256" s="126">
        <f t="shared" si="211"/>
        <v>0</v>
      </c>
      <c r="Y256" s="124">
        <f>MAYO!AA256</f>
        <v>0</v>
      </c>
      <c r="Z256" s="388">
        <v>0</v>
      </c>
      <c r="AA256" s="126">
        <f t="shared" si="212"/>
        <v>0</v>
      </c>
      <c r="AB256" s="124">
        <f>MAYO!AD256</f>
        <v>0</v>
      </c>
      <c r="AC256" s="388">
        <v>0</v>
      </c>
      <c r="AD256" s="126">
        <f t="shared" si="213"/>
        <v>0</v>
      </c>
      <c r="AE256" s="124">
        <f>MAYO!AG256</f>
        <v>0</v>
      </c>
      <c r="AF256" s="388">
        <v>0</v>
      </c>
      <c r="AG256" s="126">
        <f t="shared" si="214"/>
        <v>0</v>
      </c>
      <c r="AH256" s="124">
        <f t="shared" si="215"/>
        <v>0</v>
      </c>
      <c r="AI256" s="121">
        <f t="shared" si="216"/>
        <v>0</v>
      </c>
      <c r="AJ256" s="125">
        <f t="shared" si="217"/>
        <v>0</v>
      </c>
      <c r="AK256" s="9"/>
      <c r="AL256" s="384">
        <v>0</v>
      </c>
      <c r="AM256" s="389">
        <v>0</v>
      </c>
    </row>
    <row r="257" spans="1:39" ht="24.95" customHeight="1" thickBot="1">
      <c r="A257" s="752"/>
      <c r="B257" s="661"/>
      <c r="C257" s="382"/>
      <c r="D257" s="382"/>
      <c r="E257" s="382"/>
      <c r="F257" s="382"/>
      <c r="G257" s="382"/>
      <c r="H257" s="382"/>
      <c r="I257" s="382"/>
      <c r="J257" s="382"/>
      <c r="K257" s="382"/>
      <c r="L257" s="382"/>
      <c r="M257" s="382"/>
      <c r="N257" s="9"/>
      <c r="O257" s="382"/>
      <c r="P257" s="9"/>
      <c r="Q257" s="9"/>
      <c r="S257" s="495" t="str">
        <f>+IF(MAYO!S257=0,"",MAYO!S257)</f>
        <v/>
      </c>
      <c r="T257" s="694" t="str">
        <f>+IF(MAYO!T257=0,"",MAYO!T257)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76" t="s">
        <v>363</v>
      </c>
      <c r="T258" s="777" t="s">
        <v>133</v>
      </c>
      <c r="U258" s="340">
        <f>+(C10+C17+C113)-(U10+U193+U220+U232)</f>
        <v>0</v>
      </c>
      <c r="V258" s="340">
        <f t="shared" ref="V258:AJ258" si="218">+(D10+D17+D113)-(V10+V193+V220+V232)</f>
        <v>0</v>
      </c>
      <c r="W258" s="340">
        <f t="shared" si="218"/>
        <v>0</v>
      </c>
      <c r="X258" s="340">
        <f t="shared" si="218"/>
        <v>0</v>
      </c>
      <c r="Y258" s="340">
        <f t="shared" si="218"/>
        <v>-7008176483</v>
      </c>
      <c r="Z258" s="340">
        <f t="shared" si="218"/>
        <v>-2289012143</v>
      </c>
      <c r="AA258" s="340">
        <f t="shared" si="218"/>
        <v>-9297188626</v>
      </c>
      <c r="AB258" s="340">
        <f t="shared" si="218"/>
        <v>-13078174389</v>
      </c>
      <c r="AC258" s="340">
        <f t="shared" si="218"/>
        <v>-2596978066</v>
      </c>
      <c r="AD258" s="340">
        <f t="shared" si="218"/>
        <v>-15675152455</v>
      </c>
      <c r="AE258" s="340">
        <f t="shared" si="218"/>
        <v>7282800428</v>
      </c>
      <c r="AF258" s="340">
        <f t="shared" si="218"/>
        <v>40723640172</v>
      </c>
      <c r="AG258" s="340">
        <f t="shared" si="218"/>
        <v>-19866055270</v>
      </c>
      <c r="AH258" s="340">
        <f t="shared" si="218"/>
        <v>-14856791793</v>
      </c>
      <c r="AI258" s="340">
        <f t="shared" si="218"/>
        <v>-23304124727</v>
      </c>
      <c r="AJ258" s="778">
        <f t="shared" si="218"/>
        <v>-43308673681</v>
      </c>
      <c r="AK258" s="9"/>
      <c r="AL258" s="338">
        <v>0</v>
      </c>
      <c r="AM258" s="339">
        <v>0</v>
      </c>
    </row>
    <row r="259" spans="1: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7338291807</v>
      </c>
    </row>
    <row r="260" spans="1:39" ht="24.95" customHeight="1" thickBot="1">
      <c r="S260" s="795" t="s">
        <v>582</v>
      </c>
      <c r="T260" s="796"/>
      <c r="U260" s="771">
        <f>+U8-U262</f>
        <v>47989706380</v>
      </c>
      <c r="V260" s="771">
        <f t="shared" ref="V260:AJ260" si="219">+V8-V262</f>
        <v>-88081545</v>
      </c>
      <c r="W260" s="771">
        <f t="shared" si="219"/>
        <v>4863890063</v>
      </c>
      <c r="X260" s="771">
        <f t="shared" si="219"/>
        <v>52765514898</v>
      </c>
      <c r="Y260" s="771">
        <f t="shared" si="219"/>
        <v>30302126530</v>
      </c>
      <c r="Z260" s="771">
        <f t="shared" si="219"/>
        <v>8106128517</v>
      </c>
      <c r="AA260" s="771">
        <f t="shared" si="219"/>
        <v>38408255047</v>
      </c>
      <c r="AB260" s="771">
        <f t="shared" si="219"/>
        <v>20397122280</v>
      </c>
      <c r="AC260" s="771">
        <f t="shared" si="219"/>
        <v>4824561564</v>
      </c>
      <c r="AD260" s="771">
        <f t="shared" si="219"/>
        <v>25221683844</v>
      </c>
      <c r="AE260" s="771">
        <f t="shared" si="219"/>
        <v>7668918166</v>
      </c>
      <c r="AF260" s="771">
        <f t="shared" si="219"/>
        <v>2305368993</v>
      </c>
      <c r="AG260" s="771">
        <f t="shared" si="219"/>
        <v>9974287159</v>
      </c>
      <c r="AH260" s="771">
        <f t="shared" si="219"/>
        <v>14357259851</v>
      </c>
      <c r="AI260" s="771">
        <f t="shared" si="219"/>
        <v>27543831054</v>
      </c>
      <c r="AJ260" s="772">
        <f t="shared" si="219"/>
        <v>42791227739</v>
      </c>
      <c r="AK260" s="10"/>
      <c r="AL260" s="382"/>
      <c r="AM260" s="382"/>
    </row>
    <row r="261" spans="1:39" ht="24.95" customHeight="1" thickBot="1">
      <c r="S261" s="800"/>
      <c r="T261" s="801"/>
      <c r="U261" s="779"/>
      <c r="V261" s="779"/>
      <c r="W261" s="779"/>
      <c r="X261" s="779"/>
      <c r="Y261" s="779"/>
      <c r="Z261" s="779"/>
      <c r="AA261" s="779"/>
      <c r="AB261" s="779"/>
      <c r="AC261" s="779"/>
      <c r="AD261" s="779"/>
      <c r="AE261" s="779"/>
      <c r="AF261" s="779"/>
      <c r="AG261" s="779"/>
      <c r="AH261" s="779"/>
      <c r="AI261" s="779"/>
      <c r="AJ261" s="780"/>
    </row>
    <row r="262" spans="1:39" ht="24.95" customHeight="1" thickBot="1">
      <c r="S262" s="797" t="s">
        <v>583</v>
      </c>
      <c r="T262" s="798"/>
      <c r="U262" s="775">
        <f>+SUMIF($T$8:$T$256,$T$33,U8:U256)</f>
        <v>2232471701</v>
      </c>
      <c r="V262" s="775">
        <f t="shared" ref="V262:AJ262" si="220">+SUMIF($T$8:$T$256,$T$33,V8:V256)</f>
        <v>88081545</v>
      </c>
      <c r="W262" s="775">
        <f t="shared" si="220"/>
        <v>8088660807</v>
      </c>
      <c r="X262" s="775">
        <f t="shared" si="220"/>
        <v>10409214053</v>
      </c>
      <c r="Y262" s="775">
        <f t="shared" si="220"/>
        <v>9220175825</v>
      </c>
      <c r="Z262" s="775">
        <f t="shared" si="220"/>
        <v>689506286</v>
      </c>
      <c r="AA262" s="775">
        <f t="shared" si="220"/>
        <v>9909682111</v>
      </c>
      <c r="AB262" s="775">
        <f t="shared" si="220"/>
        <v>9220175825</v>
      </c>
      <c r="AC262" s="775">
        <f t="shared" si="220"/>
        <v>689506286</v>
      </c>
      <c r="AD262" s="775">
        <f t="shared" si="220"/>
        <v>9909682111</v>
      </c>
      <c r="AE262" s="775">
        <f t="shared" si="220"/>
        <v>9202261825</v>
      </c>
      <c r="AF262" s="775">
        <f t="shared" si="220"/>
        <v>689506286</v>
      </c>
      <c r="AG262" s="775">
        <f t="shared" si="220"/>
        <v>9891768111</v>
      </c>
      <c r="AH262" s="775">
        <f t="shared" si="220"/>
        <v>499531942</v>
      </c>
      <c r="AI262" s="775">
        <f t="shared" si="220"/>
        <v>499531942</v>
      </c>
      <c r="AJ262" s="799">
        <f t="shared" si="220"/>
        <v>517445942</v>
      </c>
    </row>
    <row r="263" spans="1: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39" ht="24.95" customHeight="1" thickBot="1">
      <c r="S264" s="773" t="s">
        <v>584</v>
      </c>
      <c r="T264" s="774"/>
      <c r="U264" s="793">
        <f>+U260+U262</f>
        <v>50222178081</v>
      </c>
      <c r="V264" s="793">
        <f t="shared" ref="V264:AJ264" si="221">+V260+V262</f>
        <v>0</v>
      </c>
      <c r="W264" s="793">
        <f t="shared" si="221"/>
        <v>12952550870</v>
      </c>
      <c r="X264" s="793">
        <f t="shared" si="221"/>
        <v>63174728951</v>
      </c>
      <c r="Y264" s="793">
        <f t="shared" si="221"/>
        <v>39522302355</v>
      </c>
      <c r="Z264" s="793">
        <f t="shared" si="221"/>
        <v>8795634803</v>
      </c>
      <c r="AA264" s="793">
        <f t="shared" si="221"/>
        <v>48317937158</v>
      </c>
      <c r="AB264" s="793">
        <f t="shared" si="221"/>
        <v>29617298105</v>
      </c>
      <c r="AC264" s="793">
        <f t="shared" si="221"/>
        <v>5514067850</v>
      </c>
      <c r="AD264" s="793">
        <f t="shared" si="221"/>
        <v>35131365955</v>
      </c>
      <c r="AE264" s="793">
        <f t="shared" si="221"/>
        <v>16871179991</v>
      </c>
      <c r="AF264" s="793">
        <f t="shared" si="221"/>
        <v>2994875279</v>
      </c>
      <c r="AG264" s="793">
        <f t="shared" si="221"/>
        <v>19866055270</v>
      </c>
      <c r="AH264" s="793">
        <f t="shared" si="221"/>
        <v>14856791793</v>
      </c>
      <c r="AI264" s="793">
        <f t="shared" si="221"/>
        <v>28043362996</v>
      </c>
      <c r="AJ264" s="794">
        <f t="shared" si="221"/>
        <v>43308673681</v>
      </c>
    </row>
  </sheetData>
  <sheetProtection password="E3F6" sheet="1" objects="1" scenarios="1" formatCells="0" formatColumn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600-000000000000}"/>
    <dataValidation allowBlank="1" showInputMessage="1" showErrorMessage="1" promptTitle="ATENCION..." prompt="Las actividades de Promoción y Prevención se manejaran en cada régimen." sqref="A23:C24 P23:Q24 K23:K24 H23:H24" xr:uid="{00000000-0002-0000-06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6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600-000003000000}"/>
  </dataValidations>
  <printOptions horizontalCentered="1" verticalCentered="1"/>
  <pageMargins left="0.59055118110236227" right="0" top="3.937007874015748E-2" bottom="0" header="0.23622047244094491" footer="0.23622047244094491"/>
  <pageSetup paperSize="5"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BS264"/>
  <sheetViews>
    <sheetView showGridLines="0" topLeftCell="L1" zoomScale="80" zoomScaleNormal="80" workbookViewId="0">
      <selection activeCell="L6" sqref="L6"/>
    </sheetView>
  </sheetViews>
  <sheetFormatPr baseColWidth="10" defaultColWidth="0" defaultRowHeight="24.95" customHeight="1"/>
  <cols>
    <col min="1" max="1" width="14.7109375" style="753" customWidth="1"/>
    <col min="2" max="2" width="42.85546875" style="662" customWidth="1"/>
    <col min="3" max="3" width="19" style="272" customWidth="1"/>
    <col min="4" max="4" width="8.85546875" style="272" customWidth="1"/>
    <col min="5" max="6" width="14.42578125" style="272" customWidth="1"/>
    <col min="7" max="7" width="15.28515625" style="272" customWidth="1"/>
    <col min="8" max="8" width="17.42578125" style="272" customWidth="1"/>
    <col min="9" max="9" width="14.42578125" style="272" customWidth="1"/>
    <col min="10" max="10" width="16.28515625" style="272" customWidth="1"/>
    <col min="11" max="11" width="16.42578125" style="272" customWidth="1"/>
    <col min="12"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3.28515625" style="698" customWidth="1"/>
    <col min="20" max="20" width="46.5703125" style="674" customWidth="1"/>
    <col min="21" max="21" width="16.28515625" style="272" customWidth="1"/>
    <col min="22" max="22" width="20.42578125" style="272" customWidth="1"/>
    <col min="23" max="25" width="17.7109375" style="272" customWidth="1"/>
    <col min="26" max="26" width="18.28515625" style="272" customWidth="1"/>
    <col min="27" max="27" width="17.7109375" style="272" customWidth="1"/>
    <col min="28" max="28" width="18" style="272" customWidth="1"/>
    <col min="29" max="29" width="16" style="272" customWidth="1"/>
    <col min="30" max="30" width="19.7109375" style="272" customWidth="1"/>
    <col min="31" max="31" width="17.42578125" style="272" customWidth="1"/>
    <col min="32" max="32" width="18.7109375" style="272" customWidth="1"/>
    <col min="33" max="33" width="20.42578125" style="272" customWidth="1"/>
    <col min="34" max="34" width="16.7109375" style="272" customWidth="1"/>
    <col min="35" max="35" width="18.28515625" style="272" customWidth="1"/>
    <col min="36" max="36" width="19"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2998" t="str">
        <f>IF($F$8-$X$8=0," ","OJO: PRESUPUESTO DESEQUILIBRADO")</f>
        <v xml:space="preserve"> </v>
      </c>
      <c r="B1" s="2998"/>
      <c r="C1" s="3132"/>
      <c r="D1" s="3132"/>
      <c r="E1" s="3132"/>
      <c r="F1" s="3132"/>
      <c r="G1" s="3132"/>
      <c r="H1" s="3132"/>
      <c r="I1" s="3132"/>
      <c r="J1" s="3132"/>
      <c r="K1" s="2999" t="str">
        <f>+IF(L8&gt;I8,"OJO - SUS RECAUDOS SON SUPERIORES A SUS RECONOCIMIENTOS, VERIFIQUE","")</f>
        <v/>
      </c>
      <c r="L1" s="2999"/>
      <c r="M1" s="2999"/>
      <c r="N1" s="2999"/>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0"/>
      <c r="B2" s="718" t="str">
        <f>+ENERO!B2</f>
        <v>SECRETARIA SECCIONAL DE SALUD Y PROTECCION SOCIAL DE ANTIOQUIA DE ANTIOQUIA</v>
      </c>
      <c r="C2" s="274"/>
      <c r="D2" s="3008" t="str">
        <f>+IF(F2="","","MUNICIPIO:")</f>
        <v>MUNICIPIO:</v>
      </c>
      <c r="E2" s="3008"/>
      <c r="F2" s="275" t="str">
        <f>IF(INSTRUCCIONES!B3=0,"",INSTRUCCIONES!B3)</f>
        <v>ITAGUI</v>
      </c>
      <c r="G2" s="276"/>
      <c r="H2" s="276"/>
      <c r="I2" s="276"/>
      <c r="J2" s="276"/>
      <c r="K2" s="277"/>
      <c r="L2" s="3009" t="s">
        <v>388</v>
      </c>
      <c r="M2" s="2982"/>
      <c r="N2" s="278" t="s">
        <v>389</v>
      </c>
      <c r="P2" s="2993" t="s">
        <v>466</v>
      </c>
      <c r="Q2" s="2994"/>
      <c r="R2" s="279"/>
      <c r="S2" s="699"/>
      <c r="T2" s="718" t="str">
        <f>+ENERO!T2</f>
        <v>SECRETARIA SECCIONAL DE SALUD Y PROTECCION SOCIAL DE ANTIOQUIA DE ANTIOQUIA</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278" t="s">
        <v>389</v>
      </c>
      <c r="AL2" s="2993" t="s">
        <v>466</v>
      </c>
      <c r="AM2" s="2994"/>
      <c r="AO2" s="2">
        <v>7</v>
      </c>
      <c r="AP2" s="280" t="s">
        <v>7</v>
      </c>
      <c r="AQ2" s="281"/>
      <c r="AR2" s="3"/>
      <c r="AS2" s="3"/>
      <c r="AT2" s="3"/>
      <c r="AU2" s="3"/>
      <c r="AV2" s="3"/>
      <c r="AW2" s="3"/>
      <c r="AX2" s="3"/>
      <c r="AY2" s="3"/>
      <c r="AZ2" s="4"/>
      <c r="BB2" s="2993" t="s">
        <v>616</v>
      </c>
      <c r="BC2" s="3010"/>
      <c r="BD2" s="51" t="s">
        <v>388</v>
      </c>
      <c r="BE2" s="278" t="str">
        <f>+L3</f>
        <v>JULIO</v>
      </c>
      <c r="BF2" s="273"/>
      <c r="BG2" s="2993" t="s">
        <v>617</v>
      </c>
      <c r="BH2" s="3010"/>
      <c r="BI2" s="3010"/>
      <c r="BJ2" s="51" t="s">
        <v>388</v>
      </c>
      <c r="BK2" s="278" t="str">
        <f>+BE2</f>
        <v>JULIO</v>
      </c>
      <c r="BM2" s="2993" t="s">
        <v>617</v>
      </c>
      <c r="BN2" s="3010"/>
      <c r="BO2" s="3010"/>
      <c r="BP2" s="51" t="s">
        <v>388</v>
      </c>
      <c r="BQ2" s="278" t="str">
        <f>+BK2</f>
        <v>JULIO</v>
      </c>
    </row>
    <row r="3" spans="1:69" ht="24.95" customHeight="1" thickBot="1">
      <c r="A3" s="751"/>
      <c r="B3" s="3025" t="s">
        <v>8</v>
      </c>
      <c r="C3" s="282"/>
      <c r="D3" s="3041" t="str">
        <f>+IF(F3="","","INSTITUCION:")</f>
        <v>INSTITUCION:</v>
      </c>
      <c r="E3" s="3041"/>
      <c r="F3" s="3000" t="str">
        <f>IF(INSTRUCCIONES!B5=0,"",INSTRUCCIONES!B5)</f>
        <v>ESE HOSPITALSAN RAFAEL</v>
      </c>
      <c r="G3" s="3000"/>
      <c r="H3" s="3000"/>
      <c r="I3" s="3000"/>
      <c r="J3" s="3000"/>
      <c r="K3" s="3001"/>
      <c r="L3" s="3026" t="s">
        <v>371</v>
      </c>
      <c r="M3" s="3027"/>
      <c r="N3" s="3006">
        <f>+INSTRUCCIONES!F3</f>
        <v>2017</v>
      </c>
      <c r="P3" s="2995" t="s">
        <v>525</v>
      </c>
      <c r="Q3" s="3013" t="s">
        <v>532</v>
      </c>
      <c r="R3" s="279"/>
      <c r="S3" s="700"/>
      <c r="T3" s="3025" t="s">
        <v>10</v>
      </c>
      <c r="U3" s="283"/>
      <c r="V3" s="2972" t="str">
        <f>+IF(Y3="","","E.S.E. H O S P I T A L:")</f>
        <v>E.S.E. H O S P I T A L:</v>
      </c>
      <c r="W3" s="2972"/>
      <c r="X3" s="2972"/>
      <c r="Y3" s="2974" t="str">
        <f>IF(INSTRUCCIONES!B5=0,"",INSTRUCCIONES!B5)</f>
        <v>ESE HOSPITALSAN RAFAEL</v>
      </c>
      <c r="Z3" s="2974"/>
      <c r="AA3" s="2974"/>
      <c r="AB3" s="2974"/>
      <c r="AC3" s="2974"/>
      <c r="AD3" s="2974"/>
      <c r="AE3" s="2974"/>
      <c r="AF3" s="2974"/>
      <c r="AG3" s="2975"/>
      <c r="AH3" s="2978" t="str">
        <f>+L3</f>
        <v>JULIO</v>
      </c>
      <c r="AI3" s="2979"/>
      <c r="AJ3" s="2970">
        <f>+N3</f>
        <v>2017</v>
      </c>
      <c r="AL3" s="2995" t="s">
        <v>533</v>
      </c>
      <c r="AM3" s="3013" t="s">
        <v>532</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50">
        <f>+BK3</f>
        <v>2017</v>
      </c>
    </row>
    <row r="4" spans="1:69" ht="24.95" customHeight="1" thickBot="1">
      <c r="A4" s="751"/>
      <c r="B4" s="3133"/>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292"/>
      <c r="BE4" s="47"/>
      <c r="BF4" s="7"/>
      <c r="BG4" s="291"/>
      <c r="BH4" s="292"/>
      <c r="BI4" s="292"/>
      <c r="BJ4" s="48"/>
      <c r="BK4" s="293"/>
      <c r="BL4" s="8"/>
      <c r="BM4" s="291"/>
      <c r="BN4" s="294"/>
      <c r="BO4" s="294"/>
      <c r="BP4" s="49"/>
      <c r="BQ4" s="295"/>
    </row>
    <row r="5" spans="1:69" ht="42" customHeight="1" thickBot="1">
      <c r="A5" s="3134" t="s">
        <v>17</v>
      </c>
      <c r="B5" s="3136" t="s">
        <v>18</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2990" t="s">
        <v>481</v>
      </c>
      <c r="T5" s="3043" t="s">
        <v>18</v>
      </c>
      <c r="U5" s="296" t="s">
        <v>19</v>
      </c>
      <c r="V5" s="297"/>
      <c r="W5" s="297"/>
      <c r="X5" s="298"/>
      <c r="Y5" s="299" t="s">
        <v>530</v>
      </c>
      <c r="Z5" s="297"/>
      <c r="AA5" s="297"/>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3018" t="str">
        <f>+CONCATENATE("ACUMULADO ",N3)</f>
        <v>ACUMULADO 2017</v>
      </c>
      <c r="BI5" s="3019"/>
      <c r="BJ5" s="3019"/>
      <c r="BK5" s="3020"/>
      <c r="BM5" s="3016" t="s">
        <v>32</v>
      </c>
      <c r="BN5" s="308" t="str">
        <f>+CONCATENATE("ACUMULADO ",BQ3)</f>
        <v>ACUMULADO 2017</v>
      </c>
      <c r="BO5" s="309"/>
      <c r="BP5" s="310"/>
      <c r="BQ5" s="311"/>
    </row>
    <row r="6" spans="1:69" ht="32.25" customHeight="1" thickBot="1">
      <c r="A6" s="3135"/>
      <c r="B6" s="31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2991"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JULIO</v>
      </c>
      <c r="AS6" s="316" t="str">
        <f>AR6</f>
        <v>JULIO</v>
      </c>
      <c r="AT6" s="316" t="str">
        <f>AR6</f>
        <v>JULIO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3017"/>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24175231184</v>
      </c>
      <c r="AR7" s="327">
        <f>I22</f>
        <v>17586414515</v>
      </c>
      <c r="AS7" s="327">
        <f>L22</f>
        <v>9859215242</v>
      </c>
      <c r="AT7" s="13"/>
      <c r="AU7" s="328">
        <f t="shared" ref="AU7:AU17" si="0">IF(AQ7=0," ",AR7/AQ7)</f>
        <v>0.72745589819382139</v>
      </c>
      <c r="AV7" s="328">
        <f t="shared" ref="AV7:AV17" si="1">IF(AQ7=0," ",AS7/AQ7)</f>
        <v>0.40782299730499239</v>
      </c>
      <c r="AW7" s="327">
        <f>I23/AO$2*12+I24</f>
        <v>24498376665.714287</v>
      </c>
      <c r="AX7" s="327">
        <f>L23/AO$2*12+L24</f>
        <v>11251749340.571428</v>
      </c>
      <c r="AY7" s="327">
        <f t="shared" ref="AY7:AY16" si="2">AW7-AQ7</f>
        <v>323145481.7142868</v>
      </c>
      <c r="AZ7" s="329">
        <f t="shared" ref="AZ7:AZ16" si="3">AX7-AQ7</f>
        <v>-12923481843.428572</v>
      </c>
      <c r="BB7" s="330" t="s">
        <v>53</v>
      </c>
      <c r="BC7" s="54">
        <f>F10</f>
        <v>617329922</v>
      </c>
      <c r="BD7" s="55">
        <f>I10</f>
        <v>617329922</v>
      </c>
      <c r="BE7" s="56">
        <f>K10</f>
        <v>0</v>
      </c>
      <c r="BF7" s="57"/>
      <c r="BG7" s="91" t="s">
        <v>54</v>
      </c>
      <c r="BH7" s="116">
        <f>+SUM(BH8:BH11)</f>
        <v>37125582489</v>
      </c>
      <c r="BI7" s="116">
        <f>+SUM(BI8:BI11)</f>
        <v>29088334065</v>
      </c>
      <c r="BJ7" s="116">
        <f>+SUM(BJ8:BJ11)</f>
        <v>21942562580</v>
      </c>
      <c r="BK7" s="116">
        <f>+SUM(BK8:BK11)</f>
        <v>2532985837</v>
      </c>
      <c r="BM7" s="61" t="s">
        <v>54</v>
      </c>
      <c r="BN7" s="62">
        <f>BN8+BN15+BN22</f>
        <v>37125582489</v>
      </c>
      <c r="BO7" s="63">
        <f>BO8+BO15+BO22</f>
        <v>29088334065</v>
      </c>
      <c r="BP7" s="63">
        <f>BP8+BP15+BP22</f>
        <v>21942562580</v>
      </c>
      <c r="BQ7" s="64">
        <f>BQ8+BQ15+BQ22</f>
        <v>2532985837</v>
      </c>
    </row>
    <row r="8" spans="1:69" s="9" customFormat="1" ht="24.95" customHeight="1" thickBot="1">
      <c r="A8" s="730">
        <f>+IF(JUNIO!A8=0,"",JUNIO!A8)</f>
        <v>1</v>
      </c>
      <c r="B8" s="635" t="str">
        <f>+IF(JUNIO!B8=0,"",JUNIO!B8)</f>
        <v>INGRESOS</v>
      </c>
      <c r="C8" s="331">
        <f>C10+C17+C113</f>
        <v>50222178081</v>
      </c>
      <c r="D8" s="331">
        <f t="shared" ref="D8:Q8" si="4">D10+D17+D113</f>
        <v>0</v>
      </c>
      <c r="E8" s="331">
        <f t="shared" si="4"/>
        <v>12952550870</v>
      </c>
      <c r="F8" s="331">
        <f t="shared" si="4"/>
        <v>63174728951</v>
      </c>
      <c r="G8" s="331">
        <f t="shared" si="4"/>
        <v>39020748532</v>
      </c>
      <c r="H8" s="331">
        <f t="shared" si="4"/>
        <v>6735629083</v>
      </c>
      <c r="I8" s="331">
        <f t="shared" si="4"/>
        <v>45756377615</v>
      </c>
      <c r="J8" s="331">
        <f t="shared" si="4"/>
        <v>19456213500</v>
      </c>
      <c r="K8" s="331">
        <f t="shared" si="4"/>
        <v>3767814080</v>
      </c>
      <c r="L8" s="331">
        <f t="shared" si="4"/>
        <v>23224027580</v>
      </c>
      <c r="M8" s="331">
        <f t="shared" si="4"/>
        <v>17418351336</v>
      </c>
      <c r="N8" s="331">
        <f t="shared" si="4"/>
        <v>39950701371</v>
      </c>
      <c r="O8" s="333"/>
      <c r="P8" s="334">
        <f t="shared" si="4"/>
        <v>0</v>
      </c>
      <c r="Q8" s="332">
        <f t="shared" si="4"/>
        <v>0</v>
      </c>
      <c r="S8" s="701" t="str">
        <f>+IF(JUNIO!S8=0,"",JUNIO!S8)</f>
        <v/>
      </c>
      <c r="T8" s="675" t="str">
        <f>+IF(JUNIO!T8=0,"",JUNIO!T8)</f>
        <v>GASTOS</v>
      </c>
      <c r="U8" s="335">
        <f>U10+U193+U220+U232</f>
        <v>50222178081</v>
      </c>
      <c r="V8" s="336">
        <f t="shared" ref="V8:AJ8" si="5">V10+V193+V220+V232</f>
        <v>0</v>
      </c>
      <c r="W8" s="336">
        <f t="shared" si="5"/>
        <v>12952550870</v>
      </c>
      <c r="X8" s="337">
        <f t="shared" si="5"/>
        <v>63174728951</v>
      </c>
      <c r="Y8" s="338">
        <f t="shared" si="5"/>
        <v>48317937158</v>
      </c>
      <c r="Z8" s="336">
        <f t="shared" si="5"/>
        <v>341958682</v>
      </c>
      <c r="AA8" s="337">
        <f t="shared" si="5"/>
        <v>48659895840</v>
      </c>
      <c r="AB8" s="338">
        <f t="shared" si="5"/>
        <v>35131365955</v>
      </c>
      <c r="AC8" s="336">
        <f t="shared" si="5"/>
        <v>4635441443</v>
      </c>
      <c r="AD8" s="337">
        <f t="shared" si="5"/>
        <v>39766807398</v>
      </c>
      <c r="AE8" s="338">
        <f t="shared" si="5"/>
        <v>19866055270</v>
      </c>
      <c r="AF8" s="336">
        <f t="shared" si="5"/>
        <v>3687732815</v>
      </c>
      <c r="AG8" s="337">
        <f t="shared" si="5"/>
        <v>23553788085</v>
      </c>
      <c r="AH8" s="338">
        <f t="shared" si="5"/>
        <v>14514833111</v>
      </c>
      <c r="AI8" s="336">
        <f t="shared" si="5"/>
        <v>23407921553</v>
      </c>
      <c r="AJ8" s="339">
        <f t="shared" si="5"/>
        <v>39620940866</v>
      </c>
      <c r="AL8" s="340">
        <f t="shared" ref="AL8:AM8" si="6">AL10+AL193+AL220+AL232</f>
        <v>0</v>
      </c>
      <c r="AM8" s="341">
        <f t="shared" si="6"/>
        <v>0</v>
      </c>
      <c r="AO8" s="21"/>
      <c r="AP8" s="11" t="s">
        <v>56</v>
      </c>
      <c r="AQ8" s="12">
        <f>F25</f>
        <v>17847616399</v>
      </c>
      <c r="AR8" s="12">
        <f>I25</f>
        <v>17581632478</v>
      </c>
      <c r="AS8" s="12">
        <f>L25</f>
        <v>7924860315</v>
      </c>
      <c r="AT8" s="13"/>
      <c r="AU8" s="342">
        <f t="shared" si="0"/>
        <v>0.98509694992016394</v>
      </c>
      <c r="AV8" s="342">
        <f t="shared" si="1"/>
        <v>0.44402905899770623</v>
      </c>
      <c r="AW8" s="12">
        <f>I26/AO$2*12+I27</f>
        <v>25979327695.857143</v>
      </c>
      <c r="AX8" s="12">
        <f>L26/AO$2*12+L27</f>
        <v>9424861130.7142868</v>
      </c>
      <c r="AY8" s="12">
        <f t="shared" si="2"/>
        <v>8131711296.8571434</v>
      </c>
      <c r="AZ8" s="343">
        <f t="shared" si="3"/>
        <v>-8422755268.2857132</v>
      </c>
      <c r="BB8" s="140" t="s">
        <v>57</v>
      </c>
      <c r="BC8" s="65">
        <f>BC9+BC19</f>
        <v>41619071610</v>
      </c>
      <c r="BD8" s="66">
        <f>BD9+BD19</f>
        <v>28014722023</v>
      </c>
      <c r="BE8" s="67">
        <f>BE9+BE19</f>
        <v>2216180378</v>
      </c>
      <c r="BF8" s="57"/>
      <c r="BG8" s="68" t="s">
        <v>58</v>
      </c>
      <c r="BH8" s="69">
        <f>BN9+BN13</f>
        <v>2864245139</v>
      </c>
      <c r="BI8" s="69">
        <f>BO9+BO13</f>
        <v>1193207528</v>
      </c>
      <c r="BJ8" s="69">
        <f>BP9+BP13</f>
        <v>1193207528</v>
      </c>
      <c r="BK8" s="69">
        <f>BQ9+BQ13</f>
        <v>202070955</v>
      </c>
      <c r="BM8" s="71" t="s">
        <v>59</v>
      </c>
      <c r="BN8" s="72">
        <f>BN9+BN14+BN13</f>
        <v>28131998644</v>
      </c>
      <c r="BO8" s="69">
        <f>BO9+BO14+BO13</f>
        <v>22018470906</v>
      </c>
      <c r="BP8" s="69">
        <f>BP9+BP14+BP13</f>
        <v>17045367100</v>
      </c>
      <c r="BQ8" s="70">
        <f>BQ9+BQ14+BQ13</f>
        <v>2081241679</v>
      </c>
    </row>
    <row r="9" spans="1:69"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468414189</v>
      </c>
      <c r="AR9" s="12">
        <f>I28+I75</f>
        <v>877971054</v>
      </c>
      <c r="AS9" s="12">
        <f>L28+L75</f>
        <v>205173178</v>
      </c>
      <c r="AT9" s="13"/>
      <c r="AU9" s="350">
        <f t="shared" si="0"/>
        <v>1.8743476918885564</v>
      </c>
      <c r="AV9" s="350">
        <f t="shared" si="1"/>
        <v>0.43801657340486755</v>
      </c>
      <c r="AW9" s="351">
        <f>(I30+I33+I36+I76)/AO$2*12+I31+I34+I37+I38+I39+I40+I77</f>
        <v>1427701959</v>
      </c>
      <c r="AX9" s="351">
        <f>(L30+L33+L36+L76)/AO$2*12+L31+L34+L37+L38+L39+L40+L77</f>
        <v>274334171.57142854</v>
      </c>
      <c r="AY9" s="351">
        <f t="shared" si="2"/>
        <v>959287770</v>
      </c>
      <c r="AZ9" s="352">
        <f t="shared" si="3"/>
        <v>-194080017.42857146</v>
      </c>
      <c r="BB9" s="353" t="s">
        <v>427</v>
      </c>
      <c r="BC9" s="73">
        <f>BC10+BC18</f>
        <v>40885124815</v>
      </c>
      <c r="BD9" s="74">
        <f>BD10+BD18</f>
        <v>27331685491</v>
      </c>
      <c r="BE9" s="75">
        <f>BE10+BE18</f>
        <v>2196810748</v>
      </c>
      <c r="BF9" s="76"/>
      <c r="BG9" s="77" t="s">
        <v>62</v>
      </c>
      <c r="BH9" s="78">
        <f t="shared" ref="BH9:BK10" si="7">BN14</f>
        <v>25267753505</v>
      </c>
      <c r="BI9" s="78">
        <f t="shared" si="7"/>
        <v>20825263378</v>
      </c>
      <c r="BJ9" s="78">
        <f t="shared" si="7"/>
        <v>15852159572</v>
      </c>
      <c r="BK9" s="78">
        <f t="shared" si="7"/>
        <v>1879170724</v>
      </c>
      <c r="BM9" s="137" t="s">
        <v>63</v>
      </c>
      <c r="BN9" s="80">
        <f>SUM(BN10:BN12)</f>
        <v>2061410762</v>
      </c>
      <c r="BO9" s="78">
        <f>SUM(BO10:BO12)</f>
        <v>954810764</v>
      </c>
      <c r="BP9" s="78">
        <f>SUM(BP10:BP12)</f>
        <v>954810764</v>
      </c>
      <c r="BQ9" s="79">
        <f>SUM(BQ10:BQ12)</f>
        <v>168617085</v>
      </c>
    </row>
    <row r="10" spans="1:69" s="9" customFormat="1" ht="24.95" customHeight="1">
      <c r="A10" s="731">
        <f>+IF(JUNIO!A10=0,"",JUNIO!A10)</f>
        <v>10</v>
      </c>
      <c r="B10" s="637" t="str">
        <f>+IF(JUNIO!B10=0,"",JUNIO!B10)</f>
        <v>DISPONIBILIDAD INICIAL</v>
      </c>
      <c r="C10" s="174">
        <f t="shared" ref="C10:N10" si="8">SUM(C12:C15)</f>
        <v>0</v>
      </c>
      <c r="D10" s="354">
        <f t="shared" si="8"/>
        <v>0</v>
      </c>
      <c r="E10" s="354">
        <f t="shared" si="8"/>
        <v>617329922</v>
      </c>
      <c r="F10" s="175">
        <f t="shared" si="8"/>
        <v>617329922</v>
      </c>
      <c r="G10" s="355">
        <f t="shared" si="8"/>
        <v>617329922</v>
      </c>
      <c r="H10" s="354">
        <f t="shared" si="8"/>
        <v>0</v>
      </c>
      <c r="I10" s="356">
        <f t="shared" si="8"/>
        <v>617329922</v>
      </c>
      <c r="J10" s="174">
        <f t="shared" si="8"/>
        <v>617329922</v>
      </c>
      <c r="K10" s="354">
        <f t="shared" si="8"/>
        <v>0</v>
      </c>
      <c r="L10" s="175">
        <f t="shared" si="8"/>
        <v>617329922</v>
      </c>
      <c r="M10" s="174">
        <f t="shared" si="8"/>
        <v>0</v>
      </c>
      <c r="N10" s="175">
        <f t="shared" si="8"/>
        <v>0</v>
      </c>
      <c r="O10" s="13"/>
      <c r="P10" s="174">
        <f>SUM(P12:P15)</f>
        <v>0</v>
      </c>
      <c r="Q10" s="175">
        <f>SUM(Q12:Q15)</f>
        <v>0</v>
      </c>
      <c r="S10" s="357" t="str">
        <f>+IF(JUNIO!S10=0,"",JUNIO!S10)</f>
        <v>A</v>
      </c>
      <c r="T10" s="676" t="str">
        <f>+IF(JUNIO!T10=0,"",JUNIO!T10)</f>
        <v>GASTOS DE FUNCIONAMIENTO</v>
      </c>
      <c r="U10" s="358">
        <f>U12+U110+U170</f>
        <v>35471771735</v>
      </c>
      <c r="V10" s="359">
        <f t="shared" ref="V10:AJ10" si="9">V12+V110+V170</f>
        <v>-332512226</v>
      </c>
      <c r="W10" s="359">
        <f t="shared" si="9"/>
        <v>9734692702</v>
      </c>
      <c r="X10" s="362">
        <f t="shared" si="9"/>
        <v>44873952211</v>
      </c>
      <c r="Y10" s="361">
        <f t="shared" si="9"/>
        <v>37284879351</v>
      </c>
      <c r="Z10" s="359">
        <f t="shared" si="9"/>
        <v>-448175564</v>
      </c>
      <c r="AA10" s="362">
        <f t="shared" si="9"/>
        <v>36836703787</v>
      </c>
      <c r="AB10" s="361">
        <f t="shared" si="9"/>
        <v>26009589565</v>
      </c>
      <c r="AC10" s="359">
        <f t="shared" si="9"/>
        <v>3681342737</v>
      </c>
      <c r="AD10" s="362">
        <f t="shared" si="9"/>
        <v>29690932302</v>
      </c>
      <c r="AE10" s="361">
        <f t="shared" si="9"/>
        <v>15652837474</v>
      </c>
      <c r="AF10" s="359">
        <f t="shared" si="9"/>
        <v>2895709257</v>
      </c>
      <c r="AG10" s="362">
        <f t="shared" si="9"/>
        <v>18548546731</v>
      </c>
      <c r="AH10" s="361">
        <f t="shared" si="9"/>
        <v>8037248424</v>
      </c>
      <c r="AI10" s="359">
        <f t="shared" si="9"/>
        <v>15183019909</v>
      </c>
      <c r="AJ10" s="360">
        <f t="shared" si="9"/>
        <v>26325405480</v>
      </c>
      <c r="AL10" s="363">
        <f t="shared" ref="AL10:AM10" si="10">AL12+AL110+AL170</f>
        <v>47076073</v>
      </c>
      <c r="AM10" s="364">
        <f t="shared" si="10"/>
        <v>0</v>
      </c>
      <c r="AO10" s="349"/>
      <c r="AP10" s="11" t="s">
        <v>65</v>
      </c>
      <c r="AQ10" s="12">
        <f>F42</f>
        <v>0</v>
      </c>
      <c r="AR10" s="12">
        <f>I42</f>
        <v>0</v>
      </c>
      <c r="AS10" s="12">
        <f>L42</f>
        <v>0</v>
      </c>
      <c r="AT10" s="13"/>
      <c r="AU10" s="350" t="str">
        <f t="shared" si="0"/>
        <v xml:space="preserve"> </v>
      </c>
      <c r="AV10" s="350" t="str">
        <f t="shared" si="1"/>
        <v xml:space="preserve"> </v>
      </c>
      <c r="AW10" s="351">
        <f>I43/AO$2*12+I44</f>
        <v>0</v>
      </c>
      <c r="AX10" s="351">
        <f>L43/AO$2*12+L44</f>
        <v>0</v>
      </c>
      <c r="AY10" s="351">
        <f t="shared" si="2"/>
        <v>0</v>
      </c>
      <c r="AZ10" s="352">
        <f t="shared" si="3"/>
        <v>0</v>
      </c>
      <c r="BB10" s="365" t="s">
        <v>428</v>
      </c>
      <c r="BC10" s="73">
        <f>BC11+BC12+BC13+BC14+BC16+BC17+BC15</f>
        <v>40759887887</v>
      </c>
      <c r="BD10" s="74">
        <f>BD11+BD12+BD13+BD14+BD16+BD17+BD15</f>
        <v>27206448563</v>
      </c>
      <c r="BE10" s="75">
        <f>BE11+BE12+BE13+BE14+BE16+BE17+BE15</f>
        <v>2071573820</v>
      </c>
      <c r="BF10" s="76"/>
      <c r="BG10" s="68" t="s">
        <v>66</v>
      </c>
      <c r="BH10" s="81">
        <f t="shared" si="7"/>
        <v>8830053842</v>
      </c>
      <c r="BI10" s="81">
        <f t="shared" si="7"/>
        <v>6976545606</v>
      </c>
      <c r="BJ10" s="81">
        <f t="shared" si="7"/>
        <v>4814753056</v>
      </c>
      <c r="BK10" s="81">
        <f t="shared" si="7"/>
        <v>445343211</v>
      </c>
      <c r="BM10" s="134" t="s">
        <v>440</v>
      </c>
      <c r="BN10" s="83">
        <f>X17+X66</f>
        <v>1512951119</v>
      </c>
      <c r="BO10" s="81">
        <f>AA17+AA66</f>
        <v>717770129</v>
      </c>
      <c r="BP10" s="81">
        <f>AD17+AD66</f>
        <v>717770129</v>
      </c>
      <c r="BQ10" s="82">
        <f>AF17+AF66</f>
        <v>99289323</v>
      </c>
    </row>
    <row r="11" spans="1:69" s="9" customFormat="1" ht="24.95" customHeight="1">
      <c r="A11" s="666"/>
      <c r="B11" s="636"/>
      <c r="C11" s="344"/>
      <c r="D11" s="344"/>
      <c r="E11" s="344"/>
      <c r="F11" s="344"/>
      <c r="G11" s="344"/>
      <c r="H11" s="344"/>
      <c r="I11" s="344"/>
      <c r="J11" s="344"/>
      <c r="K11" s="344"/>
      <c r="L11" s="344"/>
      <c r="M11" s="344"/>
      <c r="N11" s="345"/>
      <c r="O11" s="333"/>
      <c r="P11" s="346"/>
      <c r="Q11" s="345"/>
      <c r="S11" s="366"/>
      <c r="T11" s="695"/>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0.58333333333333337</v>
      </c>
      <c r="AU11" s="350" t="str">
        <f t="shared" si="0"/>
        <v xml:space="preserve"> </v>
      </c>
      <c r="AV11" s="350" t="str">
        <f t="shared" si="1"/>
        <v xml:space="preserve"> </v>
      </c>
      <c r="AW11" s="351">
        <f>I88</f>
        <v>0</v>
      </c>
      <c r="AX11" s="351">
        <f>L88</f>
        <v>0</v>
      </c>
      <c r="AY11" s="351">
        <f t="shared" si="2"/>
        <v>0</v>
      </c>
      <c r="AZ11" s="352">
        <f t="shared" si="3"/>
        <v>0</v>
      </c>
      <c r="BB11" s="365" t="s">
        <v>429</v>
      </c>
      <c r="BC11" s="73">
        <f>F26</f>
        <v>13439321219</v>
      </c>
      <c r="BD11" s="74">
        <f>I26</f>
        <v>11756773305</v>
      </c>
      <c r="BE11" s="75">
        <f>K26</f>
        <v>405292179</v>
      </c>
      <c r="BF11" s="76"/>
      <c r="BG11" s="68" t="s">
        <v>67</v>
      </c>
      <c r="BH11" s="84">
        <f>BN22</f>
        <v>163530003</v>
      </c>
      <c r="BI11" s="84">
        <f>BO22</f>
        <v>93317553</v>
      </c>
      <c r="BJ11" s="84">
        <f>BP22</f>
        <v>82442424</v>
      </c>
      <c r="BK11" s="84">
        <f>BQ22</f>
        <v>6400947</v>
      </c>
      <c r="BM11" s="135" t="s">
        <v>441</v>
      </c>
      <c r="BN11" s="86">
        <f>X18+X67</f>
        <v>72988810</v>
      </c>
      <c r="BO11" s="84">
        <f>AA18+AA67</f>
        <v>48745924</v>
      </c>
      <c r="BP11" s="84">
        <f>AD18+AD67</f>
        <v>48745924</v>
      </c>
      <c r="BQ11" s="85">
        <f>AF18+AF67</f>
        <v>6187887</v>
      </c>
    </row>
    <row r="12" spans="1:69" s="9" customFormat="1" ht="24.95" customHeight="1">
      <c r="A12" s="611">
        <f>+IF(JUNIO!A12=0,"",JUNIO!A12)</f>
        <v>1001</v>
      </c>
      <c r="B12" s="638" t="str">
        <f>+IF(JUNIO!B12=0,"",JUNIO!B12)</f>
        <v>Bienestar Social (Caja, Bancos, Inversiones Tempor.) a Dic-31-2016</v>
      </c>
      <c r="C12" s="671">
        <f>+ENERO!C12</f>
        <v>0</v>
      </c>
      <c r="D12" s="373">
        <f>JUNIO!D12+JULIO!P12</f>
        <v>0</v>
      </c>
      <c r="E12" s="373">
        <f>JUNIO!E12+JULIO!Q12</f>
        <v>26156707</v>
      </c>
      <c r="F12" s="143">
        <f>SUM(C12:E12)</f>
        <v>26156707</v>
      </c>
      <c r="G12" s="219">
        <f>JUNIO!I12</f>
        <v>26156707</v>
      </c>
      <c r="H12" s="374">
        <v>0</v>
      </c>
      <c r="I12" s="143">
        <f>SUM(G12:H12)</f>
        <v>26156707</v>
      </c>
      <c r="J12" s="219">
        <f>JUNIO!L12</f>
        <v>26156707</v>
      </c>
      <c r="K12" s="131">
        <v>0</v>
      </c>
      <c r="L12" s="143">
        <f>SUM(J12:K12)</f>
        <v>26156707</v>
      </c>
      <c r="M12" s="219">
        <f>F12-I12</f>
        <v>0</v>
      </c>
      <c r="N12" s="143">
        <f>F12-L12</f>
        <v>0</v>
      </c>
      <c r="O12" s="294"/>
      <c r="P12" s="372">
        <v>0</v>
      </c>
      <c r="Q12" s="375">
        <v>0</v>
      </c>
      <c r="S12" s="702">
        <f>+IF(JUNIO!S12=0,"",JUNIO!S12)</f>
        <v>1000000</v>
      </c>
      <c r="T12" s="678" t="str">
        <f>+IF(JUNIO!T12=0,"",JUNIO!T12)</f>
        <v>GASTOS DE PERSONAL</v>
      </c>
      <c r="U12" s="376">
        <f t="shared" ref="U12:AJ12" si="11">U14+U63</f>
        <v>27757873896</v>
      </c>
      <c r="V12" s="377">
        <f t="shared" si="11"/>
        <v>966490004</v>
      </c>
      <c r="W12" s="377">
        <f t="shared" si="11"/>
        <v>6302085127</v>
      </c>
      <c r="X12" s="378">
        <f t="shared" si="11"/>
        <v>35026449027</v>
      </c>
      <c r="Y12" s="363">
        <f t="shared" si="11"/>
        <v>29607192187</v>
      </c>
      <c r="Z12" s="377">
        <f t="shared" si="11"/>
        <v>-694270898</v>
      </c>
      <c r="AA12" s="378">
        <f t="shared" si="11"/>
        <v>28912921289</v>
      </c>
      <c r="AB12" s="363">
        <f t="shared" si="11"/>
        <v>20938961775</v>
      </c>
      <c r="AC12" s="377">
        <f t="shared" si="11"/>
        <v>3000855708</v>
      </c>
      <c r="AD12" s="378">
        <f t="shared" si="11"/>
        <v>23939817483</v>
      </c>
      <c r="AE12" s="363">
        <f t="shared" si="11"/>
        <v>12471022132</v>
      </c>
      <c r="AF12" s="377">
        <f t="shared" si="11"/>
        <v>2432365099</v>
      </c>
      <c r="AG12" s="378">
        <f t="shared" si="11"/>
        <v>14903387231</v>
      </c>
      <c r="AH12" s="363">
        <f t="shared" si="11"/>
        <v>6113527738</v>
      </c>
      <c r="AI12" s="377">
        <f t="shared" si="11"/>
        <v>11086631544</v>
      </c>
      <c r="AJ12" s="364">
        <f t="shared" si="11"/>
        <v>20123061796</v>
      </c>
      <c r="AK12" s="10"/>
      <c r="AL12" s="379">
        <f>AL14+AL63</f>
        <v>245758631</v>
      </c>
      <c r="AM12" s="380">
        <f>AM14+AM63</f>
        <v>0</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18905646713</v>
      </c>
      <c r="BD12" s="74">
        <f>I23</f>
        <v>9676747011</v>
      </c>
      <c r="BE12" s="75">
        <f>K23</f>
        <v>1080899190</v>
      </c>
      <c r="BF12" s="76"/>
      <c r="BG12" s="381" t="s">
        <v>391</v>
      </c>
      <c r="BH12" s="84">
        <f>BN25</f>
        <v>15192067615</v>
      </c>
      <c r="BI12" s="15">
        <f>BO25</f>
        <v>8795547226</v>
      </c>
      <c r="BJ12" s="84">
        <f>BP25</f>
        <v>7213638168</v>
      </c>
      <c r="BK12" s="84">
        <f>BQ25</f>
        <v>641228334</v>
      </c>
      <c r="BM12" s="136" t="s">
        <v>442</v>
      </c>
      <c r="BN12" s="86">
        <f>X16+X65-X81-X33-BN10-BN11</f>
        <v>475470833</v>
      </c>
      <c r="BO12" s="84">
        <f>AA16+AA65-AA81-AA33-BO10-BO11</f>
        <v>188294711</v>
      </c>
      <c r="BP12" s="84">
        <f>AD16+AD65-AD81-AD33-BP10-BP11</f>
        <v>188294711</v>
      </c>
      <c r="BQ12" s="85">
        <f>AF16+AF65-AF81-AF33-BQ10-BQ11</f>
        <v>63139875</v>
      </c>
    </row>
    <row r="13" spans="1:69" s="9" customFormat="1" ht="24.95" customHeight="1">
      <c r="A13" s="611">
        <f>+IF(JUNIO!A13=0,"",JUNIO!A13)</f>
        <v>1002</v>
      </c>
      <c r="B13" s="638" t="str">
        <f>+IF(JUNIO!B13=0,"",JUNIO!B13)</f>
        <v>Fondo Vivienda (Caja, Bancos, Inversiones Tempor.) a Dic-31-2016</v>
      </c>
      <c r="C13" s="671">
        <f>+ENERO!C13</f>
        <v>0</v>
      </c>
      <c r="D13" s="373">
        <f>JUNIO!D13+JULIO!P13</f>
        <v>0</v>
      </c>
      <c r="E13" s="373">
        <f>JUNIO!E13+JULIO!Q13</f>
        <v>53878092</v>
      </c>
      <c r="F13" s="143">
        <f>SUM(C13:E13)</f>
        <v>53878092</v>
      </c>
      <c r="G13" s="219">
        <f>JUNIO!I13</f>
        <v>53878092</v>
      </c>
      <c r="H13" s="374">
        <v>0</v>
      </c>
      <c r="I13" s="143">
        <f>SUM(G13:H13)</f>
        <v>53878092</v>
      </c>
      <c r="J13" s="219">
        <f>JUNIO!L13</f>
        <v>53878092</v>
      </c>
      <c r="K13" s="131">
        <v>0</v>
      </c>
      <c r="L13" s="143">
        <f>SUM(J13:K13)</f>
        <v>53878092</v>
      </c>
      <c r="M13" s="219">
        <f>F13-I13</f>
        <v>0</v>
      </c>
      <c r="N13" s="143">
        <f>F13-L13</f>
        <v>0</v>
      </c>
      <c r="O13" s="382"/>
      <c r="P13" s="372">
        <v>0</v>
      </c>
      <c r="Q13" s="375">
        <v>0</v>
      </c>
      <c r="S13" s="366"/>
      <c r="T13" s="695"/>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415598482</v>
      </c>
      <c r="BD13" s="88">
        <f>+I30+I33+I36+I38+I39+I40</f>
        <v>846390833</v>
      </c>
      <c r="BE13" s="89">
        <f>+K30+K33+K36+K38+K39+K40</f>
        <v>202397721</v>
      </c>
      <c r="BF13" s="90"/>
      <c r="BG13" s="91" t="s">
        <v>70</v>
      </c>
      <c r="BH13" s="84">
        <f t="shared" ref="BH13:BK15" si="12">BN29</f>
        <v>433878092</v>
      </c>
      <c r="BI13" s="84">
        <f t="shared" si="12"/>
        <v>352813794</v>
      </c>
      <c r="BJ13" s="84">
        <f t="shared" si="12"/>
        <v>187405895</v>
      </c>
      <c r="BK13" s="84">
        <f t="shared" si="12"/>
        <v>0</v>
      </c>
      <c r="BM13" s="139" t="s">
        <v>443</v>
      </c>
      <c r="BN13" s="83">
        <f>X43-X55+X57-X61+X90-X102+X104-X108</f>
        <v>802834377</v>
      </c>
      <c r="BO13" s="81">
        <f>AA43-AA55+AA57-AA61+AA90-AA102+AA104-AA108</f>
        <v>238396764</v>
      </c>
      <c r="BP13" s="81">
        <f>AD43-AD55+AD57-AD61+AD90-AD102+AD104-AD108</f>
        <v>238396764</v>
      </c>
      <c r="BQ13" s="82">
        <f>AF43-AF55+AF57-AF61+AF90-AF102+AF104-AF108</f>
        <v>33453870</v>
      </c>
    </row>
    <row r="14" spans="1:69" s="9" customFormat="1" ht="24.95" customHeight="1">
      <c r="A14" s="611">
        <f>+IF(JUNIO!A14=0,"",JUNIO!A14)</f>
        <v>1003</v>
      </c>
      <c r="B14" s="638" t="str">
        <f>+IF(JUNIO!B14=0,"",JUNIO!B14)</f>
        <v>Fondos Comunes y Especiales (Caja, Bancos, Invers. Tempor.) a Dic-31-2016</v>
      </c>
      <c r="C14" s="671">
        <f>+ENERO!C14</f>
        <v>0</v>
      </c>
      <c r="D14" s="373">
        <f>JUNIO!D14+JULIO!P14</f>
        <v>0</v>
      </c>
      <c r="E14" s="373">
        <f>JUNIO!E14+JULIO!Q14</f>
        <v>433953123</v>
      </c>
      <c r="F14" s="143">
        <f>SUM(C14:E14)</f>
        <v>433953123</v>
      </c>
      <c r="G14" s="219">
        <f>JUNIO!I14</f>
        <v>433953123</v>
      </c>
      <c r="H14" s="374">
        <v>0</v>
      </c>
      <c r="I14" s="143">
        <f>SUM(G14:H14)</f>
        <v>433953123</v>
      </c>
      <c r="J14" s="219">
        <f>JUNIO!L14</f>
        <v>433953123</v>
      </c>
      <c r="K14" s="131">
        <v>0</v>
      </c>
      <c r="L14" s="143">
        <f>SUM(J14:K14)</f>
        <v>433953123</v>
      </c>
      <c r="M14" s="219">
        <f>F14-I14</f>
        <v>0</v>
      </c>
      <c r="N14" s="143">
        <f>F14-L14</f>
        <v>0</v>
      </c>
      <c r="O14" s="382"/>
      <c r="P14" s="372">
        <v>0</v>
      </c>
      <c r="Q14" s="375">
        <v>0</v>
      </c>
      <c r="S14" s="703">
        <f>+IF(JUNIO!S14=0,"",JUNIO!S14)</f>
        <v>1010000</v>
      </c>
      <c r="T14" s="679" t="str">
        <f>+IF(JUNIO!T14=0,"",JUNIO!T14)</f>
        <v>Gastos de Administración</v>
      </c>
      <c r="U14" s="132">
        <f t="shared" ref="U14:AJ14" si="13">U16+U35+U43+U57</f>
        <v>4011945263</v>
      </c>
      <c r="V14" s="122">
        <f t="shared" si="13"/>
        <v>570494100</v>
      </c>
      <c r="W14" s="122">
        <f t="shared" si="13"/>
        <v>1441531683</v>
      </c>
      <c r="X14" s="129">
        <f t="shared" si="13"/>
        <v>6023971046</v>
      </c>
      <c r="Y14" s="128">
        <f t="shared" si="13"/>
        <v>4601445288</v>
      </c>
      <c r="Z14" s="122">
        <f t="shared" si="13"/>
        <v>132639434</v>
      </c>
      <c r="AA14" s="129">
        <f t="shared" si="13"/>
        <v>4734084722</v>
      </c>
      <c r="AB14" s="128">
        <f t="shared" si="13"/>
        <v>3431696739</v>
      </c>
      <c r="AC14" s="122">
        <f t="shared" si="13"/>
        <v>792252255</v>
      </c>
      <c r="AD14" s="129">
        <f t="shared" si="13"/>
        <v>4223948994</v>
      </c>
      <c r="AE14" s="128">
        <f t="shared" si="13"/>
        <v>2454996643</v>
      </c>
      <c r="AF14" s="122">
        <f t="shared" si="13"/>
        <v>424371373</v>
      </c>
      <c r="AG14" s="129">
        <f t="shared" si="13"/>
        <v>2879368016</v>
      </c>
      <c r="AH14" s="128">
        <f t="shared" si="13"/>
        <v>1289886324</v>
      </c>
      <c r="AI14" s="122">
        <f t="shared" si="13"/>
        <v>1800022052</v>
      </c>
      <c r="AJ14" s="130">
        <f t="shared" si="13"/>
        <v>3144603030</v>
      </c>
      <c r="AK14" s="10"/>
      <c r="AL14" s="128">
        <f>AL16+AL35+AL43+AL57</f>
        <v>-2649244</v>
      </c>
      <c r="AM14" s="130">
        <f>AM16+AM35+AM43+AM57</f>
        <v>0</v>
      </c>
      <c r="AO14" s="21"/>
      <c r="AP14" s="11" t="s">
        <v>73</v>
      </c>
      <c r="AQ14" s="12">
        <f>F19-AQ7-AQ8-AQ9-AQ10-AQ11-AQ12-AQ13</f>
        <v>10100761139</v>
      </c>
      <c r="AR14" s="12">
        <f>I19-AR7-AR8-AR9-AR10-AR11-AR12-AR13</f>
        <v>8229467234</v>
      </c>
      <c r="AS14" s="12">
        <f>L19-AS7-AS8-AS9-AS10-AS11-AS12-AS13</f>
        <v>4038283177</v>
      </c>
      <c r="AT14" s="382"/>
      <c r="AU14" s="350">
        <f t="shared" si="0"/>
        <v>0.81473733719187202</v>
      </c>
      <c r="AV14" s="350">
        <f t="shared" si="1"/>
        <v>0.39979988848640369</v>
      </c>
      <c r="AW14" s="351">
        <f>(I41+I46+I49+I52+I55+I58+I61+I64+I67+I70+I73+I78+I81+I82+I83+I85+I94+I104)/AO$2*12+I47+I50+I53+I56+I59+I62+I65+I68+I71+I74</f>
        <v>13202028248.142857</v>
      </c>
      <c r="AX14" s="351">
        <f>(L41+L46+L49+L52+L55+L58+L61+L64+L67+L70+L73+L78+L81+L82+L83+L85+L94+L104)/AO$2*12+L47+L50+L53+L56+L59+L62+L65+L68+L71+L74</f>
        <v>5529604151.5714283</v>
      </c>
      <c r="AY14" s="351">
        <f t="shared" si="2"/>
        <v>3101267109.1428566</v>
      </c>
      <c r="AZ14" s="352">
        <f t="shared" si="3"/>
        <v>-4571156987.4285717</v>
      </c>
      <c r="BB14" s="383" t="s">
        <v>432</v>
      </c>
      <c r="BC14" s="92">
        <f>+F64</f>
        <v>5110724757</v>
      </c>
      <c r="BD14" s="93">
        <f>+I64</f>
        <v>1340257118</v>
      </c>
      <c r="BE14" s="94">
        <f>K64</f>
        <v>60280459</v>
      </c>
      <c r="BF14" s="95"/>
      <c r="BG14" s="91" t="s">
        <v>74</v>
      </c>
      <c r="BH14" s="81">
        <f t="shared" si="12"/>
        <v>0</v>
      </c>
      <c r="BI14" s="81">
        <f t="shared" si="12"/>
        <v>0</v>
      </c>
      <c r="BJ14" s="81">
        <f t="shared" si="12"/>
        <v>0</v>
      </c>
      <c r="BK14" s="81">
        <f t="shared" si="12"/>
        <v>0</v>
      </c>
      <c r="BM14" s="138" t="s">
        <v>439</v>
      </c>
      <c r="BN14" s="86">
        <f>X35-X41+X83-X88</f>
        <v>25267753505</v>
      </c>
      <c r="BO14" s="84">
        <f>AA35-AA41+AA83-AA88</f>
        <v>20825263378</v>
      </c>
      <c r="BP14" s="84">
        <f>AD35-AD41+AD83-AD88</f>
        <v>15852159572</v>
      </c>
      <c r="BQ14" s="85">
        <f>AF35-AF41+AF83-AF88</f>
        <v>1879170724</v>
      </c>
    </row>
    <row r="15" spans="1:69" s="9" customFormat="1" ht="24.95" customHeight="1" thickBot="1">
      <c r="A15" s="612">
        <f>+IF(JUNIO!A15=0,"",JUNIO!A15)</f>
        <v>1004</v>
      </c>
      <c r="B15" s="638" t="str">
        <f>+IF(JUNIO!B15=0,"",JUNIO!B15)</f>
        <v>Cesantias Ley 50/1990 a Dic-31-2016</v>
      </c>
      <c r="C15" s="769">
        <f>+ENERO!C15</f>
        <v>0</v>
      </c>
      <c r="D15" s="385">
        <f>JUNIO!D15+JULIO!P15</f>
        <v>0</v>
      </c>
      <c r="E15" s="385">
        <f>JUNIO!E15+JULIO!Q15</f>
        <v>103342000</v>
      </c>
      <c r="F15" s="386">
        <f>SUM(C15:E15)</f>
        <v>103342000</v>
      </c>
      <c r="G15" s="387">
        <f>JUNIO!I15</f>
        <v>103342000</v>
      </c>
      <c r="H15" s="388">
        <v>0</v>
      </c>
      <c r="I15" s="386">
        <f>SUM(G15:H15)</f>
        <v>103342000</v>
      </c>
      <c r="J15" s="387">
        <f>JUNIO!L15</f>
        <v>103342000</v>
      </c>
      <c r="K15" s="165">
        <v>0</v>
      </c>
      <c r="L15" s="386">
        <f>SUM(J15:K15)</f>
        <v>103342000</v>
      </c>
      <c r="M15" s="387">
        <f>F15-I15</f>
        <v>0</v>
      </c>
      <c r="N15" s="386">
        <f>F15-L15</f>
        <v>0</v>
      </c>
      <c r="O15" s="382"/>
      <c r="P15" s="384">
        <v>0</v>
      </c>
      <c r="Q15" s="389">
        <v>0</v>
      </c>
      <c r="S15" s="366" t="str">
        <f>+IF(JUNIO!S15=0,"",JUNIO!S15)</f>
        <v/>
      </c>
      <c r="T15" s="695"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9054526268</v>
      </c>
      <c r="AR15" s="12">
        <f>I113</f>
        <v>3622825</v>
      </c>
      <c r="AS15" s="12">
        <f>L113</f>
        <v>3622825</v>
      </c>
      <c r="AT15" s="13"/>
      <c r="AU15" s="342">
        <f t="shared" si="0"/>
        <v>4.0011204261492791E-4</v>
      </c>
      <c r="AV15" s="350">
        <f t="shared" si="1"/>
        <v>4.0011204261492791E-4</v>
      </c>
      <c r="AW15" s="12">
        <f>+AR15</f>
        <v>3622825</v>
      </c>
      <c r="AX15" s="12">
        <f>+AS15</f>
        <v>3622825</v>
      </c>
      <c r="AY15" s="12">
        <f t="shared" si="2"/>
        <v>-9050903443</v>
      </c>
      <c r="AZ15" s="343">
        <f t="shared" si="3"/>
        <v>-9050903443</v>
      </c>
      <c r="BA15" s="382"/>
      <c r="BB15" s="383" t="s">
        <v>77</v>
      </c>
      <c r="BC15" s="92">
        <f>F46+F49</f>
        <v>375197511</v>
      </c>
      <c r="BD15" s="93">
        <f>I46+I49</f>
        <v>161271339</v>
      </c>
      <c r="BE15" s="94">
        <f>K46+K49</f>
        <v>0</v>
      </c>
      <c r="BF15" s="95"/>
      <c r="BG15" s="91" t="s">
        <v>78</v>
      </c>
      <c r="BH15" s="81">
        <f t="shared" si="12"/>
        <v>10423200755</v>
      </c>
      <c r="BI15" s="81">
        <f t="shared" si="12"/>
        <v>10423200755</v>
      </c>
      <c r="BJ15" s="81">
        <f t="shared" si="12"/>
        <v>10423200755</v>
      </c>
      <c r="BK15" s="81">
        <f t="shared" si="12"/>
        <v>513518644</v>
      </c>
      <c r="BM15" s="71" t="s">
        <v>66</v>
      </c>
      <c r="BN15" s="83">
        <f>SUM(BN16:BN21)</f>
        <v>8830053842</v>
      </c>
      <c r="BO15" s="81">
        <f>SUM(BO16:BO21)</f>
        <v>6976545606</v>
      </c>
      <c r="BP15" s="81">
        <f>SUM(BP16:BP21)</f>
        <v>4814753056</v>
      </c>
      <c r="BQ15" s="82">
        <f>SUM(BQ16:BQ21)</f>
        <v>445343211</v>
      </c>
    </row>
    <row r="16" spans="1:69" s="9" customFormat="1" ht="24.95" customHeight="1" thickBot="1">
      <c r="A16" s="732" t="str">
        <f>+IF(JUNIO!A16=0,"",JUNIO!A16)</f>
        <v/>
      </c>
      <c r="B16" s="639" t="str">
        <f>+IF(JUNIO!B16=0,"",JUNIO!B16)</f>
        <v/>
      </c>
      <c r="C16" s="390"/>
      <c r="D16" s="390"/>
      <c r="E16" s="390"/>
      <c r="F16" s="390"/>
      <c r="G16" s="390"/>
      <c r="H16" s="390"/>
      <c r="I16" s="390"/>
      <c r="J16" s="390"/>
      <c r="K16" s="390"/>
      <c r="L16" s="390"/>
      <c r="M16" s="390"/>
      <c r="N16" s="391"/>
      <c r="O16" s="382"/>
      <c r="P16" s="392"/>
      <c r="Q16" s="393"/>
      <c r="S16" s="704">
        <f>+IF(JUNIO!S16=0,"",JUNIO!S16)</f>
        <v>1010100</v>
      </c>
      <c r="T16" s="680" t="str">
        <f>+IF(JUNIO!T16=0,"",JUNIO!T16)</f>
        <v>Servicios Personales Asociados a Nómina</v>
      </c>
      <c r="U16" s="132">
        <f t="shared" ref="U16:AJ16" si="14">SUM(U17:U20)+U33</f>
        <v>762990941</v>
      </c>
      <c r="V16" s="122">
        <f t="shared" si="14"/>
        <v>0</v>
      </c>
      <c r="W16" s="122">
        <f t="shared" si="14"/>
        <v>19210353</v>
      </c>
      <c r="X16" s="129">
        <f t="shared" si="14"/>
        <v>782201294</v>
      </c>
      <c r="Y16" s="128">
        <f t="shared" si="14"/>
        <v>251401597</v>
      </c>
      <c r="Z16" s="122">
        <f t="shared" si="14"/>
        <v>60581116</v>
      </c>
      <c r="AA16" s="129">
        <f t="shared" si="14"/>
        <v>311982713</v>
      </c>
      <c r="AB16" s="128">
        <f t="shared" si="14"/>
        <v>251401597</v>
      </c>
      <c r="AC16" s="122">
        <f t="shared" si="14"/>
        <v>60581116</v>
      </c>
      <c r="AD16" s="129">
        <f t="shared" si="14"/>
        <v>311982713</v>
      </c>
      <c r="AE16" s="128">
        <f t="shared" si="14"/>
        <v>251401597</v>
      </c>
      <c r="AF16" s="122">
        <f t="shared" si="14"/>
        <v>60581116</v>
      </c>
      <c r="AG16" s="129">
        <f t="shared" si="14"/>
        <v>311982713</v>
      </c>
      <c r="AH16" s="128">
        <f t="shared" si="14"/>
        <v>470218581</v>
      </c>
      <c r="AI16" s="122">
        <f t="shared" si="14"/>
        <v>470218581</v>
      </c>
      <c r="AJ16" s="130">
        <f t="shared" si="14"/>
        <v>470218581</v>
      </c>
      <c r="AK16" s="10"/>
      <c r="AL16" s="128">
        <f>SUM(AL17:AL20)+AL33</f>
        <v>0</v>
      </c>
      <c r="AM16" s="130">
        <f>SUM(AM17:AM20)+AM33</f>
        <v>0</v>
      </c>
      <c r="AO16" s="21"/>
      <c r="AP16" s="394" t="s">
        <v>81</v>
      </c>
      <c r="AQ16" s="395">
        <f>F10</f>
        <v>617329922</v>
      </c>
      <c r="AR16" s="395">
        <f>I10</f>
        <v>617329922</v>
      </c>
      <c r="AS16" s="395">
        <f>L10</f>
        <v>617329922</v>
      </c>
      <c r="AT16" s="382"/>
      <c r="AU16" s="396">
        <f t="shared" si="0"/>
        <v>1</v>
      </c>
      <c r="AV16" s="396">
        <f t="shared" si="1"/>
        <v>1</v>
      </c>
      <c r="AW16" s="395">
        <f t="shared" ref="AW16:AX16" si="15">+AR16</f>
        <v>617329922</v>
      </c>
      <c r="AX16" s="395">
        <f t="shared" si="15"/>
        <v>617329922</v>
      </c>
      <c r="AY16" s="12">
        <f t="shared" si="2"/>
        <v>0</v>
      </c>
      <c r="AZ16" s="397">
        <f t="shared" si="3"/>
        <v>0</v>
      </c>
      <c r="BA16" s="382"/>
      <c r="BB16" s="365" t="s">
        <v>433</v>
      </c>
      <c r="BC16" s="73">
        <f>F43</f>
        <v>0</v>
      </c>
      <c r="BD16" s="74">
        <f>I43</f>
        <v>0</v>
      </c>
      <c r="BE16" s="75">
        <f>K43</f>
        <v>0</v>
      </c>
      <c r="BF16" s="76"/>
      <c r="BG16" s="91" t="s">
        <v>82</v>
      </c>
      <c r="BH16" s="96">
        <f>BH7+BH12+BH13+BH14+BH15</f>
        <v>63174728951</v>
      </c>
      <c r="BI16" s="96">
        <f>BI7+BI12+BI13+BI14+BI15</f>
        <v>48659895840</v>
      </c>
      <c r="BJ16" s="96">
        <f>BJ7+BJ12+BJ13+BJ14+BJ15</f>
        <v>39766807398</v>
      </c>
      <c r="BK16" s="96">
        <f>BK7+BK12+BK13+BK14+BK15</f>
        <v>3687732815</v>
      </c>
      <c r="BM16" s="137" t="s">
        <v>83</v>
      </c>
      <c r="BN16" s="83">
        <f>X114-X121+X147-X148-X153</f>
        <v>1120052974</v>
      </c>
      <c r="BO16" s="81">
        <f>AA114-AA121+AA147-AA148-AA153</f>
        <v>717836148</v>
      </c>
      <c r="BP16" s="81">
        <f>AD114-AD121+AD147-AD148-AD153</f>
        <v>629655670</v>
      </c>
      <c r="BQ16" s="82">
        <f>AF114-AF121+AF147-AF148-AF153</f>
        <v>57444214</v>
      </c>
    </row>
    <row r="17" spans="1:70" s="382" customFormat="1" ht="24.95" customHeight="1" thickBot="1">
      <c r="A17" s="731">
        <f>+IF(JUNIO!A17=0,"",JUNIO!A17)</f>
        <v>11</v>
      </c>
      <c r="B17" s="640" t="str">
        <f>+IF(JUNIO!B17=0,"",JUNIO!B17)</f>
        <v>INGRESOS  CORRIENTES</v>
      </c>
      <c r="C17" s="334">
        <f>C19+C94+C104</f>
        <v>41169250887</v>
      </c>
      <c r="D17" s="331">
        <f t="shared" ref="D17:Q17" si="16">D19+D94+D104</f>
        <v>0</v>
      </c>
      <c r="E17" s="331">
        <f t="shared" si="16"/>
        <v>12333621874</v>
      </c>
      <c r="F17" s="331">
        <f t="shared" si="16"/>
        <v>53502872761</v>
      </c>
      <c r="G17" s="331">
        <f t="shared" si="16"/>
        <v>38399902229</v>
      </c>
      <c r="H17" s="331">
        <f t="shared" si="16"/>
        <v>6735522639</v>
      </c>
      <c r="I17" s="331">
        <f t="shared" si="16"/>
        <v>45135424868</v>
      </c>
      <c r="J17" s="331">
        <f t="shared" si="16"/>
        <v>18835367197</v>
      </c>
      <c r="K17" s="331">
        <f t="shared" si="16"/>
        <v>3767707636</v>
      </c>
      <c r="L17" s="331">
        <f t="shared" si="16"/>
        <v>22603074833</v>
      </c>
      <c r="M17" s="331">
        <f t="shared" si="16"/>
        <v>8367447893</v>
      </c>
      <c r="N17" s="332">
        <f t="shared" si="16"/>
        <v>30899797928</v>
      </c>
      <c r="P17" s="174">
        <f t="shared" si="16"/>
        <v>0</v>
      </c>
      <c r="Q17" s="175">
        <f t="shared" si="16"/>
        <v>0</v>
      </c>
      <c r="R17" s="9"/>
      <c r="S17" s="705">
        <f>+IF(JUNIO!S17=0,"",JUNIO!S17)</f>
        <v>1010101</v>
      </c>
      <c r="T17" s="681" t="str">
        <f>+IF(JUNIO!T17=0,"",JUNIO!T17)</f>
        <v>Sueldos del Personal de nómina</v>
      </c>
      <c r="U17" s="27">
        <f>+ENERO!U17</f>
        <v>619731764</v>
      </c>
      <c r="V17" s="15">
        <f>JUNIO!V17+JULIO!AL17</f>
        <v>0</v>
      </c>
      <c r="W17" s="15">
        <f>JUNIO!W17+JULIO!AM17</f>
        <v>0</v>
      </c>
      <c r="X17" s="18">
        <f>SUM(U17:W17)</f>
        <v>619731764</v>
      </c>
      <c r="Y17" s="19">
        <f>JUNIO!AA17</f>
        <v>227189562</v>
      </c>
      <c r="Z17" s="374">
        <v>37836368</v>
      </c>
      <c r="AA17" s="18">
        <f>SUM(Y17:Z17)</f>
        <v>265025930</v>
      </c>
      <c r="AB17" s="19">
        <f>JUNIO!AD17</f>
        <v>227189562</v>
      </c>
      <c r="AC17" s="374">
        <v>37836368</v>
      </c>
      <c r="AD17" s="18">
        <f>SUM(AB17:AC17)</f>
        <v>265025930</v>
      </c>
      <c r="AE17" s="19">
        <f>JUNIO!AG17</f>
        <v>227189562</v>
      </c>
      <c r="AF17" s="374">
        <v>37836368</v>
      </c>
      <c r="AG17" s="18">
        <f>SUM(AE17:AF17)</f>
        <v>265025930</v>
      </c>
      <c r="AH17" s="19">
        <f>X17-AA17</f>
        <v>354705834</v>
      </c>
      <c r="AI17" s="15">
        <f>X17-AD17</f>
        <v>354705834</v>
      </c>
      <c r="AJ17" s="16">
        <f>X17-AG17</f>
        <v>354705834</v>
      </c>
      <c r="AK17" s="9"/>
      <c r="AL17" s="372">
        <v>0</v>
      </c>
      <c r="AM17" s="375">
        <v>0</v>
      </c>
      <c r="AN17" s="9"/>
      <c r="AO17" s="349"/>
      <c r="AP17" s="399" t="s">
        <v>85</v>
      </c>
      <c r="AQ17" s="400">
        <f>SUM(AQ7:AQ16)</f>
        <v>62263879101</v>
      </c>
      <c r="AR17" s="401">
        <f>SUM(AR7:AR16)</f>
        <v>44896438028</v>
      </c>
      <c r="AS17" s="402">
        <f>SUM(AS7:AS16)</f>
        <v>22648484659</v>
      </c>
      <c r="AT17" s="403"/>
      <c r="AU17" s="401">
        <f t="shared" si="0"/>
        <v>0.72106715283787925</v>
      </c>
      <c r="AV17" s="401">
        <f t="shared" si="1"/>
        <v>0.36374997809341836</v>
      </c>
      <c r="AW17" s="404">
        <f>SUM(AX7:AX16)</f>
        <v>27101501541.428574</v>
      </c>
      <c r="AX17" s="404">
        <f>SUM(AX7:AX16)</f>
        <v>27101501541.428574</v>
      </c>
      <c r="AY17" s="404">
        <f>SUM(AY7:AY16)</f>
        <v>3464508214.7142868</v>
      </c>
      <c r="AZ17" s="405">
        <f>SUM(AZ7:AZ16)</f>
        <v>-35162377559.571426</v>
      </c>
      <c r="BA17" s="9"/>
      <c r="BB17" s="365" t="s">
        <v>434</v>
      </c>
      <c r="BC17" s="73">
        <f>F41+F52+F55+F58+F61+F67+F70+F73+F76+F79+F82+F86+F87+F88+F89+F90+F91</f>
        <v>2513399205</v>
      </c>
      <c r="BD17" s="74">
        <f>I41+I52+I55+I58+I61+I67+I70+I73+I76+I79+I82+I86+I87+I88+I89+I90+I91</f>
        <v>3425008957</v>
      </c>
      <c r="BE17" s="75">
        <f>K41+K52+K55+K58+K61+K67+K70+K73+K76+K79+K82+K86+K87+K88+K89+K90+K91</f>
        <v>322704271</v>
      </c>
      <c r="BF17" s="76"/>
      <c r="BG17" s="98" t="s">
        <v>86</v>
      </c>
      <c r="BH17" s="99">
        <f>BC23-BH16</f>
        <v>-63174728951</v>
      </c>
      <c r="BI17" s="99"/>
      <c r="BJ17" s="99"/>
      <c r="BK17" s="99"/>
      <c r="BM17" s="137" t="s">
        <v>449</v>
      </c>
      <c r="BN17" s="83">
        <f>X123-X126-X139+X155-X156-X167-X168</f>
        <v>4747038324</v>
      </c>
      <c r="BO17" s="81">
        <f>AA123-AA126-AA139+AA155-AA156-AA167-AA168</f>
        <v>4491862155</v>
      </c>
      <c r="BP17" s="81">
        <f>AD123-AD126-AD139+AD155-AD156-AD167-AD168</f>
        <v>2924786966</v>
      </c>
      <c r="BQ17" s="82">
        <f>AF123-AF126-AF139+AF155-AF156-AF167-AF168</f>
        <v>281322085</v>
      </c>
      <c r="BR17" s="9"/>
    </row>
    <row r="18" spans="1:70" s="9" customFormat="1" ht="24.95" customHeight="1" thickBot="1">
      <c r="A18" s="611" t="str">
        <f>+IF(JUNIO!A18=0,"",JUNIO!A18)</f>
        <v/>
      </c>
      <c r="B18" s="641" t="str">
        <f>+IF(JUNIO!B18=0,"",JUNIO!B18)</f>
        <v/>
      </c>
      <c r="C18" s="294"/>
      <c r="D18" s="294"/>
      <c r="E18" s="294"/>
      <c r="F18" s="294"/>
      <c r="G18" s="294"/>
      <c r="H18" s="294"/>
      <c r="I18" s="294"/>
      <c r="J18" s="294"/>
      <c r="K18" s="294"/>
      <c r="L18" s="294"/>
      <c r="M18" s="294"/>
      <c r="N18" s="463"/>
      <c r="P18" s="407"/>
      <c r="Q18" s="406"/>
      <c r="S18" s="705">
        <f>+IF(JUNIO!S18=0,"",JUNIO!S18)</f>
        <v>1010102</v>
      </c>
      <c r="T18" s="681" t="str">
        <f>+IF(JUNIO!T18=0,"",JUNIO!T18)</f>
        <v>Horas Extras,Dominic.,Festivos y Rec. Nocturnos</v>
      </c>
      <c r="U18" s="27">
        <f>+ENERO!U18</f>
        <v>0</v>
      </c>
      <c r="V18" s="15">
        <f>JUNIO!V18+JULIO!AL18</f>
        <v>0</v>
      </c>
      <c r="W18" s="15">
        <f>JUNIO!W18+JULIO!AM18</f>
        <v>0</v>
      </c>
      <c r="X18" s="18">
        <f>SUM(U18:W18)</f>
        <v>0</v>
      </c>
      <c r="Y18" s="19">
        <f>JUNIO!AA18</f>
        <v>0</v>
      </c>
      <c r="Z18" s="374">
        <v>0</v>
      </c>
      <c r="AA18" s="18">
        <f>SUM(Y18:Z18)</f>
        <v>0</v>
      </c>
      <c r="AB18" s="19">
        <f>JUNIO!AD18</f>
        <v>0</v>
      </c>
      <c r="AC18" s="374">
        <v>0</v>
      </c>
      <c r="AD18" s="18">
        <f>SUM(AB18:AC18)</f>
        <v>0</v>
      </c>
      <c r="AE18" s="19">
        <f>JUNIO!AG18</f>
        <v>0</v>
      </c>
      <c r="AF18" s="374">
        <v>0</v>
      </c>
      <c r="AG18" s="18">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125236928</v>
      </c>
      <c r="BD18" s="74">
        <f>+I95+I96+I97+I99+I100+I101</f>
        <v>125236928</v>
      </c>
      <c r="BE18" s="75">
        <f>+K95+K96+K97+K99+K100+K101</f>
        <v>125236928</v>
      </c>
      <c r="BF18" s="95"/>
      <c r="BM18" s="137" t="s">
        <v>87</v>
      </c>
      <c r="BN18" s="83">
        <f>X148+X156</f>
        <v>2058462544</v>
      </c>
      <c r="BO18" s="81">
        <f>AA148+AA156</f>
        <v>1120165953</v>
      </c>
      <c r="BP18" s="81">
        <f>AD148+AD156</f>
        <v>613697355</v>
      </c>
      <c r="BQ18" s="82">
        <f>AF148+AF156</f>
        <v>21976100</v>
      </c>
      <c r="BR18" s="382"/>
    </row>
    <row r="19" spans="1:70" s="9" customFormat="1" ht="24.95" customHeight="1" thickBot="1">
      <c r="A19" s="733">
        <f>+IF(JUNIO!A19=0,"",JUNIO!A19)</f>
        <v>113</v>
      </c>
      <c r="B19" s="642" t="str">
        <f>+IF(JUNIO!B19=0,"",JUNIO!B19)</f>
        <v>VENTA DE SERVICIOS</v>
      </c>
      <c r="C19" s="334">
        <f t="shared" ref="C19:N19" si="17">C21+C85</f>
        <v>40501810887</v>
      </c>
      <c r="D19" s="331">
        <f t="shared" si="17"/>
        <v>0</v>
      </c>
      <c r="E19" s="331">
        <f t="shared" si="17"/>
        <v>12090212024</v>
      </c>
      <c r="F19" s="332">
        <f t="shared" si="17"/>
        <v>52592022911</v>
      </c>
      <c r="G19" s="334">
        <f t="shared" si="17"/>
        <v>37740207014</v>
      </c>
      <c r="H19" s="331">
        <f t="shared" si="17"/>
        <v>6535278267</v>
      </c>
      <c r="I19" s="332">
        <f t="shared" si="17"/>
        <v>44275485281</v>
      </c>
      <c r="J19" s="334">
        <f t="shared" si="17"/>
        <v>18404430834</v>
      </c>
      <c r="K19" s="331">
        <f t="shared" si="17"/>
        <v>3623101078</v>
      </c>
      <c r="L19" s="332">
        <f t="shared" si="17"/>
        <v>22027531912</v>
      </c>
      <c r="M19" s="334">
        <f t="shared" si="17"/>
        <v>8316537630</v>
      </c>
      <c r="N19" s="332">
        <f t="shared" si="17"/>
        <v>30564490999</v>
      </c>
      <c r="O19" s="382"/>
      <c r="P19" s="43">
        <f>P21+P85</f>
        <v>0</v>
      </c>
      <c r="Q19" s="45">
        <f>Q21+Q85</f>
        <v>0</v>
      </c>
      <c r="S19" s="705">
        <f>+IF(JUNIO!S19=0,"",JUNIO!S19)</f>
        <v>1010103</v>
      </c>
      <c r="T19" s="681" t="str">
        <f>+IF(JUNIO!T19=0,"",JUNIO!T19)</f>
        <v>Prima Técnica</v>
      </c>
      <c r="U19" s="27">
        <f>+ENERO!U19</f>
        <v>0</v>
      </c>
      <c r="V19" s="15">
        <f>JUNIO!V19+JULIO!AL19</f>
        <v>0</v>
      </c>
      <c r="W19" s="15">
        <f>JUNIO!W19+JULIO!AM19</f>
        <v>0</v>
      </c>
      <c r="X19" s="18">
        <f>SUM(U19:W19)</f>
        <v>0</v>
      </c>
      <c r="Y19" s="19">
        <f>JUNIO!AA19</f>
        <v>0</v>
      </c>
      <c r="Z19" s="374">
        <v>0</v>
      </c>
      <c r="AA19" s="18">
        <f>SUM(Y19:Z19)</f>
        <v>0</v>
      </c>
      <c r="AB19" s="19">
        <f>JUNIO!AD19</f>
        <v>0</v>
      </c>
      <c r="AC19" s="374">
        <v>0</v>
      </c>
      <c r="AD19" s="18">
        <f>SUM(AB19:AC19)</f>
        <v>0</v>
      </c>
      <c r="AE19" s="19">
        <f>JUNIO!AG19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733946795</v>
      </c>
      <c r="BD19" s="93">
        <f>+I105+I106+I107+I108+I109+I110+I98</f>
        <v>683036532</v>
      </c>
      <c r="BE19" s="94">
        <f>+K105+K106+K107+K108+K109+K110+K98</f>
        <v>19369630</v>
      </c>
      <c r="BF19" s="57"/>
      <c r="BG19" s="382"/>
      <c r="BH19" s="382">
        <f>BN33</f>
        <v>0</v>
      </c>
      <c r="BI19" s="382"/>
      <c r="BJ19" s="382"/>
      <c r="BK19" s="382"/>
      <c r="BM19" s="137" t="s">
        <v>94</v>
      </c>
      <c r="BN19" s="83">
        <f>X126+X167</f>
        <v>904500000</v>
      </c>
      <c r="BO19" s="81">
        <f>AA126+AA167</f>
        <v>646681350</v>
      </c>
      <c r="BP19" s="81">
        <f>AD126+AD167</f>
        <v>646613065</v>
      </c>
      <c r="BQ19" s="82">
        <f>AF126+AF167</f>
        <v>84600812</v>
      </c>
    </row>
    <row r="20" spans="1:70" s="422" customFormat="1" ht="24.95" customHeight="1" thickBot="1">
      <c r="A20" s="611" t="str">
        <f>+IF(JUNIO!A20=0,"",JUNIO!A20)</f>
        <v/>
      </c>
      <c r="B20" s="643" t="str">
        <f>+IF(JUNIO!B20=0,"",JUNIO!B20)</f>
        <v/>
      </c>
      <c r="C20" s="294"/>
      <c r="D20" s="294"/>
      <c r="E20" s="294"/>
      <c r="F20" s="294"/>
      <c r="G20" s="294"/>
      <c r="H20" s="294"/>
      <c r="I20" s="294"/>
      <c r="J20" s="294"/>
      <c r="K20" s="294"/>
      <c r="L20" s="294"/>
      <c r="M20" s="294"/>
      <c r="N20" s="463"/>
      <c r="O20" s="9"/>
      <c r="P20" s="407"/>
      <c r="Q20" s="406"/>
      <c r="R20" s="9"/>
      <c r="S20" s="705">
        <f>+IF(JUNIO!S20=0,"",JUNIO!S20)</f>
        <v>1010104</v>
      </c>
      <c r="T20" s="681" t="str">
        <f>+IF(JUNIO!T20=0,"",JUNIO!T20)</f>
        <v>Otros</v>
      </c>
      <c r="U20" s="27">
        <f t="shared" ref="U20:AJ20" si="18">SUM(U21:U32)</f>
        <v>143259177</v>
      </c>
      <c r="V20" s="15">
        <f t="shared" si="18"/>
        <v>0</v>
      </c>
      <c r="W20" s="15">
        <f t="shared" si="18"/>
        <v>19210353</v>
      </c>
      <c r="X20" s="18">
        <f t="shared" si="18"/>
        <v>162469530</v>
      </c>
      <c r="Y20" s="19">
        <f t="shared" si="18"/>
        <v>24212035</v>
      </c>
      <c r="Z20" s="142">
        <f t="shared" si="18"/>
        <v>22744748</v>
      </c>
      <c r="AA20" s="18">
        <f t="shared" si="18"/>
        <v>46956783</v>
      </c>
      <c r="AB20" s="19">
        <f t="shared" si="18"/>
        <v>24212035</v>
      </c>
      <c r="AC20" s="142">
        <f t="shared" si="18"/>
        <v>22744748</v>
      </c>
      <c r="AD20" s="18">
        <f t="shared" si="18"/>
        <v>46956783</v>
      </c>
      <c r="AE20" s="19">
        <f t="shared" si="18"/>
        <v>24212035</v>
      </c>
      <c r="AF20" s="142">
        <f t="shared" si="18"/>
        <v>22744748</v>
      </c>
      <c r="AG20" s="18">
        <f t="shared" si="18"/>
        <v>46956783</v>
      </c>
      <c r="AH20" s="19">
        <f t="shared" si="18"/>
        <v>115512747</v>
      </c>
      <c r="AI20" s="15">
        <f t="shared" si="18"/>
        <v>115512747</v>
      </c>
      <c r="AJ20" s="16">
        <f t="shared" si="18"/>
        <v>115512747</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1599074</v>
      </c>
      <c r="BD20" s="66">
        <f>+I115+I117+I119+I120+I121+I123+I124</f>
        <v>3622825</v>
      </c>
      <c r="BE20" s="67">
        <f>+K115+K117+K119+K120+K121+K123+K124</f>
        <v>106444</v>
      </c>
      <c r="BF20" s="57"/>
      <c r="BG20" s="382"/>
      <c r="BH20" s="382">
        <f>BH19-BH16</f>
        <v>-63174728951</v>
      </c>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4">
        <f>+IF(JUNIO!A21=0,"",JUNIO!A21)</f>
        <v>11301</v>
      </c>
      <c r="B21" s="644" t="str">
        <f>+IF(JUNIO!B21=0,"",JUNIO!B21)</f>
        <v>Venta de Servicios de Salud</v>
      </c>
      <c r="C21" s="174">
        <f t="shared" ref="C21:N21" si="19">C22+C25+C28+C41+C42+C45+C48+C51+C54+C57+C60+C63+C66+C69+C72+C75+C78+C81</f>
        <v>40501810887</v>
      </c>
      <c r="D21" s="354">
        <f t="shared" si="19"/>
        <v>0</v>
      </c>
      <c r="E21" s="354">
        <f t="shared" si="19"/>
        <v>12090212024</v>
      </c>
      <c r="F21" s="354">
        <f t="shared" si="19"/>
        <v>52592022911</v>
      </c>
      <c r="G21" s="354">
        <f t="shared" si="19"/>
        <v>37740207014</v>
      </c>
      <c r="H21" s="354">
        <f t="shared" si="19"/>
        <v>6535278267</v>
      </c>
      <c r="I21" s="354">
        <f t="shared" si="19"/>
        <v>44275485281</v>
      </c>
      <c r="J21" s="354">
        <f t="shared" si="19"/>
        <v>18404430834</v>
      </c>
      <c r="K21" s="354">
        <f t="shared" si="19"/>
        <v>3623101078</v>
      </c>
      <c r="L21" s="354">
        <f t="shared" si="19"/>
        <v>22027531912</v>
      </c>
      <c r="M21" s="354">
        <f t="shared" si="19"/>
        <v>8316537630</v>
      </c>
      <c r="N21" s="175">
        <f t="shared" si="19"/>
        <v>30564490999</v>
      </c>
      <c r="O21" s="382"/>
      <c r="P21" s="43">
        <f>P22+P25+P28+P41+P42+P45+P48+P51+P54+P57+P60+P63+P66+P69+P72+P75+P78+P81</f>
        <v>0</v>
      </c>
      <c r="Q21" s="45">
        <f>Q22+Q25+Q28+Q41+Q42+Q45+Q48+Q51+Q54+Q57+Q60+Q63+Q66+Q69+Q72+Q75+Q78+Q81</f>
        <v>0</v>
      </c>
      <c r="R21" s="9"/>
      <c r="S21" s="706" t="str">
        <f>+IF(JUNIO!S21=0,"",JUNIO!S21)</f>
        <v>1010104-1</v>
      </c>
      <c r="T21" s="682" t="str">
        <f>+IF(JUNIO!T21=0,"",JUNIO!T21)</f>
        <v xml:space="preserve">Prima de Navidad </v>
      </c>
      <c r="U21" s="27">
        <f>+ENERO!U21</f>
        <v>52257791</v>
      </c>
      <c r="V21" s="15">
        <f>JUNIO!V21+JULIO!AL21</f>
        <v>0</v>
      </c>
      <c r="W21" s="15">
        <f>JUNIO!W21+JULIO!AM21</f>
        <v>0</v>
      </c>
      <c r="X21" s="18">
        <f t="shared" ref="X21:X33" si="20">SUM(U21:W21)</f>
        <v>52257791</v>
      </c>
      <c r="Y21" s="19">
        <f>JUNIO!AA21</f>
        <v>317672</v>
      </c>
      <c r="Z21" s="374">
        <v>0</v>
      </c>
      <c r="AA21" s="18">
        <f t="shared" ref="AA21:AA33" si="21">SUM(Y21:Z21)</f>
        <v>317672</v>
      </c>
      <c r="AB21" s="19">
        <f>JUNIO!AD21</f>
        <v>317672</v>
      </c>
      <c r="AC21" s="374">
        <v>0</v>
      </c>
      <c r="AD21" s="18">
        <f t="shared" ref="AD21:AD33" si="22">SUM(AB21:AC21)</f>
        <v>317672</v>
      </c>
      <c r="AE21" s="19">
        <f>JUNIO!AG21</f>
        <v>317672</v>
      </c>
      <c r="AF21" s="374">
        <v>0</v>
      </c>
      <c r="AG21" s="18">
        <f t="shared" ref="AG21:AG33" si="23">SUM(AE21:AF21)</f>
        <v>317672</v>
      </c>
      <c r="AH21" s="19">
        <f t="shared" ref="AH21:AH33" si="24">X21-AA21</f>
        <v>51940119</v>
      </c>
      <c r="AI21" s="15">
        <f t="shared" ref="AI21:AI33" si="25">X21-AD21</f>
        <v>51940119</v>
      </c>
      <c r="AJ21" s="16">
        <f t="shared" ref="AJ21:AJ33" si="26">X21-AG21</f>
        <v>51940119</v>
      </c>
      <c r="AK21" s="9"/>
      <c r="AL21" s="372">
        <v>0</v>
      </c>
      <c r="AM21" s="375">
        <v>0</v>
      </c>
      <c r="AN21" s="9"/>
      <c r="AO21" s="349"/>
      <c r="AP21" s="423"/>
      <c r="AQ21" s="424"/>
      <c r="AR21" s="425" t="str">
        <f>AR6</f>
        <v>JULIO</v>
      </c>
      <c r="AS21" s="426" t="str">
        <f>AR6</f>
        <v>JULIO</v>
      </c>
      <c r="AT21" s="425" t="str">
        <f>AR6</f>
        <v>JULIO</v>
      </c>
      <c r="AU21" s="425" t="s">
        <v>44</v>
      </c>
      <c r="AV21" s="425" t="s">
        <v>22</v>
      </c>
      <c r="AW21" s="427"/>
      <c r="AX21" s="427"/>
      <c r="AY21" s="425" t="s">
        <v>44</v>
      </c>
      <c r="AZ21" s="428" t="s">
        <v>22</v>
      </c>
      <c r="BA21" s="9"/>
      <c r="BB21" s="101" t="s">
        <v>437</v>
      </c>
      <c r="BC21" s="65">
        <f>SUMIF($B8:B122,$B24,F8:F122)+F122</f>
        <v>20936728345</v>
      </c>
      <c r="BD21" s="66">
        <f>SUMIF($B8:B122,$B24,I8:I122)+I122</f>
        <v>17120702845</v>
      </c>
      <c r="BE21" s="67">
        <f>SUMIF($B8:B122,$B24,K8:K122)+K122</f>
        <v>1551527258</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3">
        <f>+IF(JUNIO!A22=0,"",JUNIO!A22)</f>
        <v>1130101</v>
      </c>
      <c r="B22" s="645" t="str">
        <f>+IF(JUNIO!B22=0,"",JUNIO!B22)</f>
        <v>EPS - REGIMEN CONTRIBUTIVO</v>
      </c>
      <c r="C22" s="43">
        <f t="shared" ref="C22:N22" si="27">SUM(C23:C24)</f>
        <v>18905646713</v>
      </c>
      <c r="D22" s="44">
        <f t="shared" si="27"/>
        <v>0</v>
      </c>
      <c r="E22" s="44">
        <f t="shared" si="27"/>
        <v>5269584471</v>
      </c>
      <c r="F22" s="44">
        <f t="shared" si="27"/>
        <v>24175231184</v>
      </c>
      <c r="G22" s="44">
        <f t="shared" si="27"/>
        <v>15061879115</v>
      </c>
      <c r="H22" s="44">
        <f t="shared" si="27"/>
        <v>2524535400</v>
      </c>
      <c r="I22" s="44">
        <f t="shared" si="27"/>
        <v>17586414515</v>
      </c>
      <c r="J22" s="44">
        <f t="shared" si="27"/>
        <v>8138035310</v>
      </c>
      <c r="K22" s="44">
        <f t="shared" si="27"/>
        <v>1721179932</v>
      </c>
      <c r="L22" s="44">
        <f t="shared" si="27"/>
        <v>9859215242</v>
      </c>
      <c r="M22" s="44">
        <f t="shared" si="27"/>
        <v>6588816669</v>
      </c>
      <c r="N22" s="45">
        <f t="shared" si="27"/>
        <v>14316015942</v>
      </c>
      <c r="P22" s="43">
        <f>SUM(P23:P24)</f>
        <v>0</v>
      </c>
      <c r="Q22" s="45">
        <f>SUM(Q23:Q24)</f>
        <v>0</v>
      </c>
      <c r="S22" s="706" t="str">
        <f>+IF(JUNIO!S22=0,"",JUNIO!S22)</f>
        <v>1010104-2</v>
      </c>
      <c r="T22" s="682" t="str">
        <f>+IF(JUNIO!T22=0,"",JUNIO!T22)</f>
        <v>Prima Vida Cara</v>
      </c>
      <c r="U22" s="27">
        <f>+ENERO!U22</f>
        <v>24380551</v>
      </c>
      <c r="V22" s="15">
        <f>JUNIO!V22+JULIO!AL22</f>
        <v>0</v>
      </c>
      <c r="W22" s="15">
        <f>JUNIO!W22+JULIO!AM22</f>
        <v>19210353</v>
      </c>
      <c r="X22" s="18">
        <f t="shared" si="20"/>
        <v>43590904</v>
      </c>
      <c r="Y22" s="19">
        <f>JUNIO!AA22</f>
        <v>19210353</v>
      </c>
      <c r="Z22" s="374">
        <v>0</v>
      </c>
      <c r="AA22" s="18">
        <f t="shared" si="21"/>
        <v>19210353</v>
      </c>
      <c r="AB22" s="19">
        <f>JUNIO!AD22</f>
        <v>19210353</v>
      </c>
      <c r="AC22" s="374">
        <v>0</v>
      </c>
      <c r="AD22" s="18">
        <f t="shared" si="22"/>
        <v>19210353</v>
      </c>
      <c r="AE22" s="19">
        <f>JUNIO!AG22</f>
        <v>19210353</v>
      </c>
      <c r="AF22" s="374">
        <v>0</v>
      </c>
      <c r="AG22" s="18">
        <f t="shared" si="23"/>
        <v>19210353</v>
      </c>
      <c r="AH22" s="19">
        <f t="shared" si="24"/>
        <v>24380551</v>
      </c>
      <c r="AI22" s="15">
        <f t="shared" si="25"/>
        <v>24380551</v>
      </c>
      <c r="AJ22" s="16">
        <f t="shared" si="26"/>
        <v>24380551</v>
      </c>
      <c r="AL22" s="372">
        <v>0</v>
      </c>
      <c r="AM22" s="375">
        <v>0</v>
      </c>
      <c r="AO22" s="21"/>
      <c r="AP22" s="429" t="s">
        <v>104</v>
      </c>
      <c r="AQ22" s="430">
        <f>X17+X66</f>
        <v>1512951119</v>
      </c>
      <c r="AR22" s="430">
        <f>AD17+AD66</f>
        <v>717770129</v>
      </c>
      <c r="AS22" s="430">
        <f>AG17+AG66</f>
        <v>717770129</v>
      </c>
      <c r="AT22" s="431"/>
      <c r="AU22" s="432">
        <f t="shared" ref="AU22:AU32" si="28">IF(AQ22=0," ",AR22/AQ22)</f>
        <v>0.47441726304708198</v>
      </c>
      <c r="AV22" s="432">
        <f t="shared" ref="AV22:AV32" si="29">IF(AQ22=0," ",AS22/AQ22)</f>
        <v>0.47441726304708198</v>
      </c>
      <c r="AW22" s="433">
        <f>AR22/$AO$2*12</f>
        <v>1230463078.2857141</v>
      </c>
      <c r="AX22" s="433">
        <f>AS22/$AO$2*12</f>
        <v>1230463078.2857141</v>
      </c>
      <c r="AY22" s="433">
        <f t="shared" ref="AY22:AY31" si="30">AW22-AQ22</f>
        <v>-282488040.71428585</v>
      </c>
      <c r="AZ22" s="434">
        <f t="shared" ref="AZ22:AZ31" si="31">AQ22-AX22</f>
        <v>282488040.71428585</v>
      </c>
      <c r="BA22" s="382"/>
      <c r="BB22" s="102" t="s">
        <v>109</v>
      </c>
      <c r="BC22" s="103">
        <f>BC7+BC8+BC20+BC21</f>
        <v>63174728951</v>
      </c>
      <c r="BD22" s="104">
        <f>BD7+BD8+BD20+BD21</f>
        <v>45756377615</v>
      </c>
      <c r="BE22" s="105">
        <f>BE7+BE8+BE20+BE21</f>
        <v>3767814080</v>
      </c>
      <c r="BF22" s="57"/>
      <c r="BG22" s="382"/>
      <c r="BH22" s="382"/>
      <c r="BI22" s="382"/>
      <c r="BJ22" s="382"/>
      <c r="BK22" s="382"/>
      <c r="BM22" s="71" t="s">
        <v>67</v>
      </c>
      <c r="BN22" s="83">
        <f>BN23+BN24</f>
        <v>163530003</v>
      </c>
      <c r="BO22" s="81">
        <f>BO23+BO24</f>
        <v>93317553</v>
      </c>
      <c r="BP22" s="81">
        <f>BP23+BP24</f>
        <v>82442424</v>
      </c>
      <c r="BQ22" s="82">
        <f>BQ23+BQ24</f>
        <v>6400947</v>
      </c>
      <c r="BR22" s="382"/>
    </row>
    <row r="23" spans="1:70" s="422" customFormat="1" ht="24.95" customHeight="1">
      <c r="A23" s="611" t="str">
        <f>+IF(JUNIO!A23=0,"",JUNIO!A23)</f>
        <v>1130101-1</v>
      </c>
      <c r="B23" s="646" t="str">
        <f>+CONCATENATE("Vigencia ",INSTRUCCIONES!$F$3)</f>
        <v>Vigencia 2017</v>
      </c>
      <c r="C23" s="671">
        <f>+ENERO!C23</f>
        <v>18905646713</v>
      </c>
      <c r="D23" s="373">
        <f>JUNIO!D23+JULIO!P23</f>
        <v>0</v>
      </c>
      <c r="E23" s="373">
        <f>JUNIO!E23+JULIO!Q23</f>
        <v>0</v>
      </c>
      <c r="F23" s="373">
        <f>SUM(C23:E23)</f>
        <v>18905646713</v>
      </c>
      <c r="G23" s="373">
        <f>JUNIO!I23</f>
        <v>7792492353</v>
      </c>
      <c r="H23" s="374">
        <v>1884254658</v>
      </c>
      <c r="I23" s="373">
        <f>SUM(G23:H23)</f>
        <v>9676747011</v>
      </c>
      <c r="J23" s="373">
        <f>JUNIO!L23</f>
        <v>868648548</v>
      </c>
      <c r="K23" s="374">
        <v>1080899190</v>
      </c>
      <c r="L23" s="373">
        <f>SUM(J23:K23)</f>
        <v>1949547738</v>
      </c>
      <c r="M23" s="373">
        <f>F23-I23</f>
        <v>9228899702</v>
      </c>
      <c r="N23" s="143">
        <f>F23-L23</f>
        <v>16956098975</v>
      </c>
      <c r="O23" s="9"/>
      <c r="P23" s="372">
        <v>0</v>
      </c>
      <c r="Q23" s="375">
        <v>0</v>
      </c>
      <c r="R23" s="9"/>
      <c r="S23" s="706" t="str">
        <f>+IF(JUNIO!S23=0,"",JUNIO!S23)</f>
        <v>1010104-3</v>
      </c>
      <c r="T23" s="682" t="str">
        <f>+IF(JUNIO!T23=0,"",JUNIO!T23)</f>
        <v>Prima de Vacaciones</v>
      </c>
      <c r="U23" s="27">
        <f>+ENERO!U23</f>
        <v>25221642</v>
      </c>
      <c r="V23" s="15">
        <f>JUNIO!V23+JULIO!AL23</f>
        <v>0</v>
      </c>
      <c r="W23" s="15">
        <f>JUNIO!W23+JULIO!AM23</f>
        <v>0</v>
      </c>
      <c r="X23" s="18">
        <f t="shared" si="20"/>
        <v>25221642</v>
      </c>
      <c r="Y23" s="19">
        <f>JUNIO!AA23</f>
        <v>1047535</v>
      </c>
      <c r="Z23" s="374">
        <v>0</v>
      </c>
      <c r="AA23" s="18">
        <f t="shared" si="21"/>
        <v>1047535</v>
      </c>
      <c r="AB23" s="19">
        <f>JUNIO!AD23</f>
        <v>1047535</v>
      </c>
      <c r="AC23" s="374">
        <v>0</v>
      </c>
      <c r="AD23" s="18">
        <f t="shared" si="22"/>
        <v>1047535</v>
      </c>
      <c r="AE23" s="19">
        <f>JUNIO!AG23</f>
        <v>1047535</v>
      </c>
      <c r="AF23" s="374">
        <v>0</v>
      </c>
      <c r="AG23" s="18">
        <f t="shared" si="23"/>
        <v>1047535</v>
      </c>
      <c r="AH23" s="19">
        <f t="shared" si="24"/>
        <v>24174107</v>
      </c>
      <c r="AI23" s="15">
        <f t="shared" si="25"/>
        <v>24174107</v>
      </c>
      <c r="AJ23" s="16">
        <f t="shared" si="26"/>
        <v>24174107</v>
      </c>
      <c r="AK23" s="9"/>
      <c r="AL23" s="372">
        <v>0</v>
      </c>
      <c r="AM23" s="375">
        <v>0</v>
      </c>
      <c r="AN23" s="9"/>
      <c r="AO23" s="370"/>
      <c r="AP23" s="435" t="s">
        <v>108</v>
      </c>
      <c r="AQ23" s="436">
        <f>X16+X65-AQ22</f>
        <v>548459643</v>
      </c>
      <c r="AR23" s="436">
        <f>AD16+AD65-AR22</f>
        <v>237040635</v>
      </c>
      <c r="AS23" s="436">
        <f>AG16+AG65-AS22</f>
        <v>237040635</v>
      </c>
      <c r="AT23" s="327"/>
      <c r="AU23" s="342">
        <f t="shared" si="28"/>
        <v>0.4321933947654194</v>
      </c>
      <c r="AV23" s="342">
        <f t="shared" si="29"/>
        <v>0.4321933947654194</v>
      </c>
      <c r="AW23" s="436">
        <f>(AR23-AD21-AD22-AD23-AD25-AD30-AD33-AD70-AD71-AD72-AD74-AD78-AD81)/$AO$2*12+AX22/12*2.5+AD30+AD33+AD78+AD81</f>
        <v>459327978.0714286</v>
      </c>
      <c r="AX23" s="436">
        <f>(AS23-AG21-AG22-AG23-AG25-AG30-AG33-AG70-AG71-AG72-AG74-AG78-AG81)/$AO$2*12+AX22/12*2.5+AG30+AG33+AG78+AG81</f>
        <v>459327978.0714286</v>
      </c>
      <c r="AY23" s="436">
        <f t="shared" si="30"/>
        <v>-89131664.928571403</v>
      </c>
      <c r="AZ23" s="46">
        <f t="shared" si="31"/>
        <v>89131664.928571403</v>
      </c>
      <c r="BA23" s="382"/>
      <c r="BF23" s="382"/>
      <c r="BG23" s="382"/>
      <c r="BH23" s="382"/>
      <c r="BI23" s="382"/>
      <c r="BJ23" s="382"/>
      <c r="BK23" s="382"/>
      <c r="BL23" s="382"/>
      <c r="BM23" s="137" t="s">
        <v>105</v>
      </c>
      <c r="BN23" s="83">
        <f>X177</f>
        <v>18619412</v>
      </c>
      <c r="BO23" s="81">
        <f>AA177</f>
        <v>7960926</v>
      </c>
      <c r="BP23" s="81">
        <f>AD177</f>
        <v>7960926</v>
      </c>
      <c r="BQ23" s="82">
        <f>AF177</f>
        <v>2653642</v>
      </c>
      <c r="BR23" s="9"/>
    </row>
    <row r="24" spans="1:70" s="422" customFormat="1" ht="24.95" customHeight="1">
      <c r="A24" s="611" t="str">
        <f>+IF(JUNIO!A24=0,"",JUNIO!A24)</f>
        <v>1130101-2</v>
      </c>
      <c r="B24" s="646" t="str">
        <f>+IF(JUNIO!B24=0,"",JUNIO!B24)</f>
        <v>Vigencia Anterior</v>
      </c>
      <c r="C24" s="671">
        <f>+ENERO!C24</f>
        <v>0</v>
      </c>
      <c r="D24" s="373">
        <f>JUNIO!D24+JULIO!P24</f>
        <v>0</v>
      </c>
      <c r="E24" s="373">
        <f>JUNIO!E24+JULIO!Q24</f>
        <v>5269584471</v>
      </c>
      <c r="F24" s="373">
        <f>SUM(C24:E24)</f>
        <v>5269584471</v>
      </c>
      <c r="G24" s="373">
        <f>JUNIO!I24</f>
        <v>7269386762</v>
      </c>
      <c r="H24" s="374">
        <v>640280742</v>
      </c>
      <c r="I24" s="373">
        <f>SUM(G24:H24)</f>
        <v>7909667504</v>
      </c>
      <c r="J24" s="373">
        <f>JUNIO!L24</f>
        <v>7269386762</v>
      </c>
      <c r="K24" s="374">
        <v>640280742</v>
      </c>
      <c r="L24" s="373">
        <f>SUM(J24:K24)</f>
        <v>7909667504</v>
      </c>
      <c r="M24" s="373">
        <f>F24-I24</f>
        <v>-2640083033</v>
      </c>
      <c r="N24" s="143">
        <f>F24-L24</f>
        <v>-2640083033</v>
      </c>
      <c r="O24" s="382"/>
      <c r="P24" s="372">
        <v>0</v>
      </c>
      <c r="Q24" s="375">
        <v>0</v>
      </c>
      <c r="R24" s="9"/>
      <c r="S24" s="706" t="str">
        <f>+IF(JUNIO!S24=0,"",JUNIO!S24)</f>
        <v>1010104-4</v>
      </c>
      <c r="T24" s="682" t="str">
        <f>+IF(JUNIO!T24=0,"",JUNIO!T24)</f>
        <v>Prima Clima</v>
      </c>
      <c r="U24" s="27">
        <f>+ENERO!U24</f>
        <v>0</v>
      </c>
      <c r="V24" s="15">
        <f>JUNIO!V24+JULIO!AL24</f>
        <v>0</v>
      </c>
      <c r="W24" s="15">
        <f>JUNIO!W24+JULIO!AM24</f>
        <v>0</v>
      </c>
      <c r="X24" s="18">
        <f t="shared" si="20"/>
        <v>0</v>
      </c>
      <c r="Y24" s="19">
        <f>JUNIO!AA24</f>
        <v>0</v>
      </c>
      <c r="Z24" s="374">
        <v>0</v>
      </c>
      <c r="AA24" s="18">
        <f t="shared" si="21"/>
        <v>0</v>
      </c>
      <c r="AB24" s="19">
        <f>JUNIO!AD24</f>
        <v>0</v>
      </c>
      <c r="AC24" s="374">
        <v>0</v>
      </c>
      <c r="AD24" s="18">
        <f t="shared" si="22"/>
        <v>0</v>
      </c>
      <c r="AE24" s="19">
        <f>JUNIO!AG24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32162203888</v>
      </c>
      <c r="AR24" s="431">
        <f>AD35+AD83</f>
        <v>22746609955</v>
      </c>
      <c r="AS24" s="431">
        <f>AG35+AG83</f>
        <v>13710179703</v>
      </c>
      <c r="AT24" s="431"/>
      <c r="AU24" s="373">
        <f t="shared" si="28"/>
        <v>0.70724661886391926</v>
      </c>
      <c r="AV24" s="373">
        <f t="shared" si="29"/>
        <v>0.42628234528776765</v>
      </c>
      <c r="AW24" s="373">
        <f>(AR24-AD41-AD88)/$AO$2*12+AD41+AD88</f>
        <v>34069581077.857147</v>
      </c>
      <c r="AX24" s="373">
        <f>(AS24-AG41-AG88)/$AO$2*12+AG41+AG88</f>
        <v>18578557788.714287</v>
      </c>
      <c r="AY24" s="373">
        <f t="shared" si="30"/>
        <v>1907377189.8571472</v>
      </c>
      <c r="AZ24" s="143">
        <f t="shared" si="31"/>
        <v>13583646099.285713</v>
      </c>
      <c r="BA24" s="9"/>
      <c r="BB24" s="437"/>
      <c r="BC24" s="382"/>
      <c r="BD24" s="382"/>
      <c r="BE24" s="382"/>
      <c r="BF24" s="382"/>
      <c r="BG24" s="382"/>
      <c r="BH24" s="382"/>
      <c r="BI24" s="382"/>
      <c r="BJ24" s="382"/>
      <c r="BK24" s="382"/>
      <c r="BL24" s="382"/>
      <c r="BM24" s="137" t="s">
        <v>110</v>
      </c>
      <c r="BN24" s="83">
        <f>X170-X177-X174-X183-X191</f>
        <v>144910591</v>
      </c>
      <c r="BO24" s="81">
        <f>AA170-AA177-AA174-AA183-AA191</f>
        <v>85356627</v>
      </c>
      <c r="BP24" s="81">
        <f>AD170-AD177-AD174-AD183-AD191</f>
        <v>74481498</v>
      </c>
      <c r="BQ24" s="82">
        <f>AF170-AF177-AF174-AF183-AF191</f>
        <v>3747305</v>
      </c>
      <c r="BR24" s="382"/>
    </row>
    <row r="25" spans="1:70" s="382" customFormat="1" ht="24.95" customHeight="1">
      <c r="A25" s="733">
        <f>+IF(JUNIO!A25=0,"",JUNIO!A25)</f>
        <v>1130102</v>
      </c>
      <c r="B25" s="645" t="str">
        <f>+IF(JUNIO!B25=0,"",JUNIO!B25)</f>
        <v>ARS - REGIMEN SUBSIDIADO</v>
      </c>
      <c r="C25" s="43">
        <f t="shared" ref="C25:N25" si="32">SUM(C26:C27)</f>
        <v>13439321219</v>
      </c>
      <c r="D25" s="44">
        <f t="shared" si="32"/>
        <v>0</v>
      </c>
      <c r="E25" s="44">
        <f t="shared" si="32"/>
        <v>4408295180</v>
      </c>
      <c r="F25" s="44">
        <f t="shared" si="32"/>
        <v>17847616399</v>
      </c>
      <c r="G25" s="44">
        <f t="shared" si="32"/>
        <v>14769355636</v>
      </c>
      <c r="H25" s="44">
        <f t="shared" si="32"/>
        <v>2812276842</v>
      </c>
      <c r="I25" s="44">
        <f t="shared" si="32"/>
        <v>17581632478</v>
      </c>
      <c r="J25" s="44">
        <f t="shared" si="32"/>
        <v>6802281547</v>
      </c>
      <c r="K25" s="44">
        <f t="shared" si="32"/>
        <v>1122578768</v>
      </c>
      <c r="L25" s="44">
        <f t="shared" si="32"/>
        <v>7924860315</v>
      </c>
      <c r="M25" s="44">
        <f t="shared" si="32"/>
        <v>265983921</v>
      </c>
      <c r="N25" s="45">
        <f t="shared" si="32"/>
        <v>9922756084</v>
      </c>
      <c r="P25" s="43">
        <f>SUM(P26:P27)</f>
        <v>0</v>
      </c>
      <c r="Q25" s="45">
        <f>SUM(Q26:Q27)</f>
        <v>0</v>
      </c>
      <c r="R25" s="9"/>
      <c r="S25" s="706" t="str">
        <f>+IF(JUNIO!S25=0,"",JUNIO!S25)</f>
        <v>1010104-5</v>
      </c>
      <c r="T25" s="682" t="str">
        <f>+IF(JUNIO!T25=0,"",JUNIO!T25)</f>
        <v>Prima de Servicios</v>
      </c>
      <c r="U25" s="27">
        <f>+ENERO!U25</f>
        <v>26128895</v>
      </c>
      <c r="V25" s="15">
        <f>JUNIO!V25+JULIO!AL25</f>
        <v>0</v>
      </c>
      <c r="W25" s="15">
        <f>JUNIO!W25+JULIO!AM25</f>
        <v>0</v>
      </c>
      <c r="X25" s="18">
        <f t="shared" si="20"/>
        <v>26128895</v>
      </c>
      <c r="Y25" s="19">
        <f>JUNIO!AA25</f>
        <v>153080</v>
      </c>
      <c r="Z25" s="374">
        <v>19210354</v>
      </c>
      <c r="AA25" s="18">
        <f t="shared" si="21"/>
        <v>19363434</v>
      </c>
      <c r="AB25" s="19">
        <f>JUNIO!AD25</f>
        <v>153080</v>
      </c>
      <c r="AC25" s="374">
        <v>19210354</v>
      </c>
      <c r="AD25" s="18">
        <f t="shared" si="22"/>
        <v>19363434</v>
      </c>
      <c r="AE25" s="19">
        <f>JUNIO!AG25</f>
        <v>153080</v>
      </c>
      <c r="AF25" s="374">
        <v>19210354</v>
      </c>
      <c r="AG25" s="18">
        <f t="shared" si="23"/>
        <v>19363434</v>
      </c>
      <c r="AH25" s="19">
        <f t="shared" si="24"/>
        <v>6765461</v>
      </c>
      <c r="AI25" s="15">
        <f t="shared" si="25"/>
        <v>6765461</v>
      </c>
      <c r="AJ25" s="16">
        <f t="shared" si="26"/>
        <v>6765461</v>
      </c>
      <c r="AK25" s="9"/>
      <c r="AL25" s="372">
        <v>0</v>
      </c>
      <c r="AM25" s="375">
        <v>0</v>
      </c>
      <c r="AN25" s="9"/>
      <c r="AO25" s="21"/>
      <c r="AP25" s="438" t="s">
        <v>116</v>
      </c>
      <c r="AQ25" s="373">
        <f>X43+X57+X90+X104</f>
        <v>802834377</v>
      </c>
      <c r="AR25" s="373">
        <f>AD43+AD57+AD90+AD104</f>
        <v>238396764</v>
      </c>
      <c r="AS25" s="373">
        <f>AG43+AG57+AG90+AG104</f>
        <v>238396764</v>
      </c>
      <c r="AT25" s="431"/>
      <c r="AU25" s="373">
        <f t="shared" si="28"/>
        <v>0.29694389133015414</v>
      </c>
      <c r="AV25" s="373">
        <f t="shared" si="29"/>
        <v>0.29694389133015414</v>
      </c>
      <c r="AW25" s="373">
        <f>(AR25-AD55-AD61-AD102-AD108)/$AO$2*12+AD55+AD61+AD102+AD108</f>
        <v>408680166.85714293</v>
      </c>
      <c r="AX25" s="373">
        <f>(AS25-AG55-AG61-AG102-AG108)/$AO$2*12+AG55+AG61+AG102+AG108</f>
        <v>408680166.85714293</v>
      </c>
      <c r="AY25" s="373">
        <f t="shared" si="30"/>
        <v>-394154210.14285707</v>
      </c>
      <c r="AZ25" s="143">
        <f t="shared" si="31"/>
        <v>394154210.14285707</v>
      </c>
      <c r="BM25" s="140" t="s">
        <v>445</v>
      </c>
      <c r="BN25" s="106">
        <f>+SUM(BN26:BN28)</f>
        <v>15192067615</v>
      </c>
      <c r="BO25" s="107">
        <f>+SUM(BO26:BO28)</f>
        <v>8795547226</v>
      </c>
      <c r="BP25" s="107">
        <f>+SUM(BP26:BP28)</f>
        <v>7213638168</v>
      </c>
      <c r="BQ25" s="108">
        <f>+SUM(BQ26:BQ28)</f>
        <v>641228334</v>
      </c>
    </row>
    <row r="26" spans="1:70" s="9" customFormat="1" ht="24.95" customHeight="1">
      <c r="A26" s="611" t="str">
        <f>+IF(JUNIO!A26=0,"",JUNIO!A26)</f>
        <v>1130102-1</v>
      </c>
      <c r="B26" s="646" t="str">
        <f>+CONCATENATE("Vigencia ",INSTRUCCIONES!$F$3)</f>
        <v>Vigencia 2017</v>
      </c>
      <c r="C26" s="671">
        <f>+ENERO!C26</f>
        <v>13439321219</v>
      </c>
      <c r="D26" s="373">
        <f>JUNIO!D26+JULIO!P26</f>
        <v>0</v>
      </c>
      <c r="E26" s="373">
        <f>JUNIO!E26+JULIO!Q26</f>
        <v>0</v>
      </c>
      <c r="F26" s="373">
        <f>SUM(C26:E26)</f>
        <v>13439321219</v>
      </c>
      <c r="G26" s="373">
        <f>JUNIO!I26</f>
        <v>9661783052</v>
      </c>
      <c r="H26" s="374">
        <v>2094990253</v>
      </c>
      <c r="I26" s="373">
        <f>SUM(G26:H26)</f>
        <v>11756773305</v>
      </c>
      <c r="J26" s="373">
        <f>JUNIO!L26</f>
        <v>1694708963</v>
      </c>
      <c r="K26" s="374">
        <v>405292179</v>
      </c>
      <c r="L26" s="373">
        <f>SUM(J26:K26)</f>
        <v>2100001142</v>
      </c>
      <c r="M26" s="373">
        <f>F26-I26</f>
        <v>1682547914</v>
      </c>
      <c r="N26" s="143">
        <f>F26-L26</f>
        <v>11339320077</v>
      </c>
      <c r="P26" s="372">
        <v>0</v>
      </c>
      <c r="Q26" s="375">
        <v>0</v>
      </c>
      <c r="S26" s="706" t="str">
        <f>+IF(JUNIO!S26=0,"",JUNIO!S26)</f>
        <v>1010104-8</v>
      </c>
      <c r="T26" s="682" t="str">
        <f>+IF(JUNIO!T26=0,"",JUNIO!T26)</f>
        <v>Bonific. por Servicios Prestados</v>
      </c>
      <c r="U26" s="27">
        <f>+ENERO!U26</f>
        <v>12868455</v>
      </c>
      <c r="V26" s="15">
        <f>JUNIO!V26+JULIO!AL26</f>
        <v>0</v>
      </c>
      <c r="W26" s="15">
        <f>JUNIO!W26+JULIO!AM26</f>
        <v>0</v>
      </c>
      <c r="X26" s="18">
        <f t="shared" si="20"/>
        <v>12868455</v>
      </c>
      <c r="Y26" s="19">
        <f>JUNIO!AA26</f>
        <v>3071505</v>
      </c>
      <c r="Z26" s="374">
        <v>3500426</v>
      </c>
      <c r="AA26" s="18">
        <f t="shared" si="21"/>
        <v>6571931</v>
      </c>
      <c r="AB26" s="19">
        <f>JUNIO!AD26</f>
        <v>3071505</v>
      </c>
      <c r="AC26" s="374">
        <v>3500426</v>
      </c>
      <c r="AD26" s="18">
        <f t="shared" si="22"/>
        <v>6571931</v>
      </c>
      <c r="AE26" s="19">
        <f>JUNIO!AG26</f>
        <v>3071505</v>
      </c>
      <c r="AF26" s="374">
        <v>3500426</v>
      </c>
      <c r="AG26" s="18">
        <f t="shared" si="23"/>
        <v>6571931</v>
      </c>
      <c r="AH26" s="19">
        <f t="shared" si="24"/>
        <v>6296524</v>
      </c>
      <c r="AI26" s="15">
        <f t="shared" si="25"/>
        <v>6296524</v>
      </c>
      <c r="AJ26" s="16">
        <f t="shared" si="26"/>
        <v>6296524</v>
      </c>
      <c r="AL26" s="372">
        <v>0</v>
      </c>
      <c r="AM26" s="375">
        <v>0</v>
      </c>
      <c r="AO26" s="21"/>
      <c r="AP26" s="439" t="s">
        <v>120</v>
      </c>
      <c r="AQ26" s="327">
        <f>X110</f>
        <v>9683973181</v>
      </c>
      <c r="AR26" s="327">
        <f>AD110</f>
        <v>5668672395</v>
      </c>
      <c r="AS26" s="327">
        <f>AG110</f>
        <v>3587604544</v>
      </c>
      <c r="AT26" s="371">
        <f>AO2/12</f>
        <v>0.58333333333333337</v>
      </c>
      <c r="AU26" s="342">
        <f t="shared" si="28"/>
        <v>0.58536638723060086</v>
      </c>
      <c r="AV26" s="342">
        <f t="shared" si="29"/>
        <v>0.37046824448449495</v>
      </c>
      <c r="AW26" s="436">
        <f>(AR26-AD121-AD139-AD143-AD153-AD168)/$AO$2*12+AD121+AD139+AD143+AD153+AD168</f>
        <v>9107781720.7142868</v>
      </c>
      <c r="AX26" s="436">
        <f>(AS26-AG121-AG139-AG143-AG153-AG168)/$AO$2*12+AG121+AG139+AG143+AG153+AG168</f>
        <v>5540236833.2857141</v>
      </c>
      <c r="AY26" s="436">
        <f t="shared" si="30"/>
        <v>-576191460.2857132</v>
      </c>
      <c r="AZ26" s="46">
        <f t="shared" si="31"/>
        <v>4143736347.7142859</v>
      </c>
      <c r="BA26" s="382"/>
      <c r="BB26" s="382"/>
      <c r="BC26" s="382"/>
      <c r="BD26" s="382"/>
      <c r="BE26" s="382"/>
      <c r="BF26" s="382"/>
      <c r="BG26" s="382"/>
      <c r="BH26" s="382"/>
      <c r="BI26" s="382"/>
      <c r="BJ26" s="382"/>
      <c r="BK26" s="382"/>
      <c r="BM26" s="109" t="s">
        <v>446</v>
      </c>
      <c r="BN26" s="86">
        <f>+X198+X212</f>
        <v>6446158346</v>
      </c>
      <c r="BO26" s="84">
        <f>+AA198+AA212</f>
        <v>2667554517</v>
      </c>
      <c r="BP26" s="84">
        <f>+AD198+AD212</f>
        <v>2245757202</v>
      </c>
      <c r="BQ26" s="85">
        <f>+AF198+AF212</f>
        <v>199420666</v>
      </c>
      <c r="BR26" s="382"/>
    </row>
    <row r="27" spans="1:70" s="422" customFormat="1" ht="24.95" customHeight="1">
      <c r="A27" s="611" t="str">
        <f>+IF(JUNIO!A27=0,"",JUNIO!A27)</f>
        <v>1130102-2</v>
      </c>
      <c r="B27" s="646" t="str">
        <f>+IF(JUNIO!B27=0,"",JUNIO!B27)</f>
        <v>Vigencia Anterior</v>
      </c>
      <c r="C27" s="671">
        <f>+ENERO!C27</f>
        <v>0</v>
      </c>
      <c r="D27" s="373">
        <f>JUNIO!D27+JULIO!P27</f>
        <v>0</v>
      </c>
      <c r="E27" s="373">
        <f>JUNIO!E27+JULIO!Q27</f>
        <v>4408295180</v>
      </c>
      <c r="F27" s="373">
        <f>SUM(C27:E27)</f>
        <v>4408295180</v>
      </c>
      <c r="G27" s="373">
        <f>JUNIO!I27</f>
        <v>5107572584</v>
      </c>
      <c r="H27" s="374">
        <v>717286589</v>
      </c>
      <c r="I27" s="373">
        <f>SUM(G27:H27)</f>
        <v>5824859173</v>
      </c>
      <c r="J27" s="373">
        <f>JUNIO!L27</f>
        <v>5107572584</v>
      </c>
      <c r="K27" s="374">
        <v>717286589</v>
      </c>
      <c r="L27" s="373">
        <f>SUM(J27:K27)</f>
        <v>5824859173</v>
      </c>
      <c r="M27" s="373">
        <f>F27-I27</f>
        <v>-1416563993</v>
      </c>
      <c r="N27" s="143">
        <f>F27-L27</f>
        <v>-1416563993</v>
      </c>
      <c r="O27" s="382"/>
      <c r="P27" s="372">
        <v>0</v>
      </c>
      <c r="Q27" s="375">
        <v>0</v>
      </c>
      <c r="R27" s="9"/>
      <c r="S27" s="706" t="str">
        <f>+IF(JUNIO!S27=0,"",JUNIO!S27)</f>
        <v>1010104-9</v>
      </c>
      <c r="T27" s="682" t="str">
        <f>+IF(JUNIO!T27=0,"",JUNIO!T27)</f>
        <v>Auxilio de Transporte</v>
      </c>
      <c r="U27" s="27">
        <f>+ENERO!U27</f>
        <v>0</v>
      </c>
      <c r="V27" s="15">
        <f>JUNIO!V27+JULIO!AL27</f>
        <v>0</v>
      </c>
      <c r="W27" s="15">
        <f>JUNIO!W27+JULIO!AM27</f>
        <v>0</v>
      </c>
      <c r="X27" s="18">
        <f t="shared" si="20"/>
        <v>0</v>
      </c>
      <c r="Y27" s="19">
        <f>JUNIO!AA27</f>
        <v>0</v>
      </c>
      <c r="Z27" s="374">
        <v>0</v>
      </c>
      <c r="AA27" s="18">
        <f t="shared" si="21"/>
        <v>0</v>
      </c>
      <c r="AB27" s="19">
        <f>JUNIO!AD27</f>
        <v>0</v>
      </c>
      <c r="AC27" s="374">
        <v>0</v>
      </c>
      <c r="AD27" s="18">
        <f t="shared" si="22"/>
        <v>0</v>
      </c>
      <c r="AE27" s="19">
        <f>JUNIO!AG27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163530003</v>
      </c>
      <c r="AR27" s="373">
        <f>AD170</f>
        <v>82442424</v>
      </c>
      <c r="AS27" s="373">
        <f>AG170</f>
        <v>57554956</v>
      </c>
      <c r="AT27" s="431"/>
      <c r="AU27" s="373">
        <f t="shared" si="28"/>
        <v>0.50414249671358469</v>
      </c>
      <c r="AV27" s="373">
        <f t="shared" si="29"/>
        <v>0.35195349443000989</v>
      </c>
      <c r="AW27" s="373">
        <f>(AR27-AD174-AD183-AD191)/$AO$2*12+AD174+AD183+AD191</f>
        <v>141329869.71428573</v>
      </c>
      <c r="AX27" s="373">
        <f>(AS27-AG174-AG183-AG191)/$AO$2*12+AG174+AG183+AG191</f>
        <v>98665638.857142866</v>
      </c>
      <c r="AY27" s="373">
        <f t="shared" si="30"/>
        <v>-22200133.285714269</v>
      </c>
      <c r="AZ27" s="143">
        <f t="shared" si="31"/>
        <v>64864364.142857134</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3">
        <f>+IF(JUNIO!A28=0,"",JUNIO!A28)</f>
        <v>1130103</v>
      </c>
      <c r="B28" s="622" t="str">
        <f>+IF(JUNIO!B28=0,"",JUNIO!B28)</f>
        <v>SUBSIDIO A LA OFERTA- ATENCION PERSONAS POBRES NO CUBIERTOS CON SUBSIDIO A LA DEMANDA</v>
      </c>
      <c r="C28" s="43">
        <f>C29+C32+C35+C38+C39+C40</f>
        <v>157521482</v>
      </c>
      <c r="D28" s="44">
        <f>+D29+D32+D35+D38+D39+D40</f>
        <v>0</v>
      </c>
      <c r="E28" s="44">
        <f>+E29+E32+E35+E38+E39+E40</f>
        <v>258289958</v>
      </c>
      <c r="F28" s="44">
        <f>+F29+F32+F35+F38+F39+F40</f>
        <v>415811440</v>
      </c>
      <c r="G28" s="44">
        <f t="shared" ref="G28:N28" si="33">G29+G32+G35+G38+G39+G40</f>
        <v>645816054</v>
      </c>
      <c r="H28" s="44">
        <f t="shared" si="33"/>
        <v>200787737</v>
      </c>
      <c r="I28" s="44">
        <f t="shared" si="33"/>
        <v>846603791</v>
      </c>
      <c r="J28" s="44">
        <f t="shared" si="33"/>
        <v>1266408</v>
      </c>
      <c r="K28" s="44">
        <f t="shared" si="33"/>
        <v>202397721</v>
      </c>
      <c r="L28" s="44">
        <f t="shared" si="33"/>
        <v>203664129</v>
      </c>
      <c r="M28" s="44">
        <f t="shared" si="33"/>
        <v>-430792351</v>
      </c>
      <c r="N28" s="45">
        <f t="shared" si="33"/>
        <v>212147311</v>
      </c>
      <c r="O28" s="382"/>
      <c r="P28" s="43">
        <f>P29+P32+P35+P38+P39+P940</f>
        <v>0</v>
      </c>
      <c r="Q28" s="45">
        <f>Q29+Q32+Q35+Q38+Q39+Q40</f>
        <v>0</v>
      </c>
      <c r="R28" s="9"/>
      <c r="S28" s="706" t="str">
        <f>+IF(JUNIO!S28=0,"",JUNIO!S28)</f>
        <v>1010104-10</v>
      </c>
      <c r="T28" s="682" t="str">
        <f>+IF(JUNIO!T28=0,"",JUNIO!T28)</f>
        <v>Subsidio de Alimentación</v>
      </c>
      <c r="U28" s="27">
        <f>+ENERO!U28</f>
        <v>532000</v>
      </c>
      <c r="V28" s="15">
        <f>JUNIO!V28+JULIO!AL28</f>
        <v>0</v>
      </c>
      <c r="W28" s="15">
        <f>JUNIO!W28+JULIO!AM28</f>
        <v>0</v>
      </c>
      <c r="X28" s="18">
        <f t="shared" si="20"/>
        <v>532000</v>
      </c>
      <c r="Y28" s="19">
        <f>JUNIO!AA28</f>
        <v>294987</v>
      </c>
      <c r="Z28" s="374">
        <v>33968</v>
      </c>
      <c r="AA28" s="18">
        <f t="shared" si="21"/>
        <v>328955</v>
      </c>
      <c r="AB28" s="19">
        <f>JUNIO!AD28</f>
        <v>294987</v>
      </c>
      <c r="AC28" s="374">
        <v>33968</v>
      </c>
      <c r="AD28" s="18">
        <f t="shared" si="22"/>
        <v>328955</v>
      </c>
      <c r="AE28" s="19">
        <f>JUNIO!AG28</f>
        <v>294987</v>
      </c>
      <c r="AF28" s="374">
        <v>33968</v>
      </c>
      <c r="AG28" s="18">
        <f t="shared" si="23"/>
        <v>328955</v>
      </c>
      <c r="AH28" s="19">
        <f t="shared" si="24"/>
        <v>203045</v>
      </c>
      <c r="AI28" s="15">
        <f t="shared" si="25"/>
        <v>203045</v>
      </c>
      <c r="AJ28" s="16">
        <f t="shared" si="26"/>
        <v>203045</v>
      </c>
      <c r="AK28" s="9"/>
      <c r="AL28" s="372">
        <v>0</v>
      </c>
      <c r="AM28" s="375">
        <v>0</v>
      </c>
      <c r="AN28" s="9"/>
      <c r="AO28" s="349"/>
      <c r="AP28" s="787" t="s">
        <v>586</v>
      </c>
      <c r="AQ28" s="373">
        <f>X195</f>
        <v>17866898648</v>
      </c>
      <c r="AR28" s="373">
        <f>AD195</f>
        <v>9888469201</v>
      </c>
      <c r="AS28" s="373">
        <f>AG195</f>
        <v>4832500791</v>
      </c>
      <c r="AT28" s="431"/>
      <c r="AU28" s="373">
        <f t="shared" si="28"/>
        <v>0.55345191103476166</v>
      </c>
      <c r="AV28" s="373">
        <f t="shared" si="29"/>
        <v>0.27047227872090407</v>
      </c>
      <c r="AW28" s="373">
        <f>(AR28-AD207)/$AO$2*12+AD207</f>
        <v>15041067892.428572</v>
      </c>
      <c r="AX28" s="373">
        <f>(AS28-AG207)/$AO$2*12+AG207</f>
        <v>6386489189.5714283</v>
      </c>
      <c r="AY28" s="373">
        <f t="shared" si="30"/>
        <v>-2825830755.5714283</v>
      </c>
      <c r="AZ28" s="143">
        <f t="shared" si="31"/>
        <v>11480409458.428572</v>
      </c>
      <c r="BA28" s="382"/>
      <c r="BB28" s="382"/>
      <c r="BC28" s="382"/>
      <c r="BD28" s="382"/>
      <c r="BE28" s="382"/>
      <c r="BF28" s="382"/>
      <c r="BG28" s="382"/>
      <c r="BH28" s="382"/>
      <c r="BI28" s="382"/>
      <c r="BJ28" s="382"/>
      <c r="BK28" s="382"/>
      <c r="BL28" s="382"/>
      <c r="BM28" s="71" t="s">
        <v>448</v>
      </c>
      <c r="BN28" s="83">
        <f>+X196-X198-X207</f>
        <v>8745909269</v>
      </c>
      <c r="BO28" s="81">
        <f>+AA196-AA198-AA207</f>
        <v>6127992709</v>
      </c>
      <c r="BP28" s="81">
        <f>+AD196-AD198-AD207</f>
        <v>4967880966</v>
      </c>
      <c r="BQ28" s="82">
        <f>+AF196-AF198-AF207</f>
        <v>441807668</v>
      </c>
      <c r="BR28" s="9"/>
    </row>
    <row r="29" spans="1:70" s="9" customFormat="1" ht="24.95" customHeight="1">
      <c r="A29" s="611" t="str">
        <f>+IF(JUNIO!A29=0,"",JUNIO!A29)</f>
        <v>1130103-1</v>
      </c>
      <c r="B29" s="647"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6" t="str">
        <f>+IF(JUNIO!S29=0,"",JUNIO!S29)</f>
        <v>1010104-11</v>
      </c>
      <c r="T29" s="682" t="str">
        <f>+IF(JUNIO!T29=0,"",JUNIO!T29)</f>
        <v>Gastos de Representación</v>
      </c>
      <c r="U29" s="27">
        <f>+ENERO!U29</f>
        <v>0</v>
      </c>
      <c r="V29" s="15">
        <f>JUNIO!V29+JULIO!AL29</f>
        <v>0</v>
      </c>
      <c r="W29" s="15">
        <f>JUNIO!W29+JULIO!AM29</f>
        <v>0</v>
      </c>
      <c r="X29" s="18">
        <f t="shared" si="20"/>
        <v>0</v>
      </c>
      <c r="Y29" s="19">
        <f>JUNIO!AA29</f>
        <v>0</v>
      </c>
      <c r="Z29" s="374">
        <v>0</v>
      </c>
      <c r="AA29" s="18">
        <f t="shared" si="21"/>
        <v>0</v>
      </c>
      <c r="AB29" s="19">
        <f>JUNIO!AD29</f>
        <v>0</v>
      </c>
      <c r="AC29" s="374">
        <v>0</v>
      </c>
      <c r="AD29" s="18">
        <f t="shared" si="22"/>
        <v>0</v>
      </c>
      <c r="AE29" s="19">
        <f>JUNIO!AG29</f>
        <v>0</v>
      </c>
      <c r="AF29" s="374">
        <v>0</v>
      </c>
      <c r="AG29" s="18">
        <f t="shared" si="23"/>
        <v>0</v>
      </c>
      <c r="AH29" s="19">
        <f t="shared" si="24"/>
        <v>0</v>
      </c>
      <c r="AI29" s="15">
        <f t="shared" si="25"/>
        <v>0</v>
      </c>
      <c r="AJ29" s="16">
        <f t="shared" si="26"/>
        <v>0</v>
      </c>
      <c r="AL29" s="372">
        <v>0</v>
      </c>
      <c r="AM29" s="375">
        <v>0</v>
      </c>
      <c r="AO29" s="21"/>
      <c r="AP29" s="787"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433878092</v>
      </c>
      <c r="BO29" s="107">
        <f>AA232-AA256-AA241</f>
        <v>352813794</v>
      </c>
      <c r="BP29" s="107">
        <f>AD232-AD256-AD241</f>
        <v>187405895</v>
      </c>
      <c r="BQ29" s="108">
        <f>AF232-AF256-AF241</f>
        <v>0</v>
      </c>
      <c r="BR29" s="382"/>
    </row>
    <row r="30" spans="1:70" s="422" customFormat="1" ht="24.95" customHeight="1">
      <c r="A30" s="611" t="str">
        <f>+IF(JUNIO!A30=0,"",JUNIO!A30)</f>
        <v>1130103-1-1</v>
      </c>
      <c r="B30" s="646" t="str">
        <f>+CONCATENATE("Vigencia ",INSTRUCCIONES!$F$3)</f>
        <v>Vigencia 2017</v>
      </c>
      <c r="C30" s="671">
        <f>+ENERO!C30</f>
        <v>0</v>
      </c>
      <c r="D30" s="373">
        <f>JUNIO!D30+JULIO!P30</f>
        <v>0</v>
      </c>
      <c r="E30" s="373">
        <f>JUNIO!E30+JULIO!Q30</f>
        <v>0</v>
      </c>
      <c r="F30" s="373">
        <f>SUM(C30:E30)</f>
        <v>0</v>
      </c>
      <c r="G30" s="373">
        <f>JUNIO!I30</f>
        <v>0</v>
      </c>
      <c r="H30" s="374">
        <v>0</v>
      </c>
      <c r="I30" s="373">
        <f>SUM(G30:H30)</f>
        <v>0</v>
      </c>
      <c r="J30" s="373">
        <f>JUNIO!L30</f>
        <v>0</v>
      </c>
      <c r="K30" s="374">
        <v>0</v>
      </c>
      <c r="L30" s="373">
        <f>SUM(J30:K30)</f>
        <v>0</v>
      </c>
      <c r="M30" s="373">
        <f>F30-I30</f>
        <v>0</v>
      </c>
      <c r="N30" s="143">
        <f>F30-L30</f>
        <v>0</v>
      </c>
      <c r="O30" s="9"/>
      <c r="P30" s="372">
        <v>0</v>
      </c>
      <c r="Q30" s="375">
        <v>0</v>
      </c>
      <c r="R30" s="9"/>
      <c r="S30" s="706" t="str">
        <f>+IF(JUNIO!S30=0,"",JUNIO!S30)</f>
        <v>1010104-12</v>
      </c>
      <c r="T30" s="682" t="str">
        <f>+IF(JUNIO!T30=0,"",JUNIO!T30)</f>
        <v xml:space="preserve"> Indemnizaciones por Vacaciones o Supresión de Cargos por Reestructuración</v>
      </c>
      <c r="U30" s="27">
        <f>+ENERO!U30</f>
        <v>0</v>
      </c>
      <c r="V30" s="15">
        <f>JUNIO!V30+JULIO!AL30</f>
        <v>0</v>
      </c>
      <c r="W30" s="15">
        <f>JUNIO!W30+JULIO!AM30</f>
        <v>0</v>
      </c>
      <c r="X30" s="18">
        <f t="shared" si="20"/>
        <v>0</v>
      </c>
      <c r="Y30" s="19">
        <f>JUNIO!AA30</f>
        <v>0</v>
      </c>
      <c r="Z30" s="374">
        <v>0</v>
      </c>
      <c r="AA30" s="18">
        <f t="shared" si="21"/>
        <v>0</v>
      </c>
      <c r="AB30" s="19">
        <f>JUNIO!AD30</f>
        <v>0</v>
      </c>
      <c r="AC30" s="374">
        <v>0</v>
      </c>
      <c r="AD30" s="18">
        <f t="shared" si="22"/>
        <v>0</v>
      </c>
      <c r="AE30" s="19">
        <f>JUNIO!AG30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433878092</v>
      </c>
      <c r="AR30" s="373">
        <f>AD220+AD232</f>
        <v>187405895</v>
      </c>
      <c r="AS30" s="373">
        <f>AG220+AG232</f>
        <v>172740563</v>
      </c>
      <c r="AT30" s="431"/>
      <c r="AU30" s="373">
        <f t="shared" si="28"/>
        <v>0.43193214512430372</v>
      </c>
      <c r="AV30" s="373">
        <f t="shared" si="29"/>
        <v>0.39813156318572546</v>
      </c>
      <c r="AW30" s="373">
        <f>(AR30-AD225-AD230-AD241-AD256)/$AO$2*12+AD225+AD230+AD241+AD256</f>
        <v>321267248.57142854</v>
      </c>
      <c r="AX30" s="373">
        <f>(AS30-AG225-AG230-AG241-AG256)/$AO$2*12+AG225+AG230+AG241+AG256</f>
        <v>296126679.42857146</v>
      </c>
      <c r="AY30" s="373">
        <f t="shared" si="30"/>
        <v>-112610843.42857146</v>
      </c>
      <c r="AZ30" s="143">
        <f t="shared" si="31"/>
        <v>137751412.57142854</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+IF(JUNIO!A31=0,"",JUNIO!A31)</f>
        <v>1130103-1-2</v>
      </c>
      <c r="B31" s="646" t="str">
        <f>+IF(JUNIO!B31=0,"",JUNIO!B31)</f>
        <v>Vigencia Anterior</v>
      </c>
      <c r="C31" s="671">
        <f>+ENERO!C31</f>
        <v>0</v>
      </c>
      <c r="D31" s="373">
        <f>JUNIO!D31+JULIO!P31</f>
        <v>0</v>
      </c>
      <c r="E31" s="373">
        <f>JUNIO!E31+JULIO!Q31</f>
        <v>0</v>
      </c>
      <c r="F31" s="373">
        <f>SUM(C31:E31)</f>
        <v>0</v>
      </c>
      <c r="G31" s="373">
        <f>JUNIO!I31</f>
        <v>0</v>
      </c>
      <c r="H31" s="374">
        <v>0</v>
      </c>
      <c r="I31" s="373">
        <f>SUM(G31:H31)</f>
        <v>0</v>
      </c>
      <c r="J31" s="373">
        <f>JUNIO!L31</f>
        <v>0</v>
      </c>
      <c r="K31" s="374">
        <v>0</v>
      </c>
      <c r="L31" s="373">
        <f>SUM(J31:K31)</f>
        <v>0</v>
      </c>
      <c r="M31" s="373">
        <f>F31-I31</f>
        <v>0</v>
      </c>
      <c r="N31" s="143">
        <f>F31-L31</f>
        <v>0</v>
      </c>
      <c r="O31" s="382"/>
      <c r="P31" s="372">
        <v>0</v>
      </c>
      <c r="Q31" s="375">
        <v>0</v>
      </c>
      <c r="R31" s="9"/>
      <c r="S31" s="706" t="str">
        <f>+IF(JUNIO!S31=0,"",JUNIO!S31)</f>
        <v>1010104-13</v>
      </c>
      <c r="T31" s="682" t="str">
        <f>+IF(JUNIO!T31=0,"",JUNIO!T31)</f>
        <v>Bonificación Especial por Recreación</v>
      </c>
      <c r="U31" s="27">
        <f>+ENERO!U31</f>
        <v>1869843</v>
      </c>
      <c r="V31" s="15">
        <f>JUNIO!V31+JULIO!AL31</f>
        <v>0</v>
      </c>
      <c r="W31" s="15">
        <f>JUNIO!W31+JULIO!AM31</f>
        <v>0</v>
      </c>
      <c r="X31" s="18">
        <f t="shared" si="20"/>
        <v>1869843</v>
      </c>
      <c r="Y31" s="19">
        <f>JUNIO!AA31</f>
        <v>116903</v>
      </c>
      <c r="Z31" s="374">
        <v>0</v>
      </c>
      <c r="AA31" s="18">
        <f t="shared" si="21"/>
        <v>116903</v>
      </c>
      <c r="AB31" s="19">
        <f>JUNIO!AD31</f>
        <v>116903</v>
      </c>
      <c r="AC31" s="374">
        <v>0</v>
      </c>
      <c r="AD31" s="18">
        <f t="shared" si="22"/>
        <v>116903</v>
      </c>
      <c r="AE31" s="19">
        <f>JUNIO!AG31</f>
        <v>116903</v>
      </c>
      <c r="AF31" s="374">
        <v>0</v>
      </c>
      <c r="AG31" s="18">
        <f t="shared" si="23"/>
        <v>116903</v>
      </c>
      <c r="AH31" s="19">
        <f t="shared" si="24"/>
        <v>1752940</v>
      </c>
      <c r="AI31" s="15">
        <f t="shared" si="25"/>
        <v>1752940</v>
      </c>
      <c r="AJ31" s="16">
        <f t="shared" si="26"/>
        <v>1752940</v>
      </c>
      <c r="AK31" s="9"/>
      <c r="AL31" s="372">
        <v>0</v>
      </c>
      <c r="AM31" s="375">
        <v>0</v>
      </c>
      <c r="AN31" s="9"/>
      <c r="AO31" s="349"/>
      <c r="AP31" s="415" t="s">
        <v>135</v>
      </c>
      <c r="AQ31" s="431">
        <f>X258</f>
        <v>0</v>
      </c>
      <c r="AR31" s="431">
        <f>AD258</f>
        <v>-16542779818</v>
      </c>
      <c r="AS31" s="431">
        <f>AG258</f>
        <v>-23553788085</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10423200755</v>
      </c>
      <c r="BO31" s="107">
        <f>AA33+AA41+AA55+AA61+AA81+AA88+AA102+AA108+AA121+AA139+AA143+AA153+AA168+AA174+AA183+AA191+AA207+AA218+AA230+AA241+AA256+AA225</f>
        <v>10423200755</v>
      </c>
      <c r="BP31" s="107">
        <f>AD33+AD41+AD55+AD61+AD81+AD88+AD102+AD108+AD121+AD139+AD143+AD153+AD168+AD174+AD183+AD191+AD207+AD218+AD230+AD241+AD256+AD225</f>
        <v>10423200755</v>
      </c>
      <c r="BQ31" s="108">
        <f>AF33+AF41+AF55+AF61+AF81+AF88+AF102+AF108+AF121+AF139+AF143+AF153+AF168+AF174+AF183+AF191+AF207+AF218+AF230+AF241+AF256+AF225</f>
        <v>513518644</v>
      </c>
      <c r="BR31" s="9"/>
    </row>
    <row r="32" spans="1:70" s="9" customFormat="1" ht="24.95" customHeight="1" thickBot="1">
      <c r="A32" s="611" t="str">
        <f>+IF(JUNIO!A32=0,"",JUNIO!A32)</f>
        <v>1130103-2</v>
      </c>
      <c r="B32" s="647" t="str">
        <f>+IF(JUNIO!B32=0,"",JUNIO!B32)</f>
        <v>Prestación de Servicios de salud  2o. Nivel</v>
      </c>
      <c r="C32" s="19">
        <f t="shared" ref="C32:N32" si="35">SUM(C33:C34)</f>
        <v>157521482</v>
      </c>
      <c r="D32" s="15">
        <f t="shared" si="35"/>
        <v>0</v>
      </c>
      <c r="E32" s="15">
        <f t="shared" si="35"/>
        <v>212958</v>
      </c>
      <c r="F32" s="15">
        <f t="shared" si="35"/>
        <v>157734440</v>
      </c>
      <c r="G32" s="15">
        <f t="shared" si="35"/>
        <v>645816054</v>
      </c>
      <c r="H32" s="15">
        <f t="shared" si="35"/>
        <v>93255657</v>
      </c>
      <c r="I32" s="15">
        <f t="shared" si="35"/>
        <v>739071711</v>
      </c>
      <c r="J32" s="15">
        <f t="shared" si="35"/>
        <v>1266408</v>
      </c>
      <c r="K32" s="15">
        <f t="shared" si="35"/>
        <v>94865641</v>
      </c>
      <c r="L32" s="15">
        <f t="shared" si="35"/>
        <v>96132049</v>
      </c>
      <c r="M32" s="15">
        <f t="shared" si="35"/>
        <v>-581337271</v>
      </c>
      <c r="N32" s="16">
        <f t="shared" si="35"/>
        <v>61602391</v>
      </c>
      <c r="O32" s="382"/>
      <c r="P32" s="144">
        <f>SUM(P33:P34)</f>
        <v>0</v>
      </c>
      <c r="Q32" s="145">
        <f>SUM(Q33:Q34)</f>
        <v>0</v>
      </c>
      <c r="S32" s="706" t="str">
        <f>+IF(JUNIO!S32=0,"",JUNIO!S32)</f>
        <v>1010104-14</v>
      </c>
      <c r="T32" s="682" t="str">
        <f>+IF(JUNIO!T32=0,"",JUNIO!T32)</f>
        <v/>
      </c>
      <c r="U32" s="27">
        <f>+ENERO!U32</f>
        <v>0</v>
      </c>
      <c r="V32" s="15">
        <f>JUNIO!V32+JULIO!AL32</f>
        <v>0</v>
      </c>
      <c r="W32" s="15">
        <f>JUNIO!W32+JULIO!AM32</f>
        <v>0</v>
      </c>
      <c r="X32" s="18">
        <f t="shared" si="20"/>
        <v>0</v>
      </c>
      <c r="Y32" s="19">
        <f>JUNIO!AA32</f>
        <v>0</v>
      </c>
      <c r="Z32" s="374">
        <v>0</v>
      </c>
      <c r="AA32" s="18">
        <f t="shared" si="21"/>
        <v>0</v>
      </c>
      <c r="AB32" s="19">
        <f>JUNIO!AD32</f>
        <v>0</v>
      </c>
      <c r="AC32" s="374">
        <v>0</v>
      </c>
      <c r="AD32" s="18">
        <f t="shared" si="22"/>
        <v>0</v>
      </c>
      <c r="AE32" s="19">
        <f>JUNIO!AG32</f>
        <v>0</v>
      </c>
      <c r="AF32" s="374">
        <v>0</v>
      </c>
      <c r="AG32" s="18">
        <f t="shared" si="23"/>
        <v>0</v>
      </c>
      <c r="AH32" s="19">
        <f t="shared" si="24"/>
        <v>0</v>
      </c>
      <c r="AI32" s="15">
        <f t="shared" si="25"/>
        <v>0</v>
      </c>
      <c r="AJ32" s="16">
        <f t="shared" si="26"/>
        <v>0</v>
      </c>
      <c r="AL32" s="372">
        <v>0</v>
      </c>
      <c r="AM32" s="375">
        <v>0</v>
      </c>
      <c r="AO32" s="21"/>
      <c r="AP32" s="440" t="s">
        <v>140</v>
      </c>
      <c r="AQ32" s="395">
        <f>SUM(AQ22:AQ31)</f>
        <v>63174728951</v>
      </c>
      <c r="AR32" s="395">
        <f>SUM(AR22:AR31)</f>
        <v>23224027580</v>
      </c>
      <c r="AS32" s="395">
        <f>SUM(AS22:AS31)</f>
        <v>0</v>
      </c>
      <c r="AT32" s="441"/>
      <c r="AU32" s="442">
        <f t="shared" si="28"/>
        <v>0.36761578507148285</v>
      </c>
      <c r="AV32" s="442">
        <f t="shared" si="29"/>
        <v>0</v>
      </c>
      <c r="AW32" s="351">
        <f>SUM(AW22:AW31)</f>
        <v>60779499032.5</v>
      </c>
      <c r="AX32" s="351">
        <f>SUM(AX22:AX31)</f>
        <v>32998547353.07143</v>
      </c>
      <c r="AY32" s="351">
        <f>SUM(AY22:AY31)</f>
        <v>-2395229918.4999943</v>
      </c>
      <c r="AZ32" s="352">
        <f>SUM(AZ22:AZ31)</f>
        <v>30176181597.92857</v>
      </c>
      <c r="BA32" s="382"/>
      <c r="BB32" s="422"/>
      <c r="BC32" s="422"/>
      <c r="BD32" s="422"/>
      <c r="BE32" s="422"/>
      <c r="BF32" s="422"/>
      <c r="BG32" s="382"/>
      <c r="BH32" s="382"/>
      <c r="BI32" s="382"/>
      <c r="BJ32" s="382"/>
      <c r="BK32" s="382"/>
      <c r="BM32" s="110" t="s">
        <v>136</v>
      </c>
      <c r="BN32" s="106">
        <f>+BN7+BN25+BN29+BN30+BN31</f>
        <v>63174728951</v>
      </c>
      <c r="BO32" s="107">
        <f t="shared" ref="BO32:BQ32" si="36">+BO7+BO25+BO29+BO30+BO31</f>
        <v>48659895840</v>
      </c>
      <c r="BP32" s="107">
        <f t="shared" si="36"/>
        <v>39766807398</v>
      </c>
      <c r="BQ32" s="108">
        <f t="shared" si="36"/>
        <v>3687732815</v>
      </c>
      <c r="BR32" s="382"/>
    </row>
    <row r="33" spans="1:70" s="422" customFormat="1" ht="24.95" customHeight="1" thickBot="1">
      <c r="A33" s="611" t="str">
        <f>+IF(JUNIO!A33=0,"",JUNIO!A33)</f>
        <v>1130103-2-1</v>
      </c>
      <c r="B33" s="646" t="str">
        <f>+CONCATENATE("Vigencia ",INSTRUCCIONES!$F$3)</f>
        <v>Vigencia 2017</v>
      </c>
      <c r="C33" s="671">
        <f>+ENERO!C33</f>
        <v>157521482</v>
      </c>
      <c r="D33" s="373">
        <f>JUNIO!D33+JULIO!P33</f>
        <v>0</v>
      </c>
      <c r="E33" s="373">
        <f>JUNIO!E33+JULIO!Q33</f>
        <v>0</v>
      </c>
      <c r="F33" s="373">
        <f>SUM(C33:E33)</f>
        <v>157521482</v>
      </c>
      <c r="G33" s="373">
        <f>JUNIO!I33</f>
        <v>645603096</v>
      </c>
      <c r="H33" s="374">
        <v>93255657</v>
      </c>
      <c r="I33" s="373">
        <f>SUM(G33:H33)</f>
        <v>738858753</v>
      </c>
      <c r="J33" s="373">
        <f>JUNIO!L33</f>
        <v>1053450</v>
      </c>
      <c r="K33" s="374">
        <v>94865641</v>
      </c>
      <c r="L33" s="373">
        <f>SUM(J33:K33)</f>
        <v>95919091</v>
      </c>
      <c r="M33" s="373">
        <f>F33-I33</f>
        <v>-581337271</v>
      </c>
      <c r="N33" s="143">
        <f>F33-L33</f>
        <v>61602391</v>
      </c>
      <c r="O33" s="9"/>
      <c r="P33" s="372">
        <v>0</v>
      </c>
      <c r="Q33" s="375">
        <v>0</v>
      </c>
      <c r="R33" s="9"/>
      <c r="S33" s="705">
        <f>+IF(JUNIO!S33=0,"",JUNIO!S33)</f>
        <v>1010199</v>
      </c>
      <c r="T33" s="681" t="str">
        <f>+IF(JUNIO!T33=0,"",JUNIO!T33)</f>
        <v>Vigencias Anteriores</v>
      </c>
      <c r="U33" s="27">
        <f>+ENERO!U33</f>
        <v>0</v>
      </c>
      <c r="V33" s="15">
        <f>JUNIO!V33+JULIO!AL33</f>
        <v>0</v>
      </c>
      <c r="W33" s="15">
        <f>JUNIO!W33+JULIO!AM33</f>
        <v>0</v>
      </c>
      <c r="X33" s="18">
        <f t="shared" si="20"/>
        <v>0</v>
      </c>
      <c r="Y33" s="19">
        <f>JUNIO!AA33</f>
        <v>0</v>
      </c>
      <c r="Z33" s="374">
        <v>0</v>
      </c>
      <c r="AA33" s="18">
        <f t="shared" si="21"/>
        <v>0</v>
      </c>
      <c r="AB33" s="19">
        <f>JUNIO!AD33</f>
        <v>0</v>
      </c>
      <c r="AC33" s="374">
        <v>0</v>
      </c>
      <c r="AD33" s="18">
        <f t="shared" si="22"/>
        <v>0</v>
      </c>
      <c r="AE33" s="19">
        <f>JUNIO!AG33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-2903518225</v>
      </c>
      <c r="BP33" s="113">
        <f>AD258</f>
        <v>-16542779818</v>
      </c>
      <c r="BQ33" s="114">
        <f>AF258</f>
        <v>36262968556</v>
      </c>
      <c r="BR33" s="382"/>
    </row>
    <row r="34" spans="1:70" s="422" customFormat="1" ht="24.95" customHeight="1" thickBot="1">
      <c r="A34" s="611" t="str">
        <f>+IF(JUNIO!A34=0,"",JUNIO!A34)</f>
        <v>1130103-2-2</v>
      </c>
      <c r="B34" s="646" t="str">
        <f>+IF(JUNIO!B34=0,"",JUNIO!B34)</f>
        <v>Vigencia Anterior</v>
      </c>
      <c r="C34" s="671">
        <f>+ENERO!C34</f>
        <v>0</v>
      </c>
      <c r="D34" s="373">
        <f>JUNIO!D34+JULIO!P34</f>
        <v>0</v>
      </c>
      <c r="E34" s="373">
        <f>JUNIO!E34+JULIO!Q34</f>
        <v>212958</v>
      </c>
      <c r="F34" s="373">
        <f>SUM(C34:E34)</f>
        <v>212958</v>
      </c>
      <c r="G34" s="373">
        <f>JUNIO!I34</f>
        <v>212958</v>
      </c>
      <c r="H34" s="374">
        <v>0</v>
      </c>
      <c r="I34" s="373">
        <f>SUM(G34:H34)</f>
        <v>212958</v>
      </c>
      <c r="J34" s="373">
        <f>JUNIO!L34</f>
        <v>212958</v>
      </c>
      <c r="K34" s="374">
        <v>0</v>
      </c>
      <c r="L34" s="373">
        <f>SUM(J34:K34)</f>
        <v>212958</v>
      </c>
      <c r="M34" s="373">
        <f>F34-I34</f>
        <v>0</v>
      </c>
      <c r="N34" s="143">
        <f>F34-L34</f>
        <v>0</v>
      </c>
      <c r="O34" s="382"/>
      <c r="P34" s="372">
        <v>0</v>
      </c>
      <c r="Q34" s="375">
        <v>0</v>
      </c>
      <c r="R34" s="9"/>
      <c r="S34" s="366" t="str">
        <f>+IF(JUNIO!S34=0,"",JUNIO!S34)</f>
        <v/>
      </c>
      <c r="T34" s="695"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+IF(JUNIO!A35=0,"",JUNIO!A35)</f>
        <v>1130103-3</v>
      </c>
      <c r="B35" s="647" t="str">
        <f>+IF(JUNIO!B35=0,"",JUNIO!B35)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4">
        <f>+IF(JUNIO!S35=0,"",JUNIO!S35)</f>
        <v>1010200</v>
      </c>
      <c r="T35" s="680" t="str">
        <f>+IF(JUNIO!T35=0,"",JUNIO!T35)</f>
        <v>Servicios Personales Indirectos</v>
      </c>
      <c r="U35" s="132">
        <f t="shared" ref="U35:AJ35" si="38">SUM(U36:U41)</f>
        <v>3034900183</v>
      </c>
      <c r="V35" s="122">
        <f t="shared" si="38"/>
        <v>601296180</v>
      </c>
      <c r="W35" s="122">
        <f t="shared" si="38"/>
        <v>1325000000</v>
      </c>
      <c r="X35" s="129">
        <f t="shared" si="38"/>
        <v>4961196363</v>
      </c>
      <c r="Y35" s="128">
        <f t="shared" si="38"/>
        <v>4279614287</v>
      </c>
      <c r="Z35" s="122">
        <f t="shared" si="38"/>
        <v>60590727</v>
      </c>
      <c r="AA35" s="129">
        <f t="shared" si="38"/>
        <v>4340205014</v>
      </c>
      <c r="AB35" s="128">
        <f t="shared" si="38"/>
        <v>3109865738</v>
      </c>
      <c r="AC35" s="122">
        <f t="shared" si="38"/>
        <v>720203548</v>
      </c>
      <c r="AD35" s="129">
        <f t="shared" si="38"/>
        <v>3830069286</v>
      </c>
      <c r="AE35" s="128">
        <f t="shared" si="38"/>
        <v>2133165642</v>
      </c>
      <c r="AF35" s="122">
        <f t="shared" si="38"/>
        <v>352322666</v>
      </c>
      <c r="AG35" s="129">
        <f t="shared" si="38"/>
        <v>2485488308</v>
      </c>
      <c r="AH35" s="128">
        <f t="shared" si="38"/>
        <v>620991349</v>
      </c>
      <c r="AI35" s="122">
        <f t="shared" si="38"/>
        <v>1131127077</v>
      </c>
      <c r="AJ35" s="130">
        <f t="shared" si="38"/>
        <v>2475708055</v>
      </c>
      <c r="AK35" s="9"/>
      <c r="AL35" s="128">
        <f>SUM(AL36:AL41)</f>
        <v>-2649244</v>
      </c>
      <c r="AM35" s="130">
        <f>SUM(AM36:AM41)</f>
        <v>0</v>
      </c>
      <c r="AN35" s="9"/>
      <c r="AO35" s="349"/>
      <c r="AP35" s="450"/>
      <c r="AQ35" s="292"/>
      <c r="AR35" s="451"/>
      <c r="AS35" s="451"/>
      <c r="AT35" s="451"/>
      <c r="AU35" s="452">
        <f>AR17-AR32</f>
        <v>21672410448</v>
      </c>
      <c r="AV35" s="453">
        <f>AS17-AR32</f>
        <v>-575542921</v>
      </c>
      <c r="AW35" s="453" t="s">
        <v>153</v>
      </c>
      <c r="AX35" s="454"/>
      <c r="AY35" s="453">
        <f>AY17+AY32</f>
        <v>1069278296.2142925</v>
      </c>
      <c r="AZ35" s="455">
        <f>AZ17+AY32</f>
        <v>-37557607478.071419</v>
      </c>
      <c r="BB35" s="422"/>
      <c r="BC35" s="422"/>
      <c r="BD35" s="422"/>
      <c r="BE35" s="422"/>
      <c r="BF35" s="422"/>
    </row>
    <row r="36" spans="1:70" s="382" customFormat="1" ht="24.95" customHeight="1" thickBot="1">
      <c r="A36" s="611" t="str">
        <f>+IF(JUNIO!A36=0,"",JUNIO!A36)</f>
        <v>1130103-3-1</v>
      </c>
      <c r="B36" s="646" t="str">
        <f>+CONCATENATE("Vigencia ",INSTRUCCIONES!$F$3)</f>
        <v>Vigencia 2017</v>
      </c>
      <c r="C36" s="671">
        <f>+ENERO!C36</f>
        <v>0</v>
      </c>
      <c r="D36" s="373">
        <f>JUNIO!D36+JULIO!P36</f>
        <v>0</v>
      </c>
      <c r="E36" s="373">
        <f>JUNIO!E36+JULIO!Q36</f>
        <v>0</v>
      </c>
      <c r="F36" s="373">
        <f>SUM(C36:E36)</f>
        <v>0</v>
      </c>
      <c r="G36" s="373">
        <f>JUNIO!I36</f>
        <v>0</v>
      </c>
      <c r="H36" s="374">
        <v>0</v>
      </c>
      <c r="I36" s="373">
        <f>SUM(G36:H36)</f>
        <v>0</v>
      </c>
      <c r="J36" s="373">
        <f>JUNIO!L36</f>
        <v>0</v>
      </c>
      <c r="K36" s="374">
        <v>0</v>
      </c>
      <c r="L36" s="373">
        <f>SUM(J36:K36)</f>
        <v>0</v>
      </c>
      <c r="M36" s="373">
        <f>F36-I36</f>
        <v>0</v>
      </c>
      <c r="N36" s="143">
        <f>F36-L36</f>
        <v>0</v>
      </c>
      <c r="O36" s="9"/>
      <c r="P36" s="372">
        <v>0</v>
      </c>
      <c r="Q36" s="375">
        <v>0</v>
      </c>
      <c r="R36" s="9"/>
      <c r="S36" s="705" t="str">
        <f>+IF(JUNIO!S36=0,"",JUNIO!S36)</f>
        <v>1010200-1</v>
      </c>
      <c r="T36" s="681" t="str">
        <f>+IF(JUNIO!T36=0,"",JUNIO!T36)</f>
        <v>Remuneración y Honorarios por Servicios Técnicos y Profesionales</v>
      </c>
      <c r="U36" s="27">
        <f>+ENERO!U36</f>
        <v>999690000</v>
      </c>
      <c r="V36" s="15">
        <f>JUNIO!V36+JULIO!AL36</f>
        <v>369300000</v>
      </c>
      <c r="W36" s="15">
        <f>JUNIO!W36+JULIO!AM36</f>
        <v>70000000</v>
      </c>
      <c r="X36" s="18">
        <f t="shared" ref="X36:X41" si="39">SUM(U36:W36)</f>
        <v>1438990000</v>
      </c>
      <c r="Y36" s="19">
        <f>JUNIO!AA36</f>
        <v>1384538778</v>
      </c>
      <c r="Z36" s="374">
        <v>5246000</v>
      </c>
      <c r="AA36" s="18">
        <f t="shared" ref="AA36:AA41" si="40">SUM(Y36:Z36)</f>
        <v>1389784778</v>
      </c>
      <c r="AB36" s="19">
        <f>JUNIO!AD36</f>
        <v>931818842</v>
      </c>
      <c r="AC36" s="374">
        <v>131099000</v>
      </c>
      <c r="AD36" s="18">
        <f t="shared" ref="AD36:AD41" si="41">SUM(AB36:AC36)</f>
        <v>1062917842</v>
      </c>
      <c r="AE36" s="19">
        <f>JUNIO!AG36</f>
        <v>765589668</v>
      </c>
      <c r="AF36" s="374">
        <v>118737817</v>
      </c>
      <c r="AG36" s="18">
        <f t="shared" ref="AG36:AG41" si="42">SUM(AE36:AF36)</f>
        <v>884327485</v>
      </c>
      <c r="AH36" s="19">
        <f t="shared" ref="AH36:AH41" si="43">X36-AA36</f>
        <v>49205222</v>
      </c>
      <c r="AI36" s="15">
        <f t="shared" ref="AI36:AI41" si="44">X36-AD36</f>
        <v>376072158</v>
      </c>
      <c r="AJ36" s="16">
        <f t="shared" ref="AJ36:AJ41" si="45">X36-AG36</f>
        <v>554662515</v>
      </c>
      <c r="AK36" s="9"/>
      <c r="AL36" s="372">
        <v>31000000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+IF(JUNIO!A37=0,"",JUNIO!A37)</f>
        <v>1130103-3-2</v>
      </c>
      <c r="B37" s="646" t="str">
        <f>+IF(JUNIO!B37=0,"",JUNIO!B37)</f>
        <v>Vigencia Anterior</v>
      </c>
      <c r="C37" s="671">
        <f>+ENERO!C37</f>
        <v>0</v>
      </c>
      <c r="D37" s="373">
        <f>JUNIO!D37+JULIO!P37</f>
        <v>0</v>
      </c>
      <c r="E37" s="373">
        <f>JUNIO!E37+JULIO!Q37</f>
        <v>0</v>
      </c>
      <c r="F37" s="373">
        <f>SUM(C37:E37)</f>
        <v>0</v>
      </c>
      <c r="G37" s="373">
        <f>JUNIO!I37</f>
        <v>0</v>
      </c>
      <c r="H37" s="374">
        <v>0</v>
      </c>
      <c r="I37" s="373">
        <f>SUM(G37:H37)</f>
        <v>0</v>
      </c>
      <c r="J37" s="373">
        <f>JUNIO!L37</f>
        <v>0</v>
      </c>
      <c r="K37" s="374">
        <v>0</v>
      </c>
      <c r="L37" s="373">
        <f>SUM(J37:K37)</f>
        <v>0</v>
      </c>
      <c r="M37" s="373">
        <f>F37-I37</f>
        <v>0</v>
      </c>
      <c r="N37" s="143">
        <f>F37-L37</f>
        <v>0</v>
      </c>
      <c r="P37" s="372">
        <v>0</v>
      </c>
      <c r="Q37" s="375">
        <v>0</v>
      </c>
      <c r="R37" s="9"/>
      <c r="S37" s="705" t="str">
        <f>+IF(JUNIO!S37=0,"",JUNIO!S37)</f>
        <v>1010200-2</v>
      </c>
      <c r="T37" s="681" t="str">
        <f>+IF(JUNIO!T37=0,"",JUNIO!T37)</f>
        <v>Personal Supernumerario</v>
      </c>
      <c r="U37" s="27">
        <f>+ENERO!U37</f>
        <v>0</v>
      </c>
      <c r="V37" s="15">
        <f>JUNIO!V37+JULIO!AL37</f>
        <v>0</v>
      </c>
      <c r="W37" s="15">
        <f>JUNIO!W37+JULIO!AM37</f>
        <v>0</v>
      </c>
      <c r="X37" s="18">
        <f t="shared" si="39"/>
        <v>0</v>
      </c>
      <c r="Y37" s="19">
        <f>JUNIO!AA37</f>
        <v>0</v>
      </c>
      <c r="Z37" s="374">
        <v>0</v>
      </c>
      <c r="AA37" s="18">
        <f t="shared" si="40"/>
        <v>0</v>
      </c>
      <c r="AB37" s="19">
        <f>JUNIO!AD37</f>
        <v>0</v>
      </c>
      <c r="AC37" s="374">
        <v>0</v>
      </c>
      <c r="AD37" s="18">
        <f t="shared" si="41"/>
        <v>0</v>
      </c>
      <c r="AE37" s="19">
        <f>JUNIO!AG37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5" t="str">
        <f>+IF(JUNIO!A38=0,"",JUNIO!A38)</f>
        <v>1130103-4</v>
      </c>
      <c r="B38" s="648" t="str">
        <f>+IF(JUNIO!B38=0,"",JUNIO!B38)</f>
        <v xml:space="preserve"> Aportes Patronales  1o. Nivel</v>
      </c>
      <c r="C38" s="671">
        <f>+ENERO!C38</f>
        <v>0</v>
      </c>
      <c r="D38" s="373">
        <f>JUNIO!D38+JULIO!P38</f>
        <v>0</v>
      </c>
      <c r="E38" s="373">
        <f>JUNIO!E38+JULIO!Q38</f>
        <v>0</v>
      </c>
      <c r="F38" s="373">
        <f t="shared" ref="F38:F41" si="46">SUM(C38:E38)</f>
        <v>0</v>
      </c>
      <c r="G38" s="373">
        <f>JUNIO!I38</f>
        <v>0</v>
      </c>
      <c r="H38" s="374">
        <v>0</v>
      </c>
      <c r="I38" s="373">
        <f t="shared" ref="I38:I41" si="47">SUM(G38:H38)</f>
        <v>0</v>
      </c>
      <c r="J38" s="373">
        <f>JUNIO!L38</f>
        <v>0</v>
      </c>
      <c r="K38" s="374">
        <v>0</v>
      </c>
      <c r="L38" s="373">
        <f t="shared" ref="L38:L41" si="48">SUM(J38:K38)</f>
        <v>0</v>
      </c>
      <c r="M38" s="373">
        <f t="shared" ref="M38:M41" si="49">F38-I38</f>
        <v>0</v>
      </c>
      <c r="N38" s="143">
        <f t="shared" ref="N38:N41" si="50">F38-L38</f>
        <v>0</v>
      </c>
      <c r="O38" s="525"/>
      <c r="P38" s="372">
        <v>0</v>
      </c>
      <c r="Q38" s="375">
        <v>0</v>
      </c>
      <c r="R38" s="9"/>
      <c r="S38" s="705" t="str">
        <f>+IF(JUNIO!S38=0,"",JUNIO!S38)</f>
        <v>1010200-3</v>
      </c>
      <c r="T38" s="681" t="str">
        <f>+IF(JUNIO!T38=0,"",JUNIO!T38)</f>
        <v>Honorarios de la Junta Directiva</v>
      </c>
      <c r="U38" s="27">
        <f>+ENERO!U38</f>
        <v>5000000</v>
      </c>
      <c r="V38" s="15">
        <f>JUNIO!V38+JULIO!AL38</f>
        <v>0</v>
      </c>
      <c r="W38" s="15">
        <f>JUNIO!W38+JULIO!AM38</f>
        <v>5000000</v>
      </c>
      <c r="X38" s="18">
        <f t="shared" si="39"/>
        <v>10000000</v>
      </c>
      <c r="Y38" s="19">
        <f>JUNIO!AA38</f>
        <v>2164889</v>
      </c>
      <c r="Z38" s="374">
        <v>344727</v>
      </c>
      <c r="AA38" s="18">
        <f t="shared" si="40"/>
        <v>2509616</v>
      </c>
      <c r="AB38" s="19">
        <f>JUNIO!AD38</f>
        <v>2164889</v>
      </c>
      <c r="AC38" s="374">
        <v>344727</v>
      </c>
      <c r="AD38" s="18">
        <f t="shared" si="41"/>
        <v>2509616</v>
      </c>
      <c r="AE38" s="19">
        <f>JUNIO!AG38</f>
        <v>737718</v>
      </c>
      <c r="AF38" s="374">
        <v>1427171</v>
      </c>
      <c r="AG38" s="18">
        <f t="shared" si="42"/>
        <v>2164889</v>
      </c>
      <c r="AH38" s="19">
        <f t="shared" si="43"/>
        <v>7490384</v>
      </c>
      <c r="AI38" s="15">
        <f t="shared" si="44"/>
        <v>7490384</v>
      </c>
      <c r="AJ38" s="16">
        <f t="shared" si="45"/>
        <v>7835111</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5" t="str">
        <f>+IF(JUNIO!A39=0,"",JUNIO!A39)</f>
        <v>1130103-5</v>
      </c>
      <c r="B39" s="648" t="str">
        <f>+IF(JUNIO!B39=0,"",JUNIO!B39)</f>
        <v xml:space="preserve"> Aportes Patronales  2o. Nivel</v>
      </c>
      <c r="C39" s="671">
        <f>+ENERO!C39</f>
        <v>0</v>
      </c>
      <c r="D39" s="373">
        <f>JUNIO!D39+JULIO!P39</f>
        <v>0</v>
      </c>
      <c r="E39" s="373">
        <f>JUNIO!E39+JULIO!Q39</f>
        <v>258077000</v>
      </c>
      <c r="F39" s="373">
        <f t="shared" si="46"/>
        <v>258077000</v>
      </c>
      <c r="G39" s="373">
        <f>JUNIO!I39</f>
        <v>0</v>
      </c>
      <c r="H39" s="374">
        <v>107532080</v>
      </c>
      <c r="I39" s="373">
        <f t="shared" si="47"/>
        <v>107532080</v>
      </c>
      <c r="J39" s="373">
        <f>JUNIO!L39</f>
        <v>0</v>
      </c>
      <c r="K39" s="374">
        <v>107532080</v>
      </c>
      <c r="L39" s="373">
        <f t="shared" si="48"/>
        <v>107532080</v>
      </c>
      <c r="M39" s="373">
        <f t="shared" si="49"/>
        <v>150544920</v>
      </c>
      <c r="N39" s="143">
        <f t="shared" si="50"/>
        <v>150544920</v>
      </c>
      <c r="O39" s="525"/>
      <c r="P39" s="372">
        <v>0</v>
      </c>
      <c r="Q39" s="375">
        <v>0</v>
      </c>
      <c r="R39" s="9"/>
      <c r="S39" s="705" t="str">
        <f>+IF(JUNIO!S39=0,"",JUNIO!S39)</f>
        <v>1010200-4</v>
      </c>
      <c r="T39" s="681" t="str">
        <f>+IF(JUNIO!T39=0,"",JUNIO!T39)</f>
        <v>Otros Honorarios</v>
      </c>
      <c r="U39" s="27">
        <f>+ENERO!U39</f>
        <v>2030210183</v>
      </c>
      <c r="V39" s="15">
        <f>JUNIO!V39+JULIO!AL39</f>
        <v>130000000</v>
      </c>
      <c r="W39" s="15">
        <f>JUNIO!W39+JULIO!AM39</f>
        <v>550000000</v>
      </c>
      <c r="X39" s="18">
        <f t="shared" si="39"/>
        <v>2710210183</v>
      </c>
      <c r="Y39" s="19">
        <f>JUNIO!AA39</f>
        <v>2090914440</v>
      </c>
      <c r="Z39" s="374">
        <v>55000000</v>
      </c>
      <c r="AA39" s="18">
        <f t="shared" si="40"/>
        <v>2145914440</v>
      </c>
      <c r="AB39" s="19">
        <f>JUNIO!AD39</f>
        <v>1373885827</v>
      </c>
      <c r="AC39" s="374">
        <v>588759821</v>
      </c>
      <c r="AD39" s="18">
        <f t="shared" si="41"/>
        <v>1962645648</v>
      </c>
      <c r="AE39" s="19">
        <f>JUNIO!AG39</f>
        <v>564842076</v>
      </c>
      <c r="AF39" s="374">
        <v>232157678</v>
      </c>
      <c r="AG39" s="18">
        <f t="shared" si="42"/>
        <v>796999754</v>
      </c>
      <c r="AH39" s="19">
        <f t="shared" si="43"/>
        <v>564295743</v>
      </c>
      <c r="AI39" s="15">
        <f t="shared" si="44"/>
        <v>747564535</v>
      </c>
      <c r="AJ39" s="16">
        <f t="shared" si="45"/>
        <v>1913210429</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5" t="str">
        <f>+IF(JUNIO!A40=0,"",JUNIO!A40)</f>
        <v>1130103-6</v>
      </c>
      <c r="B40" s="648" t="str">
        <f>+IF(JUNIO!B40=0,"",JUNIO!B40)</f>
        <v xml:space="preserve"> Aportes Patronales  3er. Nivel</v>
      </c>
      <c r="C40" s="671">
        <f>+ENERO!C40</f>
        <v>0</v>
      </c>
      <c r="D40" s="373">
        <f>JUNIO!D40+JULIO!P40</f>
        <v>0</v>
      </c>
      <c r="E40" s="373">
        <f>JUNIO!E40+JULIO!Q40</f>
        <v>0</v>
      </c>
      <c r="F40" s="373">
        <f t="shared" si="46"/>
        <v>0</v>
      </c>
      <c r="G40" s="373">
        <f>JUNIO!I40</f>
        <v>0</v>
      </c>
      <c r="H40" s="374">
        <v>0</v>
      </c>
      <c r="I40" s="373">
        <f t="shared" si="47"/>
        <v>0</v>
      </c>
      <c r="J40" s="373">
        <f>JUNIO!L40</f>
        <v>0</v>
      </c>
      <c r="K40" s="374">
        <v>0</v>
      </c>
      <c r="L40" s="373">
        <f t="shared" si="48"/>
        <v>0</v>
      </c>
      <c r="M40" s="373">
        <f t="shared" si="49"/>
        <v>0</v>
      </c>
      <c r="N40" s="143">
        <f t="shared" si="50"/>
        <v>0</v>
      </c>
      <c r="O40" s="525"/>
      <c r="P40" s="372">
        <v>0</v>
      </c>
      <c r="Q40" s="375">
        <v>0</v>
      </c>
      <c r="R40" s="9"/>
      <c r="S40" s="705" t="str">
        <f>+IF(JUNIO!S40=0,"",JUNIO!S40)</f>
        <v>1010200-6</v>
      </c>
      <c r="T40" s="681" t="str">
        <f>+IF(JUNIO!T40=0,"",JUNIO!T40)</f>
        <v>Certificación, Habilitación y Acreditación</v>
      </c>
      <c r="U40" s="27">
        <f>+ENERO!U40</f>
        <v>0</v>
      </c>
      <c r="V40" s="15">
        <f>JUNIO!V40+JULIO!AL40</f>
        <v>0</v>
      </c>
      <c r="W40" s="15">
        <f>JUNIO!W40+JULIO!AM40</f>
        <v>0</v>
      </c>
      <c r="X40" s="18">
        <f t="shared" si="39"/>
        <v>0</v>
      </c>
      <c r="Y40" s="19">
        <f>JUNIO!AA40</f>
        <v>0</v>
      </c>
      <c r="Z40" s="374">
        <v>0</v>
      </c>
      <c r="AA40" s="18">
        <f t="shared" si="40"/>
        <v>0</v>
      </c>
      <c r="AB40" s="19">
        <f>JUNIO!AD40</f>
        <v>0</v>
      </c>
      <c r="AC40" s="374">
        <v>0</v>
      </c>
      <c r="AD40" s="18">
        <f t="shared" si="41"/>
        <v>0</v>
      </c>
      <c r="AE40" s="19">
        <f>JUNIO!AG40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3">
        <f>+IF(JUNIO!A41=0,"",JUNIO!A41)</f>
        <v>1130104</v>
      </c>
      <c r="B41" s="645" t="str">
        <f>+IF(JUNIO!B41=0,"",JUNIO!B41)</f>
        <v>SUBSIDIO A LA OFERTA- ACTIVIDADES NO POS-S</v>
      </c>
      <c r="C41" s="671">
        <f>+ENERO!C41</f>
        <v>0</v>
      </c>
      <c r="D41" s="122">
        <f>JUNIO!D41+JULIO!P41</f>
        <v>0</v>
      </c>
      <c r="E41" s="122">
        <f>JUNIO!E41+JULIO!Q41</f>
        <v>0</v>
      </c>
      <c r="F41" s="122">
        <f t="shared" si="46"/>
        <v>0</v>
      </c>
      <c r="G41" s="122">
        <f>JUNIO!I41</f>
        <v>0</v>
      </c>
      <c r="H41" s="374">
        <v>0</v>
      </c>
      <c r="I41" s="122">
        <f t="shared" si="47"/>
        <v>0</v>
      </c>
      <c r="J41" s="122">
        <f>JUNIO!L41</f>
        <v>0</v>
      </c>
      <c r="K41" s="374">
        <v>0</v>
      </c>
      <c r="L41" s="122">
        <f t="shared" si="48"/>
        <v>0</v>
      </c>
      <c r="M41" s="122">
        <f t="shared" si="49"/>
        <v>0</v>
      </c>
      <c r="N41" s="130">
        <f t="shared" si="50"/>
        <v>0</v>
      </c>
      <c r="O41" s="382"/>
      <c r="P41" s="374">
        <v>0</v>
      </c>
      <c r="Q41" s="375">
        <v>0</v>
      </c>
      <c r="R41" s="9"/>
      <c r="S41" s="705">
        <f>+IF(JUNIO!S41=0,"",JUNIO!S41)</f>
        <v>1010299</v>
      </c>
      <c r="T41" s="681" t="str">
        <f>+IF(JUNIO!T41=0,"",JUNIO!T41)</f>
        <v>Vigencias Anteriores</v>
      </c>
      <c r="U41" s="27">
        <f>+ENERO!U41</f>
        <v>0</v>
      </c>
      <c r="V41" s="15">
        <f>JUNIO!V41+JULIO!AL41</f>
        <v>101996180</v>
      </c>
      <c r="W41" s="15">
        <f>JUNIO!W41+JULIO!AM41</f>
        <v>700000000</v>
      </c>
      <c r="X41" s="18">
        <f t="shared" si="39"/>
        <v>801996180</v>
      </c>
      <c r="Y41" s="19">
        <f>JUNIO!AA41</f>
        <v>801996180</v>
      </c>
      <c r="Z41" s="374">
        <v>0</v>
      </c>
      <c r="AA41" s="18">
        <f t="shared" si="40"/>
        <v>801996180</v>
      </c>
      <c r="AB41" s="19">
        <f>JUNIO!AD41</f>
        <v>801996180</v>
      </c>
      <c r="AC41" s="374">
        <v>0</v>
      </c>
      <c r="AD41" s="18">
        <f t="shared" si="41"/>
        <v>801996180</v>
      </c>
      <c r="AE41" s="19">
        <f>JUNIO!AG41</f>
        <v>801996180</v>
      </c>
      <c r="AF41" s="374">
        <v>0</v>
      </c>
      <c r="AG41" s="18">
        <f t="shared" si="42"/>
        <v>801996180</v>
      </c>
      <c r="AH41" s="19">
        <f t="shared" si="43"/>
        <v>0</v>
      </c>
      <c r="AI41" s="15">
        <f t="shared" si="44"/>
        <v>0</v>
      </c>
      <c r="AJ41" s="16">
        <f t="shared" si="45"/>
        <v>0</v>
      </c>
      <c r="AK41" s="9"/>
      <c r="AL41" s="372">
        <v>-33649244</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3">
        <f>+IF(JUNIO!A42=0,"",JUNIO!A42)</f>
        <v>1130106</v>
      </c>
      <c r="B42" s="645" t="str">
        <f>+IF(JUNIO!B42=0,"",JUNIO!B42)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66" t="str">
        <f>+IF(JUNIO!S42=0,"",JUNIO!S42)</f>
        <v/>
      </c>
      <c r="T42" s="695"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+IF(JUNIO!A43=0,"",JUNIO!A43)</f>
        <v>1130106-1</v>
      </c>
      <c r="B43" s="646" t="str">
        <f>+CONCATENATE("Vigencia ",INSTRUCCIONES!$F$3)</f>
        <v>Vigencia 2017</v>
      </c>
      <c r="C43" s="671">
        <f>+ENERO!C43</f>
        <v>0</v>
      </c>
      <c r="D43" s="373">
        <f>JUNIO!D43+JULIO!P43</f>
        <v>0</v>
      </c>
      <c r="E43" s="373">
        <f>JUNIO!E43+JULIO!Q43</f>
        <v>0</v>
      </c>
      <c r="F43" s="373">
        <f>SUM(C43:E43)</f>
        <v>0</v>
      </c>
      <c r="G43" s="373">
        <f>JUNIO!I43</f>
        <v>0</v>
      </c>
      <c r="H43" s="374">
        <v>0</v>
      </c>
      <c r="I43" s="373">
        <f>SUM(G43:H43)</f>
        <v>0</v>
      </c>
      <c r="J43" s="373">
        <f>JUNIO!L43</f>
        <v>0</v>
      </c>
      <c r="K43" s="374">
        <v>0</v>
      </c>
      <c r="L43" s="373">
        <f>SUM(J43:K43)</f>
        <v>0</v>
      </c>
      <c r="M43" s="373">
        <f>F43-I43</f>
        <v>0</v>
      </c>
      <c r="N43" s="143">
        <f>F43-L43</f>
        <v>0</v>
      </c>
      <c r="O43" s="382"/>
      <c r="P43" s="372">
        <v>0</v>
      </c>
      <c r="Q43" s="375">
        <v>0</v>
      </c>
      <c r="R43" s="9"/>
      <c r="S43" s="704">
        <f>+IF(JUNIO!S43=0,"",JUNIO!S43)</f>
        <v>1010300</v>
      </c>
      <c r="T43" s="680" t="str">
        <f>+IF(JUNIO!T43=0,"",JUNIO!T43)</f>
        <v>Contribuciones Inherentes nómina al Sector Privado</v>
      </c>
      <c r="U43" s="132">
        <f t="shared" ref="U43:AJ43" si="52">U44+U49+U55</f>
        <v>182861553</v>
      </c>
      <c r="V43" s="122">
        <f t="shared" si="52"/>
        <v>-30802080</v>
      </c>
      <c r="W43" s="122">
        <f t="shared" si="52"/>
        <v>97321330</v>
      </c>
      <c r="X43" s="129">
        <f t="shared" si="52"/>
        <v>249380803</v>
      </c>
      <c r="Y43" s="128">
        <f t="shared" si="52"/>
        <v>58906602</v>
      </c>
      <c r="Z43" s="122">
        <f t="shared" si="52"/>
        <v>9560371</v>
      </c>
      <c r="AA43" s="129">
        <f t="shared" si="52"/>
        <v>68466973</v>
      </c>
      <c r="AB43" s="128">
        <f t="shared" si="52"/>
        <v>58906602</v>
      </c>
      <c r="AC43" s="122">
        <f t="shared" si="52"/>
        <v>9560371</v>
      </c>
      <c r="AD43" s="129">
        <f t="shared" si="52"/>
        <v>68466973</v>
      </c>
      <c r="AE43" s="128">
        <f t="shared" si="52"/>
        <v>58906602</v>
      </c>
      <c r="AF43" s="122">
        <f t="shared" si="52"/>
        <v>9560371</v>
      </c>
      <c r="AG43" s="129">
        <f t="shared" si="52"/>
        <v>68466973</v>
      </c>
      <c r="AH43" s="128">
        <f t="shared" si="52"/>
        <v>180913830</v>
      </c>
      <c r="AI43" s="122">
        <f t="shared" si="52"/>
        <v>180913830</v>
      </c>
      <c r="AJ43" s="130">
        <f t="shared" si="52"/>
        <v>180913830</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+IF(JUNIO!A44=0,"",JUNIO!A44)</f>
        <v>1130106-2</v>
      </c>
      <c r="B44" s="646" t="str">
        <f>+IF(JUNIO!B44=0,"",JUNIO!B44)</f>
        <v>Vigencia Anterior</v>
      </c>
      <c r="C44" s="671">
        <f>+ENERO!C44</f>
        <v>0</v>
      </c>
      <c r="D44" s="373">
        <f>JUNIO!D44+JULIO!P44</f>
        <v>0</v>
      </c>
      <c r="E44" s="373">
        <f>JUNIO!E44+JULIO!Q44</f>
        <v>0</v>
      </c>
      <c r="F44" s="373">
        <f>SUM(C44:E44)</f>
        <v>0</v>
      </c>
      <c r="G44" s="373">
        <f>JUNIO!I44</f>
        <v>0</v>
      </c>
      <c r="H44" s="374">
        <v>0</v>
      </c>
      <c r="I44" s="373">
        <f>SUM(G44:H44)</f>
        <v>0</v>
      </c>
      <c r="J44" s="373">
        <f>JUNIO!L44</f>
        <v>0</v>
      </c>
      <c r="K44" s="374">
        <v>0</v>
      </c>
      <c r="L44" s="373">
        <f>SUM(J44:K44)</f>
        <v>0</v>
      </c>
      <c r="M44" s="373">
        <f>F44-I44</f>
        <v>0</v>
      </c>
      <c r="N44" s="143">
        <f>F44-L44</f>
        <v>0</v>
      </c>
      <c r="O44" s="382"/>
      <c r="P44" s="372">
        <v>0</v>
      </c>
      <c r="Q44" s="375">
        <v>0</v>
      </c>
      <c r="R44" s="9"/>
      <c r="S44" s="705">
        <f>+IF(JUNIO!S44=0,"",JUNIO!S44)</f>
        <v>1010301</v>
      </c>
      <c r="T44" s="681" t="str">
        <f>+IF(JUNIO!T44=0,"",JUNIO!T44)</f>
        <v>Contribuciones - SGP - Aportes Patronales - Cuentas Maestras</v>
      </c>
      <c r="U44" s="27">
        <f t="shared" ref="U44:AJ44" si="53">SUM(U45:U48)</f>
        <v>0</v>
      </c>
      <c r="V44" s="15">
        <f t="shared" si="53"/>
        <v>0</v>
      </c>
      <c r="W44" s="15">
        <f t="shared" si="53"/>
        <v>64519250</v>
      </c>
      <c r="X44" s="18">
        <f t="shared" si="53"/>
        <v>64519250</v>
      </c>
      <c r="Y44" s="19">
        <f t="shared" si="53"/>
        <v>0</v>
      </c>
      <c r="Z44" s="142">
        <f t="shared" si="53"/>
        <v>8034595</v>
      </c>
      <c r="AA44" s="18">
        <f t="shared" si="53"/>
        <v>8034595</v>
      </c>
      <c r="AB44" s="19">
        <f t="shared" si="53"/>
        <v>0</v>
      </c>
      <c r="AC44" s="142">
        <f t="shared" si="53"/>
        <v>8034595</v>
      </c>
      <c r="AD44" s="18">
        <f t="shared" si="53"/>
        <v>8034595</v>
      </c>
      <c r="AE44" s="19">
        <f t="shared" si="53"/>
        <v>0</v>
      </c>
      <c r="AF44" s="142">
        <f t="shared" si="53"/>
        <v>8034595</v>
      </c>
      <c r="AG44" s="18">
        <f t="shared" si="53"/>
        <v>8034595</v>
      </c>
      <c r="AH44" s="19">
        <f t="shared" si="53"/>
        <v>56484655</v>
      </c>
      <c r="AI44" s="15">
        <f t="shared" si="53"/>
        <v>56484655</v>
      </c>
      <c r="AJ44" s="16">
        <f t="shared" si="53"/>
        <v>56484655</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3">
        <f>+IF(JUNIO!A45=0,"",JUNIO!A45)</f>
        <v>1130107</v>
      </c>
      <c r="B45" s="645" t="str">
        <f>+IF(JUNIO!B45=0,"",JUNIO!B45)</f>
        <v>MINSALUD-FOSYGA-RECLAMACIONES ECAT</v>
      </c>
      <c r="C45" s="43">
        <f t="shared" ref="C45:N45" si="54">SUM(C46:C47)</f>
        <v>375197511</v>
      </c>
      <c r="D45" s="44">
        <f t="shared" si="54"/>
        <v>0</v>
      </c>
      <c r="E45" s="44">
        <f t="shared" si="54"/>
        <v>79487</v>
      </c>
      <c r="F45" s="44">
        <f t="shared" si="54"/>
        <v>375276998</v>
      </c>
      <c r="G45" s="44">
        <f t="shared" si="54"/>
        <v>113285569</v>
      </c>
      <c r="H45" s="44">
        <f t="shared" si="54"/>
        <v>48065257</v>
      </c>
      <c r="I45" s="44">
        <f t="shared" si="54"/>
        <v>161350826</v>
      </c>
      <c r="J45" s="44">
        <f t="shared" si="54"/>
        <v>79487</v>
      </c>
      <c r="K45" s="44">
        <f t="shared" si="54"/>
        <v>0</v>
      </c>
      <c r="L45" s="44">
        <f t="shared" si="54"/>
        <v>79487</v>
      </c>
      <c r="M45" s="44">
        <f t="shared" si="54"/>
        <v>213926172</v>
      </c>
      <c r="N45" s="45">
        <f t="shared" si="54"/>
        <v>375197511</v>
      </c>
      <c r="P45" s="43">
        <f>SUM(P46:P47)</f>
        <v>0</v>
      </c>
      <c r="Q45" s="45">
        <f>SUM(Q46:Q47)</f>
        <v>0</v>
      </c>
      <c r="R45" s="9"/>
      <c r="S45" s="706" t="str">
        <f>+IF(JUNIO!S45=0,"",JUNIO!S45)</f>
        <v>1010301-1</v>
      </c>
      <c r="T45" s="682" t="str">
        <f>+IF(JUNIO!T45=0,"",JUNIO!T45)</f>
        <v>E.P.S. - Aportes cuentas maestras</v>
      </c>
      <c r="U45" s="27">
        <f>+ENERO!U45</f>
        <v>0</v>
      </c>
      <c r="V45" s="15">
        <f>JUNIO!V45+JULIO!AL45</f>
        <v>0</v>
      </c>
      <c r="W45" s="15">
        <f>JUNIO!W45+JULIO!AM45</f>
        <v>13633482</v>
      </c>
      <c r="X45" s="18">
        <f>SUM(U45:W45)</f>
        <v>13633482</v>
      </c>
      <c r="Y45" s="19">
        <f>JUNIO!AA45</f>
        <v>0</v>
      </c>
      <c r="Z45" s="374">
        <v>3261974</v>
      </c>
      <c r="AA45" s="18">
        <f>SUM(Y45:Z45)</f>
        <v>3261974</v>
      </c>
      <c r="AB45" s="19">
        <f>JUNIO!AD45</f>
        <v>0</v>
      </c>
      <c r="AC45" s="374">
        <v>3261974</v>
      </c>
      <c r="AD45" s="18">
        <f>SUM(AB45:AC45)</f>
        <v>3261974</v>
      </c>
      <c r="AE45" s="19">
        <f>JUNIO!AG45</f>
        <v>0</v>
      </c>
      <c r="AF45" s="374">
        <v>3261974</v>
      </c>
      <c r="AG45" s="18">
        <f>SUM(AE45:AF45)</f>
        <v>3261974</v>
      </c>
      <c r="AH45" s="19">
        <f>X45-AA45</f>
        <v>10371508</v>
      </c>
      <c r="AI45" s="15">
        <f>X45-AD45</f>
        <v>10371508</v>
      </c>
      <c r="AJ45" s="16">
        <f>X45-AG45</f>
        <v>10371508</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+IF(JUNIO!A46=0,"",JUNIO!A46)</f>
        <v>1130107-1</v>
      </c>
      <c r="B46" s="646" t="str">
        <f>+CONCATENATE("Vigencia ",INSTRUCCIONES!$F$3)</f>
        <v>Vigencia 2017</v>
      </c>
      <c r="C46" s="671">
        <f>+ENERO!C46</f>
        <v>375197511</v>
      </c>
      <c r="D46" s="373">
        <f>JUNIO!D46+JULIO!P46</f>
        <v>0</v>
      </c>
      <c r="E46" s="373">
        <f>JUNIO!E46+JULIO!Q46</f>
        <v>0</v>
      </c>
      <c r="F46" s="373">
        <f>SUM(C46:E46)</f>
        <v>375197511</v>
      </c>
      <c r="G46" s="373">
        <f>JUNIO!I46</f>
        <v>113206082</v>
      </c>
      <c r="H46" s="374">
        <v>48065257</v>
      </c>
      <c r="I46" s="373">
        <f>SUM(G46:H46)</f>
        <v>161271339</v>
      </c>
      <c r="J46" s="373">
        <f>JUNIO!L46</f>
        <v>0</v>
      </c>
      <c r="K46" s="374">
        <v>0</v>
      </c>
      <c r="L46" s="373">
        <f>SUM(J46:K46)</f>
        <v>0</v>
      </c>
      <c r="M46" s="373">
        <f>F46-I46</f>
        <v>213926172</v>
      </c>
      <c r="N46" s="143">
        <f>F46-L46</f>
        <v>375197511</v>
      </c>
      <c r="O46" s="382"/>
      <c r="P46" s="372">
        <v>0</v>
      </c>
      <c r="Q46" s="375">
        <v>0</v>
      </c>
      <c r="R46" s="9"/>
      <c r="S46" s="706" t="str">
        <f>+IF(JUNIO!S46=0,"",JUNIO!S46)</f>
        <v>1010301-2</v>
      </c>
      <c r="T46" s="682" t="str">
        <f>+IF(JUNIO!T46=0,"",JUNIO!T46)</f>
        <v>Fondos pensionales - Aportes cuentas maestras</v>
      </c>
      <c r="U46" s="27">
        <f>+ENERO!U46</f>
        <v>0</v>
      </c>
      <c r="V46" s="15">
        <f>JUNIO!V46+JULIO!AL46</f>
        <v>0</v>
      </c>
      <c r="W46" s="15">
        <f>JUNIO!W46+JULIO!AM46</f>
        <v>38239500</v>
      </c>
      <c r="X46" s="18">
        <f>SUM(U46:W46)</f>
        <v>38239500</v>
      </c>
      <c r="Y46" s="19">
        <f>JUNIO!AA46</f>
        <v>0</v>
      </c>
      <c r="Z46" s="374">
        <v>4577328</v>
      </c>
      <c r="AA46" s="18">
        <f>SUM(Y46:Z46)</f>
        <v>4577328</v>
      </c>
      <c r="AB46" s="19">
        <f>JUNIO!AD46</f>
        <v>0</v>
      </c>
      <c r="AC46" s="374">
        <v>4577328</v>
      </c>
      <c r="AD46" s="18">
        <f>SUM(AB46:AC46)</f>
        <v>4577328</v>
      </c>
      <c r="AE46" s="19">
        <f>JUNIO!AG46</f>
        <v>0</v>
      </c>
      <c r="AF46" s="374">
        <v>4577328</v>
      </c>
      <c r="AG46" s="18">
        <f>SUM(AE46:AF46)</f>
        <v>4577328</v>
      </c>
      <c r="AH46" s="19">
        <f>X46-AA46</f>
        <v>33662172</v>
      </c>
      <c r="AI46" s="15">
        <f>X46-AD46</f>
        <v>33662172</v>
      </c>
      <c r="AJ46" s="16">
        <f>X46-AG46</f>
        <v>33662172</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+IF(JUNIO!A47=0,"",JUNIO!A47)</f>
        <v>1130107-2</v>
      </c>
      <c r="B47" s="646" t="str">
        <f>+IF(JUNIO!B47=0,"",JUNIO!B47)</f>
        <v>Vigencia Anterior</v>
      </c>
      <c r="C47" s="671">
        <f>+ENERO!C47</f>
        <v>0</v>
      </c>
      <c r="D47" s="373">
        <f>JUNIO!D47+JULIO!P47</f>
        <v>0</v>
      </c>
      <c r="E47" s="373">
        <f>JUNIO!E47+JULIO!Q47</f>
        <v>79487</v>
      </c>
      <c r="F47" s="373">
        <f>SUM(C47:E47)</f>
        <v>79487</v>
      </c>
      <c r="G47" s="373">
        <f>JUNIO!I47</f>
        <v>79487</v>
      </c>
      <c r="H47" s="374">
        <v>0</v>
      </c>
      <c r="I47" s="373">
        <f>SUM(G47:H47)</f>
        <v>79487</v>
      </c>
      <c r="J47" s="373">
        <f>JUNIO!L47</f>
        <v>79487</v>
      </c>
      <c r="K47" s="374">
        <v>0</v>
      </c>
      <c r="L47" s="373">
        <f>SUM(J47:K47)</f>
        <v>79487</v>
      </c>
      <c r="M47" s="373">
        <f>F47-I47</f>
        <v>0</v>
      </c>
      <c r="N47" s="143">
        <f>F47-L47</f>
        <v>0</v>
      </c>
      <c r="O47" s="382"/>
      <c r="P47" s="372">
        <v>0</v>
      </c>
      <c r="Q47" s="375">
        <v>0</v>
      </c>
      <c r="R47" s="9"/>
      <c r="S47" s="706" t="str">
        <f>+IF(JUNIO!S47=0,"",JUNIO!S47)</f>
        <v>1010301-3</v>
      </c>
      <c r="T47" s="682" t="str">
        <f>+IF(JUNIO!T47=0,"",JUNIO!T47)</f>
        <v>Fondos de cesantías - Aportes cuentas maestras</v>
      </c>
      <c r="U47" s="27">
        <f>+ENERO!U47</f>
        <v>0</v>
      </c>
      <c r="V47" s="15">
        <f>JUNIO!V47+JULIO!AL47</f>
        <v>0</v>
      </c>
      <c r="W47" s="15">
        <f>JUNIO!W47+JULIO!AM47</f>
        <v>9400000</v>
      </c>
      <c r="X47" s="18">
        <f>SUM(U47:W47)</f>
        <v>9400000</v>
      </c>
      <c r="Y47" s="19">
        <f>JUNIO!AA47</f>
        <v>0</v>
      </c>
      <c r="Z47" s="374">
        <v>0</v>
      </c>
      <c r="AA47" s="18">
        <f>SUM(Y47:Z47)</f>
        <v>0</v>
      </c>
      <c r="AB47" s="19">
        <f>JUNIO!AD47</f>
        <v>0</v>
      </c>
      <c r="AC47" s="374">
        <v>0</v>
      </c>
      <c r="AD47" s="18">
        <f>SUM(AB47:AC47)</f>
        <v>0</v>
      </c>
      <c r="AE47" s="19">
        <f>JUNIO!AG47</f>
        <v>0</v>
      </c>
      <c r="AF47" s="374">
        <v>0</v>
      </c>
      <c r="AG47" s="18">
        <f>SUM(AE47:AF47)</f>
        <v>0</v>
      </c>
      <c r="AH47" s="19">
        <f>X47-AA47</f>
        <v>9400000</v>
      </c>
      <c r="AI47" s="15">
        <f>X47-AD47</f>
        <v>9400000</v>
      </c>
      <c r="AJ47" s="16">
        <f>X47-AG47</f>
        <v>9400000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3">
        <f>+IF(JUNIO!A48=0,"",JUNIO!A48)</f>
        <v>1130108</v>
      </c>
      <c r="B48" s="645"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6" t="str">
        <f>+IF(JUNIO!S48=0,"",JUNIO!S48)</f>
        <v>1010301-4</v>
      </c>
      <c r="T48" s="682" t="str">
        <f>+IF(JUNIO!T48=0,"",JUNIO!T48)</f>
        <v>Riesgos laborales - Aportes cuentas maestras</v>
      </c>
      <c r="U48" s="27">
        <f>+ENERO!U48</f>
        <v>0</v>
      </c>
      <c r="V48" s="15">
        <f>JUNIO!V48+JULIO!AL48</f>
        <v>0</v>
      </c>
      <c r="W48" s="15">
        <f>JUNIO!W48+JULIO!AM48</f>
        <v>3246268</v>
      </c>
      <c r="X48" s="18">
        <f>SUM(U48:W48)</f>
        <v>3246268</v>
      </c>
      <c r="Y48" s="19">
        <f>JUNIO!AA48</f>
        <v>0</v>
      </c>
      <c r="Z48" s="374">
        <v>195293</v>
      </c>
      <c r="AA48" s="18">
        <f>SUM(Y48:Z48)</f>
        <v>195293</v>
      </c>
      <c r="AB48" s="19">
        <f>JUNIO!AD48</f>
        <v>0</v>
      </c>
      <c r="AC48" s="374">
        <v>195293</v>
      </c>
      <c r="AD48" s="18">
        <f>SUM(AB48:AC48)</f>
        <v>195293</v>
      </c>
      <c r="AE48" s="19">
        <f>JUNIO!AG48</f>
        <v>0</v>
      </c>
      <c r="AF48" s="374">
        <v>195293</v>
      </c>
      <c r="AG48" s="18">
        <f>SUM(AE48:AF48)</f>
        <v>195293</v>
      </c>
      <c r="AH48" s="19">
        <f>X48-AA48</f>
        <v>3050975</v>
      </c>
      <c r="AI48" s="15">
        <f>X48-AD48</f>
        <v>3050975</v>
      </c>
      <c r="AJ48" s="16">
        <f>X48-AG48</f>
        <v>3050975</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+IF(JUNIO!A49=0,"",JUNIO!A49)</f>
        <v>1130108-1</v>
      </c>
      <c r="B49" s="646" t="str">
        <f>+CONCATENATE("Vigencia ",INSTRUCCIONES!$F$3)</f>
        <v>Vigencia 2017</v>
      </c>
      <c r="C49" s="671">
        <f>+ENERO!C49</f>
        <v>0</v>
      </c>
      <c r="D49" s="373">
        <f>JUNIO!D49+JULIO!P49</f>
        <v>0</v>
      </c>
      <c r="E49" s="373">
        <f>JUNIO!E49+JULIO!Q49</f>
        <v>0</v>
      </c>
      <c r="F49" s="373">
        <f>SUM(C49:E49)</f>
        <v>0</v>
      </c>
      <c r="G49" s="373">
        <f>JUNIO!I49</f>
        <v>0</v>
      </c>
      <c r="H49" s="374">
        <v>0</v>
      </c>
      <c r="I49" s="373">
        <f>SUM(G49:H49)</f>
        <v>0</v>
      </c>
      <c r="J49" s="373">
        <f>JUNIO!L49</f>
        <v>0</v>
      </c>
      <c r="K49" s="374">
        <v>0</v>
      </c>
      <c r="L49" s="373">
        <f>SUM(J49:K49)</f>
        <v>0</v>
      </c>
      <c r="M49" s="373">
        <f>F49-I49</f>
        <v>0</v>
      </c>
      <c r="N49" s="143">
        <f>F49-L49</f>
        <v>0</v>
      </c>
      <c r="O49" s="382"/>
      <c r="P49" s="372">
        <v>0</v>
      </c>
      <c r="Q49" s="375">
        <v>0</v>
      </c>
      <c r="R49" s="9"/>
      <c r="S49" s="705">
        <f>+IF(JUNIO!S49=0,"",JUNIO!S49)</f>
        <v>1010302</v>
      </c>
      <c r="T49" s="681" t="str">
        <f>+IF(JUNIO!T49=0,"",JUNIO!T49)</f>
        <v>Contribuciones - Otros</v>
      </c>
      <c r="U49" s="27">
        <f t="shared" ref="U49:AJ49" si="56">SUM(U50:U54)</f>
        <v>182861553</v>
      </c>
      <c r="V49" s="15">
        <f t="shared" si="56"/>
        <v>-6000000</v>
      </c>
      <c r="W49" s="15">
        <f t="shared" si="56"/>
        <v>8000000</v>
      </c>
      <c r="X49" s="18">
        <f t="shared" si="56"/>
        <v>184861553</v>
      </c>
      <c r="Y49" s="19">
        <f t="shared" si="56"/>
        <v>58906602</v>
      </c>
      <c r="Z49" s="142">
        <f t="shared" si="56"/>
        <v>1525776</v>
      </c>
      <c r="AA49" s="18">
        <f t="shared" si="56"/>
        <v>60432378</v>
      </c>
      <c r="AB49" s="19">
        <f t="shared" si="56"/>
        <v>58906602</v>
      </c>
      <c r="AC49" s="142">
        <f t="shared" si="56"/>
        <v>1525776</v>
      </c>
      <c r="AD49" s="18">
        <f t="shared" si="56"/>
        <v>60432378</v>
      </c>
      <c r="AE49" s="19">
        <f t="shared" si="56"/>
        <v>58906602</v>
      </c>
      <c r="AF49" s="142">
        <f t="shared" si="56"/>
        <v>1525776</v>
      </c>
      <c r="AG49" s="18">
        <f t="shared" si="56"/>
        <v>60432378</v>
      </c>
      <c r="AH49" s="19">
        <f t="shared" si="56"/>
        <v>124429175</v>
      </c>
      <c r="AI49" s="15">
        <f t="shared" si="56"/>
        <v>124429175</v>
      </c>
      <c r="AJ49" s="16">
        <f t="shared" si="56"/>
        <v>124429175</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+IF(JUNIO!A50=0,"",JUNIO!A50)</f>
        <v>1130108-2</v>
      </c>
      <c r="B50" s="646" t="str">
        <f>+IF(JUNIO!B50=0,"",JUNIO!B50)</f>
        <v>Vigencia Anterior</v>
      </c>
      <c r="C50" s="671">
        <f>+ENERO!C50</f>
        <v>0</v>
      </c>
      <c r="D50" s="373">
        <f>JUNIO!D50+JULIO!P50</f>
        <v>0</v>
      </c>
      <c r="E50" s="373">
        <f>JUNIO!E50+JULIO!Q50</f>
        <v>0</v>
      </c>
      <c r="F50" s="373">
        <f>SUM(C50:E50)</f>
        <v>0</v>
      </c>
      <c r="G50" s="373">
        <f>JUNIO!I50</f>
        <v>0</v>
      </c>
      <c r="H50" s="374">
        <v>0</v>
      </c>
      <c r="I50" s="373">
        <f>SUM(G50:H50)</f>
        <v>0</v>
      </c>
      <c r="J50" s="373">
        <f>JUNIO!L50</f>
        <v>0</v>
      </c>
      <c r="K50" s="374">
        <v>0</v>
      </c>
      <c r="L50" s="373">
        <f>SUM(J50:K50)</f>
        <v>0</v>
      </c>
      <c r="M50" s="373">
        <f>F50-I50</f>
        <v>0</v>
      </c>
      <c r="N50" s="143">
        <f>F50-L50</f>
        <v>0</v>
      </c>
      <c r="O50" s="382"/>
      <c r="P50" s="372">
        <v>0</v>
      </c>
      <c r="Q50" s="375">
        <v>0</v>
      </c>
      <c r="R50" s="9"/>
      <c r="S50" s="706" t="str">
        <f>+IF(JUNIO!S50=0,"",JUNIO!S50)</f>
        <v>1010302-1</v>
      </c>
      <c r="T50" s="682" t="str">
        <f>+IF(JUNIO!T50=0,"",JUNIO!T50)</f>
        <v>Aportes a E.P.S.- Con sit. Fondos</v>
      </c>
      <c r="U50" s="27">
        <f>+ENERO!U50</f>
        <v>72876516</v>
      </c>
      <c r="V50" s="15">
        <f>JUNIO!V50+JULIO!AL50</f>
        <v>-9500000</v>
      </c>
      <c r="W50" s="15">
        <f>JUNIO!W50+JULIO!AM50</f>
        <v>0</v>
      </c>
      <c r="X50" s="18">
        <f t="shared" ref="X50:X55" si="57">SUM(U50:W50)</f>
        <v>63376516</v>
      </c>
      <c r="Y50" s="19">
        <f>JUNIO!AA50</f>
        <v>19832896</v>
      </c>
      <c r="Z50" s="374">
        <v>0</v>
      </c>
      <c r="AA50" s="18">
        <f t="shared" ref="AA50:AA55" si="58">SUM(Y50:Z50)</f>
        <v>19832896</v>
      </c>
      <c r="AB50" s="19">
        <f>JUNIO!AD50</f>
        <v>19832896</v>
      </c>
      <c r="AC50" s="374">
        <v>0</v>
      </c>
      <c r="AD50" s="18">
        <f t="shared" ref="AD50:AD55" si="59">SUM(AB50:AC50)</f>
        <v>19832896</v>
      </c>
      <c r="AE50" s="19">
        <f>JUNIO!AG50</f>
        <v>19832896</v>
      </c>
      <c r="AF50" s="374">
        <v>0</v>
      </c>
      <c r="AG50" s="18">
        <f t="shared" ref="AG50:AG55" si="60">SUM(AE50:AF50)</f>
        <v>19832896</v>
      </c>
      <c r="AH50" s="19">
        <f t="shared" ref="AH50:AH55" si="61">X50-AA50</f>
        <v>43543620</v>
      </c>
      <c r="AI50" s="15">
        <f t="shared" ref="AI50:AI55" si="62">X50-AD50</f>
        <v>43543620</v>
      </c>
      <c r="AJ50" s="16">
        <f t="shared" ref="AJ50:AJ55" si="63">X50-AG50</f>
        <v>43543620</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3">
        <f>+IF(JUNIO!A51=0,"",JUNIO!A51)</f>
        <v>1130109</v>
      </c>
      <c r="B51" s="645"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6" t="str">
        <f>+IF(JUNIO!S51=0,"",JUNIO!S51)</f>
        <v>1010302-2</v>
      </c>
      <c r="T51" s="682" t="str">
        <f>+IF(JUNIO!T51=0,"",JUNIO!T51)</f>
        <v>Aportes Fondos Pensionales - Con Sit. Fondos</v>
      </c>
      <c r="U51" s="27">
        <f>+ENERO!U51</f>
        <v>75101971</v>
      </c>
      <c r="V51" s="15">
        <f>JUNIO!V51+JULIO!AL51</f>
        <v>0</v>
      </c>
      <c r="W51" s="15">
        <f>JUNIO!W51+JULIO!AM51</f>
        <v>0</v>
      </c>
      <c r="X51" s="18">
        <f t="shared" si="57"/>
        <v>75101971</v>
      </c>
      <c r="Y51" s="19">
        <f>JUNIO!AA51</f>
        <v>27539061</v>
      </c>
      <c r="Z51" s="374">
        <v>0</v>
      </c>
      <c r="AA51" s="18">
        <f t="shared" si="58"/>
        <v>27539061</v>
      </c>
      <c r="AB51" s="19">
        <f>JUNIO!AD51</f>
        <v>27539061</v>
      </c>
      <c r="AC51" s="374">
        <v>0</v>
      </c>
      <c r="AD51" s="18">
        <f t="shared" si="59"/>
        <v>27539061</v>
      </c>
      <c r="AE51" s="19">
        <f>JUNIO!AG51</f>
        <v>27539061</v>
      </c>
      <c r="AF51" s="374">
        <v>0</v>
      </c>
      <c r="AG51" s="18">
        <f t="shared" si="60"/>
        <v>27539061</v>
      </c>
      <c r="AH51" s="19">
        <f t="shared" si="61"/>
        <v>47562910</v>
      </c>
      <c r="AI51" s="15">
        <f t="shared" si="62"/>
        <v>47562910</v>
      </c>
      <c r="AJ51" s="16">
        <f t="shared" si="63"/>
        <v>47562910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+IF(JUNIO!A52=0,"",JUNIO!A52)</f>
        <v>1130109-1</v>
      </c>
      <c r="B52" s="646" t="str">
        <f>+CONCATENATE("Vigencia ",INSTRUCCIONES!$F$3)</f>
        <v>Vigencia 2017</v>
      </c>
      <c r="C52" s="671">
        <f>+ENERO!C52</f>
        <v>0</v>
      </c>
      <c r="D52" s="373">
        <f>JUNIO!D52+JULIO!P52</f>
        <v>0</v>
      </c>
      <c r="E52" s="373">
        <f>JUNIO!E52+JULIO!Q52</f>
        <v>0</v>
      </c>
      <c r="F52" s="373">
        <f>SUM(C52:E52)</f>
        <v>0</v>
      </c>
      <c r="G52" s="373">
        <f>JUNIO!I52</f>
        <v>0</v>
      </c>
      <c r="H52" s="374">
        <v>0</v>
      </c>
      <c r="I52" s="373">
        <f>SUM(G52:H52)</f>
        <v>0</v>
      </c>
      <c r="J52" s="373">
        <f>JUNIO!L52</f>
        <v>0</v>
      </c>
      <c r="K52" s="374">
        <v>0</v>
      </c>
      <c r="L52" s="373">
        <f>SUM(J52:K52)</f>
        <v>0</v>
      </c>
      <c r="M52" s="373">
        <f>F52-I52</f>
        <v>0</v>
      </c>
      <c r="N52" s="143">
        <f>F52-L52</f>
        <v>0</v>
      </c>
      <c r="O52" s="382"/>
      <c r="P52" s="372">
        <v>0</v>
      </c>
      <c r="Q52" s="375">
        <v>0</v>
      </c>
      <c r="R52" s="9"/>
      <c r="S52" s="706" t="str">
        <f>+IF(JUNIO!S52=0,"",JUNIO!S52)</f>
        <v>1010302-3</v>
      </c>
      <c r="T52" s="682" t="str">
        <f>+IF(JUNIO!T52=0,"",JUNIO!T52)</f>
        <v xml:space="preserve">Aportes a Fondos de Cesantia - Con Sit. de Fondos </v>
      </c>
      <c r="U52" s="27">
        <f>+ENERO!U52</f>
        <v>12471386</v>
      </c>
      <c r="V52" s="15">
        <f>JUNIO!V52+JULIO!AL52</f>
        <v>0</v>
      </c>
      <c r="W52" s="15">
        <f>JUNIO!W52+JULIO!AM52</f>
        <v>0</v>
      </c>
      <c r="X52" s="18">
        <f t="shared" si="57"/>
        <v>12471386</v>
      </c>
      <c r="Y52" s="19">
        <f>JUNIO!AA52</f>
        <v>0</v>
      </c>
      <c r="Z52" s="374">
        <v>0</v>
      </c>
      <c r="AA52" s="18">
        <f t="shared" si="58"/>
        <v>0</v>
      </c>
      <c r="AB52" s="19">
        <f>JUNIO!AD52</f>
        <v>0</v>
      </c>
      <c r="AC52" s="374">
        <v>0</v>
      </c>
      <c r="AD52" s="18">
        <f t="shared" si="59"/>
        <v>0</v>
      </c>
      <c r="AE52" s="19">
        <f>JUNIO!AG52</f>
        <v>0</v>
      </c>
      <c r="AF52" s="374">
        <v>0</v>
      </c>
      <c r="AG52" s="18">
        <f t="shared" si="60"/>
        <v>0</v>
      </c>
      <c r="AH52" s="19">
        <f t="shared" si="61"/>
        <v>12471386</v>
      </c>
      <c r="AI52" s="15">
        <f t="shared" si="62"/>
        <v>12471386</v>
      </c>
      <c r="AJ52" s="16">
        <f t="shared" si="63"/>
        <v>12471386</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+IF(JUNIO!A53=0,"",JUNIO!A53)</f>
        <v>1130109-2</v>
      </c>
      <c r="B53" s="646" t="str">
        <f>+IF(JUNIO!B53=0,"",JUNIO!B53)</f>
        <v>Vigencia Anterior</v>
      </c>
      <c r="C53" s="671">
        <f>+ENERO!C53</f>
        <v>0</v>
      </c>
      <c r="D53" s="373">
        <f>JUNIO!D53+JULIO!P53</f>
        <v>0</v>
      </c>
      <c r="E53" s="373">
        <f>JUNIO!E53+JULIO!Q53</f>
        <v>0</v>
      </c>
      <c r="F53" s="373">
        <f>SUM(C53:E53)</f>
        <v>0</v>
      </c>
      <c r="G53" s="373">
        <f>JUNIO!I53</f>
        <v>0</v>
      </c>
      <c r="H53" s="374">
        <v>0</v>
      </c>
      <c r="I53" s="373">
        <f>SUM(G53:H53)</f>
        <v>0</v>
      </c>
      <c r="J53" s="373">
        <f>JUNIO!L53</f>
        <v>0</v>
      </c>
      <c r="K53" s="374">
        <v>0</v>
      </c>
      <c r="L53" s="373">
        <f>SUM(J53:K53)</f>
        <v>0</v>
      </c>
      <c r="M53" s="373">
        <f>F53-I53</f>
        <v>0</v>
      </c>
      <c r="N53" s="143">
        <f>F53-L53</f>
        <v>0</v>
      </c>
      <c r="O53" s="382"/>
      <c r="P53" s="372">
        <v>0</v>
      </c>
      <c r="Q53" s="375">
        <v>0</v>
      </c>
      <c r="R53" s="9"/>
      <c r="S53" s="706" t="str">
        <f>+IF(JUNIO!S53=0,"",JUNIO!S53)</f>
        <v>1010302-4</v>
      </c>
      <c r="T53" s="682" t="str">
        <f>+IF(JUNIO!T53=0,"",JUNIO!T53)</f>
        <v>Aporte a ARL. - Con Sit. de Fondos</v>
      </c>
      <c r="U53" s="27">
        <f>+ENERO!U53</f>
        <v>15124020</v>
      </c>
      <c r="V53" s="15">
        <f>JUNIO!V53+JULIO!AL53</f>
        <v>0</v>
      </c>
      <c r="W53" s="15">
        <f>JUNIO!W53+JULIO!AM53</f>
        <v>0</v>
      </c>
      <c r="X53" s="18">
        <f t="shared" si="57"/>
        <v>15124020</v>
      </c>
      <c r="Y53" s="19">
        <f>JUNIO!AA53</f>
        <v>1188615</v>
      </c>
      <c r="Z53" s="374">
        <v>0</v>
      </c>
      <c r="AA53" s="18">
        <f t="shared" si="58"/>
        <v>1188615</v>
      </c>
      <c r="AB53" s="19">
        <f>JUNIO!AD53</f>
        <v>1188615</v>
      </c>
      <c r="AC53" s="374">
        <v>0</v>
      </c>
      <c r="AD53" s="18">
        <f t="shared" si="59"/>
        <v>1188615</v>
      </c>
      <c r="AE53" s="19">
        <f>JUNIO!AG53</f>
        <v>1188615</v>
      </c>
      <c r="AF53" s="374">
        <v>0</v>
      </c>
      <c r="AG53" s="18">
        <f t="shared" si="60"/>
        <v>1188615</v>
      </c>
      <c r="AH53" s="19">
        <f t="shared" si="61"/>
        <v>13935405</v>
      </c>
      <c r="AI53" s="15">
        <f t="shared" si="62"/>
        <v>13935405</v>
      </c>
      <c r="AJ53" s="16">
        <f t="shared" si="63"/>
        <v>13935405</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3">
        <f>+IF(JUNIO!A54=0,"",JUNIO!A54)</f>
        <v>1130110</v>
      </c>
      <c r="B54" s="645" t="str">
        <f>+IF(JUNIO!B54=0,"",JUNIO!B54)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6" t="str">
        <f>+IF(JUNIO!S54=0,"",JUNIO!S54)</f>
        <v>1010302-5</v>
      </c>
      <c r="T54" s="682" t="str">
        <f>+IF(JUNIO!T54=0,"",JUNIO!T54)</f>
        <v>Aporte a Caja Compensación Familiar</v>
      </c>
      <c r="U54" s="27">
        <f>+ENERO!U54</f>
        <v>7287660</v>
      </c>
      <c r="V54" s="15">
        <f>JUNIO!V54+JULIO!AL54</f>
        <v>3500000</v>
      </c>
      <c r="W54" s="15">
        <f>JUNIO!W54+JULIO!AM54</f>
        <v>8000000</v>
      </c>
      <c r="X54" s="18">
        <f t="shared" si="57"/>
        <v>18787660</v>
      </c>
      <c r="Y54" s="19">
        <f>JUNIO!AA54</f>
        <v>10346030</v>
      </c>
      <c r="Z54" s="374">
        <v>1525776</v>
      </c>
      <c r="AA54" s="18">
        <f t="shared" si="58"/>
        <v>11871806</v>
      </c>
      <c r="AB54" s="19">
        <f>JUNIO!AD54</f>
        <v>10346030</v>
      </c>
      <c r="AC54" s="374">
        <v>1525776</v>
      </c>
      <c r="AD54" s="18">
        <f t="shared" si="59"/>
        <v>11871806</v>
      </c>
      <c r="AE54" s="19">
        <f>JUNIO!AG54</f>
        <v>10346030</v>
      </c>
      <c r="AF54" s="374">
        <v>1525776</v>
      </c>
      <c r="AG54" s="18">
        <f t="shared" si="60"/>
        <v>11871806</v>
      </c>
      <c r="AH54" s="19">
        <f t="shared" si="61"/>
        <v>6915854</v>
      </c>
      <c r="AI54" s="15">
        <f t="shared" si="62"/>
        <v>6915854</v>
      </c>
      <c r="AJ54" s="16">
        <f t="shared" si="63"/>
        <v>6915854</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+IF(JUNIO!A55=0,"",JUNIO!A55)</f>
        <v>1130110-1</v>
      </c>
      <c r="B55" s="646" t="str">
        <f>+CONCATENATE("Vigencia ",INSTRUCCIONES!$F$3)</f>
        <v>Vigencia 2017</v>
      </c>
      <c r="C55" s="671">
        <f>+ENERO!C55</f>
        <v>0</v>
      </c>
      <c r="D55" s="373">
        <f>JUNIO!D55+JULIO!P55</f>
        <v>0</v>
      </c>
      <c r="E55" s="373">
        <f>JUNIO!E55+JULIO!Q55</f>
        <v>0</v>
      </c>
      <c r="F55" s="373">
        <f>SUM(C55:E55)</f>
        <v>0</v>
      </c>
      <c r="G55" s="373">
        <f>JUNIO!I55</f>
        <v>0</v>
      </c>
      <c r="H55" s="374">
        <v>0</v>
      </c>
      <c r="I55" s="373">
        <f>SUM(G55:H55)</f>
        <v>0</v>
      </c>
      <c r="J55" s="373">
        <f>JUNIO!L55</f>
        <v>0</v>
      </c>
      <c r="K55" s="374">
        <v>0</v>
      </c>
      <c r="L55" s="373">
        <f>SUM(J55:K55)</f>
        <v>0</v>
      </c>
      <c r="M55" s="373">
        <f>F55-I55</f>
        <v>0</v>
      </c>
      <c r="N55" s="143">
        <f>F55-L55</f>
        <v>0</v>
      </c>
      <c r="O55" s="382"/>
      <c r="P55" s="372">
        <v>0</v>
      </c>
      <c r="Q55" s="375">
        <v>0</v>
      </c>
      <c r="R55" s="9"/>
      <c r="S55" s="705">
        <f>+IF(JUNIO!S55=0,"",JUNIO!S55)</f>
        <v>1010399</v>
      </c>
      <c r="T55" s="681" t="str">
        <f>+IF(JUNIO!T55=0,"",JUNIO!T55)</f>
        <v>Vigencias Anteriores</v>
      </c>
      <c r="U55" s="27">
        <f>+ENERO!U55</f>
        <v>0</v>
      </c>
      <c r="V55" s="15">
        <f>JUNIO!V55+JULIO!AL55</f>
        <v>-24802080</v>
      </c>
      <c r="W55" s="15">
        <f>JUNIO!W55+JULIO!AM55</f>
        <v>24802080</v>
      </c>
      <c r="X55" s="18">
        <f t="shared" si="57"/>
        <v>0</v>
      </c>
      <c r="Y55" s="19">
        <f>JUNIO!AA55</f>
        <v>0</v>
      </c>
      <c r="Z55" s="374">
        <v>0</v>
      </c>
      <c r="AA55" s="18">
        <f t="shared" si="58"/>
        <v>0</v>
      </c>
      <c r="AB55" s="19">
        <f>JUNIO!AD55</f>
        <v>0</v>
      </c>
      <c r="AC55" s="374">
        <v>0</v>
      </c>
      <c r="AD55" s="18">
        <f t="shared" si="59"/>
        <v>0</v>
      </c>
      <c r="AE55" s="19">
        <f>JUNIO!AG55</f>
        <v>0</v>
      </c>
      <c r="AF55" s="374">
        <v>0</v>
      </c>
      <c r="AG55" s="18">
        <f t="shared" si="60"/>
        <v>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+IF(JUNIO!A56=0,"",JUNIO!A56)</f>
        <v>1130110-2</v>
      </c>
      <c r="B56" s="646" t="str">
        <f>+IF(JUNIO!B56=0,"",JUNIO!B56)</f>
        <v>Vigencia Anterior</v>
      </c>
      <c r="C56" s="671">
        <f>+ENERO!C56</f>
        <v>0</v>
      </c>
      <c r="D56" s="373">
        <f>JUNIO!D56+JULIO!P56</f>
        <v>0</v>
      </c>
      <c r="E56" s="373">
        <f>JUNIO!E56+JULIO!Q56</f>
        <v>0</v>
      </c>
      <c r="F56" s="373">
        <f>SUM(C56:E56)</f>
        <v>0</v>
      </c>
      <c r="G56" s="373">
        <f>JUNIO!I56</f>
        <v>0</v>
      </c>
      <c r="H56" s="374">
        <v>0</v>
      </c>
      <c r="I56" s="373">
        <f>SUM(G56:H56)</f>
        <v>0</v>
      </c>
      <c r="J56" s="373">
        <f>JUNIO!L56</f>
        <v>0</v>
      </c>
      <c r="K56" s="374">
        <v>0</v>
      </c>
      <c r="L56" s="373">
        <f>SUM(J56:K56)</f>
        <v>0</v>
      </c>
      <c r="M56" s="373">
        <f>F56-I56</f>
        <v>0</v>
      </c>
      <c r="N56" s="143">
        <f>F56-L56</f>
        <v>0</v>
      </c>
      <c r="O56" s="382"/>
      <c r="P56" s="372">
        <v>0</v>
      </c>
      <c r="Q56" s="375">
        <v>0</v>
      </c>
      <c r="R56" s="9"/>
      <c r="S56" s="366" t="str">
        <f>+IF(JUNIO!S56=0,"",JUNIO!S56)</f>
        <v/>
      </c>
      <c r="T56" s="695"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3">
        <f>+IF(JUNIO!A57=0,"",JUNIO!A57)</f>
        <v>1130111</v>
      </c>
      <c r="B57" s="645" t="str">
        <f>+IF(JUNIO!B57=0,"",JUNIO!B57)</f>
        <v>IPS PRIVADAS</v>
      </c>
      <c r="C57" s="43">
        <f t="shared" ref="C57:N57" si="66">SUM(C58:C59)</f>
        <v>133639169</v>
      </c>
      <c r="D57" s="44">
        <f t="shared" si="66"/>
        <v>0</v>
      </c>
      <c r="E57" s="44">
        <f t="shared" si="66"/>
        <v>176960</v>
      </c>
      <c r="F57" s="44">
        <f t="shared" si="66"/>
        <v>133816129</v>
      </c>
      <c r="G57" s="44">
        <f t="shared" si="66"/>
        <v>195132</v>
      </c>
      <c r="H57" s="44">
        <f t="shared" si="66"/>
        <v>0</v>
      </c>
      <c r="I57" s="44">
        <f t="shared" si="66"/>
        <v>195132</v>
      </c>
      <c r="J57" s="44">
        <f t="shared" si="66"/>
        <v>176960</v>
      </c>
      <c r="K57" s="44">
        <f t="shared" si="66"/>
        <v>0</v>
      </c>
      <c r="L57" s="44">
        <f t="shared" si="66"/>
        <v>176960</v>
      </c>
      <c r="M57" s="44">
        <f t="shared" si="66"/>
        <v>133620997</v>
      </c>
      <c r="N57" s="45">
        <f t="shared" si="66"/>
        <v>133639169</v>
      </c>
      <c r="P57" s="43">
        <f>SUM(P58:P59)</f>
        <v>0</v>
      </c>
      <c r="Q57" s="45">
        <f>SUM(Q58:Q59)</f>
        <v>0</v>
      </c>
      <c r="R57" s="9"/>
      <c r="S57" s="704">
        <f>+IF(JUNIO!S57=0,"",JUNIO!S57)</f>
        <v>1010400</v>
      </c>
      <c r="T57" s="680" t="str">
        <f>+IF(JUNIO!T57=0,"",JUNIO!T57)</f>
        <v>Contribuciones Inherentes nómina del Sector Publico</v>
      </c>
      <c r="U57" s="132">
        <f t="shared" ref="U57:AJ57" si="67">U58+U61</f>
        <v>31192586</v>
      </c>
      <c r="V57" s="122">
        <f t="shared" si="67"/>
        <v>0</v>
      </c>
      <c r="W57" s="122">
        <f t="shared" si="67"/>
        <v>0</v>
      </c>
      <c r="X57" s="129">
        <f t="shared" si="67"/>
        <v>31192586</v>
      </c>
      <c r="Y57" s="128">
        <f t="shared" si="67"/>
        <v>11522802</v>
      </c>
      <c r="Z57" s="122">
        <f t="shared" si="67"/>
        <v>1907220</v>
      </c>
      <c r="AA57" s="129">
        <f t="shared" si="67"/>
        <v>13430022</v>
      </c>
      <c r="AB57" s="128">
        <f t="shared" si="67"/>
        <v>11522802</v>
      </c>
      <c r="AC57" s="122">
        <f t="shared" si="67"/>
        <v>1907220</v>
      </c>
      <c r="AD57" s="129">
        <f t="shared" si="67"/>
        <v>13430022</v>
      </c>
      <c r="AE57" s="128">
        <f t="shared" si="67"/>
        <v>11522802</v>
      </c>
      <c r="AF57" s="122">
        <f t="shared" si="67"/>
        <v>1907220</v>
      </c>
      <c r="AG57" s="129">
        <f t="shared" si="67"/>
        <v>13430022</v>
      </c>
      <c r="AH57" s="128">
        <f t="shared" si="67"/>
        <v>17762564</v>
      </c>
      <c r="AI57" s="122">
        <f t="shared" si="67"/>
        <v>17762564</v>
      </c>
      <c r="AJ57" s="130">
        <f t="shared" si="67"/>
        <v>17762564</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+IF(JUNIO!A58=0,"",JUNIO!A58)</f>
        <v>1130111-1</v>
      </c>
      <c r="B58" s="646" t="str">
        <f>+CONCATENATE("Vigencia ",INSTRUCCIONES!$F$3)</f>
        <v>Vigencia 2017</v>
      </c>
      <c r="C58" s="671">
        <f>+ENERO!C58</f>
        <v>133639169</v>
      </c>
      <c r="D58" s="373">
        <f>JUNIO!D58+JULIO!P58</f>
        <v>0</v>
      </c>
      <c r="E58" s="373">
        <f>JUNIO!E58+JULIO!Q58</f>
        <v>0</v>
      </c>
      <c r="F58" s="373">
        <f>SUM(C58:E58)</f>
        <v>133639169</v>
      </c>
      <c r="G58" s="373">
        <f>JUNIO!I58</f>
        <v>18172</v>
      </c>
      <c r="H58" s="374">
        <v>0</v>
      </c>
      <c r="I58" s="373">
        <f>SUM(G58:H58)</f>
        <v>18172</v>
      </c>
      <c r="J58" s="373">
        <f>JUNIO!L58</f>
        <v>0</v>
      </c>
      <c r="K58" s="374">
        <v>0</v>
      </c>
      <c r="L58" s="373">
        <f>SUM(J58:K58)</f>
        <v>0</v>
      </c>
      <c r="M58" s="373">
        <f>F58-I58</f>
        <v>133620997</v>
      </c>
      <c r="N58" s="143">
        <f>F58-L58</f>
        <v>133639169</v>
      </c>
      <c r="O58" s="382"/>
      <c r="P58" s="372">
        <v>0</v>
      </c>
      <c r="Q58" s="375">
        <v>0</v>
      </c>
      <c r="R58" s="9"/>
      <c r="S58" s="705">
        <f>+IF(JUNIO!S58=0,"",JUNIO!S58)</f>
        <v>1010402</v>
      </c>
      <c r="T58" s="681" t="str">
        <f>+IF(JUNIO!T58=0,"",JUNIO!T58)</f>
        <v>Contribuciones - Otros</v>
      </c>
      <c r="U58" s="27">
        <f t="shared" ref="U58:AJ58" si="68">SUM(U59:U60)</f>
        <v>31192586</v>
      </c>
      <c r="V58" s="15">
        <f t="shared" si="68"/>
        <v>0</v>
      </c>
      <c r="W58" s="15">
        <f t="shared" si="68"/>
        <v>0</v>
      </c>
      <c r="X58" s="18">
        <f t="shared" si="68"/>
        <v>31192586</v>
      </c>
      <c r="Y58" s="19">
        <f t="shared" si="68"/>
        <v>11522802</v>
      </c>
      <c r="Z58" s="142">
        <f t="shared" si="68"/>
        <v>1907220</v>
      </c>
      <c r="AA58" s="18">
        <f t="shared" si="68"/>
        <v>13430022</v>
      </c>
      <c r="AB58" s="19">
        <f t="shared" si="68"/>
        <v>11522802</v>
      </c>
      <c r="AC58" s="142">
        <f t="shared" si="68"/>
        <v>1907220</v>
      </c>
      <c r="AD58" s="18">
        <f t="shared" si="68"/>
        <v>13430022</v>
      </c>
      <c r="AE58" s="19">
        <f t="shared" si="68"/>
        <v>11522802</v>
      </c>
      <c r="AF58" s="142">
        <f t="shared" si="68"/>
        <v>1907220</v>
      </c>
      <c r="AG58" s="18">
        <f t="shared" si="68"/>
        <v>13430022</v>
      </c>
      <c r="AH58" s="19">
        <f t="shared" si="68"/>
        <v>17762564</v>
      </c>
      <c r="AI58" s="15">
        <f t="shared" si="68"/>
        <v>17762564</v>
      </c>
      <c r="AJ58" s="16">
        <f t="shared" si="68"/>
        <v>17762564</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+IF(JUNIO!A59=0,"",JUNIO!A59)</f>
        <v>1130111-2</v>
      </c>
      <c r="B59" s="646" t="str">
        <f>+IF(JUNIO!B59=0,"",JUNIO!B59)</f>
        <v>Vigencia Anterior</v>
      </c>
      <c r="C59" s="671">
        <f>+ENERO!C59</f>
        <v>0</v>
      </c>
      <c r="D59" s="373">
        <f>JUNIO!D59+JULIO!P59</f>
        <v>0</v>
      </c>
      <c r="E59" s="373">
        <f>JUNIO!E59+JULIO!Q59</f>
        <v>176960</v>
      </c>
      <c r="F59" s="373">
        <f>SUM(C59:E59)</f>
        <v>176960</v>
      </c>
      <c r="G59" s="373">
        <f>JUNIO!I59</f>
        <v>176960</v>
      </c>
      <c r="H59" s="374">
        <v>0</v>
      </c>
      <c r="I59" s="373">
        <f>SUM(G59:H59)</f>
        <v>176960</v>
      </c>
      <c r="J59" s="373">
        <f>JUNIO!L59</f>
        <v>176960</v>
      </c>
      <c r="K59" s="374">
        <v>0</v>
      </c>
      <c r="L59" s="373">
        <f>SUM(J59:K59)</f>
        <v>176960</v>
      </c>
      <c r="M59" s="373">
        <f>F59-I59</f>
        <v>0</v>
      </c>
      <c r="N59" s="143">
        <f>F59-L59</f>
        <v>0</v>
      </c>
      <c r="O59" s="382"/>
      <c r="P59" s="372">
        <v>0</v>
      </c>
      <c r="Q59" s="375">
        <v>0</v>
      </c>
      <c r="R59" s="9"/>
      <c r="S59" s="706" t="str">
        <f>+IF(JUNIO!S59=0,"",JUNIO!S59)</f>
        <v>1010402-1</v>
      </c>
      <c r="T59" s="681" t="str">
        <f>+IF(JUNIO!T59=0,"",JUNIO!T59)</f>
        <v>S.E.N.A.</v>
      </c>
      <c r="U59" s="27">
        <f>+ENERO!U59</f>
        <v>18775492</v>
      </c>
      <c r="V59" s="15">
        <f>JUNIO!V59+JULIO!AL59</f>
        <v>0</v>
      </c>
      <c r="W59" s="15">
        <f>JUNIO!W59+JULIO!AM59</f>
        <v>0</v>
      </c>
      <c r="X59" s="18">
        <f>SUM(U59:W59)</f>
        <v>18775492</v>
      </c>
      <c r="Y59" s="19">
        <f>JUNIO!AA59</f>
        <v>4608944</v>
      </c>
      <c r="Z59" s="374">
        <v>762888</v>
      </c>
      <c r="AA59" s="18">
        <f>SUM(Y59:Z59)</f>
        <v>5371832</v>
      </c>
      <c r="AB59" s="19">
        <f>JUNIO!AD59</f>
        <v>4608944</v>
      </c>
      <c r="AC59" s="374">
        <v>762888</v>
      </c>
      <c r="AD59" s="18">
        <f>SUM(AB59:AC59)</f>
        <v>5371832</v>
      </c>
      <c r="AE59" s="19">
        <f>JUNIO!AG59</f>
        <v>4608944</v>
      </c>
      <c r="AF59" s="374">
        <v>762888</v>
      </c>
      <c r="AG59" s="18">
        <f>SUM(AE59:AF59)</f>
        <v>5371832</v>
      </c>
      <c r="AH59" s="19">
        <f>X59-AA59</f>
        <v>13403660</v>
      </c>
      <c r="AI59" s="15">
        <f>X59-AD59</f>
        <v>13403660</v>
      </c>
      <c r="AJ59" s="16">
        <f>X59-AG59</f>
        <v>13403660</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3">
        <f>+IF(JUNIO!A60=0,"",JUNIO!A60)</f>
        <v>1130112</v>
      </c>
      <c r="B60" s="645" t="str">
        <f>+IF(JUNIO!B60=0,"",JUNIO!B60)</f>
        <v>IPS PUBLICAS</v>
      </c>
      <c r="C60" s="43">
        <f t="shared" ref="C60:N60" si="69">SUM(C61:C62)</f>
        <v>45194994</v>
      </c>
      <c r="D60" s="44">
        <f t="shared" si="69"/>
        <v>0</v>
      </c>
      <c r="E60" s="44">
        <f t="shared" si="69"/>
        <v>205212</v>
      </c>
      <c r="F60" s="44">
        <f t="shared" si="69"/>
        <v>45400206</v>
      </c>
      <c r="G60" s="44">
        <f t="shared" si="69"/>
        <v>252931574</v>
      </c>
      <c r="H60" s="44">
        <f t="shared" si="69"/>
        <v>2970062</v>
      </c>
      <c r="I60" s="44">
        <f t="shared" si="69"/>
        <v>255901636</v>
      </c>
      <c r="J60" s="44">
        <f t="shared" si="69"/>
        <v>5844315</v>
      </c>
      <c r="K60" s="44">
        <f t="shared" si="69"/>
        <v>0</v>
      </c>
      <c r="L60" s="44">
        <f t="shared" si="69"/>
        <v>5844315</v>
      </c>
      <c r="M60" s="44">
        <f t="shared" si="69"/>
        <v>-210501430</v>
      </c>
      <c r="N60" s="45">
        <f t="shared" si="69"/>
        <v>39555891</v>
      </c>
      <c r="P60" s="43">
        <f>SUM(P61:P62)</f>
        <v>0</v>
      </c>
      <c r="Q60" s="45">
        <f>SUM(Q61:Q62)</f>
        <v>0</v>
      </c>
      <c r="R60" s="9"/>
      <c r="S60" s="706" t="str">
        <f>+IF(JUNIO!S60=0,"",JUNIO!S60)</f>
        <v>1010402-2</v>
      </c>
      <c r="T60" s="681" t="str">
        <f>+IF(JUNIO!T60=0,"",JUNIO!T60)</f>
        <v>I.C.B.F.</v>
      </c>
      <c r="U60" s="27">
        <f>+ENERO!U60</f>
        <v>12417094</v>
      </c>
      <c r="V60" s="15">
        <f>JUNIO!V60+JULIO!AL60</f>
        <v>0</v>
      </c>
      <c r="W60" s="15">
        <f>JUNIO!W60+JULIO!AM60</f>
        <v>0</v>
      </c>
      <c r="X60" s="18">
        <f>SUM(U60:W60)</f>
        <v>12417094</v>
      </c>
      <c r="Y60" s="19">
        <f>JUNIO!AA60</f>
        <v>6913858</v>
      </c>
      <c r="Z60" s="374">
        <v>1144332</v>
      </c>
      <c r="AA60" s="18">
        <f>SUM(Y60:Z60)</f>
        <v>8058190</v>
      </c>
      <c r="AB60" s="19">
        <f>JUNIO!AD60</f>
        <v>6913858</v>
      </c>
      <c r="AC60" s="374">
        <v>1144332</v>
      </c>
      <c r="AD60" s="18">
        <f>SUM(AB60:AC60)</f>
        <v>8058190</v>
      </c>
      <c r="AE60" s="19">
        <f>JUNIO!AG60</f>
        <v>6913858</v>
      </c>
      <c r="AF60" s="374">
        <v>1144332</v>
      </c>
      <c r="AG60" s="18">
        <f>SUM(AE60:AF60)</f>
        <v>8058190</v>
      </c>
      <c r="AH60" s="19">
        <f>X60-AA60</f>
        <v>4358904</v>
      </c>
      <c r="AI60" s="15">
        <f>X60-AD60</f>
        <v>4358904</v>
      </c>
      <c r="AJ60" s="16">
        <f>X60-AG60</f>
        <v>4358904</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+IF(JUNIO!A61=0,"",JUNIO!A61)</f>
        <v>1130112-1</v>
      </c>
      <c r="B61" s="646" t="str">
        <f>+CONCATENATE("Vigencia ",INSTRUCCIONES!$F$3)</f>
        <v>Vigencia 2017</v>
      </c>
      <c r="C61" s="671">
        <f>+ENERO!C61</f>
        <v>45194994</v>
      </c>
      <c r="D61" s="373">
        <f>JUNIO!D61+JULIO!P61</f>
        <v>0</v>
      </c>
      <c r="E61" s="373">
        <f>JUNIO!E61+JULIO!Q61</f>
        <v>0</v>
      </c>
      <c r="F61" s="373">
        <f>SUM(C61:E61)</f>
        <v>45194994</v>
      </c>
      <c r="G61" s="373">
        <f>JUNIO!I61</f>
        <v>251024259</v>
      </c>
      <c r="H61" s="374">
        <v>2970062</v>
      </c>
      <c r="I61" s="373">
        <f>SUM(G61:H61)</f>
        <v>253994321</v>
      </c>
      <c r="J61" s="373">
        <f>JUNIO!L61</f>
        <v>3937000</v>
      </c>
      <c r="K61" s="374">
        <v>0</v>
      </c>
      <c r="L61" s="373">
        <f>SUM(J61:K61)</f>
        <v>3937000</v>
      </c>
      <c r="M61" s="373">
        <f>F61-I61</f>
        <v>-208799327</v>
      </c>
      <c r="N61" s="143">
        <f>F61-L61</f>
        <v>41257994</v>
      </c>
      <c r="O61" s="382"/>
      <c r="P61" s="372">
        <v>0</v>
      </c>
      <c r="Q61" s="375">
        <v>0</v>
      </c>
      <c r="R61" s="9"/>
      <c r="S61" s="705">
        <f>+IF(JUNIO!S61=0,"",JUNIO!S61)</f>
        <v>1010499</v>
      </c>
      <c r="T61" s="681" t="str">
        <f>+IF(JUNIO!T61=0,"",JUNIO!T61)</f>
        <v>Vigencias Anteriores</v>
      </c>
      <c r="U61" s="27">
        <f>+ENERO!U61</f>
        <v>0</v>
      </c>
      <c r="V61" s="15">
        <f>JUNIO!V61+JULIO!AL61</f>
        <v>0</v>
      </c>
      <c r="W61" s="15">
        <f>JUNIO!W61+JULIO!AM61</f>
        <v>0</v>
      </c>
      <c r="X61" s="18">
        <f>SUM(U61:W61)</f>
        <v>0</v>
      </c>
      <c r="Y61" s="19">
        <f>JUNIO!AA61</f>
        <v>0</v>
      </c>
      <c r="Z61" s="374">
        <v>0</v>
      </c>
      <c r="AA61" s="18">
        <f>SUM(Y61:Z61)</f>
        <v>0</v>
      </c>
      <c r="AB61" s="19">
        <f>JUNIO!AD61</f>
        <v>0</v>
      </c>
      <c r="AC61" s="374">
        <v>0</v>
      </c>
      <c r="AD61" s="18">
        <f>SUM(AB61:AC61)</f>
        <v>0</v>
      </c>
      <c r="AE61" s="19">
        <f>JUNIO!AG61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+IF(JUNIO!A62=0,"",JUNIO!A62)</f>
        <v>1130112-2</v>
      </c>
      <c r="B62" s="646" t="str">
        <f>+IF(JUNIO!B62=0,"",JUNIO!B62)</f>
        <v>Vigencia Anterior</v>
      </c>
      <c r="C62" s="671">
        <f>+ENERO!C62</f>
        <v>0</v>
      </c>
      <c r="D62" s="373">
        <f>JUNIO!D62+JULIO!P62</f>
        <v>0</v>
      </c>
      <c r="E62" s="373">
        <f>JUNIO!E62+JULIO!Q62</f>
        <v>205212</v>
      </c>
      <c r="F62" s="373">
        <f>SUM(C62:E62)</f>
        <v>205212</v>
      </c>
      <c r="G62" s="373">
        <f>JUNIO!I62</f>
        <v>1907315</v>
      </c>
      <c r="H62" s="374">
        <v>0</v>
      </c>
      <c r="I62" s="373">
        <f>SUM(G62:H62)</f>
        <v>1907315</v>
      </c>
      <c r="J62" s="373">
        <f>JUNIO!L62</f>
        <v>1907315</v>
      </c>
      <c r="K62" s="374">
        <v>0</v>
      </c>
      <c r="L62" s="373">
        <f>SUM(J62:K62)</f>
        <v>1907315</v>
      </c>
      <c r="M62" s="373">
        <f>F62-I62</f>
        <v>-1702103</v>
      </c>
      <c r="N62" s="143">
        <f>F62-L62</f>
        <v>-1702103</v>
      </c>
      <c r="O62" s="382"/>
      <c r="P62" s="372">
        <v>0</v>
      </c>
      <c r="Q62" s="375">
        <v>0</v>
      </c>
      <c r="R62" s="9"/>
      <c r="S62" s="366" t="str">
        <f>+IF(JUNIO!S62=0,"",JUNIO!S62)</f>
        <v/>
      </c>
      <c r="T62" s="695"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3">
        <f>+IF(JUNIO!A63=0,"",JUNIO!A63)</f>
        <v>1130113</v>
      </c>
      <c r="B63" s="645" t="str">
        <f>+IF(JUNIO!B63=0,"",JUNIO!B63)</f>
        <v>COMPAÑIAS DE SEGUROS  - ACCIDENTES DE TRANSITO (SOAT)</v>
      </c>
      <c r="C63" s="43">
        <f t="shared" ref="C63:N63" si="70">SUM(C64:C65)</f>
        <v>5110724757</v>
      </c>
      <c r="D63" s="44">
        <f t="shared" si="70"/>
        <v>0</v>
      </c>
      <c r="E63" s="44">
        <f t="shared" si="70"/>
        <v>643007295</v>
      </c>
      <c r="F63" s="44">
        <f t="shared" si="70"/>
        <v>5753732052</v>
      </c>
      <c r="G63" s="44">
        <f t="shared" si="70"/>
        <v>1954489468</v>
      </c>
      <c r="H63" s="44">
        <f t="shared" si="70"/>
        <v>351161926</v>
      </c>
      <c r="I63" s="44">
        <f t="shared" si="70"/>
        <v>2305651394</v>
      </c>
      <c r="J63" s="44">
        <f t="shared" si="70"/>
        <v>821244697</v>
      </c>
      <c r="K63" s="44">
        <f t="shared" si="70"/>
        <v>218123234</v>
      </c>
      <c r="L63" s="44">
        <f t="shared" si="70"/>
        <v>1039367931</v>
      </c>
      <c r="M63" s="44">
        <f t="shared" si="70"/>
        <v>3448080658</v>
      </c>
      <c r="N63" s="45">
        <f t="shared" si="70"/>
        <v>4714364121</v>
      </c>
      <c r="P63" s="43">
        <f>SUM(P64:P65)</f>
        <v>0</v>
      </c>
      <c r="Q63" s="45">
        <f>SUM(Q64:Q65)</f>
        <v>0</v>
      </c>
      <c r="R63" s="9"/>
      <c r="S63" s="703">
        <f>+IF(JUNIO!S63=0,"",JUNIO!S63)</f>
        <v>1020010</v>
      </c>
      <c r="T63" s="679" t="str">
        <f>+IF(JUNIO!T63=0,"",JUNIO!T63)</f>
        <v>Gastos de Operación</v>
      </c>
      <c r="U63" s="132">
        <f t="shared" ref="U63:AJ63" si="71">U65+U83+U90+U104</f>
        <v>23745928633</v>
      </c>
      <c r="V63" s="122">
        <f t="shared" si="71"/>
        <v>395995904</v>
      </c>
      <c r="W63" s="122">
        <f t="shared" si="71"/>
        <v>4860553444</v>
      </c>
      <c r="X63" s="129">
        <f t="shared" si="71"/>
        <v>29002477981</v>
      </c>
      <c r="Y63" s="128">
        <f t="shared" si="71"/>
        <v>25005746899</v>
      </c>
      <c r="Z63" s="122">
        <f t="shared" si="71"/>
        <v>-826910332</v>
      </c>
      <c r="AA63" s="129">
        <f t="shared" si="71"/>
        <v>24178836567</v>
      </c>
      <c r="AB63" s="128">
        <f t="shared" si="71"/>
        <v>17507265036</v>
      </c>
      <c r="AC63" s="122">
        <f t="shared" si="71"/>
        <v>2208603453</v>
      </c>
      <c r="AD63" s="129">
        <f t="shared" si="71"/>
        <v>19715868489</v>
      </c>
      <c r="AE63" s="128">
        <f t="shared" si="71"/>
        <v>10016025489</v>
      </c>
      <c r="AF63" s="122">
        <f t="shared" si="71"/>
        <v>2007993726</v>
      </c>
      <c r="AG63" s="129">
        <f t="shared" si="71"/>
        <v>12024019215</v>
      </c>
      <c r="AH63" s="128">
        <f t="shared" si="71"/>
        <v>4823641414</v>
      </c>
      <c r="AI63" s="122">
        <f t="shared" si="71"/>
        <v>9286609492</v>
      </c>
      <c r="AJ63" s="130">
        <f t="shared" si="71"/>
        <v>16978458766</v>
      </c>
      <c r="AK63" s="9"/>
      <c r="AL63" s="128">
        <f>AL65+AL83+AL90+AL104</f>
        <v>248407875</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+IF(JUNIO!A64=0,"",JUNIO!A64)</f>
        <v>1130113-1</v>
      </c>
      <c r="B64" s="646" t="str">
        <f>+CONCATENATE("Vigencia ",INSTRUCCIONES!$F$3)</f>
        <v>Vigencia 2017</v>
      </c>
      <c r="C64" s="671">
        <f>+ENERO!C64</f>
        <v>5110724757</v>
      </c>
      <c r="D64" s="373">
        <f>JUNIO!D64+JULIO!P64</f>
        <v>0</v>
      </c>
      <c r="E64" s="373">
        <f>JUNIO!E64+JULIO!Q64</f>
        <v>0</v>
      </c>
      <c r="F64" s="373">
        <f>SUM(C64:E64)</f>
        <v>5110724757</v>
      </c>
      <c r="G64" s="373">
        <f>JUNIO!I64</f>
        <v>1146937967</v>
      </c>
      <c r="H64" s="374">
        <v>193319151</v>
      </c>
      <c r="I64" s="373">
        <f>SUM(G64:H64)</f>
        <v>1340257118</v>
      </c>
      <c r="J64" s="373">
        <f>JUNIO!L64</f>
        <v>13693196</v>
      </c>
      <c r="K64" s="374">
        <v>60280459</v>
      </c>
      <c r="L64" s="373">
        <f>SUM(J64:K64)</f>
        <v>73973655</v>
      </c>
      <c r="M64" s="373">
        <f>F64-I64</f>
        <v>3770467639</v>
      </c>
      <c r="N64" s="143">
        <f>F64-L64</f>
        <v>5036751102</v>
      </c>
      <c r="O64" s="382"/>
      <c r="P64" s="372">
        <v>0</v>
      </c>
      <c r="Q64" s="375">
        <v>0</v>
      </c>
      <c r="R64" s="9"/>
      <c r="S64" s="366" t="str">
        <f>+IF(JUNIO!S64=0,"",JUNIO!S64)</f>
        <v/>
      </c>
      <c r="T64" s="695"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+IF(JUNIO!A65=0,"",JUNIO!A65)</f>
        <v>1130113-2</v>
      </c>
      <c r="B65" s="646" t="str">
        <f>+IF(JUNIO!B65=0,"",JUNIO!B65)</f>
        <v>Vigencia Anterior</v>
      </c>
      <c r="C65" s="671">
        <f>+ENERO!C65</f>
        <v>0</v>
      </c>
      <c r="D65" s="373">
        <f>JUNIO!D65+JULIO!P65</f>
        <v>0</v>
      </c>
      <c r="E65" s="373">
        <f>JUNIO!E65+JULIO!Q65</f>
        <v>643007295</v>
      </c>
      <c r="F65" s="373">
        <f>SUM(C65:E65)</f>
        <v>643007295</v>
      </c>
      <c r="G65" s="373">
        <f>JUNIO!I65</f>
        <v>807551501</v>
      </c>
      <c r="H65" s="374">
        <v>157842775</v>
      </c>
      <c r="I65" s="373">
        <f>SUM(G65:H65)</f>
        <v>965394276</v>
      </c>
      <c r="J65" s="373">
        <f>JUNIO!L65</f>
        <v>807551501</v>
      </c>
      <c r="K65" s="374">
        <v>157842775</v>
      </c>
      <c r="L65" s="373">
        <f>SUM(J65:K65)</f>
        <v>965394276</v>
      </c>
      <c r="M65" s="373">
        <f>F65-I65</f>
        <v>-322386981</v>
      </c>
      <c r="N65" s="143">
        <f>F65-L65</f>
        <v>-322386981</v>
      </c>
      <c r="O65" s="382"/>
      <c r="P65" s="372">
        <v>0</v>
      </c>
      <c r="Q65" s="375">
        <v>0</v>
      </c>
      <c r="R65" s="9"/>
      <c r="S65" s="704">
        <f>+IF(JUNIO!S65=0,"",JUNIO!S65)</f>
        <v>1020100</v>
      </c>
      <c r="T65" s="680" t="str">
        <f>+IF(JUNIO!T65=0,"",JUNIO!T65)</f>
        <v>Servicios Personales Asociados a Nómina</v>
      </c>
      <c r="U65" s="132">
        <f t="shared" ref="U65:AJ65" si="72">SUM(U66:U69)+U81</f>
        <v>1210753694</v>
      </c>
      <c r="V65" s="122">
        <f t="shared" si="72"/>
        <v>0</v>
      </c>
      <c r="W65" s="122">
        <f t="shared" si="72"/>
        <v>68455774</v>
      </c>
      <c r="X65" s="129">
        <f t="shared" si="72"/>
        <v>1279209468</v>
      </c>
      <c r="Y65" s="128">
        <f t="shared" si="72"/>
        <v>534792082</v>
      </c>
      <c r="Z65" s="122">
        <f t="shared" si="72"/>
        <v>108035969</v>
      </c>
      <c r="AA65" s="129">
        <f t="shared" si="72"/>
        <v>642828051</v>
      </c>
      <c r="AB65" s="128">
        <f t="shared" si="72"/>
        <v>534792082</v>
      </c>
      <c r="AC65" s="122">
        <f t="shared" si="72"/>
        <v>108035969</v>
      </c>
      <c r="AD65" s="129">
        <f t="shared" si="72"/>
        <v>642828051</v>
      </c>
      <c r="AE65" s="128">
        <f t="shared" si="72"/>
        <v>534792082</v>
      </c>
      <c r="AF65" s="122">
        <f t="shared" si="72"/>
        <v>108035969</v>
      </c>
      <c r="AG65" s="129">
        <f t="shared" si="72"/>
        <v>642828051</v>
      </c>
      <c r="AH65" s="128">
        <f t="shared" si="72"/>
        <v>636381417</v>
      </c>
      <c r="AI65" s="122">
        <f t="shared" si="72"/>
        <v>636381417</v>
      </c>
      <c r="AJ65" s="130">
        <f t="shared" si="72"/>
        <v>636381417</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3">
        <f>+IF(JUNIO!A66=0,"",JUNIO!A66)</f>
        <v>1130114</v>
      </c>
      <c r="B66" s="645" t="str">
        <f>+IF(JUNIO!B66=0,"",JUNIO!B66)</f>
        <v xml:space="preserve">COMPAÑIAS DE SEGUROS  - PLANES DE SALUD  </v>
      </c>
      <c r="C66" s="43">
        <f t="shared" ref="C66:N66" si="73">SUM(C67:C68)</f>
        <v>0</v>
      </c>
      <c r="D66" s="44">
        <f t="shared" si="73"/>
        <v>0</v>
      </c>
      <c r="E66" s="44">
        <f t="shared" si="73"/>
        <v>15049906</v>
      </c>
      <c r="F66" s="44">
        <f t="shared" si="73"/>
        <v>15049906</v>
      </c>
      <c r="G66" s="44">
        <f t="shared" si="73"/>
        <v>307650699</v>
      </c>
      <c r="H66" s="44">
        <f t="shared" si="73"/>
        <v>39412398</v>
      </c>
      <c r="I66" s="44">
        <f t="shared" si="73"/>
        <v>347063097</v>
      </c>
      <c r="J66" s="44">
        <f t="shared" si="73"/>
        <v>23280608</v>
      </c>
      <c r="K66" s="44">
        <f t="shared" si="73"/>
        <v>34417930</v>
      </c>
      <c r="L66" s="44">
        <f t="shared" si="73"/>
        <v>57698538</v>
      </c>
      <c r="M66" s="44">
        <f t="shared" si="73"/>
        <v>-332013191</v>
      </c>
      <c r="N66" s="45">
        <f t="shared" si="73"/>
        <v>-42648632</v>
      </c>
      <c r="P66" s="43">
        <f>SUM(P67:P68)</f>
        <v>0</v>
      </c>
      <c r="Q66" s="45">
        <f>SUM(Q67:Q68)</f>
        <v>0</v>
      </c>
      <c r="R66" s="9"/>
      <c r="S66" s="705">
        <f>+IF(JUNIO!S66=0,"",JUNIO!S66)</f>
        <v>1020101</v>
      </c>
      <c r="T66" s="681" t="str">
        <f>+IF(JUNIO!T66=0,"",JUNIO!T66)</f>
        <v>Sueldos del Personal de nómina</v>
      </c>
      <c r="U66" s="27">
        <f>+ENERO!U66</f>
        <v>893219355</v>
      </c>
      <c r="V66" s="15">
        <f>JUNIO!V66+JULIO!AL66</f>
        <v>0</v>
      </c>
      <c r="W66" s="15">
        <f>JUNIO!W66+JULIO!AM66</f>
        <v>0</v>
      </c>
      <c r="X66" s="18">
        <f>SUM(U66:W66)</f>
        <v>893219355</v>
      </c>
      <c r="Y66" s="19">
        <f>JUNIO!AA66</f>
        <v>391291244</v>
      </c>
      <c r="Z66" s="374">
        <v>61452955</v>
      </c>
      <c r="AA66" s="18">
        <f>SUM(Y66:Z66)</f>
        <v>452744199</v>
      </c>
      <c r="AB66" s="19">
        <f>JUNIO!AD66</f>
        <v>391291244</v>
      </c>
      <c r="AC66" s="374">
        <v>61452955</v>
      </c>
      <c r="AD66" s="18">
        <f>SUM(AB66:AC66)</f>
        <v>452744199</v>
      </c>
      <c r="AE66" s="19">
        <f>JUNIO!AG66</f>
        <v>391291244</v>
      </c>
      <c r="AF66" s="374">
        <v>61452955</v>
      </c>
      <c r="AG66" s="18">
        <f>SUM(AE66:AF66)</f>
        <v>452744199</v>
      </c>
      <c r="AH66" s="19">
        <f>X66-AA66</f>
        <v>440475156</v>
      </c>
      <c r="AI66" s="15">
        <f>X66-AD66</f>
        <v>440475156</v>
      </c>
      <c r="AJ66" s="16">
        <f>X66-AG66</f>
        <v>440475156</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+IF(JUNIO!A67=0,"",JUNIO!A67)</f>
        <v>1130114-1</v>
      </c>
      <c r="B67" s="646" t="str">
        <f>+CONCATENATE("Vigencia ",INSTRUCCIONES!$F$3)</f>
        <v>Vigencia 2017</v>
      </c>
      <c r="C67" s="671">
        <f>+ENERO!C67</f>
        <v>0</v>
      </c>
      <c r="D67" s="373">
        <f>JUNIO!D67+JULIO!P67</f>
        <v>0</v>
      </c>
      <c r="E67" s="373">
        <f>JUNIO!E67+JULIO!Q67</f>
        <v>0</v>
      </c>
      <c r="F67" s="373">
        <f>SUM(C67:E67)</f>
        <v>0</v>
      </c>
      <c r="G67" s="373">
        <f>JUNIO!I67</f>
        <v>286425865</v>
      </c>
      <c r="H67" s="374">
        <v>6828641</v>
      </c>
      <c r="I67" s="373">
        <f>SUM(G67:H67)</f>
        <v>293254506</v>
      </c>
      <c r="J67" s="373">
        <f>JUNIO!L67</f>
        <v>2055774</v>
      </c>
      <c r="K67" s="374">
        <v>1834173</v>
      </c>
      <c r="L67" s="373">
        <f>SUM(J67:K67)</f>
        <v>3889947</v>
      </c>
      <c r="M67" s="373">
        <f>F67-I67</f>
        <v>-293254506</v>
      </c>
      <c r="N67" s="143">
        <f>F67-L67</f>
        <v>-3889947</v>
      </c>
      <c r="O67" s="382"/>
      <c r="P67" s="372">
        <v>0</v>
      </c>
      <c r="Q67" s="375">
        <v>0</v>
      </c>
      <c r="R67" s="9"/>
      <c r="S67" s="705">
        <f>+IF(JUNIO!S67=0,"",JUNIO!S67)</f>
        <v>1020102</v>
      </c>
      <c r="T67" s="681" t="str">
        <f>+IF(JUNIO!T67=0,"",JUNIO!T67)</f>
        <v>Horas Extras,Dominic.,Festivos y Rec. Nocturnos</v>
      </c>
      <c r="U67" s="27">
        <f>+ENERO!U67</f>
        <v>36988810</v>
      </c>
      <c r="V67" s="15">
        <f>JUNIO!V67+JULIO!AL67</f>
        <v>0</v>
      </c>
      <c r="W67" s="15">
        <f>JUNIO!W67+JULIO!AM67</f>
        <v>36000000</v>
      </c>
      <c r="X67" s="18">
        <f>SUM(U67:W67)</f>
        <v>72988810</v>
      </c>
      <c r="Y67" s="19">
        <f>JUNIO!AA67</f>
        <v>42558037</v>
      </c>
      <c r="Z67" s="374">
        <v>6187887</v>
      </c>
      <c r="AA67" s="18">
        <f>SUM(Y67:Z67)</f>
        <v>48745924</v>
      </c>
      <c r="AB67" s="19">
        <f>JUNIO!AD67</f>
        <v>42558037</v>
      </c>
      <c r="AC67" s="374">
        <v>6187887</v>
      </c>
      <c r="AD67" s="18">
        <f>SUM(AB67:AC67)</f>
        <v>48745924</v>
      </c>
      <c r="AE67" s="19">
        <f>JUNIO!AG67</f>
        <v>42558037</v>
      </c>
      <c r="AF67" s="374">
        <v>6187887</v>
      </c>
      <c r="AG67" s="18">
        <f>SUM(AE67:AF67)</f>
        <v>48745924</v>
      </c>
      <c r="AH67" s="19">
        <f>X67-AA67</f>
        <v>24242886</v>
      </c>
      <c r="AI67" s="15">
        <f>X67-AD67</f>
        <v>24242886</v>
      </c>
      <c r="AJ67" s="16">
        <f>X67-AG67</f>
        <v>24242886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+IF(JUNIO!A68=0,"",JUNIO!A68)</f>
        <v>1130114-2</v>
      </c>
      <c r="B68" s="646" t="str">
        <f>+IF(JUNIO!B68=0,"",JUNIO!B68)</f>
        <v>Vigencia Anterior</v>
      </c>
      <c r="C68" s="671">
        <f>+ENERO!C68</f>
        <v>0</v>
      </c>
      <c r="D68" s="373">
        <f>JUNIO!D68+JULIO!P68</f>
        <v>0</v>
      </c>
      <c r="E68" s="373">
        <f>JUNIO!E68+JULIO!Q68</f>
        <v>15049906</v>
      </c>
      <c r="F68" s="373">
        <f>SUM(C68:E68)</f>
        <v>15049906</v>
      </c>
      <c r="G68" s="373">
        <f>JUNIO!I68</f>
        <v>21224834</v>
      </c>
      <c r="H68" s="374">
        <v>32583757</v>
      </c>
      <c r="I68" s="373">
        <f>SUM(G68:H68)</f>
        <v>53808591</v>
      </c>
      <c r="J68" s="373">
        <f>JUNIO!L68</f>
        <v>21224834</v>
      </c>
      <c r="K68" s="374">
        <v>32583757</v>
      </c>
      <c r="L68" s="373">
        <f>SUM(J68:K68)</f>
        <v>53808591</v>
      </c>
      <c r="M68" s="373">
        <f>F68-I68</f>
        <v>-38758685</v>
      </c>
      <c r="N68" s="143">
        <f>F68-L68</f>
        <v>-38758685</v>
      </c>
      <c r="O68" s="382"/>
      <c r="P68" s="372">
        <v>0</v>
      </c>
      <c r="Q68" s="375">
        <v>0</v>
      </c>
      <c r="R68" s="9"/>
      <c r="S68" s="705">
        <f>+IF(JUNIO!S68=0,"",JUNIO!S68)</f>
        <v>1020103</v>
      </c>
      <c r="T68" s="681" t="str">
        <f>+IF(JUNIO!T68=0,"",JUNIO!T68)</f>
        <v>Prima Técnica</v>
      </c>
      <c r="U68" s="27">
        <f>+ENERO!U68</f>
        <v>0</v>
      </c>
      <c r="V68" s="15">
        <f>JUNIO!V68+JULIO!AL68</f>
        <v>0</v>
      </c>
      <c r="W68" s="15">
        <f>JUNIO!W68+JULIO!AM68</f>
        <v>0</v>
      </c>
      <c r="X68" s="18">
        <f>SUM(U68:W68)</f>
        <v>0</v>
      </c>
      <c r="Y68" s="19">
        <f>JUNIO!AA68</f>
        <v>0</v>
      </c>
      <c r="Z68" s="374">
        <v>0</v>
      </c>
      <c r="AA68" s="18">
        <f>SUM(Y68:Z68)</f>
        <v>0</v>
      </c>
      <c r="AB68" s="19">
        <f>JUNIO!AD68</f>
        <v>0</v>
      </c>
      <c r="AC68" s="374">
        <v>0</v>
      </c>
      <c r="AD68" s="18">
        <f>SUM(AB68:AC68)</f>
        <v>0</v>
      </c>
      <c r="AE68" s="19">
        <f>JUNIO!AG68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3">
        <f>+IF(JUNIO!A69=0,"",JUNIO!A69)</f>
        <v>1130115</v>
      </c>
      <c r="B69" s="645" t="str">
        <f>+IF(JUNIO!B69=0,"",JUNIO!B69)</f>
        <v>ENTIDADES DE REGIMEN ESPECIAL (Magisterio, Fuerza Pca.)</v>
      </c>
      <c r="C69" s="43">
        <f t="shared" ref="C69:N69" si="74">SUM(C70:C71)</f>
        <v>1373481412</v>
      </c>
      <c r="D69" s="44">
        <f t="shared" si="74"/>
        <v>0</v>
      </c>
      <c r="E69" s="44">
        <f t="shared" si="74"/>
        <v>1397597619</v>
      </c>
      <c r="F69" s="44">
        <f t="shared" si="74"/>
        <v>2771079031</v>
      </c>
      <c r="G69" s="44">
        <f t="shared" si="74"/>
        <v>3993944939</v>
      </c>
      <c r="H69" s="44">
        <f t="shared" si="74"/>
        <v>507332910</v>
      </c>
      <c r="I69" s="44">
        <f t="shared" si="74"/>
        <v>4501277849</v>
      </c>
      <c r="J69" s="44">
        <f t="shared" si="74"/>
        <v>2103724665</v>
      </c>
      <c r="K69" s="44">
        <f t="shared" si="74"/>
        <v>301224031</v>
      </c>
      <c r="L69" s="44">
        <f t="shared" si="74"/>
        <v>2404948696</v>
      </c>
      <c r="M69" s="44">
        <f t="shared" si="74"/>
        <v>-1730198818</v>
      </c>
      <c r="N69" s="45">
        <f t="shared" si="74"/>
        <v>366130335</v>
      </c>
      <c r="P69" s="43">
        <f>SUM(P70:P71)</f>
        <v>0</v>
      </c>
      <c r="Q69" s="45">
        <f>SUM(Q70:Q71)</f>
        <v>0</v>
      </c>
      <c r="R69" s="9"/>
      <c r="S69" s="705">
        <f>+IF(JUNIO!S69=0,"",JUNIO!S69)</f>
        <v>1020104</v>
      </c>
      <c r="T69" s="681" t="str">
        <f>+IF(JUNIO!T69=0,"",JUNIO!T69)</f>
        <v>Otros</v>
      </c>
      <c r="U69" s="27">
        <f t="shared" ref="U69:AJ69" si="75">SUM(U70:U80)</f>
        <v>280545529</v>
      </c>
      <c r="V69" s="15">
        <f t="shared" si="75"/>
        <v>0</v>
      </c>
      <c r="W69" s="15">
        <f t="shared" si="75"/>
        <v>32455774</v>
      </c>
      <c r="X69" s="18">
        <f t="shared" si="75"/>
        <v>313001303</v>
      </c>
      <c r="Y69" s="19">
        <f t="shared" si="75"/>
        <v>100942801</v>
      </c>
      <c r="Z69" s="142">
        <f t="shared" si="75"/>
        <v>40395127</v>
      </c>
      <c r="AA69" s="18">
        <f t="shared" si="75"/>
        <v>141337928</v>
      </c>
      <c r="AB69" s="19">
        <f t="shared" si="75"/>
        <v>100942801</v>
      </c>
      <c r="AC69" s="142">
        <f t="shared" si="75"/>
        <v>40395127</v>
      </c>
      <c r="AD69" s="18">
        <f t="shared" si="75"/>
        <v>141337928</v>
      </c>
      <c r="AE69" s="19">
        <f t="shared" si="75"/>
        <v>100942801</v>
      </c>
      <c r="AF69" s="142">
        <f t="shared" si="75"/>
        <v>40395127</v>
      </c>
      <c r="AG69" s="18">
        <f t="shared" si="75"/>
        <v>141337928</v>
      </c>
      <c r="AH69" s="19">
        <f t="shared" si="75"/>
        <v>171663375</v>
      </c>
      <c r="AI69" s="15">
        <f t="shared" si="75"/>
        <v>171663375</v>
      </c>
      <c r="AJ69" s="16">
        <f t="shared" si="75"/>
        <v>171663375</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+IF(JUNIO!A70=0,"",JUNIO!A70)</f>
        <v>1130115-1</v>
      </c>
      <c r="B70" s="646" t="str">
        <f>+CONCATENATE("Vigencia ",INSTRUCCIONES!$F$3)</f>
        <v>Vigencia 2017</v>
      </c>
      <c r="C70" s="671">
        <f>+ENERO!C70</f>
        <v>1373481412</v>
      </c>
      <c r="D70" s="373">
        <f>JUNIO!D70+JULIO!P70</f>
        <v>0</v>
      </c>
      <c r="E70" s="373">
        <f>JUNIO!E70+JULIO!Q70</f>
        <v>0</v>
      </c>
      <c r="F70" s="373">
        <f>SUM(C70:E70)</f>
        <v>1373481412</v>
      </c>
      <c r="G70" s="373">
        <f>JUNIO!I70</f>
        <v>1891324603</v>
      </c>
      <c r="H70" s="374">
        <v>506197679</v>
      </c>
      <c r="I70" s="373">
        <f>SUM(G70:H70)</f>
        <v>2397522282</v>
      </c>
      <c r="J70" s="373">
        <f>JUNIO!L70</f>
        <v>1104329</v>
      </c>
      <c r="K70" s="374">
        <v>300088800</v>
      </c>
      <c r="L70" s="373">
        <f>SUM(J70:K70)</f>
        <v>301193129</v>
      </c>
      <c r="M70" s="373">
        <f>F70-I70</f>
        <v>-1024040870</v>
      </c>
      <c r="N70" s="143">
        <f>F70-L70</f>
        <v>1072288283</v>
      </c>
      <c r="O70" s="382"/>
      <c r="P70" s="372">
        <v>0</v>
      </c>
      <c r="Q70" s="375">
        <v>0</v>
      </c>
      <c r="R70" s="9"/>
      <c r="S70" s="706" t="str">
        <f>+IF(JUNIO!S70=0,"",JUNIO!S70)</f>
        <v>1020104-1</v>
      </c>
      <c r="T70" s="682" t="str">
        <f>+IF(JUNIO!T70=0,"",JUNIO!T70)</f>
        <v xml:space="preserve">Prima de Navidad </v>
      </c>
      <c r="U70" s="27">
        <f>+ENERO!U70</f>
        <v>72165521</v>
      </c>
      <c r="V70" s="15">
        <f>JUNIO!V70+JULIO!AL70</f>
        <v>0</v>
      </c>
      <c r="W70" s="15">
        <f>JUNIO!W70+JULIO!AM70</f>
        <v>0</v>
      </c>
      <c r="X70" s="18">
        <f t="shared" ref="X70:X81" si="76">SUM(U70:W70)</f>
        <v>72165521</v>
      </c>
      <c r="Y70" s="19">
        <f>JUNIO!AA70</f>
        <v>0</v>
      </c>
      <c r="Z70" s="374">
        <v>0</v>
      </c>
      <c r="AA70" s="18">
        <f t="shared" ref="AA70:AA81" si="77">SUM(Y70:Z70)</f>
        <v>0</v>
      </c>
      <c r="AB70" s="19">
        <f>JUNIO!AD70</f>
        <v>0</v>
      </c>
      <c r="AC70" s="374">
        <v>0</v>
      </c>
      <c r="AD70" s="18">
        <f t="shared" ref="AD70:AD81" si="78">SUM(AB70:AC70)</f>
        <v>0</v>
      </c>
      <c r="AE70" s="19">
        <f>JUNIO!AG70</f>
        <v>0</v>
      </c>
      <c r="AF70" s="374">
        <v>0</v>
      </c>
      <c r="AG70" s="18">
        <f t="shared" ref="AG70:AG81" si="79">SUM(AE70:AF70)</f>
        <v>0</v>
      </c>
      <c r="AH70" s="19">
        <f t="shared" ref="AH70:AH81" si="80">X70-AA70</f>
        <v>72165521</v>
      </c>
      <c r="AI70" s="15">
        <f t="shared" ref="AI70:AI81" si="81">X70-AD70</f>
        <v>72165521</v>
      </c>
      <c r="AJ70" s="16">
        <f t="shared" ref="AJ70:AJ81" si="82">X70-AG70</f>
        <v>72165521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+IF(JUNIO!A71=0,"",JUNIO!A71)</f>
        <v>1130115-2</v>
      </c>
      <c r="B71" s="646" t="str">
        <f>+IF(JUNIO!B71=0,"",JUNIO!B71)</f>
        <v>Vigencia Anterior</v>
      </c>
      <c r="C71" s="671">
        <f>+ENERO!C71</f>
        <v>0</v>
      </c>
      <c r="D71" s="373">
        <f>JUNIO!D71+JULIO!P71</f>
        <v>0</v>
      </c>
      <c r="E71" s="373">
        <f>JUNIO!E71+JULIO!Q71</f>
        <v>1397597619</v>
      </c>
      <c r="F71" s="373">
        <f>SUM(C71:E71)</f>
        <v>1397597619</v>
      </c>
      <c r="G71" s="373">
        <f>JUNIO!I71</f>
        <v>2102620336</v>
      </c>
      <c r="H71" s="374">
        <v>1135231</v>
      </c>
      <c r="I71" s="373">
        <f>SUM(G71:H71)</f>
        <v>2103755567</v>
      </c>
      <c r="J71" s="373">
        <f>JUNIO!L71</f>
        <v>2102620336</v>
      </c>
      <c r="K71" s="374">
        <v>1135231</v>
      </c>
      <c r="L71" s="373">
        <f>SUM(J71:K71)</f>
        <v>2103755567</v>
      </c>
      <c r="M71" s="373">
        <f>F71-I71</f>
        <v>-706157948</v>
      </c>
      <c r="N71" s="143">
        <f>F71-L71</f>
        <v>-706157948</v>
      </c>
      <c r="O71" s="382"/>
      <c r="P71" s="372">
        <v>0</v>
      </c>
      <c r="Q71" s="375">
        <v>0</v>
      </c>
      <c r="R71" s="9"/>
      <c r="S71" s="706" t="str">
        <f>+IF(JUNIO!S71=0,"",JUNIO!S71)</f>
        <v>1020104-2</v>
      </c>
      <c r="T71" s="682" t="str">
        <f>+IF(JUNIO!T71=0,"",JUNIO!T71)</f>
        <v>Prima Vida Cara</v>
      </c>
      <c r="U71" s="27">
        <f>+ENERO!U71</f>
        <v>65329386</v>
      </c>
      <c r="V71" s="15">
        <f>JUNIO!V71+JULIO!AL71</f>
        <v>0</v>
      </c>
      <c r="W71" s="15">
        <f>JUNIO!W71+JULIO!AM71</f>
        <v>32455774</v>
      </c>
      <c r="X71" s="18">
        <f t="shared" si="76"/>
        <v>97785160</v>
      </c>
      <c r="Y71" s="19">
        <f>JUNIO!AA71</f>
        <v>32455774</v>
      </c>
      <c r="Z71" s="374">
        <v>0</v>
      </c>
      <c r="AA71" s="18">
        <f t="shared" si="77"/>
        <v>32455774</v>
      </c>
      <c r="AB71" s="19">
        <f>JUNIO!AD71</f>
        <v>32455774</v>
      </c>
      <c r="AC71" s="374">
        <v>0</v>
      </c>
      <c r="AD71" s="18">
        <f t="shared" si="78"/>
        <v>32455774</v>
      </c>
      <c r="AE71" s="19">
        <f>JUNIO!AG71</f>
        <v>32455774</v>
      </c>
      <c r="AF71" s="374">
        <v>0</v>
      </c>
      <c r="AG71" s="18">
        <f t="shared" si="79"/>
        <v>32455774</v>
      </c>
      <c r="AH71" s="19">
        <f t="shared" si="80"/>
        <v>65329386</v>
      </c>
      <c r="AI71" s="15">
        <f t="shared" si="81"/>
        <v>65329386</v>
      </c>
      <c r="AJ71" s="16">
        <f t="shared" si="82"/>
        <v>65329386</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3">
        <f>+IF(JUNIO!A72=0,"",JUNIO!A72)</f>
        <v>1130116</v>
      </c>
      <c r="B72" s="645" t="str">
        <f>+IF(JUNIO!B72=0,"",JUNIO!B72)</f>
        <v>ADMINISTRADORAS DE RIESGOS PROFESIONALES</v>
      </c>
      <c r="C72" s="43">
        <f t="shared" ref="C72:N72" si="83">SUM(C73:C74)</f>
        <v>474083630</v>
      </c>
      <c r="D72" s="44">
        <f t="shared" si="83"/>
        <v>0</v>
      </c>
      <c r="E72" s="44">
        <f t="shared" si="83"/>
        <v>95549787</v>
      </c>
      <c r="F72" s="44">
        <f t="shared" si="83"/>
        <v>569633417</v>
      </c>
      <c r="G72" s="44">
        <f t="shared" si="83"/>
        <v>308177857</v>
      </c>
      <c r="H72" s="44">
        <f t="shared" si="83"/>
        <v>31256714</v>
      </c>
      <c r="I72" s="44">
        <f t="shared" si="83"/>
        <v>339434571</v>
      </c>
      <c r="J72" s="44">
        <f t="shared" si="83"/>
        <v>205874080</v>
      </c>
      <c r="K72" s="44">
        <f t="shared" si="83"/>
        <v>5700441</v>
      </c>
      <c r="L72" s="44">
        <f t="shared" si="83"/>
        <v>211574521</v>
      </c>
      <c r="M72" s="44">
        <f t="shared" si="83"/>
        <v>230198846</v>
      </c>
      <c r="N72" s="45">
        <f t="shared" si="83"/>
        <v>358058896</v>
      </c>
      <c r="P72" s="43">
        <f>SUM(P73:P74)</f>
        <v>0</v>
      </c>
      <c r="Q72" s="45">
        <f>SUM(Q73:Q74)</f>
        <v>0</v>
      </c>
      <c r="R72" s="9"/>
      <c r="S72" s="706" t="str">
        <f>+IF(JUNIO!S72=0,"",JUNIO!S72)</f>
        <v>1020104-3</v>
      </c>
      <c r="T72" s="682" t="str">
        <f>+IF(JUNIO!T72=0,"",JUNIO!T72)</f>
        <v>Prima de Vacaciones</v>
      </c>
      <c r="U72" s="27">
        <f>+ENERO!U72</f>
        <v>34829886</v>
      </c>
      <c r="V72" s="15">
        <f>JUNIO!V72+JULIO!AL72</f>
        <v>0</v>
      </c>
      <c r="W72" s="15">
        <f>JUNIO!W72+JULIO!AM72</f>
        <v>0</v>
      </c>
      <c r="X72" s="18">
        <f t="shared" si="76"/>
        <v>34829886</v>
      </c>
      <c r="Y72" s="19">
        <f>JUNIO!AA72</f>
        <v>13783851</v>
      </c>
      <c r="Z72" s="374">
        <v>0</v>
      </c>
      <c r="AA72" s="18">
        <f t="shared" si="77"/>
        <v>13783851</v>
      </c>
      <c r="AB72" s="19">
        <f>JUNIO!AD72</f>
        <v>13783851</v>
      </c>
      <c r="AC72" s="374">
        <v>0</v>
      </c>
      <c r="AD72" s="18">
        <f t="shared" si="78"/>
        <v>13783851</v>
      </c>
      <c r="AE72" s="19">
        <f>JUNIO!AG72</f>
        <v>13783851</v>
      </c>
      <c r="AF72" s="374">
        <v>0</v>
      </c>
      <c r="AG72" s="18">
        <f t="shared" si="79"/>
        <v>13783851</v>
      </c>
      <c r="AH72" s="19">
        <f t="shared" si="80"/>
        <v>21046035</v>
      </c>
      <c r="AI72" s="15">
        <f t="shared" si="81"/>
        <v>21046035</v>
      </c>
      <c r="AJ72" s="16">
        <f t="shared" si="82"/>
        <v>21046035</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+IF(JUNIO!A73=0,"",JUNIO!A73)</f>
        <v>1130116-1</v>
      </c>
      <c r="B73" s="646" t="str">
        <f>+CONCATENATE("Vigencia ",INSTRUCCIONES!$F$3)</f>
        <v>Vigencia 2017</v>
      </c>
      <c r="C73" s="671">
        <f>+ENERO!C73</f>
        <v>474083630</v>
      </c>
      <c r="D73" s="373">
        <f>JUNIO!D73+JULIO!P73</f>
        <v>0</v>
      </c>
      <c r="E73" s="373">
        <f>JUNIO!E73+JULIO!Q73</f>
        <v>0</v>
      </c>
      <c r="F73" s="373">
        <f>SUM(C73:E73)</f>
        <v>474083630</v>
      </c>
      <c r="G73" s="373">
        <f>JUNIO!I73</f>
        <v>103836883</v>
      </c>
      <c r="H73" s="374">
        <v>28983061</v>
      </c>
      <c r="I73" s="373">
        <f>SUM(G73:H73)</f>
        <v>132819944</v>
      </c>
      <c r="J73" s="373">
        <f>JUNIO!L73</f>
        <v>1533106</v>
      </c>
      <c r="K73" s="374">
        <v>3426788</v>
      </c>
      <c r="L73" s="373">
        <f>SUM(J73:K73)</f>
        <v>4959894</v>
      </c>
      <c r="M73" s="373">
        <f>F73-I73</f>
        <v>341263686</v>
      </c>
      <c r="N73" s="143">
        <f>F73-L73</f>
        <v>469123736</v>
      </c>
      <c r="O73" s="382"/>
      <c r="P73" s="372">
        <v>0</v>
      </c>
      <c r="Q73" s="375">
        <v>0</v>
      </c>
      <c r="R73" s="9"/>
      <c r="S73" s="706" t="str">
        <f>+IF(JUNIO!S73=0,"",JUNIO!S73)</f>
        <v>1020104-4</v>
      </c>
      <c r="T73" s="682" t="str">
        <f>+IF(JUNIO!T73=0,"",JUNIO!T73)</f>
        <v>Prima Clima</v>
      </c>
      <c r="U73" s="27">
        <f>+ENERO!U73</f>
        <v>0</v>
      </c>
      <c r="V73" s="15">
        <f>JUNIO!V73+JULIO!AL73</f>
        <v>0</v>
      </c>
      <c r="W73" s="15">
        <f>JUNIO!W73+JULIO!AM73</f>
        <v>0</v>
      </c>
      <c r="X73" s="18">
        <f t="shared" si="76"/>
        <v>0</v>
      </c>
      <c r="Y73" s="19">
        <f>JUNIO!AA73</f>
        <v>0</v>
      </c>
      <c r="Z73" s="374">
        <v>0</v>
      </c>
      <c r="AA73" s="18">
        <f t="shared" si="77"/>
        <v>0</v>
      </c>
      <c r="AB73" s="19">
        <f>JUNIO!AD73</f>
        <v>0</v>
      </c>
      <c r="AC73" s="374">
        <v>0</v>
      </c>
      <c r="AD73" s="18">
        <f t="shared" si="78"/>
        <v>0</v>
      </c>
      <c r="AE73" s="19">
        <f>JUNIO!AG73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+IF(JUNIO!A74=0,"",JUNIO!A74)</f>
        <v>1130116-2</v>
      </c>
      <c r="B74" s="646" t="str">
        <f>+IF(JUNIO!B74=0,"",JUNIO!B74)</f>
        <v>Vigencia Anterior</v>
      </c>
      <c r="C74" s="671">
        <f>+ENERO!C74</f>
        <v>0</v>
      </c>
      <c r="D74" s="373">
        <f>JUNIO!D74+JULIO!P74</f>
        <v>0</v>
      </c>
      <c r="E74" s="373">
        <f>JUNIO!E74+JULIO!Q74</f>
        <v>95549787</v>
      </c>
      <c r="F74" s="373">
        <f>SUM(C74:E74)</f>
        <v>95549787</v>
      </c>
      <c r="G74" s="373">
        <f>JUNIO!I74</f>
        <v>204340974</v>
      </c>
      <c r="H74" s="374">
        <v>2273653</v>
      </c>
      <c r="I74" s="373">
        <f>SUM(G74:H74)</f>
        <v>206614627</v>
      </c>
      <c r="J74" s="373">
        <f>JUNIO!L74</f>
        <v>204340974</v>
      </c>
      <c r="K74" s="374">
        <v>2273653</v>
      </c>
      <c r="L74" s="373">
        <f>SUM(J74:K74)</f>
        <v>206614627</v>
      </c>
      <c r="M74" s="373">
        <f>F74-I74</f>
        <v>-111064840</v>
      </c>
      <c r="N74" s="143">
        <f>F74-L74</f>
        <v>-111064840</v>
      </c>
      <c r="O74" s="382"/>
      <c r="P74" s="372">
        <v>0</v>
      </c>
      <c r="Q74" s="375">
        <v>0</v>
      </c>
      <c r="R74" s="9"/>
      <c r="S74" s="706" t="str">
        <f>+IF(JUNIO!S74=0,"",JUNIO!S74)</f>
        <v>1020104-5</v>
      </c>
      <c r="T74" s="682" t="str">
        <f>+IF(JUNIO!T74=0,"",JUNIO!T74)</f>
        <v>Prima de Servicios</v>
      </c>
      <c r="U74" s="27">
        <f>+ENERO!U74</f>
        <v>36082760</v>
      </c>
      <c r="V74" s="15">
        <f>JUNIO!V74+JULIO!AL74</f>
        <v>0</v>
      </c>
      <c r="W74" s="15">
        <f>JUNIO!W74+JULIO!AM74</f>
        <v>0</v>
      </c>
      <c r="X74" s="18">
        <f t="shared" si="76"/>
        <v>36082760</v>
      </c>
      <c r="Y74" s="19">
        <f>JUNIO!AA74</f>
        <v>0</v>
      </c>
      <c r="Z74" s="374">
        <v>32456139</v>
      </c>
      <c r="AA74" s="18">
        <f t="shared" si="77"/>
        <v>32456139</v>
      </c>
      <c r="AB74" s="19">
        <f>JUNIO!AD74</f>
        <v>0</v>
      </c>
      <c r="AC74" s="374">
        <v>32456139</v>
      </c>
      <c r="AD74" s="18">
        <f t="shared" si="78"/>
        <v>32456139</v>
      </c>
      <c r="AE74" s="19">
        <f>JUNIO!AG74</f>
        <v>0</v>
      </c>
      <c r="AF74" s="374">
        <v>32456139</v>
      </c>
      <c r="AG74" s="18">
        <f t="shared" si="79"/>
        <v>32456139</v>
      </c>
      <c r="AH74" s="19">
        <f t="shared" si="80"/>
        <v>3626621</v>
      </c>
      <c r="AI74" s="15">
        <f t="shared" si="81"/>
        <v>3626621</v>
      </c>
      <c r="AJ74" s="16">
        <f t="shared" si="82"/>
        <v>3626621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3">
        <f>+IF(JUNIO!A75=0,"",JUNIO!A75)</f>
        <v>1130117</v>
      </c>
      <c r="B75" s="645" t="str">
        <f>+IF(JUNIO!B75=0,"",JUNIO!B75)</f>
        <v>CUOTAS DE RECUPERACION</v>
      </c>
      <c r="C75" s="43">
        <f t="shared" ref="C75:N75" si="84">SUM(C76:C77)</f>
        <v>52000000</v>
      </c>
      <c r="D75" s="44">
        <f t="shared" si="84"/>
        <v>0</v>
      </c>
      <c r="E75" s="44">
        <f t="shared" si="84"/>
        <v>602749</v>
      </c>
      <c r="F75" s="44">
        <f t="shared" si="84"/>
        <v>52602749</v>
      </c>
      <c r="G75" s="44">
        <f t="shared" si="84"/>
        <v>31367263</v>
      </c>
      <c r="H75" s="44">
        <f t="shared" si="84"/>
        <v>0</v>
      </c>
      <c r="I75" s="44">
        <f t="shared" si="84"/>
        <v>31367263</v>
      </c>
      <c r="J75" s="44">
        <f t="shared" si="84"/>
        <v>1509049</v>
      </c>
      <c r="K75" s="44">
        <f t="shared" si="84"/>
        <v>0</v>
      </c>
      <c r="L75" s="44">
        <f t="shared" si="84"/>
        <v>1509049</v>
      </c>
      <c r="M75" s="44">
        <f t="shared" si="84"/>
        <v>21235486</v>
      </c>
      <c r="N75" s="45">
        <f t="shared" si="84"/>
        <v>51093700</v>
      </c>
      <c r="P75" s="43">
        <f>SUM(P76:P77)</f>
        <v>0</v>
      </c>
      <c r="Q75" s="45">
        <f>SUM(Q76:Q77)</f>
        <v>0</v>
      </c>
      <c r="R75" s="9"/>
      <c r="S75" s="706" t="str">
        <f>+IF(JUNIO!S75=0,"",JUNIO!S75)</f>
        <v>1020104-8</v>
      </c>
      <c r="T75" s="682" t="str">
        <f>+IF(JUNIO!T75=0,"",JUNIO!T75)</f>
        <v>Bonific. por Servicios Prestados</v>
      </c>
      <c r="U75" s="27">
        <f>+ENERO!U75</f>
        <v>17770724</v>
      </c>
      <c r="V75" s="15">
        <f>JUNIO!V75+JULIO!AL75</f>
        <v>0</v>
      </c>
      <c r="W75" s="15">
        <f>JUNIO!W75+JULIO!AM75</f>
        <v>0</v>
      </c>
      <c r="X75" s="18">
        <f t="shared" si="76"/>
        <v>17770724</v>
      </c>
      <c r="Y75" s="19">
        <f>JUNIO!AA75</f>
        <v>10033251</v>
      </c>
      <c r="Z75" s="374">
        <v>1492449</v>
      </c>
      <c r="AA75" s="18">
        <f t="shared" si="77"/>
        <v>11525700</v>
      </c>
      <c r="AB75" s="19">
        <f>JUNIO!AD75</f>
        <v>10033251</v>
      </c>
      <c r="AC75" s="374">
        <v>1492449</v>
      </c>
      <c r="AD75" s="18">
        <f t="shared" si="78"/>
        <v>11525700</v>
      </c>
      <c r="AE75" s="19">
        <f>JUNIO!AG75</f>
        <v>10033251</v>
      </c>
      <c r="AF75" s="374">
        <v>1492449</v>
      </c>
      <c r="AG75" s="18">
        <f t="shared" si="79"/>
        <v>11525700</v>
      </c>
      <c r="AH75" s="19">
        <f t="shared" si="80"/>
        <v>6245024</v>
      </c>
      <c r="AI75" s="15">
        <f t="shared" si="81"/>
        <v>6245024</v>
      </c>
      <c r="AJ75" s="16">
        <f t="shared" si="82"/>
        <v>6245024</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+IF(JUNIO!A76=0,"",JUNIO!A76)</f>
        <v>1130117-1</v>
      </c>
      <c r="B76" s="646" t="str">
        <f>+CONCATENATE("Vigencia ",INSTRUCCIONES!$F$3)</f>
        <v>Vigencia 2017</v>
      </c>
      <c r="C76" s="671">
        <f>+ENERO!C76</f>
        <v>52000000</v>
      </c>
      <c r="D76" s="373">
        <f>JUNIO!D76+JULIO!P76</f>
        <v>0</v>
      </c>
      <c r="E76" s="373">
        <f>JUNIO!E76+JULIO!Q76</f>
        <v>0</v>
      </c>
      <c r="F76" s="373">
        <f t="shared" ref="F76:F83" si="85">SUM(C76:E76)</f>
        <v>52000000</v>
      </c>
      <c r="G76" s="373">
        <f>JUNIO!I76</f>
        <v>30764514</v>
      </c>
      <c r="H76" s="374">
        <v>0</v>
      </c>
      <c r="I76" s="373">
        <f t="shared" ref="I76:I83" si="86">SUM(G76:H76)</f>
        <v>30764514</v>
      </c>
      <c r="J76" s="373">
        <f>JUNIO!L76</f>
        <v>906300</v>
      </c>
      <c r="K76" s="374">
        <v>0</v>
      </c>
      <c r="L76" s="373">
        <f t="shared" ref="L76:L83" si="87">SUM(J76:K76)</f>
        <v>906300</v>
      </c>
      <c r="M76" s="373">
        <f t="shared" ref="M76:M83" si="88">F76-I76</f>
        <v>21235486</v>
      </c>
      <c r="N76" s="143">
        <f t="shared" ref="N76:N83" si="89">F76-L76</f>
        <v>51093700</v>
      </c>
      <c r="O76" s="382"/>
      <c r="P76" s="372">
        <v>0</v>
      </c>
      <c r="Q76" s="375">
        <v>0</v>
      </c>
      <c r="R76" s="9"/>
      <c r="S76" s="706" t="str">
        <f>+IF(JUNIO!S76=0,"",JUNIO!S76)</f>
        <v>1020104-9</v>
      </c>
      <c r="T76" s="682" t="str">
        <f>+IF(JUNIO!T76=0,"",JUNIO!T76)</f>
        <v>Auxilio de Transporte</v>
      </c>
      <c r="U76" s="27">
        <f>+ENERO!U76</f>
        <v>1703268</v>
      </c>
      <c r="V76" s="15">
        <f>JUNIO!V76+JULIO!AL76</f>
        <v>0</v>
      </c>
      <c r="W76" s="15">
        <f>JUNIO!W76+JULIO!AM76</f>
        <v>0</v>
      </c>
      <c r="X76" s="18">
        <f t="shared" si="76"/>
        <v>1703268</v>
      </c>
      <c r="Y76" s="19">
        <f>JUNIO!AA76</f>
        <v>1152845</v>
      </c>
      <c r="Z76" s="374">
        <v>218935</v>
      </c>
      <c r="AA76" s="18">
        <f t="shared" si="77"/>
        <v>1371780</v>
      </c>
      <c r="AB76" s="19">
        <f>JUNIO!AD76</f>
        <v>1152845</v>
      </c>
      <c r="AC76" s="374">
        <v>218935</v>
      </c>
      <c r="AD76" s="18">
        <f t="shared" si="78"/>
        <v>1371780</v>
      </c>
      <c r="AE76" s="19">
        <f>JUNIO!AG76</f>
        <v>1152845</v>
      </c>
      <c r="AF76" s="374">
        <v>218935</v>
      </c>
      <c r="AG76" s="18">
        <f t="shared" si="79"/>
        <v>1371780</v>
      </c>
      <c r="AH76" s="19">
        <f t="shared" si="80"/>
        <v>331488</v>
      </c>
      <c r="AI76" s="15">
        <f t="shared" si="81"/>
        <v>331488</v>
      </c>
      <c r="AJ76" s="16">
        <f t="shared" si="82"/>
        <v>331488</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+IF(JUNIO!A77=0,"",JUNIO!A77)</f>
        <v>1130117-2</v>
      </c>
      <c r="B77" s="646" t="str">
        <f>+IF(JUNIO!B77=0,"",JUNIO!B77)</f>
        <v>Vigencia Anterior</v>
      </c>
      <c r="C77" s="671">
        <f>+ENERO!C77</f>
        <v>0</v>
      </c>
      <c r="D77" s="373">
        <f>JUNIO!D77+JULIO!P77</f>
        <v>0</v>
      </c>
      <c r="E77" s="373">
        <f>JUNIO!E77+JULIO!Q77</f>
        <v>602749</v>
      </c>
      <c r="F77" s="373">
        <f t="shared" si="85"/>
        <v>602749</v>
      </c>
      <c r="G77" s="373">
        <f>JUNIO!I77</f>
        <v>602749</v>
      </c>
      <c r="H77" s="374">
        <v>0</v>
      </c>
      <c r="I77" s="373">
        <f t="shared" si="86"/>
        <v>602749</v>
      </c>
      <c r="J77" s="373">
        <f>JUNIO!L77</f>
        <v>602749</v>
      </c>
      <c r="K77" s="374">
        <v>0</v>
      </c>
      <c r="L77" s="373">
        <f t="shared" si="87"/>
        <v>602749</v>
      </c>
      <c r="M77" s="373">
        <f t="shared" si="88"/>
        <v>0</v>
      </c>
      <c r="N77" s="143">
        <f t="shared" si="89"/>
        <v>0</v>
      </c>
      <c r="O77" s="382"/>
      <c r="P77" s="372">
        <v>0</v>
      </c>
      <c r="Q77" s="375">
        <v>0</v>
      </c>
      <c r="R77" s="9"/>
      <c r="S77" s="706" t="str">
        <f>+IF(JUNIO!S77=0,"",JUNIO!S77)</f>
        <v>1020104-10</v>
      </c>
      <c r="T77" s="682" t="str">
        <f>+IF(JUNIO!T77=0,"",JUNIO!T77)</f>
        <v>Subsidio de Alimentación</v>
      </c>
      <c r="U77" s="27">
        <f>+ENERO!U77</f>
        <v>1200000</v>
      </c>
      <c r="V77" s="15">
        <f>JUNIO!V77+JULIO!AL77</f>
        <v>0</v>
      </c>
      <c r="W77" s="15">
        <f>JUNIO!W77+JULIO!AM77</f>
        <v>0</v>
      </c>
      <c r="X77" s="18">
        <f t="shared" si="76"/>
        <v>1200000</v>
      </c>
      <c r="Y77" s="19">
        <f>JUNIO!AA77</f>
        <v>609645</v>
      </c>
      <c r="Z77" s="374">
        <v>107268</v>
      </c>
      <c r="AA77" s="18">
        <f t="shared" si="77"/>
        <v>716913</v>
      </c>
      <c r="AB77" s="19">
        <f>JUNIO!AD77</f>
        <v>609645</v>
      </c>
      <c r="AC77" s="374">
        <v>107268</v>
      </c>
      <c r="AD77" s="18">
        <f t="shared" si="78"/>
        <v>716913</v>
      </c>
      <c r="AE77" s="19">
        <f>JUNIO!AG77</f>
        <v>609645</v>
      </c>
      <c r="AF77" s="374">
        <v>107268</v>
      </c>
      <c r="AG77" s="18">
        <f t="shared" si="79"/>
        <v>716913</v>
      </c>
      <c r="AH77" s="19">
        <f t="shared" si="80"/>
        <v>483087</v>
      </c>
      <c r="AI77" s="15">
        <f t="shared" si="81"/>
        <v>483087</v>
      </c>
      <c r="AJ77" s="16">
        <f t="shared" si="82"/>
        <v>483087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3">
        <f>+IF(JUNIO!A78=0,"",JUNIO!A78)</f>
        <v>1130118</v>
      </c>
      <c r="B78" s="645" t="str">
        <f>+IF(JUNIO!B78=0,"",JUNIO!B78)</f>
        <v>PARTICULARES   (Venta de Contado)</v>
      </c>
      <c r="C78" s="43">
        <f>SUM(C79:C80)</f>
        <v>435000000</v>
      </c>
      <c r="D78" s="44">
        <f>SUM(D79:D80)</f>
        <v>0</v>
      </c>
      <c r="E78" s="44">
        <f>SUM(E79:E80)</f>
        <v>1773400</v>
      </c>
      <c r="F78" s="44">
        <f t="shared" si="85"/>
        <v>436773400</v>
      </c>
      <c r="G78" s="44">
        <f>SUM(G79:G80)</f>
        <v>301113708</v>
      </c>
      <c r="H78" s="44">
        <f>SUM(H79:H80)</f>
        <v>17479021</v>
      </c>
      <c r="I78" s="44">
        <f t="shared" si="86"/>
        <v>318592729</v>
      </c>
      <c r="J78" s="44">
        <f>SUM(J79:J80)</f>
        <v>301113708</v>
      </c>
      <c r="K78" s="44">
        <f>SUM(K79:K80)</f>
        <v>17479021</v>
      </c>
      <c r="L78" s="44">
        <f t="shared" si="87"/>
        <v>318592729</v>
      </c>
      <c r="M78" s="44">
        <f t="shared" si="88"/>
        <v>118180671</v>
      </c>
      <c r="N78" s="45">
        <f t="shared" si="89"/>
        <v>118180671</v>
      </c>
      <c r="O78" s="382"/>
      <c r="P78" s="43">
        <f>SUM(P79:P80)</f>
        <v>0</v>
      </c>
      <c r="Q78" s="45">
        <f>SUM(Q79:Q80)</f>
        <v>0</v>
      </c>
      <c r="R78" s="9"/>
      <c r="S78" s="706" t="str">
        <f>+IF(JUNIO!S78=0,"",JUNIO!S78)</f>
        <v>1020104-12</v>
      </c>
      <c r="T78" s="682" t="str">
        <f>+IF(JUNIO!T78=0,"",JUNIO!T78)</f>
        <v>Indemnizaciones por Vacaciones o Supresión de Cargos por Reestructuración</v>
      </c>
      <c r="U78" s="27">
        <f>+ENERO!U78</f>
        <v>0</v>
      </c>
      <c r="V78" s="15">
        <f>JUNIO!V78+JULIO!AL78</f>
        <v>0</v>
      </c>
      <c r="W78" s="15">
        <f>JUNIO!W78+JULIO!AM78</f>
        <v>0</v>
      </c>
      <c r="X78" s="18">
        <f t="shared" si="76"/>
        <v>0</v>
      </c>
      <c r="Y78" s="19">
        <f>JUNIO!AA78</f>
        <v>0</v>
      </c>
      <c r="Z78" s="374">
        <v>0</v>
      </c>
      <c r="AA78" s="18">
        <f t="shared" si="77"/>
        <v>0</v>
      </c>
      <c r="AB78" s="19">
        <f>JUNIO!AD78</f>
        <v>0</v>
      </c>
      <c r="AC78" s="374">
        <v>0</v>
      </c>
      <c r="AD78" s="18">
        <f t="shared" si="78"/>
        <v>0</v>
      </c>
      <c r="AE78" s="19">
        <f>JUNIO!AG78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+IF(JUNIO!A79=0,"",JUNIO!A79)</f>
        <v>1130118-1</v>
      </c>
      <c r="B79" s="646" t="str">
        <f>+CONCATENATE("Vigencia ",INSTRUCCIONES!$F$3)</f>
        <v>Vigencia 2017</v>
      </c>
      <c r="C79" s="671">
        <f>+ENERO!C79</f>
        <v>435000000</v>
      </c>
      <c r="D79" s="373">
        <f>JUNIO!D79+JULIO!P79</f>
        <v>0</v>
      </c>
      <c r="E79" s="373">
        <f>JUNIO!E79+JULIO!Q79</f>
        <v>0</v>
      </c>
      <c r="F79" s="373">
        <f t="shared" si="85"/>
        <v>435000000</v>
      </c>
      <c r="G79" s="373">
        <f>JUNIO!I79</f>
        <v>299280708</v>
      </c>
      <c r="H79" s="374">
        <v>17354510</v>
      </c>
      <c r="I79" s="373">
        <f t="shared" si="86"/>
        <v>316635218</v>
      </c>
      <c r="J79" s="373">
        <f>JUNIO!L79</f>
        <v>299280708</v>
      </c>
      <c r="K79" s="374">
        <v>17354510</v>
      </c>
      <c r="L79" s="373">
        <f t="shared" si="87"/>
        <v>316635218</v>
      </c>
      <c r="M79" s="373">
        <f t="shared" si="88"/>
        <v>118364782</v>
      </c>
      <c r="N79" s="143">
        <f t="shared" si="89"/>
        <v>118364782</v>
      </c>
      <c r="P79" s="372">
        <v>0</v>
      </c>
      <c r="Q79" s="375">
        <v>0</v>
      </c>
      <c r="R79" s="9"/>
      <c r="S79" s="706" t="str">
        <f>+IF(JUNIO!S79=0,"",JUNIO!S79)</f>
        <v>1020104-13</v>
      </c>
      <c r="T79" s="682" t="str">
        <f>+IF(JUNIO!T79=0,"",JUNIO!T79)</f>
        <v>Bonificación Especial por Recreación</v>
      </c>
      <c r="U79" s="27">
        <f>+ENERO!U79</f>
        <v>2582164</v>
      </c>
      <c r="V79" s="15">
        <f>JUNIO!V79+JULIO!AL79</f>
        <v>0</v>
      </c>
      <c r="W79" s="15">
        <f>JUNIO!W79+JULIO!AM79</f>
        <v>0</v>
      </c>
      <c r="X79" s="18">
        <f t="shared" si="76"/>
        <v>2582164</v>
      </c>
      <c r="Y79" s="19">
        <f>JUNIO!AA79</f>
        <v>2003711</v>
      </c>
      <c r="Z79" s="374">
        <v>0</v>
      </c>
      <c r="AA79" s="18">
        <f t="shared" si="77"/>
        <v>2003711</v>
      </c>
      <c r="AB79" s="19">
        <f>JUNIO!AD79</f>
        <v>2003711</v>
      </c>
      <c r="AC79" s="374">
        <v>0</v>
      </c>
      <c r="AD79" s="18">
        <f t="shared" si="78"/>
        <v>2003711</v>
      </c>
      <c r="AE79" s="19">
        <f>JUNIO!AG79</f>
        <v>2003711</v>
      </c>
      <c r="AF79" s="374">
        <v>0</v>
      </c>
      <c r="AG79" s="18">
        <f t="shared" si="79"/>
        <v>2003711</v>
      </c>
      <c r="AH79" s="19">
        <f t="shared" si="80"/>
        <v>578453</v>
      </c>
      <c r="AI79" s="15">
        <f t="shared" si="81"/>
        <v>578453</v>
      </c>
      <c r="AJ79" s="16">
        <f t="shared" si="82"/>
        <v>578453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+IF(JUNIO!A80=0,"",JUNIO!A80)</f>
        <v>1130118-2</v>
      </c>
      <c r="B80" s="646" t="str">
        <f>+IF(JUNIO!B80=0,"",JUNIO!B80)</f>
        <v>Vigencia Anterior</v>
      </c>
      <c r="C80" s="671">
        <f>+ENERO!C80</f>
        <v>0</v>
      </c>
      <c r="D80" s="373">
        <f>JUNIO!D80+JULIO!P80</f>
        <v>0</v>
      </c>
      <c r="E80" s="373">
        <f>JUNIO!E80+JULIO!Q80</f>
        <v>1773400</v>
      </c>
      <c r="F80" s="373">
        <f t="shared" si="85"/>
        <v>1773400</v>
      </c>
      <c r="G80" s="373">
        <f>JUNIO!I80</f>
        <v>1833000</v>
      </c>
      <c r="H80" s="374">
        <v>124511</v>
      </c>
      <c r="I80" s="373">
        <f t="shared" si="86"/>
        <v>1957511</v>
      </c>
      <c r="J80" s="373">
        <f>JUNIO!L80</f>
        <v>1833000</v>
      </c>
      <c r="K80" s="374">
        <v>124511</v>
      </c>
      <c r="L80" s="373">
        <f t="shared" si="87"/>
        <v>1957511</v>
      </c>
      <c r="M80" s="373">
        <f t="shared" si="88"/>
        <v>-184111</v>
      </c>
      <c r="N80" s="143">
        <f t="shared" si="89"/>
        <v>-184111</v>
      </c>
      <c r="O80" s="382"/>
      <c r="P80" s="372">
        <v>0</v>
      </c>
      <c r="Q80" s="375">
        <v>0</v>
      </c>
      <c r="S80" s="706" t="str">
        <f>+IF(JUNIO!S80=0,"",JUNIO!S80)</f>
        <v>1020104-14</v>
      </c>
      <c r="T80" s="682" t="str">
        <f>+IF(JUNIO!T80=0,"",JUNIO!T80)</f>
        <v/>
      </c>
      <c r="U80" s="27">
        <f>+ENERO!U80</f>
        <v>48881820</v>
      </c>
      <c r="V80" s="15">
        <f>JUNIO!V80+JULIO!AL80</f>
        <v>0</v>
      </c>
      <c r="W80" s="15">
        <f>JUNIO!W80+JULIO!AM80</f>
        <v>0</v>
      </c>
      <c r="X80" s="18">
        <f t="shared" si="76"/>
        <v>48881820</v>
      </c>
      <c r="Y80" s="19">
        <f>JUNIO!AA80</f>
        <v>40903724</v>
      </c>
      <c r="Z80" s="374">
        <v>6120336</v>
      </c>
      <c r="AA80" s="18">
        <f t="shared" si="77"/>
        <v>47024060</v>
      </c>
      <c r="AB80" s="19">
        <f>JUNIO!AD80</f>
        <v>40903724</v>
      </c>
      <c r="AC80" s="374">
        <v>6120336</v>
      </c>
      <c r="AD80" s="18">
        <f t="shared" si="78"/>
        <v>47024060</v>
      </c>
      <c r="AE80" s="19">
        <f>JUNIO!AG80</f>
        <v>40903724</v>
      </c>
      <c r="AF80" s="374">
        <v>6120336</v>
      </c>
      <c r="AG80" s="18">
        <f t="shared" si="79"/>
        <v>47024060</v>
      </c>
      <c r="AH80" s="19">
        <f t="shared" si="80"/>
        <v>1857760</v>
      </c>
      <c r="AI80" s="15">
        <f t="shared" si="81"/>
        <v>1857760</v>
      </c>
      <c r="AJ80" s="16">
        <f t="shared" si="82"/>
        <v>1857760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3">
        <f>+IF(JUNIO!A81=0,"",JUNIO!A81)</f>
        <v>1130119</v>
      </c>
      <c r="B81" s="649"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5">
        <f>+IF(JUNIO!S81=0,"",JUNIO!S81)</f>
        <v>1020199</v>
      </c>
      <c r="T81" s="681" t="str">
        <f>+IF(JUNIO!T81=0,"",JUNIO!T81)</f>
        <v>Vigencias Anteriores</v>
      </c>
      <c r="U81" s="27">
        <f>+ENERO!U81</f>
        <v>0</v>
      </c>
      <c r="V81" s="15">
        <f>JUNIO!V81+JULIO!AL81</f>
        <v>0</v>
      </c>
      <c r="W81" s="15">
        <f>JUNIO!W81+JULIO!AM81</f>
        <v>0</v>
      </c>
      <c r="X81" s="18">
        <f t="shared" si="76"/>
        <v>0</v>
      </c>
      <c r="Y81" s="19">
        <f>JUNIO!AA81</f>
        <v>0</v>
      </c>
      <c r="Z81" s="374">
        <v>0</v>
      </c>
      <c r="AA81" s="18">
        <f t="shared" si="77"/>
        <v>0</v>
      </c>
      <c r="AB81" s="19">
        <f>JUNIO!AD81</f>
        <v>0</v>
      </c>
      <c r="AC81" s="374">
        <v>0</v>
      </c>
      <c r="AD81" s="18">
        <f t="shared" si="78"/>
        <v>0</v>
      </c>
      <c r="AE81" s="19">
        <f>JUNIO!AG81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+IF(JUNIO!A82=0,"",JUNIO!A82)</f>
        <v>1130119-1</v>
      </c>
      <c r="B82" s="646" t="str">
        <f>+CONCATENATE("Vigencia ",INSTRUCCIONES!$F$3)</f>
        <v>Vigencia 2017</v>
      </c>
      <c r="C82" s="671">
        <f>+ENERO!C82</f>
        <v>0</v>
      </c>
      <c r="D82" s="373">
        <f>JUNIO!D82+JULIO!P82</f>
        <v>0</v>
      </c>
      <c r="E82" s="373">
        <f>JUNIO!E82+JULIO!Q82</f>
        <v>0</v>
      </c>
      <c r="F82" s="373">
        <f t="shared" si="85"/>
        <v>0</v>
      </c>
      <c r="G82" s="373">
        <f>JUNIO!I82</f>
        <v>0</v>
      </c>
      <c r="H82" s="374">
        <v>0</v>
      </c>
      <c r="I82" s="373">
        <f t="shared" si="86"/>
        <v>0</v>
      </c>
      <c r="J82" s="373">
        <f>JUNIO!L82</f>
        <v>0</v>
      </c>
      <c r="K82" s="374">
        <v>0</v>
      </c>
      <c r="L82" s="373">
        <f t="shared" si="87"/>
        <v>0</v>
      </c>
      <c r="M82" s="373">
        <f t="shared" si="88"/>
        <v>0</v>
      </c>
      <c r="N82" s="143">
        <f t="shared" si="89"/>
        <v>0</v>
      </c>
      <c r="P82" s="372">
        <v>0</v>
      </c>
      <c r="Q82" s="375">
        <v>0</v>
      </c>
      <c r="R82" s="9"/>
      <c r="S82" s="366" t="str">
        <f>+IF(JUNIO!S82=0,"",JUNIO!S82)</f>
        <v/>
      </c>
      <c r="T82" s="695"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+IF(JUNIO!A83=0,"",JUNIO!A83)</f>
        <v>1130119-2</v>
      </c>
      <c r="B83" s="650" t="str">
        <f>+IF(JUNIO!B83=0,"",JUNIO!B83)</f>
        <v>Vigencia Anterior</v>
      </c>
      <c r="C83" s="769">
        <f>+ENERO!C83</f>
        <v>0</v>
      </c>
      <c r="D83" s="385">
        <f>JUNIO!D83+JULIO!P83</f>
        <v>0</v>
      </c>
      <c r="E83" s="385">
        <f>JUNIO!E83+JULIO!Q83</f>
        <v>0</v>
      </c>
      <c r="F83" s="385">
        <f t="shared" si="85"/>
        <v>0</v>
      </c>
      <c r="G83" s="385">
        <f>JUNIO!I83</f>
        <v>0</v>
      </c>
      <c r="H83" s="388">
        <v>0</v>
      </c>
      <c r="I83" s="385">
        <f t="shared" si="86"/>
        <v>0</v>
      </c>
      <c r="J83" s="385">
        <f>JUNIO!L83</f>
        <v>0</v>
      </c>
      <c r="K83" s="388">
        <v>0</v>
      </c>
      <c r="L83" s="385">
        <f t="shared" si="87"/>
        <v>0</v>
      </c>
      <c r="M83" s="385">
        <f t="shared" si="88"/>
        <v>0</v>
      </c>
      <c r="N83" s="386">
        <f t="shared" si="89"/>
        <v>0</v>
      </c>
      <c r="P83" s="372">
        <v>0</v>
      </c>
      <c r="Q83" s="375">
        <v>0</v>
      </c>
      <c r="R83" s="9"/>
      <c r="S83" s="704">
        <f>+IF(JUNIO!S83=0,"",JUNIO!S83)</f>
        <v>1020200</v>
      </c>
      <c r="T83" s="680" t="str">
        <f>+IF(JUNIO!T83=0,"",JUNIO!T83)</f>
        <v>Servicios Personales Indirectos</v>
      </c>
      <c r="U83" s="132">
        <f t="shared" ref="U83:AJ83" si="91">SUM(U84:U88)</f>
        <v>22232471701</v>
      </c>
      <c r="V83" s="122">
        <f t="shared" si="91"/>
        <v>468535824</v>
      </c>
      <c r="W83" s="122">
        <f t="shared" si="91"/>
        <v>4500000000</v>
      </c>
      <c r="X83" s="129">
        <f t="shared" si="91"/>
        <v>27201007525</v>
      </c>
      <c r="Y83" s="128">
        <f t="shared" si="91"/>
        <v>24336441327</v>
      </c>
      <c r="Z83" s="122">
        <f t="shared" si="91"/>
        <v>-956932580</v>
      </c>
      <c r="AA83" s="129">
        <f t="shared" si="91"/>
        <v>23379508747</v>
      </c>
      <c r="AB83" s="128">
        <f t="shared" si="91"/>
        <v>16837959464</v>
      </c>
      <c r="AC83" s="122">
        <f t="shared" si="91"/>
        <v>2078581205</v>
      </c>
      <c r="AD83" s="129">
        <f t="shared" si="91"/>
        <v>18916540669</v>
      </c>
      <c r="AE83" s="128">
        <f t="shared" si="91"/>
        <v>9346719917</v>
      </c>
      <c r="AF83" s="122">
        <f t="shared" si="91"/>
        <v>1877971478</v>
      </c>
      <c r="AG83" s="129">
        <f t="shared" si="91"/>
        <v>11224691395</v>
      </c>
      <c r="AH83" s="128">
        <f t="shared" si="91"/>
        <v>3821498778</v>
      </c>
      <c r="AI83" s="122">
        <f t="shared" si="91"/>
        <v>8284466856</v>
      </c>
      <c r="AJ83" s="130">
        <f t="shared" si="91"/>
        <v>15976316130</v>
      </c>
      <c r="AK83" s="9"/>
      <c r="AL83" s="128">
        <f>SUM(AL84:AL88)</f>
        <v>248407875</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6" t="str">
        <f>+IF(JUNIO!A84=0,"",JUNIO!A84)</f>
        <v/>
      </c>
      <c r="B84" s="651" t="str">
        <f>+IF(JUNIO!B84=0,"",JUNIO!B84)</f>
        <v/>
      </c>
      <c r="C84" s="294"/>
      <c r="D84" s="294"/>
      <c r="E84" s="294"/>
      <c r="F84" s="294"/>
      <c r="G84" s="294"/>
      <c r="H84" s="294"/>
      <c r="I84" s="294"/>
      <c r="J84" s="294"/>
      <c r="K84" s="294"/>
      <c r="L84" s="294"/>
      <c r="M84" s="294"/>
      <c r="N84" s="463"/>
      <c r="O84" s="461"/>
      <c r="P84" s="467"/>
      <c r="Q84" s="391"/>
      <c r="R84" s="9"/>
      <c r="S84" s="705" t="str">
        <f>+IF(JUNIO!S84=0,"",JUNIO!S84)</f>
        <v>1020200-1</v>
      </c>
      <c r="T84" s="681" t="str">
        <f>+IF(JUNIO!T84=0,"",JUNIO!T84)</f>
        <v>Remuneración y Honorarios por Servicios Técnicos y Profesionales</v>
      </c>
      <c r="U84" s="27">
        <f>+ENERO!U84</f>
        <v>1000000000</v>
      </c>
      <c r="V84" s="15">
        <f>JUNIO!V84+JULIO!AL84</f>
        <v>2155000000</v>
      </c>
      <c r="W84" s="15">
        <f>JUNIO!W84+JULIO!AM84</f>
        <v>500000000</v>
      </c>
      <c r="X84" s="18">
        <f>SUM(U84:W84)</f>
        <v>3655000000</v>
      </c>
      <c r="Y84" s="19">
        <f>JUNIO!AA84</f>
        <v>2865396058</v>
      </c>
      <c r="Z84" s="374">
        <v>757944000</v>
      </c>
      <c r="AA84" s="18">
        <f>SUM(Y84:Z84)</f>
        <v>3623340058</v>
      </c>
      <c r="AB84" s="19">
        <f>JUNIO!AD84</f>
        <v>1690909587</v>
      </c>
      <c r="AC84" s="374">
        <v>439705636</v>
      </c>
      <c r="AD84" s="18">
        <f>SUM(AB84:AC84)</f>
        <v>2130615223</v>
      </c>
      <c r="AE84" s="19">
        <f>JUNIO!AG84</f>
        <v>1219513482</v>
      </c>
      <c r="AF84" s="374">
        <v>311874031</v>
      </c>
      <c r="AG84" s="18">
        <f>SUM(AE84:AF84)</f>
        <v>1531387513</v>
      </c>
      <c r="AH84" s="19">
        <f>X84-AA84</f>
        <v>31659942</v>
      </c>
      <c r="AI84" s="15">
        <f>X84-AD84</f>
        <v>1524384777</v>
      </c>
      <c r="AJ84" s="16">
        <f>X84-AG84</f>
        <v>2123612487</v>
      </c>
      <c r="AK84" s="9"/>
      <c r="AL84" s="372">
        <v>774000000</v>
      </c>
      <c r="AM84" s="375">
        <v>0</v>
      </c>
      <c r="AN84" s="9"/>
      <c r="AO84" s="294"/>
      <c r="AP84" s="294"/>
      <c r="AQ84" s="294"/>
      <c r="AR84" s="294"/>
      <c r="AS84" s="294"/>
      <c r="AT84" s="294"/>
      <c r="AU84" s="294"/>
      <c r="AV84" s="294"/>
      <c r="AW84" s="294"/>
      <c r="AX84" s="294"/>
      <c r="AY84" s="294"/>
      <c r="AZ84" s="294"/>
    </row>
    <row r="85" spans="1:70" s="382" customFormat="1" ht="24.95" customHeight="1">
      <c r="A85" s="737">
        <f>+IF(JUNIO!A85=0,"",JUNIO!A85)</f>
        <v>11302</v>
      </c>
      <c r="B85" s="652" t="str">
        <f>+IF(JUNIO!B85=0,"",JUNIO!B85)</f>
        <v>Otras Ventas de Servicios de Salud</v>
      </c>
      <c r="C85" s="617">
        <f t="shared" ref="C85:N85" si="92">SUM(C86:C92)</f>
        <v>0</v>
      </c>
      <c r="D85" s="615">
        <f t="shared" si="92"/>
        <v>0</v>
      </c>
      <c r="E85" s="615">
        <f t="shared" si="92"/>
        <v>0</v>
      </c>
      <c r="F85" s="615">
        <f t="shared" si="92"/>
        <v>0</v>
      </c>
      <c r="G85" s="615">
        <f t="shared" si="92"/>
        <v>0</v>
      </c>
      <c r="H85" s="615">
        <f t="shared" si="92"/>
        <v>0</v>
      </c>
      <c r="I85" s="615">
        <f t="shared" si="92"/>
        <v>0</v>
      </c>
      <c r="J85" s="615">
        <f t="shared" si="92"/>
        <v>0</v>
      </c>
      <c r="K85" s="615">
        <f t="shared" si="92"/>
        <v>0</v>
      </c>
      <c r="L85" s="615">
        <f t="shared" si="92"/>
        <v>0</v>
      </c>
      <c r="M85" s="615">
        <f t="shared" si="92"/>
        <v>0</v>
      </c>
      <c r="N85" s="616">
        <f t="shared" si="92"/>
        <v>0</v>
      </c>
      <c r="P85" s="43">
        <f>SUM(P86:P92)</f>
        <v>0</v>
      </c>
      <c r="Q85" s="45">
        <f>SUM(Q86:Q92)</f>
        <v>0</v>
      </c>
      <c r="R85" s="9"/>
      <c r="S85" s="705" t="str">
        <f>+IF(JUNIO!S85=0,"",JUNIO!S85)</f>
        <v>1020200-2</v>
      </c>
      <c r="T85" s="681" t="str">
        <f>+IF(JUNIO!T85=0,"",JUNIO!T85)</f>
        <v>Personal Supernumerario</v>
      </c>
      <c r="U85" s="27">
        <f>+ENERO!U85</f>
        <v>0</v>
      </c>
      <c r="V85" s="15">
        <f>JUNIO!V85+JULIO!AL85</f>
        <v>0</v>
      </c>
      <c r="W85" s="15">
        <f>JUNIO!W85+JULIO!AM85</f>
        <v>0</v>
      </c>
      <c r="X85" s="18">
        <f>SUM(U85:W85)</f>
        <v>0</v>
      </c>
      <c r="Y85" s="19">
        <f>JUNIO!AA85</f>
        <v>0</v>
      </c>
      <c r="Z85" s="374">
        <v>0</v>
      </c>
      <c r="AA85" s="18">
        <f>SUM(Y85:Z85)</f>
        <v>0</v>
      </c>
      <c r="AB85" s="19">
        <f>JUNIO!AD85</f>
        <v>0</v>
      </c>
      <c r="AC85" s="374">
        <v>0</v>
      </c>
      <c r="AD85" s="18">
        <f>SUM(AB85:AC85)</f>
        <v>0</v>
      </c>
      <c r="AE85" s="19">
        <f>JUNIO!AG85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8">
        <f>+IF(JUNIO!A86=0,"",JUNIO!A86)</f>
        <v>1130201</v>
      </c>
      <c r="B86" s="626" t="str">
        <f>+IF(JUNIO!B86=0,"",JUNIO!B86)</f>
        <v/>
      </c>
      <c r="C86" s="669">
        <f>+ENERO!C86</f>
        <v>0</v>
      </c>
      <c r="D86" s="373">
        <f>JUNIO!D86+JULIO!P86</f>
        <v>0</v>
      </c>
      <c r="E86" s="373">
        <f>JUNIO!E86+JULIO!Q86</f>
        <v>0</v>
      </c>
      <c r="F86" s="373">
        <f t="shared" ref="F86:F92" si="93">SUM(C86:E86)</f>
        <v>0</v>
      </c>
      <c r="G86" s="373">
        <f>JUNIO!I86</f>
        <v>0</v>
      </c>
      <c r="H86" s="374">
        <v>0</v>
      </c>
      <c r="I86" s="373">
        <f t="shared" ref="I86:I92" si="94">SUM(G86:H86)</f>
        <v>0</v>
      </c>
      <c r="J86" s="373">
        <f>JUNIO!L86</f>
        <v>0</v>
      </c>
      <c r="K86" s="374">
        <v>0</v>
      </c>
      <c r="L86" s="373">
        <f t="shared" ref="L86:L92" si="95">SUM(J86:K86)</f>
        <v>0</v>
      </c>
      <c r="M86" s="373">
        <f t="shared" ref="M86:M92" si="96">F86-I86</f>
        <v>0</v>
      </c>
      <c r="N86" s="143">
        <f t="shared" ref="N86:N92" si="97">F86-L86</f>
        <v>0</v>
      </c>
      <c r="O86" s="382"/>
      <c r="P86" s="372">
        <v>0</v>
      </c>
      <c r="Q86" s="375">
        <v>0</v>
      </c>
      <c r="S86" s="705" t="str">
        <f>+IF(JUNIO!S86=0,"",JUNIO!S86)</f>
        <v>1020200-4</v>
      </c>
      <c r="T86" s="681" t="str">
        <f>+IF(JUNIO!T86=0,"",JUNIO!T86)</f>
        <v>Otros Honorarios</v>
      </c>
      <c r="U86" s="27">
        <f>+ENERO!U86</f>
        <v>19000000000</v>
      </c>
      <c r="V86" s="15">
        <f>JUNIO!V86+JULIO!AL86</f>
        <v>-3546446678</v>
      </c>
      <c r="W86" s="15">
        <f>JUNIO!W86+JULIO!AM86</f>
        <v>2000000000</v>
      </c>
      <c r="X86" s="18">
        <f>SUM(U86:W86)</f>
        <v>17453553322</v>
      </c>
      <c r="Y86" s="19">
        <f>JUNIO!AA86</f>
        <v>15729714486</v>
      </c>
      <c r="Z86" s="374">
        <v>-2066000000</v>
      </c>
      <c r="AA86" s="18">
        <f>SUM(Y86:Z86)</f>
        <v>13663714486</v>
      </c>
      <c r="AB86" s="19">
        <f>JUNIO!AD86</f>
        <v>9405719094</v>
      </c>
      <c r="AC86" s="374">
        <v>1287752149</v>
      </c>
      <c r="AD86" s="18">
        <f>SUM(AB86:AC86)</f>
        <v>10693471243</v>
      </c>
      <c r="AE86" s="19">
        <f>JUNIO!AG86</f>
        <v>2385875652</v>
      </c>
      <c r="AF86" s="374">
        <v>1214974027</v>
      </c>
      <c r="AG86" s="18">
        <f>SUM(AE86:AF86)</f>
        <v>3600849679</v>
      </c>
      <c r="AH86" s="19">
        <f>X86-AA86</f>
        <v>3789838836</v>
      </c>
      <c r="AI86" s="15">
        <f>X86-AD86</f>
        <v>6760082079</v>
      </c>
      <c r="AJ86" s="16">
        <f>X86-AG86</f>
        <v>13852703643</v>
      </c>
      <c r="AL86" s="372">
        <v>-818986702</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8">
        <f>+IF(JUNIO!A87=0,"",JUNIO!A87)</f>
        <v>1130202</v>
      </c>
      <c r="B87" s="626" t="str">
        <f>+IF(JUNIO!B87=0,"",JUNIO!B87)</f>
        <v/>
      </c>
      <c r="C87" s="669">
        <f>+ENERO!C87</f>
        <v>0</v>
      </c>
      <c r="D87" s="373">
        <f>JUNIO!D87+JULIO!P87</f>
        <v>0</v>
      </c>
      <c r="E87" s="373">
        <f>JUNIO!E87+JULIO!Q87</f>
        <v>0</v>
      </c>
      <c r="F87" s="373">
        <f t="shared" si="93"/>
        <v>0</v>
      </c>
      <c r="G87" s="373">
        <f>JUNIO!I87</f>
        <v>0</v>
      </c>
      <c r="H87" s="374">
        <v>0</v>
      </c>
      <c r="I87" s="373">
        <f t="shared" si="94"/>
        <v>0</v>
      </c>
      <c r="J87" s="373">
        <f>JUNIO!L87</f>
        <v>0</v>
      </c>
      <c r="K87" s="374">
        <v>0</v>
      </c>
      <c r="L87" s="373">
        <f t="shared" si="95"/>
        <v>0</v>
      </c>
      <c r="M87" s="373">
        <f t="shared" si="96"/>
        <v>0</v>
      </c>
      <c r="N87" s="143">
        <f t="shared" si="97"/>
        <v>0</v>
      </c>
      <c r="P87" s="372">
        <v>0</v>
      </c>
      <c r="Q87" s="375">
        <v>0</v>
      </c>
      <c r="R87" s="9"/>
      <c r="S87" s="705" t="str">
        <f>+IF(JUNIO!S87=0,"",JUNIO!S87)</f>
        <v/>
      </c>
      <c r="T87" s="681" t="str">
        <f>+IF(JUNIO!T87=0,"",JUNIO!T87)</f>
        <v/>
      </c>
      <c r="U87" s="27">
        <f>+ENERO!U87</f>
        <v>0</v>
      </c>
      <c r="V87" s="15">
        <f>JUNIO!V87+JULIO!AL87</f>
        <v>0</v>
      </c>
      <c r="W87" s="15">
        <f>JUNIO!W87+JULIO!AM87</f>
        <v>0</v>
      </c>
      <c r="X87" s="18">
        <f>SUM(U87:W87)</f>
        <v>0</v>
      </c>
      <c r="Y87" s="19">
        <f>JUNIO!AA87</f>
        <v>0</v>
      </c>
      <c r="Z87" s="374">
        <v>0</v>
      </c>
      <c r="AA87" s="18">
        <f>SUM(Y87:Z87)</f>
        <v>0</v>
      </c>
      <c r="AB87" s="19">
        <f>JUNIO!AD87</f>
        <v>0</v>
      </c>
      <c r="AC87" s="374">
        <v>0</v>
      </c>
      <c r="AD87" s="18">
        <f>SUM(AB87:AC87)</f>
        <v>0</v>
      </c>
      <c r="AE87" s="19">
        <f>JUNIO!AG87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8">
        <f>+IF(JUNIO!A88=0,"",JUNIO!A88)</f>
        <v>1130203</v>
      </c>
      <c r="B88" s="627" t="str">
        <f>+IF(JUNIO!B88=0,"",JUNIO!B88)</f>
        <v>CONVENIOS CON LA NACION LIGADOS A LA VENTA DE SERVICIOS</v>
      </c>
      <c r="C88" s="669">
        <f>+ENERO!C88</f>
        <v>0</v>
      </c>
      <c r="D88" s="373">
        <f>JUNIO!D88+JULIO!P88</f>
        <v>0</v>
      </c>
      <c r="E88" s="373">
        <f>JUNIO!E88+JULIO!Q88</f>
        <v>0</v>
      </c>
      <c r="F88" s="373">
        <f t="shared" si="93"/>
        <v>0</v>
      </c>
      <c r="G88" s="373">
        <f>JUNIO!I88</f>
        <v>0</v>
      </c>
      <c r="H88" s="374">
        <v>0</v>
      </c>
      <c r="I88" s="373">
        <f t="shared" si="94"/>
        <v>0</v>
      </c>
      <c r="J88" s="373">
        <f>JUNIO!L88</f>
        <v>0</v>
      </c>
      <c r="K88" s="374">
        <v>0</v>
      </c>
      <c r="L88" s="373">
        <f t="shared" si="95"/>
        <v>0</v>
      </c>
      <c r="M88" s="373">
        <f t="shared" si="96"/>
        <v>0</v>
      </c>
      <c r="N88" s="143">
        <f t="shared" si="97"/>
        <v>0</v>
      </c>
      <c r="P88" s="372">
        <v>0</v>
      </c>
      <c r="Q88" s="375">
        <v>0</v>
      </c>
      <c r="R88" s="9"/>
      <c r="S88" s="705">
        <f>+IF(JUNIO!S88=0,"",JUNIO!S88)</f>
        <v>1020299</v>
      </c>
      <c r="T88" s="681" t="str">
        <f>+IF(JUNIO!T88=0,"",JUNIO!T88)</f>
        <v>Vigencias Anteriores</v>
      </c>
      <c r="U88" s="27">
        <f>+ENERO!U88</f>
        <v>2232471701</v>
      </c>
      <c r="V88" s="15">
        <f>JUNIO!V88+JULIO!AL88</f>
        <v>1859982502</v>
      </c>
      <c r="W88" s="15">
        <f>JUNIO!W88+JULIO!AM88</f>
        <v>2000000000</v>
      </c>
      <c r="X88" s="18">
        <f>SUM(U88:W88)</f>
        <v>6092454203</v>
      </c>
      <c r="Y88" s="19">
        <f>JUNIO!AA88</f>
        <v>5741330783</v>
      </c>
      <c r="Z88" s="374">
        <v>351123420</v>
      </c>
      <c r="AA88" s="18">
        <f>SUM(Y88:Z88)</f>
        <v>6092454203</v>
      </c>
      <c r="AB88" s="19">
        <f>JUNIO!AD88</f>
        <v>5741330783</v>
      </c>
      <c r="AC88" s="374">
        <v>351123420</v>
      </c>
      <c r="AD88" s="18">
        <f>SUM(AB88:AC88)</f>
        <v>6092454203</v>
      </c>
      <c r="AE88" s="19">
        <f>JUNIO!AG88</f>
        <v>5741330783</v>
      </c>
      <c r="AF88" s="374">
        <v>351123420</v>
      </c>
      <c r="AG88" s="18">
        <f>SUM(AE88:AF88)</f>
        <v>6092454203</v>
      </c>
      <c r="AH88" s="19">
        <f>X88-AA88</f>
        <v>0</v>
      </c>
      <c r="AI88" s="15">
        <f>X88-AD88</f>
        <v>0</v>
      </c>
      <c r="AJ88" s="16">
        <f>X88-AG88</f>
        <v>0</v>
      </c>
      <c r="AK88" s="9"/>
      <c r="AL88" s="372">
        <v>293394577</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8">
        <f>+IF(JUNIO!A89=0,"",JUNIO!A89)</f>
        <v>1130204</v>
      </c>
      <c r="B89" s="627" t="str">
        <f>+IF(JUNIO!B89=0,"",JUNIO!B89)</f>
        <v>CONVENIOS CON EL DEPARTAMENTO LIGADOS A LA VENTA SERVICIOS</v>
      </c>
      <c r="C89" s="669">
        <f>+ENERO!C89</f>
        <v>0</v>
      </c>
      <c r="D89" s="373">
        <f>JUNIO!D89+JULIO!P89</f>
        <v>0</v>
      </c>
      <c r="E89" s="373">
        <f>JUNIO!E89+JULIO!Q89</f>
        <v>0</v>
      </c>
      <c r="F89" s="373">
        <f t="shared" si="93"/>
        <v>0</v>
      </c>
      <c r="G89" s="373">
        <f>JUNIO!I89</f>
        <v>0</v>
      </c>
      <c r="H89" s="374">
        <v>0</v>
      </c>
      <c r="I89" s="373">
        <f t="shared" si="94"/>
        <v>0</v>
      </c>
      <c r="J89" s="373">
        <f>JUNIO!L89</f>
        <v>0</v>
      </c>
      <c r="K89" s="374">
        <v>0</v>
      </c>
      <c r="L89" s="373">
        <f t="shared" si="95"/>
        <v>0</v>
      </c>
      <c r="M89" s="373">
        <f t="shared" si="96"/>
        <v>0</v>
      </c>
      <c r="N89" s="143">
        <f t="shared" si="97"/>
        <v>0</v>
      </c>
      <c r="P89" s="372">
        <v>0</v>
      </c>
      <c r="Q89" s="375">
        <v>0</v>
      </c>
      <c r="R89" s="9"/>
      <c r="S89" s="366" t="str">
        <f>+IF(JUNIO!S89=0,"",JUNIO!S89)</f>
        <v/>
      </c>
      <c r="T89" s="695"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8">
        <f>+IF(JUNIO!A90=0,"",JUNIO!A90)</f>
        <v>1130205</v>
      </c>
      <c r="B90" s="627" t="str">
        <f>+IF(JUNIO!B90=0,"",JUNIO!B90)</f>
        <v>CONVENIOS CON EL MUNICIPIO LIGADOS A LA VENTA DE SERVICIOS</v>
      </c>
      <c r="C90" s="669">
        <f>+ENERO!C90</f>
        <v>0</v>
      </c>
      <c r="D90" s="373">
        <f>JUNIO!D90+JULIO!P90</f>
        <v>0</v>
      </c>
      <c r="E90" s="373">
        <f>JUNIO!E90+JULIO!Q90</f>
        <v>0</v>
      </c>
      <c r="F90" s="373">
        <f t="shared" si="93"/>
        <v>0</v>
      </c>
      <c r="G90" s="373">
        <f>JUNIO!I90</f>
        <v>0</v>
      </c>
      <c r="H90" s="374">
        <v>0</v>
      </c>
      <c r="I90" s="373">
        <f t="shared" si="94"/>
        <v>0</v>
      </c>
      <c r="J90" s="373">
        <f>JUNIO!L90</f>
        <v>0</v>
      </c>
      <c r="K90" s="374">
        <v>0</v>
      </c>
      <c r="L90" s="373">
        <f t="shared" si="95"/>
        <v>0</v>
      </c>
      <c r="M90" s="373">
        <f t="shared" si="96"/>
        <v>0</v>
      </c>
      <c r="N90" s="143">
        <f t="shared" si="97"/>
        <v>0</v>
      </c>
      <c r="O90" s="382"/>
      <c r="P90" s="372">
        <v>0</v>
      </c>
      <c r="Q90" s="375">
        <v>0</v>
      </c>
      <c r="R90" s="30"/>
      <c r="S90" s="704">
        <f>+IF(JUNIO!S90=0,"",JUNIO!S90)</f>
        <v>1020300</v>
      </c>
      <c r="T90" s="680" t="str">
        <f>+IF(JUNIO!T90=0,"",JUNIO!T90)</f>
        <v>Contribuciones Inherentes nómina al Sector Privado</v>
      </c>
      <c r="U90" s="132">
        <f t="shared" ref="U90:AJ90" si="98">U91+U96+U102</f>
        <v>259627762</v>
      </c>
      <c r="V90" s="122">
        <f t="shared" si="98"/>
        <v>-72539920</v>
      </c>
      <c r="W90" s="122">
        <f t="shared" si="98"/>
        <v>292097670</v>
      </c>
      <c r="X90" s="129">
        <f t="shared" si="98"/>
        <v>479185512</v>
      </c>
      <c r="Y90" s="128">
        <f t="shared" si="98"/>
        <v>112739661</v>
      </c>
      <c r="Z90" s="122">
        <f t="shared" si="98"/>
        <v>18452447</v>
      </c>
      <c r="AA90" s="129">
        <f t="shared" si="98"/>
        <v>131192108</v>
      </c>
      <c r="AB90" s="128">
        <f t="shared" si="98"/>
        <v>112739661</v>
      </c>
      <c r="AC90" s="122">
        <f t="shared" si="98"/>
        <v>18452447</v>
      </c>
      <c r="AD90" s="129">
        <f t="shared" si="98"/>
        <v>131192108</v>
      </c>
      <c r="AE90" s="128">
        <f t="shared" si="98"/>
        <v>112739661</v>
      </c>
      <c r="AF90" s="122">
        <f t="shared" si="98"/>
        <v>18452447</v>
      </c>
      <c r="AG90" s="129">
        <f t="shared" si="98"/>
        <v>131192108</v>
      </c>
      <c r="AH90" s="128">
        <f t="shared" si="98"/>
        <v>347993404</v>
      </c>
      <c r="AI90" s="122">
        <f t="shared" si="98"/>
        <v>347993404</v>
      </c>
      <c r="AJ90" s="130">
        <f t="shared" si="98"/>
        <v>347993404</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8">
        <f>+IF(JUNIO!A91=0,"",JUNIO!A91)</f>
        <v>1130206</v>
      </c>
      <c r="B91" s="627" t="str">
        <f>+IF(JUNIO!B91=0,"",JUNIO!B91)</f>
        <v>OTROS CONVENIOS LIGADOS A LA VENTA DE SERVICIOS</v>
      </c>
      <c r="C91" s="669">
        <f>+ENERO!C91</f>
        <v>0</v>
      </c>
      <c r="D91" s="373">
        <f>JUNIO!D91+JULIO!P91</f>
        <v>0</v>
      </c>
      <c r="E91" s="373">
        <f>JUNIO!E91+JULIO!Q91</f>
        <v>0</v>
      </c>
      <c r="F91" s="373">
        <f t="shared" si="93"/>
        <v>0</v>
      </c>
      <c r="G91" s="373">
        <f>JUNIO!I91</f>
        <v>0</v>
      </c>
      <c r="H91" s="374">
        <v>0</v>
      </c>
      <c r="I91" s="373">
        <f t="shared" si="94"/>
        <v>0</v>
      </c>
      <c r="J91" s="373">
        <f>JUNIO!L91</f>
        <v>0</v>
      </c>
      <c r="K91" s="374">
        <v>0</v>
      </c>
      <c r="L91" s="373">
        <f t="shared" si="95"/>
        <v>0</v>
      </c>
      <c r="M91" s="373">
        <f t="shared" si="96"/>
        <v>0</v>
      </c>
      <c r="N91" s="143">
        <f t="shared" si="97"/>
        <v>0</v>
      </c>
      <c r="O91" s="382"/>
      <c r="P91" s="372">
        <v>0</v>
      </c>
      <c r="Q91" s="375">
        <v>0</v>
      </c>
      <c r="R91" s="30"/>
      <c r="S91" s="705">
        <f>+IF(JUNIO!S91=0,"",JUNIO!S91)</f>
        <v>1020301</v>
      </c>
      <c r="T91" s="681" t="str">
        <f>+IF(JUNIO!T91=0,"",JUNIO!T91)</f>
        <v>Contribuciones - SGP - Aportes Patronales - Cuentas Maestras</v>
      </c>
      <c r="U91" s="27">
        <f t="shared" ref="U91:AJ91" si="99">SUM(U92:U95)</f>
        <v>0</v>
      </c>
      <c r="V91" s="15">
        <f t="shared" si="99"/>
        <v>0</v>
      </c>
      <c r="W91" s="15">
        <f t="shared" si="99"/>
        <v>193557750</v>
      </c>
      <c r="X91" s="18">
        <f t="shared" si="99"/>
        <v>193557750</v>
      </c>
      <c r="Y91" s="19">
        <f t="shared" si="99"/>
        <v>0</v>
      </c>
      <c r="Z91" s="142">
        <f t="shared" si="99"/>
        <v>15625382</v>
      </c>
      <c r="AA91" s="18">
        <f t="shared" si="99"/>
        <v>15625382</v>
      </c>
      <c r="AB91" s="19">
        <f t="shared" si="99"/>
        <v>0</v>
      </c>
      <c r="AC91" s="142">
        <f t="shared" si="99"/>
        <v>15625382</v>
      </c>
      <c r="AD91" s="18">
        <f t="shared" si="99"/>
        <v>15625382</v>
      </c>
      <c r="AE91" s="19">
        <f t="shared" si="99"/>
        <v>0</v>
      </c>
      <c r="AF91" s="142">
        <f t="shared" si="99"/>
        <v>15625382</v>
      </c>
      <c r="AG91" s="18">
        <f t="shared" si="99"/>
        <v>15625382</v>
      </c>
      <c r="AH91" s="19">
        <f t="shared" si="99"/>
        <v>177932368</v>
      </c>
      <c r="AI91" s="15">
        <f t="shared" si="99"/>
        <v>177932368</v>
      </c>
      <c r="AJ91" s="16">
        <f t="shared" si="99"/>
        <v>177932368</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8">
        <f>+IF(JUNIO!A92=0,"",JUNIO!A92)</f>
        <v>1130207</v>
      </c>
      <c r="B92" s="628" t="str">
        <f>+IF(JUNIO!B92=0,"",JUNIO!B92)</f>
        <v>Vigencia Anterior</v>
      </c>
      <c r="C92" s="770">
        <f>+ENERO!C92</f>
        <v>0</v>
      </c>
      <c r="D92" s="385">
        <f>JUNIO!D92+JULIO!P92</f>
        <v>0</v>
      </c>
      <c r="E92" s="385">
        <f>JUNIO!E92+JULIO!Q92</f>
        <v>0</v>
      </c>
      <c r="F92" s="385">
        <f t="shared" si="93"/>
        <v>0</v>
      </c>
      <c r="G92" s="385">
        <f>JUNIO!I92</f>
        <v>0</v>
      </c>
      <c r="H92" s="388">
        <v>0</v>
      </c>
      <c r="I92" s="385">
        <f t="shared" si="94"/>
        <v>0</v>
      </c>
      <c r="J92" s="385">
        <f>JUNIO!L92</f>
        <v>0</v>
      </c>
      <c r="K92" s="388">
        <v>0</v>
      </c>
      <c r="L92" s="385">
        <f t="shared" si="95"/>
        <v>0</v>
      </c>
      <c r="M92" s="385">
        <f t="shared" si="96"/>
        <v>0</v>
      </c>
      <c r="N92" s="386">
        <f t="shared" si="97"/>
        <v>0</v>
      </c>
      <c r="O92" s="382"/>
      <c r="P92" s="372">
        <v>0</v>
      </c>
      <c r="Q92" s="375">
        <v>0</v>
      </c>
      <c r="R92" s="30"/>
      <c r="S92" s="706" t="str">
        <f>+IF(JUNIO!S92=0,"",JUNIO!S92)</f>
        <v>1020301-1</v>
      </c>
      <c r="T92" s="682" t="str">
        <f>+IF(JUNIO!T92=0,"",JUNIO!T92)</f>
        <v>E.P.S. - Aportes cuentas maestras</v>
      </c>
      <c r="U92" s="27">
        <f>+ENERO!U92</f>
        <v>0</v>
      </c>
      <c r="V92" s="15">
        <f>JUNIO!V92+JULIO!AL92</f>
        <v>0</v>
      </c>
      <c r="W92" s="15">
        <f>JUNIO!W92+JULIO!AM92</f>
        <v>40900445</v>
      </c>
      <c r="X92" s="18">
        <f>SUM(U92:W92)</f>
        <v>40900445</v>
      </c>
      <c r="Y92" s="19">
        <f>JUNIO!AA92</f>
        <v>0</v>
      </c>
      <c r="Z92" s="374">
        <v>6141714</v>
      </c>
      <c r="AA92" s="18">
        <f>SUM(Y92:Z92)</f>
        <v>6141714</v>
      </c>
      <c r="AB92" s="19">
        <f>JUNIO!AD92</f>
        <v>0</v>
      </c>
      <c r="AC92" s="374">
        <v>6141714</v>
      </c>
      <c r="AD92" s="18">
        <f>SUM(AB92:AC92)</f>
        <v>6141714</v>
      </c>
      <c r="AE92" s="19">
        <f>JUNIO!AG92</f>
        <v>0</v>
      </c>
      <c r="AF92" s="374">
        <v>6141714</v>
      </c>
      <c r="AG92" s="18">
        <f>SUM(AE92:AF92)</f>
        <v>6141714</v>
      </c>
      <c r="AH92" s="19">
        <f>X92-AA92</f>
        <v>34758731</v>
      </c>
      <c r="AI92" s="15">
        <f>X92-AD92</f>
        <v>34758731</v>
      </c>
      <c r="AJ92" s="16">
        <f>X92-AG92</f>
        <v>34758731</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6" t="str">
        <f>+IF(JUNIO!A93=0,"",JUNIO!A93)</f>
        <v/>
      </c>
      <c r="B93" s="651" t="str">
        <f>+IF(JUNIO!B93=0,"",JUNIO!B93)</f>
        <v/>
      </c>
      <c r="C93" s="294"/>
      <c r="D93" s="294"/>
      <c r="E93" s="294"/>
      <c r="F93" s="294"/>
      <c r="G93" s="294"/>
      <c r="H93" s="294"/>
      <c r="I93" s="294"/>
      <c r="J93" s="294"/>
      <c r="K93" s="294"/>
      <c r="L93" s="294"/>
      <c r="M93" s="294"/>
      <c r="N93" s="463"/>
      <c r="P93" s="467"/>
      <c r="Q93" s="391"/>
      <c r="R93" s="30"/>
      <c r="S93" s="706" t="str">
        <f>+IF(JUNIO!S93=0,"",JUNIO!S93)</f>
        <v>1020301-2</v>
      </c>
      <c r="T93" s="682" t="str">
        <f>+IF(JUNIO!T93=0,"",JUNIO!T93)</f>
        <v>Fondos pensionales - Aportes cuentas maestras</v>
      </c>
      <c r="U93" s="27">
        <f>+ENERO!U93</f>
        <v>0</v>
      </c>
      <c r="V93" s="15">
        <f>JUNIO!V93+JULIO!AL93</f>
        <v>0</v>
      </c>
      <c r="W93" s="15">
        <f>JUNIO!W93+JULIO!AM93</f>
        <v>114718500</v>
      </c>
      <c r="X93" s="18">
        <f>SUM(U93:W93)</f>
        <v>114718500</v>
      </c>
      <c r="Y93" s="19">
        <f>JUNIO!AA93</f>
        <v>0</v>
      </c>
      <c r="Z93" s="374">
        <v>7964218</v>
      </c>
      <c r="AA93" s="18">
        <f>SUM(Y93:Z93)</f>
        <v>7964218</v>
      </c>
      <c r="AB93" s="19">
        <f>JUNIO!AD93</f>
        <v>0</v>
      </c>
      <c r="AC93" s="374">
        <v>7964218</v>
      </c>
      <c r="AD93" s="18">
        <f>SUM(AB93:AC93)</f>
        <v>7964218</v>
      </c>
      <c r="AE93" s="19">
        <f>JUNIO!AG93</f>
        <v>0</v>
      </c>
      <c r="AF93" s="374">
        <v>7964218</v>
      </c>
      <c r="AG93" s="18">
        <f>SUM(AE93:AF93)</f>
        <v>7964218</v>
      </c>
      <c r="AH93" s="19">
        <f>X93-AA93</f>
        <v>106754282</v>
      </c>
      <c r="AI93" s="15">
        <f>X93-AD93</f>
        <v>106754282</v>
      </c>
      <c r="AJ93" s="16">
        <f>X93-AG93</f>
        <v>106754282</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c r="A94" s="739">
        <f>+IF(JUNIO!A94=0,"",JUNIO!A94)</f>
        <v>11303</v>
      </c>
      <c r="B94" s="618" t="str">
        <f>+IF(JUNIO!B94=0,"",JUNIO!B94)</f>
        <v>Aportes (No ligados a la venta de servicios de salud)</v>
      </c>
      <c r="C94" s="617">
        <f>SUM(C95:C102)</f>
        <v>0</v>
      </c>
      <c r="D94" s="615">
        <f t="shared" ref="D94:N94" si="100">SUM(D95:D102)</f>
        <v>0</v>
      </c>
      <c r="E94" s="615">
        <f t="shared" si="100"/>
        <v>176903055</v>
      </c>
      <c r="F94" s="615">
        <f t="shared" si="100"/>
        <v>176903055</v>
      </c>
      <c r="G94" s="615">
        <f t="shared" si="100"/>
        <v>51666127</v>
      </c>
      <c r="H94" s="615">
        <f t="shared" si="100"/>
        <v>125236928</v>
      </c>
      <c r="I94" s="615">
        <f t="shared" si="100"/>
        <v>176903055</v>
      </c>
      <c r="J94" s="615">
        <f t="shared" si="100"/>
        <v>51666127</v>
      </c>
      <c r="K94" s="615">
        <f t="shared" si="100"/>
        <v>125236928</v>
      </c>
      <c r="L94" s="615">
        <f t="shared" si="100"/>
        <v>176903055</v>
      </c>
      <c r="M94" s="615">
        <f t="shared" si="100"/>
        <v>0</v>
      </c>
      <c r="N94" s="616">
        <f t="shared" si="100"/>
        <v>0</v>
      </c>
      <c r="O94" s="382"/>
      <c r="P94" s="43">
        <f>SUM(P95:P102)</f>
        <v>0</v>
      </c>
      <c r="Q94" s="45">
        <f>SUM(Q95:Q102)</f>
        <v>0</v>
      </c>
      <c r="R94" s="30"/>
      <c r="S94" s="706" t="str">
        <f>+IF(JUNIO!S94=0,"",JUNIO!S94)</f>
        <v>1020301-3</v>
      </c>
      <c r="T94" s="682" t="str">
        <f>+IF(JUNIO!T94=0,"",JUNIO!T94)</f>
        <v>Fondos de cesantías - Aportes cuentas maestras</v>
      </c>
      <c r="U94" s="27">
        <f>+ENERO!U94</f>
        <v>0</v>
      </c>
      <c r="V94" s="15">
        <f>JUNIO!V94+JULIO!AL94</f>
        <v>0</v>
      </c>
      <c r="W94" s="15">
        <f>JUNIO!W94+JULIO!AM94</f>
        <v>28200000</v>
      </c>
      <c r="X94" s="18">
        <f>SUM(U94:W94)</f>
        <v>28200000</v>
      </c>
      <c r="Y94" s="19">
        <f>JUNIO!AA94</f>
        <v>0</v>
      </c>
      <c r="Z94" s="374">
        <v>0</v>
      </c>
      <c r="AA94" s="18">
        <f>SUM(Y94:Z94)</f>
        <v>0</v>
      </c>
      <c r="AB94" s="19">
        <f>JUNIO!AD94</f>
        <v>0</v>
      </c>
      <c r="AC94" s="374">
        <v>0</v>
      </c>
      <c r="AD94" s="18">
        <f>SUM(AB94:AC94)</f>
        <v>0</v>
      </c>
      <c r="AE94" s="19">
        <f>JUNIO!AG94</f>
        <v>0</v>
      </c>
      <c r="AF94" s="374">
        <v>0</v>
      </c>
      <c r="AG94" s="18">
        <f>SUM(AE94:AF94)</f>
        <v>0</v>
      </c>
      <c r="AH94" s="19">
        <f>X94-AA94</f>
        <v>28200000</v>
      </c>
      <c r="AI94" s="15">
        <f>X94-AD94</f>
        <v>28200000</v>
      </c>
      <c r="AJ94" s="16">
        <f>X94-AG94</f>
        <v>28200000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0" t="str">
        <f>+IF(JUNIO!A95=0,"",JUNIO!A95)</f>
        <v>11303-1</v>
      </c>
      <c r="B95" s="619" t="str">
        <f>+IF(JUNIO!B95=0,"",JUNIO!B95)</f>
        <v>CONVENIOS CON LA NACION NO LIGADOS A LA VENTA DE SERVICIOS</v>
      </c>
      <c r="C95" s="669">
        <f>+ENERO!C95</f>
        <v>0</v>
      </c>
      <c r="D95" s="373">
        <f>JUNIO!D95+JULIO!P95</f>
        <v>0</v>
      </c>
      <c r="E95" s="373">
        <f>JUNIO!E95+JULIO!Q95</f>
        <v>0</v>
      </c>
      <c r="F95" s="373">
        <f t="shared" ref="F95:F102" si="101">SUM(C95:E95)</f>
        <v>0</v>
      </c>
      <c r="G95" s="373">
        <f>JUNIO!I95</f>
        <v>0</v>
      </c>
      <c r="H95" s="374">
        <v>0</v>
      </c>
      <c r="I95" s="373">
        <f t="shared" ref="I95:I102" si="102">SUM(G95:H95)</f>
        <v>0</v>
      </c>
      <c r="J95" s="373">
        <f>JUNIO!L95</f>
        <v>0</v>
      </c>
      <c r="K95" s="374">
        <v>0</v>
      </c>
      <c r="L95" s="373">
        <f t="shared" ref="L95:L102" si="103">SUM(J95:K95)</f>
        <v>0</v>
      </c>
      <c r="M95" s="373">
        <f t="shared" ref="M95:M102" si="104">F95-I95</f>
        <v>0</v>
      </c>
      <c r="N95" s="143">
        <f t="shared" ref="N95:N102" si="105">F95-L95</f>
        <v>0</v>
      </c>
      <c r="O95" s="382"/>
      <c r="P95" s="372">
        <v>0</v>
      </c>
      <c r="Q95" s="375">
        <v>0</v>
      </c>
      <c r="R95" s="30"/>
      <c r="S95" s="706" t="str">
        <f>+IF(JUNIO!S95=0,"",JUNIO!S95)</f>
        <v>1020301-4</v>
      </c>
      <c r="T95" s="682" t="str">
        <f>+IF(JUNIO!T95=0,"",JUNIO!T95)</f>
        <v>Riesgos laborales - Aportes cuentas maestras</v>
      </c>
      <c r="U95" s="27">
        <f>+ENERO!U95</f>
        <v>0</v>
      </c>
      <c r="V95" s="15">
        <f>JUNIO!V95+JULIO!AL95</f>
        <v>0</v>
      </c>
      <c r="W95" s="15">
        <f>JUNIO!W95+JULIO!AM95</f>
        <v>9738805</v>
      </c>
      <c r="X95" s="18">
        <f>SUM(U95:W95)</f>
        <v>9738805</v>
      </c>
      <c r="Y95" s="19">
        <f>JUNIO!AA95</f>
        <v>0</v>
      </c>
      <c r="Z95" s="374">
        <v>1519450</v>
      </c>
      <c r="AA95" s="18">
        <f>SUM(Y95:Z95)</f>
        <v>1519450</v>
      </c>
      <c r="AB95" s="19">
        <f>JUNIO!AD95</f>
        <v>0</v>
      </c>
      <c r="AC95" s="374">
        <v>1519450</v>
      </c>
      <c r="AD95" s="18">
        <f>SUM(AB95:AC95)</f>
        <v>1519450</v>
      </c>
      <c r="AE95" s="19">
        <f>JUNIO!AG95</f>
        <v>0</v>
      </c>
      <c r="AF95" s="374">
        <v>1519450</v>
      </c>
      <c r="AG95" s="18">
        <f>SUM(AE95:AF95)</f>
        <v>1519450</v>
      </c>
      <c r="AH95" s="19">
        <f>X95-AA95</f>
        <v>8219355</v>
      </c>
      <c r="AI95" s="15">
        <f>X95-AD95</f>
        <v>8219355</v>
      </c>
      <c r="AJ95" s="16">
        <f>X95-AG95</f>
        <v>8219355</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0" t="str">
        <f>+IF(JUNIO!A96=0,"",JUNIO!A96)</f>
        <v>11303-2</v>
      </c>
      <c r="B96" s="619" t="str">
        <f>+IF(JUNIO!B96=0,"",JUNIO!B96)</f>
        <v>CONVENIOS CON EL DEPARTAMENTO NO LIGADOS A LA VENTA SERVICIOS</v>
      </c>
      <c r="C96" s="669">
        <f>+ENERO!C96</f>
        <v>0</v>
      </c>
      <c r="D96" s="373">
        <f>JUNIO!D96+JULIO!P96</f>
        <v>0</v>
      </c>
      <c r="E96" s="373">
        <f>JUNIO!E96+JULIO!Q96</f>
        <v>125236928</v>
      </c>
      <c r="F96" s="373">
        <f t="shared" si="101"/>
        <v>125236928</v>
      </c>
      <c r="G96" s="373">
        <f>JUNIO!I96</f>
        <v>0</v>
      </c>
      <c r="H96" s="374">
        <v>125236928</v>
      </c>
      <c r="I96" s="373">
        <f t="shared" si="102"/>
        <v>125236928</v>
      </c>
      <c r="J96" s="373">
        <f>JUNIO!L96</f>
        <v>0</v>
      </c>
      <c r="K96" s="374">
        <v>125236928</v>
      </c>
      <c r="L96" s="373">
        <f t="shared" si="103"/>
        <v>125236928</v>
      </c>
      <c r="M96" s="373">
        <f t="shared" si="104"/>
        <v>0</v>
      </c>
      <c r="N96" s="143">
        <f t="shared" si="105"/>
        <v>0</v>
      </c>
      <c r="O96" s="382"/>
      <c r="P96" s="372">
        <v>0</v>
      </c>
      <c r="Q96" s="375">
        <v>0</v>
      </c>
      <c r="S96" s="705">
        <f>+IF(JUNIO!S96=0,"",JUNIO!S96)</f>
        <v>1020302</v>
      </c>
      <c r="T96" s="681" t="str">
        <f>+IF(JUNIO!T96=0,"",JUNIO!T96)</f>
        <v>Contribuciones - Otros</v>
      </c>
      <c r="U96" s="27">
        <f t="shared" ref="U96:AJ96" si="106">SUM(U97:U101)</f>
        <v>259627762</v>
      </c>
      <c r="V96" s="15">
        <f t="shared" si="106"/>
        <v>6000000</v>
      </c>
      <c r="W96" s="15">
        <f t="shared" si="106"/>
        <v>20000000</v>
      </c>
      <c r="X96" s="18">
        <f t="shared" si="106"/>
        <v>285627762</v>
      </c>
      <c r="Y96" s="19">
        <f t="shared" si="106"/>
        <v>112739661</v>
      </c>
      <c r="Z96" s="142">
        <f t="shared" si="106"/>
        <v>2827065</v>
      </c>
      <c r="AA96" s="18">
        <f t="shared" si="106"/>
        <v>115566726</v>
      </c>
      <c r="AB96" s="19">
        <f t="shared" si="106"/>
        <v>112739661</v>
      </c>
      <c r="AC96" s="142">
        <f t="shared" si="106"/>
        <v>2827065</v>
      </c>
      <c r="AD96" s="18">
        <f t="shared" si="106"/>
        <v>115566726</v>
      </c>
      <c r="AE96" s="19">
        <f t="shared" si="106"/>
        <v>112739661</v>
      </c>
      <c r="AF96" s="142">
        <f t="shared" si="106"/>
        <v>2827065</v>
      </c>
      <c r="AG96" s="18">
        <f t="shared" si="106"/>
        <v>115566726</v>
      </c>
      <c r="AH96" s="19">
        <f t="shared" si="106"/>
        <v>170061036</v>
      </c>
      <c r="AI96" s="15">
        <f t="shared" si="106"/>
        <v>170061036</v>
      </c>
      <c r="AJ96" s="16">
        <f t="shared" si="106"/>
        <v>170061036</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0" t="str">
        <f>+IF(JUNIO!A97=0,"",JUNIO!A97)</f>
        <v>11303-3</v>
      </c>
      <c r="B97" s="619" t="str">
        <f>+IF(JUNIO!B97=0,"",JUNIO!B97)</f>
        <v>CONVENIOS CON EL MUNICIPIO NO LIGADOS A LA VENTA DE SERVICIOS</v>
      </c>
      <c r="C97" s="669">
        <f>+ENERO!C97</f>
        <v>0</v>
      </c>
      <c r="D97" s="373">
        <f>JUNIO!D97+JULIO!P97</f>
        <v>0</v>
      </c>
      <c r="E97" s="373">
        <f>JUNIO!E97+JULIO!Q97</f>
        <v>0</v>
      </c>
      <c r="F97" s="373">
        <f t="shared" si="101"/>
        <v>0</v>
      </c>
      <c r="G97" s="373">
        <f>JUNIO!I97</f>
        <v>0</v>
      </c>
      <c r="H97" s="374">
        <v>0</v>
      </c>
      <c r="I97" s="373">
        <f t="shared" si="102"/>
        <v>0</v>
      </c>
      <c r="J97" s="373">
        <f>JUNIO!L97</f>
        <v>0</v>
      </c>
      <c r="K97" s="374">
        <v>0</v>
      </c>
      <c r="L97" s="373">
        <f t="shared" si="103"/>
        <v>0</v>
      </c>
      <c r="M97" s="373">
        <f t="shared" si="104"/>
        <v>0</v>
      </c>
      <c r="N97" s="143">
        <f t="shared" si="105"/>
        <v>0</v>
      </c>
      <c r="O97" s="382"/>
      <c r="P97" s="372">
        <v>0</v>
      </c>
      <c r="Q97" s="375">
        <v>0</v>
      </c>
      <c r="R97" s="30"/>
      <c r="S97" s="706" t="str">
        <f>+IF(JUNIO!S97=0,"",JUNIO!S97)</f>
        <v>1020302-1</v>
      </c>
      <c r="T97" s="682" t="str">
        <f>+IF(JUNIO!T97=0,"",JUNIO!T97)</f>
        <v>Aportes a E.P.S.- Con sit. Fondos</v>
      </c>
      <c r="U97" s="27">
        <f>+ENERO!U97</f>
        <v>52772649</v>
      </c>
      <c r="V97" s="15">
        <f>JUNIO!V97+JULIO!AL97</f>
        <v>0</v>
      </c>
      <c r="W97" s="15">
        <f>JUNIO!W97+JULIO!AM97</f>
        <v>0</v>
      </c>
      <c r="X97" s="18">
        <f t="shared" ref="X97:X102" si="107">SUM(U97:W97)</f>
        <v>52772649</v>
      </c>
      <c r="Y97" s="19">
        <f>JUNIO!AA97</f>
        <v>37010174</v>
      </c>
      <c r="Z97" s="374">
        <v>0</v>
      </c>
      <c r="AA97" s="18">
        <f t="shared" ref="AA97:AA102" si="108">SUM(Y97:Z97)</f>
        <v>37010174</v>
      </c>
      <c r="AB97" s="19">
        <f>JUNIO!AD97</f>
        <v>37010174</v>
      </c>
      <c r="AC97" s="374">
        <v>0</v>
      </c>
      <c r="AD97" s="18">
        <f t="shared" ref="AD97:AD102" si="109">SUM(AB97:AC97)</f>
        <v>37010174</v>
      </c>
      <c r="AE97" s="19">
        <f>JUNIO!AG97</f>
        <v>37010174</v>
      </c>
      <c r="AF97" s="374">
        <v>0</v>
      </c>
      <c r="AG97" s="18">
        <f t="shared" ref="AG97:AG102" si="110">SUM(AE97:AF97)</f>
        <v>37010174</v>
      </c>
      <c r="AH97" s="19">
        <f t="shared" ref="AH97:AH102" si="111">X97-AA97</f>
        <v>15762475</v>
      </c>
      <c r="AI97" s="15">
        <f t="shared" ref="AI97:AI102" si="112">X97-AD97</f>
        <v>15762475</v>
      </c>
      <c r="AJ97" s="16">
        <f t="shared" ref="AJ97:AJ102" si="113">X97-AG97</f>
        <v>15762475</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0" t="str">
        <f>+IF(JUNIO!A98=0,"",JUNIO!A98)</f>
        <v>11303-4</v>
      </c>
      <c r="B98" s="619" t="str">
        <f>+IF(JUNIO!B98=0,"",JUNIO!B98)</f>
        <v>OTROS CONVENIOS NO LIGADOS A LA VENTA DE SERVICIOS</v>
      </c>
      <c r="C98" s="669">
        <f>+ENERO!C98</f>
        <v>0</v>
      </c>
      <c r="D98" s="373">
        <f>JUNIO!D98+JULIO!P98</f>
        <v>0</v>
      </c>
      <c r="E98" s="373">
        <f>JUNIO!E98+JULIO!Q98</f>
        <v>0</v>
      </c>
      <c r="F98" s="373">
        <f t="shared" si="101"/>
        <v>0</v>
      </c>
      <c r="G98" s="373">
        <f>JUNIO!I98</f>
        <v>0</v>
      </c>
      <c r="H98" s="374">
        <v>0</v>
      </c>
      <c r="I98" s="373">
        <f t="shared" si="102"/>
        <v>0</v>
      </c>
      <c r="J98" s="373">
        <f>JUNIO!L98</f>
        <v>0</v>
      </c>
      <c r="K98" s="374">
        <v>0</v>
      </c>
      <c r="L98" s="373">
        <f t="shared" si="103"/>
        <v>0</v>
      </c>
      <c r="M98" s="373">
        <f t="shared" si="104"/>
        <v>0</v>
      </c>
      <c r="N98" s="143">
        <f t="shared" si="105"/>
        <v>0</v>
      </c>
      <c r="O98" s="382"/>
      <c r="P98" s="372">
        <v>0</v>
      </c>
      <c r="Q98" s="375">
        <v>0</v>
      </c>
      <c r="R98" s="30"/>
      <c r="S98" s="706" t="str">
        <f>+IF(JUNIO!S98=0,"",JUNIO!S98)</f>
        <v>1020302-2</v>
      </c>
      <c r="T98" s="682" t="str">
        <f>+IF(JUNIO!T98=0,"",JUNIO!T98)</f>
        <v>Aportes Fondos Pensionales - Con Sit. Fondos</v>
      </c>
      <c r="U98" s="27">
        <f>+ENERO!U98</f>
        <v>103712246</v>
      </c>
      <c r="V98" s="15">
        <f>JUNIO!V98+JULIO!AL98</f>
        <v>0</v>
      </c>
      <c r="W98" s="15">
        <f>JUNIO!W98+JULIO!AM98</f>
        <v>0</v>
      </c>
      <c r="X98" s="18">
        <f t="shared" si="107"/>
        <v>103712246</v>
      </c>
      <c r="Y98" s="19">
        <f>JUNIO!AA98</f>
        <v>50124903</v>
      </c>
      <c r="Z98" s="374">
        <v>0</v>
      </c>
      <c r="AA98" s="18">
        <f t="shared" si="108"/>
        <v>50124903</v>
      </c>
      <c r="AB98" s="19">
        <f>JUNIO!AD98</f>
        <v>50124903</v>
      </c>
      <c r="AC98" s="374">
        <v>0</v>
      </c>
      <c r="AD98" s="18">
        <f t="shared" si="109"/>
        <v>50124903</v>
      </c>
      <c r="AE98" s="19">
        <f>JUNIO!AG98</f>
        <v>50124903</v>
      </c>
      <c r="AF98" s="374">
        <v>0</v>
      </c>
      <c r="AG98" s="18">
        <f t="shared" si="110"/>
        <v>50124903</v>
      </c>
      <c r="AH98" s="19">
        <f t="shared" si="111"/>
        <v>53587343</v>
      </c>
      <c r="AI98" s="15">
        <f t="shared" si="112"/>
        <v>53587343</v>
      </c>
      <c r="AJ98" s="16">
        <f t="shared" si="113"/>
        <v>53587343</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0" t="str">
        <f>+IF(JUNIO!A99=0,"",JUNIO!A99)</f>
        <v>11303-5</v>
      </c>
      <c r="B99" s="619" t="str">
        <f>+IF(JUNIO!B99=0,"",JUNIO!B99)</f>
        <v>APORTES PATRONALES - MUNICIPIO / DEPARTAMENTO</v>
      </c>
      <c r="C99" s="669">
        <f>+ENERO!C99</f>
        <v>0</v>
      </c>
      <c r="D99" s="373">
        <f>JUNIO!D99+JULIO!P99</f>
        <v>0</v>
      </c>
      <c r="E99" s="373">
        <f>JUNIO!E99+JULIO!Q99</f>
        <v>0</v>
      </c>
      <c r="F99" s="373">
        <f t="shared" si="101"/>
        <v>0</v>
      </c>
      <c r="G99" s="373">
        <f>JUNIO!I99</f>
        <v>0</v>
      </c>
      <c r="H99" s="670">
        <v>0</v>
      </c>
      <c r="I99" s="373">
        <f t="shared" si="102"/>
        <v>0</v>
      </c>
      <c r="J99" s="373">
        <f>JUNIO!L99</f>
        <v>0</v>
      </c>
      <c r="K99" s="670">
        <v>0</v>
      </c>
      <c r="L99" s="373">
        <f t="shared" si="103"/>
        <v>0</v>
      </c>
      <c r="M99" s="373">
        <f t="shared" si="104"/>
        <v>0</v>
      </c>
      <c r="N99" s="143">
        <f t="shared" si="105"/>
        <v>0</v>
      </c>
      <c r="O99" s="382"/>
      <c r="P99" s="671">
        <v>0</v>
      </c>
      <c r="Q99" s="672">
        <v>0</v>
      </c>
      <c r="R99" s="30"/>
      <c r="S99" s="706" t="str">
        <f>+IF(JUNIO!S99=0,"",JUNIO!S99)</f>
        <v>1020302-3</v>
      </c>
      <c r="T99" s="682" t="str">
        <f>+IF(JUNIO!T99=0,"",JUNIO!T99)</f>
        <v xml:space="preserve">Aportes a Fondos de Cesantia - Con Sit. de Fondos </v>
      </c>
      <c r="U99" s="27">
        <f>+ENERO!U99</f>
        <v>72193404</v>
      </c>
      <c r="V99" s="15">
        <f>JUNIO!V99+JULIO!AL99</f>
        <v>0</v>
      </c>
      <c r="W99" s="15">
        <f>JUNIO!W99+JULIO!AM99</f>
        <v>0</v>
      </c>
      <c r="X99" s="18">
        <f t="shared" si="107"/>
        <v>72193404</v>
      </c>
      <c r="Y99" s="19">
        <f>JUNIO!AA99</f>
        <v>0</v>
      </c>
      <c r="Z99" s="374">
        <v>0</v>
      </c>
      <c r="AA99" s="18">
        <f t="shared" si="108"/>
        <v>0</v>
      </c>
      <c r="AB99" s="19">
        <f>JUNIO!AD99</f>
        <v>0</v>
      </c>
      <c r="AC99" s="374">
        <v>0</v>
      </c>
      <c r="AD99" s="18">
        <f t="shared" si="109"/>
        <v>0</v>
      </c>
      <c r="AE99" s="19">
        <f>JUNIO!AG99</f>
        <v>0</v>
      </c>
      <c r="AF99" s="374">
        <v>0</v>
      </c>
      <c r="AG99" s="18">
        <f t="shared" si="110"/>
        <v>0</v>
      </c>
      <c r="AH99" s="19">
        <f t="shared" si="111"/>
        <v>72193404</v>
      </c>
      <c r="AI99" s="15">
        <f t="shared" si="112"/>
        <v>72193404</v>
      </c>
      <c r="AJ99" s="16">
        <f t="shared" si="113"/>
        <v>72193404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0" t="str">
        <f>+IF(JUNIO!A100=0,"",JUNIO!A100)</f>
        <v>11303-6</v>
      </c>
      <c r="B100" s="619" t="str">
        <f>+IF(JUNIO!B100=0,"",JUNIO!B100)</f>
        <v>RECURSOS PARA PROGRAMA DE SANEAMIENTO FINANCIERO</v>
      </c>
      <c r="C100" s="669">
        <f>+ENERO!C100</f>
        <v>0</v>
      </c>
      <c r="D100" s="373">
        <f>JUNIO!D100+JULIO!P100</f>
        <v>0</v>
      </c>
      <c r="E100" s="373">
        <f>JUNIO!E100+JULIO!Q100</f>
        <v>0</v>
      </c>
      <c r="F100" s="373">
        <f t="shared" si="101"/>
        <v>0</v>
      </c>
      <c r="G100" s="373">
        <f>JUNIO!I100</f>
        <v>0</v>
      </c>
      <c r="H100" s="374">
        <v>0</v>
      </c>
      <c r="I100" s="373">
        <f t="shared" si="102"/>
        <v>0</v>
      </c>
      <c r="J100" s="373">
        <f>JUNIO!L100</f>
        <v>0</v>
      </c>
      <c r="K100" s="374">
        <v>0</v>
      </c>
      <c r="L100" s="373">
        <f t="shared" si="103"/>
        <v>0</v>
      </c>
      <c r="M100" s="373">
        <f t="shared" si="104"/>
        <v>0</v>
      </c>
      <c r="N100" s="143">
        <f t="shared" si="105"/>
        <v>0</v>
      </c>
      <c r="P100" s="372">
        <v>0</v>
      </c>
      <c r="Q100" s="375">
        <v>0</v>
      </c>
      <c r="R100" s="9"/>
      <c r="S100" s="706" t="str">
        <f>+IF(JUNIO!S100=0,"",JUNIO!S100)</f>
        <v>1020302-4</v>
      </c>
      <c r="T100" s="682" t="str">
        <f>+IF(JUNIO!T100=0,"",JUNIO!T100)</f>
        <v>Aporte a ARL. - Con Sit. de Fondos</v>
      </c>
      <c r="U100" s="27">
        <f>+ENERO!U100</f>
        <v>20885552</v>
      </c>
      <c r="V100" s="15">
        <f>JUNIO!V100+JULIO!AL100</f>
        <v>0</v>
      </c>
      <c r="W100" s="15">
        <f>JUNIO!W100+JULIO!AM100</f>
        <v>0</v>
      </c>
      <c r="X100" s="18">
        <f t="shared" si="107"/>
        <v>20885552</v>
      </c>
      <c r="Y100" s="19">
        <f>JUNIO!AA100</f>
        <v>9831767</v>
      </c>
      <c r="Z100" s="374">
        <v>0</v>
      </c>
      <c r="AA100" s="18">
        <f t="shared" si="108"/>
        <v>9831767</v>
      </c>
      <c r="AB100" s="19">
        <f>JUNIO!AD100</f>
        <v>9831767</v>
      </c>
      <c r="AC100" s="374">
        <v>0</v>
      </c>
      <c r="AD100" s="18">
        <f t="shared" si="109"/>
        <v>9831767</v>
      </c>
      <c r="AE100" s="19">
        <f>JUNIO!AG100</f>
        <v>9831767</v>
      </c>
      <c r="AF100" s="374">
        <v>0</v>
      </c>
      <c r="AG100" s="18">
        <f t="shared" si="110"/>
        <v>9831767</v>
      </c>
      <c r="AH100" s="19">
        <f t="shared" si="111"/>
        <v>11053785</v>
      </c>
      <c r="AI100" s="15">
        <f t="shared" si="112"/>
        <v>11053785</v>
      </c>
      <c r="AJ100" s="16">
        <f t="shared" si="113"/>
        <v>11053785</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0" t="str">
        <f>+IF(JUNIO!A101=0,"",JUNIO!A101)</f>
        <v>11303-7</v>
      </c>
      <c r="B101" s="619" t="str">
        <f>+IF(JUNIO!B101=0,"",JUNIO!B101)</f>
        <v/>
      </c>
      <c r="C101" s="669">
        <f>+ENERO!C101</f>
        <v>0</v>
      </c>
      <c r="D101" s="373">
        <f>JUNIO!D101+JULIO!P101</f>
        <v>0</v>
      </c>
      <c r="E101" s="373">
        <f>JUNIO!E101+JULIO!Q101</f>
        <v>0</v>
      </c>
      <c r="F101" s="373">
        <f t="shared" si="101"/>
        <v>0</v>
      </c>
      <c r="G101" s="373">
        <f>JUNIO!I101</f>
        <v>0</v>
      </c>
      <c r="H101" s="374">
        <v>0</v>
      </c>
      <c r="I101" s="373">
        <f t="shared" si="102"/>
        <v>0</v>
      </c>
      <c r="J101" s="373">
        <f>JUNIO!L101</f>
        <v>0</v>
      </c>
      <c r="K101" s="374">
        <v>0</v>
      </c>
      <c r="L101" s="373">
        <f t="shared" si="103"/>
        <v>0</v>
      </c>
      <c r="M101" s="373">
        <f t="shared" si="104"/>
        <v>0</v>
      </c>
      <c r="N101" s="143">
        <f t="shared" si="105"/>
        <v>0</v>
      </c>
      <c r="P101" s="372">
        <v>0</v>
      </c>
      <c r="Q101" s="375">
        <v>0</v>
      </c>
      <c r="R101" s="9"/>
      <c r="S101" s="706" t="str">
        <f>+IF(JUNIO!S101=0,"",JUNIO!S101)</f>
        <v>1020302-5</v>
      </c>
      <c r="T101" s="682" t="str">
        <f>+IF(JUNIO!T101=0,"",JUNIO!T101)</f>
        <v>Aporte a Caja Compensación Familiar</v>
      </c>
      <c r="U101" s="27">
        <f>+ENERO!U101</f>
        <v>10063911</v>
      </c>
      <c r="V101" s="15">
        <f>JUNIO!V101+JULIO!AL101</f>
        <v>6000000</v>
      </c>
      <c r="W101" s="15">
        <f>JUNIO!W101+JULIO!AM101</f>
        <v>20000000</v>
      </c>
      <c r="X101" s="18">
        <f t="shared" si="107"/>
        <v>36063911</v>
      </c>
      <c r="Y101" s="19">
        <f>JUNIO!AA101</f>
        <v>15772817</v>
      </c>
      <c r="Z101" s="374">
        <v>2827065</v>
      </c>
      <c r="AA101" s="18">
        <f t="shared" si="108"/>
        <v>18599882</v>
      </c>
      <c r="AB101" s="19">
        <f>JUNIO!AD101</f>
        <v>15772817</v>
      </c>
      <c r="AC101" s="374">
        <v>2827065</v>
      </c>
      <c r="AD101" s="18">
        <f t="shared" si="109"/>
        <v>18599882</v>
      </c>
      <c r="AE101" s="19">
        <f>JUNIO!AG101</f>
        <v>15772817</v>
      </c>
      <c r="AF101" s="374">
        <v>2827065</v>
      </c>
      <c r="AG101" s="18">
        <f t="shared" si="110"/>
        <v>18599882</v>
      </c>
      <c r="AH101" s="19">
        <f t="shared" si="111"/>
        <v>17464029</v>
      </c>
      <c r="AI101" s="15">
        <f t="shared" si="112"/>
        <v>17464029</v>
      </c>
      <c r="AJ101" s="16">
        <f t="shared" si="113"/>
        <v>17464029</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tr">
        <f>+IF(JUNIO!A102=0,"",JUNIO!A102)</f>
        <v>11303-8</v>
      </c>
      <c r="B102" s="628" t="str">
        <f>+IF(JUNIO!B102=0,"",JUNIO!B102)</f>
        <v>Vigencia Anterior</v>
      </c>
      <c r="C102" s="770">
        <f>+ENERO!C102</f>
        <v>0</v>
      </c>
      <c r="D102" s="385">
        <f>JUNIO!D102+JULIO!P102</f>
        <v>0</v>
      </c>
      <c r="E102" s="385">
        <f>JUNIO!E102+JULIO!Q102</f>
        <v>51666127</v>
      </c>
      <c r="F102" s="385">
        <f t="shared" si="101"/>
        <v>51666127</v>
      </c>
      <c r="G102" s="385">
        <f>JUNIO!I102</f>
        <v>51666127</v>
      </c>
      <c r="H102" s="388">
        <v>0</v>
      </c>
      <c r="I102" s="385">
        <f t="shared" si="102"/>
        <v>51666127</v>
      </c>
      <c r="J102" s="385">
        <f>JUNIO!L102</f>
        <v>51666127</v>
      </c>
      <c r="K102" s="388">
        <v>0</v>
      </c>
      <c r="L102" s="385">
        <f t="shared" si="103"/>
        <v>51666127</v>
      </c>
      <c r="M102" s="385">
        <f t="shared" si="104"/>
        <v>0</v>
      </c>
      <c r="N102" s="386">
        <f t="shared" si="105"/>
        <v>0</v>
      </c>
      <c r="P102" s="372">
        <v>0</v>
      </c>
      <c r="Q102" s="375">
        <v>0</v>
      </c>
      <c r="R102" s="9"/>
      <c r="S102" s="705">
        <f>+IF(JUNIO!S102=0,"",JUNIO!S102)</f>
        <v>1020399</v>
      </c>
      <c r="T102" s="681" t="str">
        <f>+IF(JUNIO!T102=0,"",JUNIO!T102)</f>
        <v>Vigencias Anteriores</v>
      </c>
      <c r="U102" s="27">
        <f>+ENERO!U102</f>
        <v>0</v>
      </c>
      <c r="V102" s="15">
        <f>JUNIO!V102+JULIO!AL102</f>
        <v>-78539920</v>
      </c>
      <c r="W102" s="15">
        <f>JUNIO!W102+JULIO!AM102</f>
        <v>78539920</v>
      </c>
      <c r="X102" s="18">
        <f t="shared" si="107"/>
        <v>0</v>
      </c>
      <c r="Y102" s="19">
        <f>JUNIO!AA102</f>
        <v>0</v>
      </c>
      <c r="Z102" s="374">
        <v>0</v>
      </c>
      <c r="AA102" s="18">
        <f t="shared" si="108"/>
        <v>0</v>
      </c>
      <c r="AB102" s="19">
        <f>JUNIO!AD102</f>
        <v>0</v>
      </c>
      <c r="AC102" s="374">
        <v>0</v>
      </c>
      <c r="AD102" s="18">
        <f t="shared" si="109"/>
        <v>0</v>
      </c>
      <c r="AE102" s="19">
        <f>JUNIO!AG102</f>
        <v>0</v>
      </c>
      <c r="AF102" s="374">
        <v>0</v>
      </c>
      <c r="AG102" s="18">
        <f t="shared" si="110"/>
        <v>0</v>
      </c>
      <c r="AH102" s="19">
        <f t="shared" si="111"/>
        <v>0</v>
      </c>
      <c r="AI102" s="15">
        <f t="shared" si="112"/>
        <v>0</v>
      </c>
      <c r="AJ102" s="16">
        <f t="shared" si="113"/>
        <v>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1" t="str">
        <f>+IF(JUNIO!A103=0,"",JUNIO!A103)</f>
        <v/>
      </c>
      <c r="B103" s="653" t="str">
        <f>+IF(JUNIO!B103=0,"",JUNIO!B103)</f>
        <v/>
      </c>
      <c r="C103" s="480"/>
      <c r="D103" s="480"/>
      <c r="E103" s="480"/>
      <c r="F103" s="480"/>
      <c r="G103" s="480"/>
      <c r="H103" s="480"/>
      <c r="I103" s="480"/>
      <c r="J103" s="480"/>
      <c r="K103" s="480"/>
      <c r="L103" s="480"/>
      <c r="M103" s="480"/>
      <c r="N103" s="481"/>
      <c r="P103" s="482"/>
      <c r="Q103" s="481"/>
      <c r="R103" s="9"/>
      <c r="S103" s="366" t="str">
        <f>+IF(JUNIO!S103=0,"",JUNIO!S103)</f>
        <v/>
      </c>
      <c r="T103" s="695"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39">
        <f>+IF(JUNIO!A104=0,"",JUNIO!A104)</f>
        <v>11304</v>
      </c>
      <c r="B104" s="618" t="str">
        <f>+IF(JUNIO!B104=0,"",JUNIO!B104)</f>
        <v>Otros ingresos corrientes</v>
      </c>
      <c r="C104" s="617">
        <f>SUM(C105:C111)</f>
        <v>667440000</v>
      </c>
      <c r="D104" s="615">
        <f t="shared" ref="D104:N104" si="114">SUM(D105:D111)</f>
        <v>0</v>
      </c>
      <c r="E104" s="615">
        <f t="shared" si="114"/>
        <v>66506795</v>
      </c>
      <c r="F104" s="615">
        <f t="shared" si="114"/>
        <v>733946795</v>
      </c>
      <c r="G104" s="615">
        <f t="shared" si="114"/>
        <v>608029088</v>
      </c>
      <c r="H104" s="615">
        <f t="shared" si="114"/>
        <v>75007444</v>
      </c>
      <c r="I104" s="615">
        <f t="shared" si="114"/>
        <v>683036532</v>
      </c>
      <c r="J104" s="615">
        <f t="shared" si="114"/>
        <v>379270236</v>
      </c>
      <c r="K104" s="615">
        <f t="shared" si="114"/>
        <v>19369630</v>
      </c>
      <c r="L104" s="615">
        <f t="shared" si="114"/>
        <v>398639866</v>
      </c>
      <c r="M104" s="615">
        <f t="shared" si="114"/>
        <v>50910263</v>
      </c>
      <c r="N104" s="616">
        <f t="shared" si="114"/>
        <v>335306929</v>
      </c>
      <c r="P104" s="43">
        <f>SUM(P105:P111)</f>
        <v>0</v>
      </c>
      <c r="Q104" s="45">
        <f>SUM(Q105:Q111)</f>
        <v>0</v>
      </c>
      <c r="R104" s="9"/>
      <c r="S104" s="704">
        <f>+IF(JUNIO!S104=0,"",JUNIO!S104)</f>
        <v>1020400</v>
      </c>
      <c r="T104" s="680" t="str">
        <f>+IF(JUNIO!T104=0,"",JUNIO!T104)</f>
        <v>Contribuciones Inherentes nómina del Sector Publico</v>
      </c>
      <c r="U104" s="132">
        <f t="shared" ref="U104:AJ104" si="115">U105+U108</f>
        <v>43075476</v>
      </c>
      <c r="V104" s="122">
        <f t="shared" si="115"/>
        <v>0</v>
      </c>
      <c r="W104" s="122">
        <f t="shared" si="115"/>
        <v>0</v>
      </c>
      <c r="X104" s="129">
        <f t="shared" si="115"/>
        <v>43075476</v>
      </c>
      <c r="Y104" s="128">
        <f t="shared" si="115"/>
        <v>21773829</v>
      </c>
      <c r="Z104" s="122">
        <f t="shared" si="115"/>
        <v>3533832</v>
      </c>
      <c r="AA104" s="129">
        <f t="shared" si="115"/>
        <v>25307661</v>
      </c>
      <c r="AB104" s="128">
        <f t="shared" si="115"/>
        <v>21773829</v>
      </c>
      <c r="AC104" s="122">
        <f t="shared" si="115"/>
        <v>3533832</v>
      </c>
      <c r="AD104" s="129">
        <f t="shared" si="115"/>
        <v>25307661</v>
      </c>
      <c r="AE104" s="128">
        <f t="shared" si="115"/>
        <v>21773829</v>
      </c>
      <c r="AF104" s="122">
        <f t="shared" si="115"/>
        <v>3533832</v>
      </c>
      <c r="AG104" s="129">
        <f t="shared" si="115"/>
        <v>25307661</v>
      </c>
      <c r="AH104" s="128">
        <f t="shared" si="115"/>
        <v>17767815</v>
      </c>
      <c r="AI104" s="122">
        <f t="shared" si="115"/>
        <v>17767815</v>
      </c>
      <c r="AJ104" s="130">
        <f t="shared" si="115"/>
        <v>17767815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0" t="str">
        <f>+IF(JUNIO!A105=0,"",JUNIO!A105)</f>
        <v>11304-1</v>
      </c>
      <c r="B105" s="619" t="str">
        <f>+IF(JUNIO!B105=0,"",JUNIO!B105)</f>
        <v>ARRENDAMIENTO Y ALQUILER DE BIENES MUEBLES E INMUEBLES</v>
      </c>
      <c r="C105" s="669">
        <f>+ENERO!C105</f>
        <v>667440000</v>
      </c>
      <c r="D105" s="373">
        <f>JUNIO!D105+JULIO!P105</f>
        <v>0</v>
      </c>
      <c r="E105" s="373">
        <f>JUNIO!E105+JULIO!Q105</f>
        <v>0</v>
      </c>
      <c r="F105" s="373">
        <f t="shared" ref="F105:F111" si="116">SUM(C105:E105)</f>
        <v>667440000</v>
      </c>
      <c r="G105" s="373">
        <f>JUNIO!I105</f>
        <v>480151363</v>
      </c>
      <c r="H105" s="374">
        <v>56899659</v>
      </c>
      <c r="I105" s="373">
        <f t="shared" ref="I105:I111" si="117">SUM(G105:H105)</f>
        <v>537051022</v>
      </c>
      <c r="J105" s="373">
        <f>JUNIO!L105</f>
        <v>284701000</v>
      </c>
      <c r="K105" s="374">
        <v>9996000</v>
      </c>
      <c r="L105" s="373">
        <f t="shared" ref="L105:L111" si="118">SUM(J105:K105)</f>
        <v>294697000</v>
      </c>
      <c r="M105" s="373">
        <f t="shared" ref="M105:M111" si="119">F105-I105</f>
        <v>130388978</v>
      </c>
      <c r="N105" s="143">
        <f t="shared" ref="N105:N111" si="120">F105-L105</f>
        <v>372743000</v>
      </c>
      <c r="P105" s="372">
        <v>0</v>
      </c>
      <c r="Q105" s="375">
        <v>0</v>
      </c>
      <c r="R105" s="9"/>
      <c r="S105" s="705">
        <f>+IF(JUNIO!S105=0,"",JUNIO!S105)</f>
        <v>1020402</v>
      </c>
      <c r="T105" s="681" t="str">
        <f>+IF(JUNIO!T105=0,"",JUNIO!T105)</f>
        <v>Contribuciones - Otros</v>
      </c>
      <c r="U105" s="27">
        <f t="shared" ref="U105:AJ105" si="121">SUM(U106:U107)</f>
        <v>43075476</v>
      </c>
      <c r="V105" s="15">
        <f t="shared" si="121"/>
        <v>0</v>
      </c>
      <c r="W105" s="15">
        <f t="shared" si="121"/>
        <v>0</v>
      </c>
      <c r="X105" s="18">
        <f t="shared" si="121"/>
        <v>43075476</v>
      </c>
      <c r="Y105" s="19">
        <f t="shared" si="121"/>
        <v>21773829</v>
      </c>
      <c r="Z105" s="142">
        <f t="shared" si="121"/>
        <v>3533832</v>
      </c>
      <c r="AA105" s="18">
        <f t="shared" si="121"/>
        <v>25307661</v>
      </c>
      <c r="AB105" s="19">
        <f t="shared" si="121"/>
        <v>21773829</v>
      </c>
      <c r="AC105" s="142">
        <f t="shared" si="121"/>
        <v>3533832</v>
      </c>
      <c r="AD105" s="18">
        <f t="shared" si="121"/>
        <v>25307661</v>
      </c>
      <c r="AE105" s="19">
        <f t="shared" si="121"/>
        <v>21773829</v>
      </c>
      <c r="AF105" s="142">
        <f t="shared" si="121"/>
        <v>3533832</v>
      </c>
      <c r="AG105" s="18">
        <f t="shared" si="121"/>
        <v>25307661</v>
      </c>
      <c r="AH105" s="19">
        <f t="shared" si="121"/>
        <v>17767815</v>
      </c>
      <c r="AI105" s="15">
        <f t="shared" si="121"/>
        <v>17767815</v>
      </c>
      <c r="AJ105" s="16">
        <f t="shared" si="121"/>
        <v>17767815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0" t="str">
        <f>+IF(JUNIO!A106=0,"",JUNIO!A106)</f>
        <v>11304-2</v>
      </c>
      <c r="B106" s="620" t="str">
        <f>+IF(JUNIO!B106=0,"",JUNIO!B106)</f>
        <v>COMERCIALIZACIÓN DE MERCANCÍAS</v>
      </c>
      <c r="C106" s="669">
        <f>+ENERO!C106</f>
        <v>0</v>
      </c>
      <c r="D106" s="373">
        <f>JUNIO!D106+JULIO!P106</f>
        <v>0</v>
      </c>
      <c r="E106" s="373">
        <f>JUNIO!E106+JULIO!Q106</f>
        <v>0</v>
      </c>
      <c r="F106" s="373">
        <f t="shared" si="116"/>
        <v>0</v>
      </c>
      <c r="G106" s="373">
        <f>JUNIO!I106</f>
        <v>0</v>
      </c>
      <c r="H106" s="374"/>
      <c r="I106" s="373">
        <f t="shared" si="117"/>
        <v>0</v>
      </c>
      <c r="J106" s="373">
        <f>JUNIO!L106</f>
        <v>0</v>
      </c>
      <c r="K106" s="374">
        <v>0</v>
      </c>
      <c r="L106" s="373">
        <f t="shared" si="118"/>
        <v>0</v>
      </c>
      <c r="M106" s="373">
        <f t="shared" si="119"/>
        <v>0</v>
      </c>
      <c r="N106" s="143">
        <f t="shared" si="120"/>
        <v>0</v>
      </c>
      <c r="P106" s="372">
        <v>0</v>
      </c>
      <c r="Q106" s="375">
        <v>0</v>
      </c>
      <c r="R106" s="9"/>
      <c r="S106" s="706" t="str">
        <f>+IF(JUNIO!S106=0,"",JUNIO!S106)</f>
        <v>1020402-1</v>
      </c>
      <c r="T106" s="681" t="str">
        <f>+IF(JUNIO!T106=0,"",JUNIO!T106)</f>
        <v>S.E.N.A.</v>
      </c>
      <c r="U106" s="27">
        <f>+ENERO!U106</f>
        <v>25928061</v>
      </c>
      <c r="V106" s="15">
        <f>JUNIO!V106+JULIO!AL106</f>
        <v>0</v>
      </c>
      <c r="W106" s="15">
        <f>JUNIO!W106+JULIO!AM106</f>
        <v>0</v>
      </c>
      <c r="X106" s="18">
        <f>SUM(U106:W106)</f>
        <v>25928061</v>
      </c>
      <c r="Y106" s="19">
        <f>JUNIO!AA106</f>
        <v>8878317</v>
      </c>
      <c r="Z106" s="374">
        <v>1413533</v>
      </c>
      <c r="AA106" s="18">
        <f>SUM(Y106:Z106)</f>
        <v>10291850</v>
      </c>
      <c r="AB106" s="19">
        <f>JUNIO!AD106</f>
        <v>8878317</v>
      </c>
      <c r="AC106" s="374">
        <v>1413533</v>
      </c>
      <c r="AD106" s="18">
        <f>SUM(AB106:AC106)</f>
        <v>10291850</v>
      </c>
      <c r="AE106" s="19">
        <f>JUNIO!AG106</f>
        <v>8878317</v>
      </c>
      <c r="AF106" s="374">
        <v>1413533</v>
      </c>
      <c r="AG106" s="18">
        <f>SUM(AE106:AF106)</f>
        <v>10291850</v>
      </c>
      <c r="AH106" s="19">
        <f>X106-AA106</f>
        <v>15636211</v>
      </c>
      <c r="AI106" s="15">
        <f>X106-AD106</f>
        <v>15636211</v>
      </c>
      <c r="AJ106" s="16">
        <f>X106-AG106</f>
        <v>15636211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0" t="str">
        <f>+IF(JUNIO!A107=0,"",JUNIO!A107)</f>
        <v>11304-3</v>
      </c>
      <c r="B107" s="619" t="str">
        <f>+IF(JUNIO!B107=0,"",JUNIO!B107)</f>
        <v>Bienestar Social</v>
      </c>
      <c r="C107" s="669">
        <f>+ENERO!C107</f>
        <v>0</v>
      </c>
      <c r="D107" s="373">
        <f>JUNIO!D107+JULIO!P107</f>
        <v>0</v>
      </c>
      <c r="E107" s="373">
        <f>JUNIO!E107+JULIO!Q107</f>
        <v>0</v>
      </c>
      <c r="F107" s="373">
        <f t="shared" si="116"/>
        <v>0</v>
      </c>
      <c r="G107" s="373">
        <f>JUNIO!I107</f>
        <v>445983</v>
      </c>
      <c r="H107" s="374">
        <v>0</v>
      </c>
      <c r="I107" s="373">
        <f t="shared" si="117"/>
        <v>445983</v>
      </c>
      <c r="J107" s="373">
        <f>JUNIO!L107</f>
        <v>445983</v>
      </c>
      <c r="K107" s="374">
        <v>0</v>
      </c>
      <c r="L107" s="373">
        <f t="shared" si="118"/>
        <v>445983</v>
      </c>
      <c r="M107" s="373">
        <f t="shared" si="119"/>
        <v>-445983</v>
      </c>
      <c r="N107" s="143">
        <f t="shared" si="120"/>
        <v>-445983</v>
      </c>
      <c r="P107" s="372">
        <v>0</v>
      </c>
      <c r="Q107" s="375">
        <v>0</v>
      </c>
      <c r="R107" s="9"/>
      <c r="S107" s="706" t="str">
        <f>+IF(JUNIO!S107=0,"",JUNIO!S107)</f>
        <v>1020402-2</v>
      </c>
      <c r="T107" s="681" t="str">
        <f>+IF(JUNIO!T107=0,"",JUNIO!T107)</f>
        <v>I.C.B.F.</v>
      </c>
      <c r="U107" s="27">
        <f>+ENERO!U107</f>
        <v>17147415</v>
      </c>
      <c r="V107" s="15">
        <f>JUNIO!V107+JULIO!AL107</f>
        <v>0</v>
      </c>
      <c r="W107" s="15">
        <f>JUNIO!W107+JULIO!AM107</f>
        <v>0</v>
      </c>
      <c r="X107" s="18">
        <f>SUM(U107:W107)</f>
        <v>17147415</v>
      </c>
      <c r="Y107" s="19">
        <f>JUNIO!AA107</f>
        <v>12895512</v>
      </c>
      <c r="Z107" s="374">
        <v>2120299</v>
      </c>
      <c r="AA107" s="18">
        <f>SUM(Y107:Z107)</f>
        <v>15015811</v>
      </c>
      <c r="AB107" s="19">
        <f>JUNIO!AD107</f>
        <v>12895512</v>
      </c>
      <c r="AC107" s="374">
        <v>2120299</v>
      </c>
      <c r="AD107" s="18">
        <f>SUM(AB107:AC107)</f>
        <v>15015811</v>
      </c>
      <c r="AE107" s="19">
        <f>JUNIO!AG107</f>
        <v>12895512</v>
      </c>
      <c r="AF107" s="374">
        <v>2120299</v>
      </c>
      <c r="AG107" s="18">
        <f>SUM(AE107:AF107)</f>
        <v>15015811</v>
      </c>
      <c r="AH107" s="19">
        <f>X107-AA107</f>
        <v>2131604</v>
      </c>
      <c r="AI107" s="15">
        <f>X107-AD107</f>
        <v>2131604</v>
      </c>
      <c r="AJ107" s="16">
        <f>X107-AG107</f>
        <v>2131604</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0" t="str">
        <f>+IF(JUNIO!A108=0,"",JUNIO!A108)</f>
        <v>11304-4</v>
      </c>
      <c r="B108" s="619" t="str">
        <f>+IF(JUNIO!B108=0,"",JUNIO!B108)</f>
        <v>Fondo de la Vivienda</v>
      </c>
      <c r="C108" s="669">
        <f>+ENERO!C108</f>
        <v>0</v>
      </c>
      <c r="D108" s="373">
        <f>JUNIO!D108+JULIO!P108</f>
        <v>0</v>
      </c>
      <c r="E108" s="373">
        <f>JUNIO!E108+JULIO!Q108</f>
        <v>0</v>
      </c>
      <c r="F108" s="373">
        <f t="shared" si="116"/>
        <v>0</v>
      </c>
      <c r="G108" s="373">
        <f>JUNIO!I108</f>
        <v>13358812</v>
      </c>
      <c r="H108" s="374">
        <v>7258985</v>
      </c>
      <c r="I108" s="373">
        <f t="shared" si="117"/>
        <v>20617797</v>
      </c>
      <c r="J108" s="373">
        <f>JUNIO!L108</f>
        <v>13358812</v>
      </c>
      <c r="K108" s="374">
        <v>7258985</v>
      </c>
      <c r="L108" s="373">
        <f t="shared" si="118"/>
        <v>20617797</v>
      </c>
      <c r="M108" s="373">
        <f t="shared" si="119"/>
        <v>-20617797</v>
      </c>
      <c r="N108" s="143">
        <f t="shared" si="120"/>
        <v>-20617797</v>
      </c>
      <c r="P108" s="372">
        <v>0</v>
      </c>
      <c r="Q108" s="375">
        <v>0</v>
      </c>
      <c r="R108" s="9"/>
      <c r="S108" s="705">
        <f>+IF(JUNIO!S108=0,"",JUNIO!S108)</f>
        <v>1020499</v>
      </c>
      <c r="T108" s="681" t="str">
        <f>+IF(JUNIO!T108=0,"",JUNIO!T108)</f>
        <v>Vigencias Anteriores</v>
      </c>
      <c r="U108" s="27">
        <f>+ENERO!U108</f>
        <v>0</v>
      </c>
      <c r="V108" s="15">
        <f>JUNIO!V108+JULIO!AL108</f>
        <v>0</v>
      </c>
      <c r="W108" s="15">
        <f>JUNIO!W108+JULIO!AM108</f>
        <v>0</v>
      </c>
      <c r="X108" s="18">
        <f>SUM(U108:W108)</f>
        <v>0</v>
      </c>
      <c r="Y108" s="19">
        <f>JUNIO!AA108</f>
        <v>0</v>
      </c>
      <c r="Z108" s="374">
        <v>0</v>
      </c>
      <c r="AA108" s="18">
        <f>SUM(Y108:Z108)</f>
        <v>0</v>
      </c>
      <c r="AB108" s="19">
        <f>JUNIO!AD108</f>
        <v>0</v>
      </c>
      <c r="AC108" s="374">
        <v>0</v>
      </c>
      <c r="AD108" s="18">
        <f>SUM(AB108:AC108)</f>
        <v>0</v>
      </c>
      <c r="AE108" s="19">
        <f>JUNIO!AG108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0" t="str">
        <f>+IF(JUNIO!A109=0,"",JUNIO!A109)</f>
        <v>11304-5</v>
      </c>
      <c r="B109" s="619" t="str">
        <f>+IF(JUNIO!B109=0,"",JUNIO!B109)</f>
        <v xml:space="preserve">Aprovechamientos </v>
      </c>
      <c r="C109" s="669">
        <f>+ENERO!C109</f>
        <v>0</v>
      </c>
      <c r="D109" s="373">
        <f>JUNIO!D109+JULIO!P109</f>
        <v>0</v>
      </c>
      <c r="E109" s="373">
        <f>JUNIO!E109+JULIO!Q109</f>
        <v>0</v>
      </c>
      <c r="F109" s="373">
        <f t="shared" si="116"/>
        <v>0</v>
      </c>
      <c r="G109" s="373">
        <f>JUNIO!I109</f>
        <v>0</v>
      </c>
      <c r="H109" s="374">
        <v>0</v>
      </c>
      <c r="I109" s="373">
        <f t="shared" si="117"/>
        <v>0</v>
      </c>
      <c r="J109" s="373">
        <f>JUNIO!L109</f>
        <v>0</v>
      </c>
      <c r="K109" s="374">
        <v>0</v>
      </c>
      <c r="L109" s="373">
        <f t="shared" si="118"/>
        <v>0</v>
      </c>
      <c r="M109" s="373">
        <f t="shared" si="119"/>
        <v>0</v>
      </c>
      <c r="N109" s="143">
        <f t="shared" si="120"/>
        <v>0</v>
      </c>
      <c r="P109" s="372">
        <v>0</v>
      </c>
      <c r="Q109" s="375">
        <v>0</v>
      </c>
      <c r="R109" s="9"/>
      <c r="S109" s="366" t="str">
        <f>+IF(JUNIO!S109=0,"",JUNIO!S109)</f>
        <v/>
      </c>
      <c r="T109" s="695"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0" t="str">
        <f>+IF(JUNIO!A110=0,"",JUNIO!A110)</f>
        <v>11304-6</v>
      </c>
      <c r="B110" s="619" t="str">
        <f>+IF(JUNIO!B110=0,"",JUNIO!B110)</f>
        <v>Otros</v>
      </c>
      <c r="C110" s="669">
        <f>+ENERO!C110</f>
        <v>0</v>
      </c>
      <c r="D110" s="373">
        <f>JUNIO!D110+JULIO!P110</f>
        <v>0</v>
      </c>
      <c r="E110" s="373">
        <f>JUNIO!E110+JULIO!Q110</f>
        <v>66506795</v>
      </c>
      <c r="F110" s="373">
        <f t="shared" si="116"/>
        <v>66506795</v>
      </c>
      <c r="G110" s="373">
        <f>JUNIO!I110</f>
        <v>114072930</v>
      </c>
      <c r="H110" s="374">
        <v>10848800</v>
      </c>
      <c r="I110" s="373">
        <f t="shared" si="117"/>
        <v>124921730</v>
      </c>
      <c r="J110" s="373">
        <f>JUNIO!L110</f>
        <v>80764441</v>
      </c>
      <c r="K110" s="374">
        <v>2114645</v>
      </c>
      <c r="L110" s="373">
        <f t="shared" si="118"/>
        <v>82879086</v>
      </c>
      <c r="M110" s="373">
        <f t="shared" si="119"/>
        <v>-58414935</v>
      </c>
      <c r="N110" s="143">
        <f t="shared" si="120"/>
        <v>-16372291</v>
      </c>
      <c r="P110" s="372">
        <v>0</v>
      </c>
      <c r="Q110" s="375">
        <v>0</v>
      </c>
      <c r="R110" s="9"/>
      <c r="S110" s="703">
        <f>+IF(JUNIO!S110=0,"",JUNIO!S110)</f>
        <v>2000000</v>
      </c>
      <c r="T110" s="685" t="str">
        <f>+IF(JUNIO!T110=0,"",JUNIO!T110)</f>
        <v>GASTOS GENERALES</v>
      </c>
      <c r="U110" s="470">
        <f t="shared" ref="U110:AJ110" si="122">U112+U145</f>
        <v>7574161274</v>
      </c>
      <c r="V110" s="471">
        <f t="shared" si="122"/>
        <v>-1298344800</v>
      </c>
      <c r="W110" s="471">
        <f t="shared" si="122"/>
        <v>3408156707</v>
      </c>
      <c r="X110" s="472">
        <f t="shared" si="122"/>
        <v>9683973181</v>
      </c>
      <c r="Y110" s="379">
        <f t="shared" si="122"/>
        <v>7587575945</v>
      </c>
      <c r="Z110" s="471">
        <f t="shared" si="122"/>
        <v>242889000</v>
      </c>
      <c r="AA110" s="472">
        <f t="shared" si="122"/>
        <v>7830464945</v>
      </c>
      <c r="AB110" s="379">
        <f t="shared" si="122"/>
        <v>4991391700</v>
      </c>
      <c r="AC110" s="471">
        <f t="shared" si="122"/>
        <v>677280695</v>
      </c>
      <c r="AD110" s="472">
        <f t="shared" si="122"/>
        <v>5668672395</v>
      </c>
      <c r="AE110" s="379">
        <f t="shared" si="122"/>
        <v>3130661333</v>
      </c>
      <c r="AF110" s="471">
        <f t="shared" si="122"/>
        <v>456943211</v>
      </c>
      <c r="AG110" s="472">
        <f t="shared" si="122"/>
        <v>3587604544</v>
      </c>
      <c r="AH110" s="379">
        <f t="shared" si="122"/>
        <v>1853508236</v>
      </c>
      <c r="AI110" s="471">
        <f t="shared" si="122"/>
        <v>4015300786</v>
      </c>
      <c r="AJ110" s="380">
        <f t="shared" si="122"/>
        <v>6096368637</v>
      </c>
      <c r="AK110" s="10"/>
      <c r="AL110" s="128">
        <f>AL112+AL145</f>
        <v>-198025128</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0" t="str">
        <f>+IF(JUNIO!A111=0,"",JUNIO!A111)</f>
        <v>11304-7</v>
      </c>
      <c r="B111" s="654" t="str">
        <f>+IF(JUNIO!B111=0,"",JUNIO!B111)</f>
        <v>Vigencia Anterior</v>
      </c>
      <c r="C111" s="770">
        <f>+ENERO!C111</f>
        <v>0</v>
      </c>
      <c r="D111" s="385">
        <f>JUNIO!D111+JULIO!P111</f>
        <v>0</v>
      </c>
      <c r="E111" s="385">
        <f>JUNIO!E111+JULIO!Q111</f>
        <v>0</v>
      </c>
      <c r="F111" s="385">
        <f t="shared" si="116"/>
        <v>0</v>
      </c>
      <c r="G111" s="385">
        <f>JUNIO!I111</f>
        <v>0</v>
      </c>
      <c r="H111" s="388">
        <v>0</v>
      </c>
      <c r="I111" s="385">
        <f t="shared" si="117"/>
        <v>0</v>
      </c>
      <c r="J111" s="385">
        <f>JUNIO!L111</f>
        <v>0</v>
      </c>
      <c r="K111" s="388">
        <v>0</v>
      </c>
      <c r="L111" s="385">
        <f t="shared" si="118"/>
        <v>0</v>
      </c>
      <c r="M111" s="385">
        <f t="shared" si="119"/>
        <v>0</v>
      </c>
      <c r="N111" s="386">
        <f t="shared" si="120"/>
        <v>0</v>
      </c>
      <c r="P111" s="372">
        <v>0</v>
      </c>
      <c r="Q111" s="375">
        <v>0</v>
      </c>
      <c r="R111" s="9"/>
      <c r="S111" s="366" t="str">
        <f>+IF(JUNIO!S111=0,"",JUNIO!S111)</f>
        <v/>
      </c>
      <c r="T111" s="695" t="str">
        <f>+IF(JUNIO!T111=0,"",JUNIO!T111)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1" t="str">
        <f>+IF(JUNIO!A112=0,"",JUNIO!A112)</f>
        <v/>
      </c>
      <c r="B112" s="653" t="str">
        <f>+IF(JUNIO!B112=0,"",JUNIO!B112)</f>
        <v/>
      </c>
      <c r="C112" s="480"/>
      <c r="D112" s="480"/>
      <c r="E112" s="480"/>
      <c r="F112" s="480"/>
      <c r="G112" s="480"/>
      <c r="H112" s="480"/>
      <c r="I112" s="480"/>
      <c r="J112" s="480"/>
      <c r="K112" s="480"/>
      <c r="L112" s="480"/>
      <c r="M112" s="480"/>
      <c r="N112" s="481"/>
      <c r="P112" s="482"/>
      <c r="Q112" s="481"/>
      <c r="R112" s="9"/>
      <c r="S112" s="703">
        <f>+IF(JUNIO!S112=0,"",JUNIO!S112)</f>
        <v>2010000</v>
      </c>
      <c r="T112" s="679" t="str">
        <f>+IF(JUNIO!T112=0,"",JUNIO!T112)</f>
        <v>Gastos de Administración</v>
      </c>
      <c r="U112" s="132">
        <f t="shared" ref="U112:AJ112" si="123">U114+U123+U141</f>
        <v>4915028612</v>
      </c>
      <c r="V112" s="122">
        <f t="shared" si="123"/>
        <v>-193487406</v>
      </c>
      <c r="W112" s="122">
        <f t="shared" si="123"/>
        <v>1758156707</v>
      </c>
      <c r="X112" s="129">
        <f t="shared" si="123"/>
        <v>6479697913</v>
      </c>
      <c r="Y112" s="128">
        <f t="shared" si="123"/>
        <v>5624501843</v>
      </c>
      <c r="Z112" s="122">
        <f t="shared" si="123"/>
        <v>141390678</v>
      </c>
      <c r="AA112" s="129">
        <f t="shared" si="123"/>
        <v>5765892521</v>
      </c>
      <c r="AB112" s="128">
        <f t="shared" si="123"/>
        <v>3680973994</v>
      </c>
      <c r="AC112" s="122">
        <f t="shared" si="123"/>
        <v>451096102</v>
      </c>
      <c r="AD112" s="129">
        <f t="shared" si="123"/>
        <v>4132070096</v>
      </c>
      <c r="AE112" s="128">
        <f t="shared" si="123"/>
        <v>2441686360</v>
      </c>
      <c r="AF112" s="122">
        <f t="shared" si="123"/>
        <v>378475538</v>
      </c>
      <c r="AG112" s="129">
        <f t="shared" si="123"/>
        <v>2820161898</v>
      </c>
      <c r="AH112" s="128">
        <f t="shared" si="123"/>
        <v>713805392</v>
      </c>
      <c r="AI112" s="122">
        <f t="shared" si="123"/>
        <v>2347627817</v>
      </c>
      <c r="AJ112" s="130">
        <f t="shared" si="123"/>
        <v>3659536015</v>
      </c>
      <c r="AK112" s="9"/>
      <c r="AL112" s="128">
        <f>AL114+AL123+AL141</f>
        <v>-101713981</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0">
        <f>+IF(JUNIO!A113=0,"",JUNIO!A113)</f>
        <v>2000</v>
      </c>
      <c r="B113" s="640" t="str">
        <f>+IF(JUNIO!B113=0,"",JUNIO!B113)</f>
        <v>INGRESOS DE CAPITAL</v>
      </c>
      <c r="C113" s="623">
        <f>SUM(C115:C124)</f>
        <v>9052927194</v>
      </c>
      <c r="D113" s="624">
        <f>SUM(D115:D124)</f>
        <v>0</v>
      </c>
      <c r="E113" s="624">
        <f t="shared" ref="E113:N113" si="124">SUM(E115:E124)</f>
        <v>1599074</v>
      </c>
      <c r="F113" s="624">
        <f t="shared" si="124"/>
        <v>9054526268</v>
      </c>
      <c r="G113" s="624">
        <f t="shared" si="124"/>
        <v>3516381</v>
      </c>
      <c r="H113" s="624">
        <f t="shared" si="124"/>
        <v>106444</v>
      </c>
      <c r="I113" s="624">
        <f t="shared" si="124"/>
        <v>3622825</v>
      </c>
      <c r="J113" s="624">
        <f t="shared" si="124"/>
        <v>3516381</v>
      </c>
      <c r="K113" s="624">
        <f t="shared" si="124"/>
        <v>106444</v>
      </c>
      <c r="L113" s="624">
        <f t="shared" si="124"/>
        <v>3622825</v>
      </c>
      <c r="M113" s="624">
        <f t="shared" si="124"/>
        <v>9050903443</v>
      </c>
      <c r="N113" s="625">
        <f t="shared" si="124"/>
        <v>9050903443</v>
      </c>
      <c r="O113" s="461"/>
      <c r="P113" s="174">
        <f>SUM(P115:P124)</f>
        <v>0</v>
      </c>
      <c r="Q113" s="175">
        <f>SUM(Q115:Q124)</f>
        <v>0</v>
      </c>
      <c r="R113" s="9"/>
      <c r="S113" s="366" t="str">
        <f>+IF(JUNIO!S113=0,"",JUNIO!S113)</f>
        <v/>
      </c>
      <c r="T113" s="695" t="str">
        <f>+IF(JUNIO!T113=0,"",JUNIO!T113)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1" t="str">
        <f>+IF(JUNIO!A114=0,"",JUNIO!A114)</f>
        <v/>
      </c>
      <c r="B114" s="653" t="str">
        <f>+IF(JUNIO!B114=0,"",JUNIO!B114)</f>
        <v/>
      </c>
      <c r="C114" s="480"/>
      <c r="D114" s="480"/>
      <c r="E114" s="480"/>
      <c r="F114" s="480"/>
      <c r="G114" s="480"/>
      <c r="H114" s="480"/>
      <c r="I114" s="480"/>
      <c r="J114" s="480"/>
      <c r="K114" s="480"/>
      <c r="L114" s="480"/>
      <c r="M114" s="480"/>
      <c r="N114" s="481"/>
      <c r="P114" s="482"/>
      <c r="Q114" s="481"/>
      <c r="R114" s="9"/>
      <c r="S114" s="704">
        <f>+IF(JUNIO!S114=0,"",JUNIO!S114)</f>
        <v>2010100</v>
      </c>
      <c r="T114" s="680" t="str">
        <f>+IF(JUNIO!T114=0,"",JUNIO!T114)</f>
        <v>Adquisición de bienes</v>
      </c>
      <c r="U114" s="132">
        <f t="shared" ref="U114:AJ114" si="125">SUM(U115:U121)</f>
        <v>256200000</v>
      </c>
      <c r="V114" s="122">
        <f t="shared" si="125"/>
        <v>-89040581</v>
      </c>
      <c r="W114" s="122">
        <f t="shared" si="125"/>
        <v>330000000</v>
      </c>
      <c r="X114" s="129">
        <f t="shared" si="125"/>
        <v>497159419</v>
      </c>
      <c r="Y114" s="128">
        <f t="shared" si="125"/>
        <v>288745616</v>
      </c>
      <c r="Z114" s="122">
        <f t="shared" si="125"/>
        <v>7603230</v>
      </c>
      <c r="AA114" s="129">
        <f t="shared" si="125"/>
        <v>296348846</v>
      </c>
      <c r="AB114" s="128">
        <f t="shared" si="125"/>
        <v>223989646</v>
      </c>
      <c r="AC114" s="122">
        <f t="shared" si="125"/>
        <v>5680249</v>
      </c>
      <c r="AD114" s="129">
        <f t="shared" si="125"/>
        <v>229669895</v>
      </c>
      <c r="AE114" s="128">
        <f t="shared" si="125"/>
        <v>187725238</v>
      </c>
      <c r="AF114" s="122">
        <f t="shared" si="125"/>
        <v>12552641</v>
      </c>
      <c r="AG114" s="129">
        <f t="shared" si="125"/>
        <v>200277879</v>
      </c>
      <c r="AH114" s="128">
        <f t="shared" si="125"/>
        <v>200810573</v>
      </c>
      <c r="AI114" s="122">
        <f t="shared" si="125"/>
        <v>267489524</v>
      </c>
      <c r="AJ114" s="130">
        <f t="shared" si="125"/>
        <v>296881540</v>
      </c>
      <c r="AK114" s="9"/>
      <c r="AL114" s="128">
        <f>SUM(AL115:AL121)</f>
        <v>-51840151</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2">
        <f>+IF(JUNIO!A115=0,"",JUNIO!A115)</f>
        <v>2100</v>
      </c>
      <c r="B115" s="626" t="str">
        <f>+IF(JUNIO!B115=0,"",JUNIO!B115)</f>
        <v>CREDITO INTERNO</v>
      </c>
      <c r="C115" s="671">
        <f>+ENERO!C115</f>
        <v>0</v>
      </c>
      <c r="D115" s="464">
        <f>JUNIO!D115+JULIO!P115</f>
        <v>0</v>
      </c>
      <c r="E115" s="464">
        <f>JUNIO!E115+JULIO!Q115</f>
        <v>0</v>
      </c>
      <c r="F115" s="468">
        <f t="shared" ref="F115:F124" si="126">SUM(C115:E115)</f>
        <v>0</v>
      </c>
      <c r="G115" s="466">
        <f>JUNIO!I115</f>
        <v>0</v>
      </c>
      <c r="H115" s="374">
        <v>0</v>
      </c>
      <c r="I115" s="468">
        <f t="shared" ref="I115:I124" si="127">SUM(G115:H115)</f>
        <v>0</v>
      </c>
      <c r="J115" s="466">
        <f>JUNIO!L115</f>
        <v>0</v>
      </c>
      <c r="K115" s="374">
        <v>0</v>
      </c>
      <c r="L115" s="465">
        <f t="shared" ref="L115:L124" si="128">SUM(J115:K115)</f>
        <v>0</v>
      </c>
      <c r="M115" s="469">
        <f t="shared" ref="M115:M124" si="129">F115-I115</f>
        <v>0</v>
      </c>
      <c r="N115" s="465">
        <f t="shared" ref="N115:N124" si="130">F115-L115</f>
        <v>0</v>
      </c>
      <c r="O115" s="461"/>
      <c r="P115" s="372">
        <v>0</v>
      </c>
      <c r="Q115" s="375">
        <v>0</v>
      </c>
      <c r="R115" s="9"/>
      <c r="S115" s="705" t="str">
        <f>+IF(JUNIO!S115=0,"",JUNIO!S115)</f>
        <v>2010100-1</v>
      </c>
      <c r="T115" s="681" t="str">
        <f>+IF(JUNIO!T115=0,"",JUNIO!T115)</f>
        <v>Compra de Equipos</v>
      </c>
      <c r="U115" s="27">
        <f>+ENERO!U115</f>
        <v>175000000</v>
      </c>
      <c r="V115" s="15">
        <f>JUNIO!V115+JULIO!AL115</f>
        <v>0</v>
      </c>
      <c r="W115" s="15">
        <f>JUNIO!W115+JULIO!AM115</f>
        <v>0</v>
      </c>
      <c r="X115" s="18">
        <f t="shared" ref="X115:X121" si="131">SUM(U115:W115)</f>
        <v>175000000</v>
      </c>
      <c r="Y115" s="19">
        <f>JUNIO!AA115</f>
        <v>50454973</v>
      </c>
      <c r="Z115" s="374">
        <v>6346211</v>
      </c>
      <c r="AA115" s="18">
        <f t="shared" ref="AA115:AA121" si="132">SUM(Y115:Z115)</f>
        <v>56801184</v>
      </c>
      <c r="AB115" s="19">
        <f>JUNIO!AD115</f>
        <v>48170768</v>
      </c>
      <c r="AC115" s="374">
        <v>4423230</v>
      </c>
      <c r="AD115" s="18">
        <f t="shared" ref="AD115:AD121" si="133">SUM(AB115:AC115)</f>
        <v>52593998</v>
      </c>
      <c r="AE115" s="19">
        <f>JUNIO!AG115</f>
        <v>42251807</v>
      </c>
      <c r="AF115" s="374">
        <v>10111228</v>
      </c>
      <c r="AG115" s="18">
        <f t="shared" ref="AG115:AG121" si="134">SUM(AE115:AF115)</f>
        <v>52363035</v>
      </c>
      <c r="AH115" s="19">
        <f t="shared" ref="AH115:AH121" si="135">X115-AA115</f>
        <v>118198816</v>
      </c>
      <c r="AI115" s="15">
        <f t="shared" ref="AI115:AI121" si="136">X115-AD115</f>
        <v>122406002</v>
      </c>
      <c r="AJ115" s="16">
        <f t="shared" ref="AJ115:AJ121" si="137">X115-AG115</f>
        <v>122636965</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2" t="str">
        <f>+IF(JUNIO!A116=0,"",JUNIO!A116)</f>
        <v>2100-1</v>
      </c>
      <c r="B116" s="627" t="str">
        <f>+IF(JUNIO!B116=0,"",JUNIO!B116)</f>
        <v>Vigencia Anterior</v>
      </c>
      <c r="C116" s="671">
        <f>+ENERO!C116</f>
        <v>0</v>
      </c>
      <c r="D116" s="464">
        <f>JUNIO!D116+JULIO!P116</f>
        <v>0</v>
      </c>
      <c r="E116" s="464">
        <f>JUNIO!E116+JULIO!Q116</f>
        <v>0</v>
      </c>
      <c r="F116" s="468">
        <f t="shared" si="126"/>
        <v>0</v>
      </c>
      <c r="G116" s="466">
        <f>JUNIO!I116</f>
        <v>0</v>
      </c>
      <c r="H116" s="374">
        <v>0</v>
      </c>
      <c r="I116" s="468">
        <f t="shared" si="127"/>
        <v>0</v>
      </c>
      <c r="J116" s="466">
        <f>JUNIO!L116</f>
        <v>0</v>
      </c>
      <c r="K116" s="374">
        <v>0</v>
      </c>
      <c r="L116" s="465">
        <f t="shared" si="128"/>
        <v>0</v>
      </c>
      <c r="M116" s="469">
        <f t="shared" si="129"/>
        <v>0</v>
      </c>
      <c r="N116" s="465">
        <f t="shared" si="130"/>
        <v>0</v>
      </c>
      <c r="O116" s="461"/>
      <c r="P116" s="372">
        <v>0</v>
      </c>
      <c r="Q116" s="375">
        <v>0</v>
      </c>
      <c r="R116" s="9"/>
      <c r="S116" s="705" t="str">
        <f>+IF(JUNIO!S116=0,"",JUNIO!S116)</f>
        <v>2010100-2</v>
      </c>
      <c r="T116" s="681" t="str">
        <f>+IF(JUNIO!T116=0,"",JUNIO!T116)</f>
        <v>Materiales</v>
      </c>
      <c r="U116" s="27">
        <f>+ENERO!U116</f>
        <v>76200000</v>
      </c>
      <c r="V116" s="15">
        <f>JUNIO!V116+JULIO!AL116</f>
        <v>0</v>
      </c>
      <c r="W116" s="15">
        <f>JUNIO!W116+JULIO!AM116</f>
        <v>130000000</v>
      </c>
      <c r="X116" s="18">
        <f t="shared" si="131"/>
        <v>206200000</v>
      </c>
      <c r="Y116" s="19">
        <f>JUNIO!AA116</f>
        <v>125100179</v>
      </c>
      <c r="Z116" s="374">
        <v>1257019</v>
      </c>
      <c r="AA116" s="18">
        <f t="shared" si="132"/>
        <v>126357198</v>
      </c>
      <c r="AB116" s="19">
        <f>JUNIO!AD116</f>
        <v>62628414</v>
      </c>
      <c r="AC116" s="374">
        <v>1257019</v>
      </c>
      <c r="AD116" s="18">
        <f t="shared" si="133"/>
        <v>63885433</v>
      </c>
      <c r="AE116" s="19">
        <f>JUNIO!AG116</f>
        <v>34438867</v>
      </c>
      <c r="AF116" s="374">
        <v>2441413</v>
      </c>
      <c r="AG116" s="18">
        <f t="shared" si="134"/>
        <v>36880280</v>
      </c>
      <c r="AH116" s="19">
        <f t="shared" si="135"/>
        <v>79842802</v>
      </c>
      <c r="AI116" s="15">
        <f t="shared" si="136"/>
        <v>142314567</v>
      </c>
      <c r="AJ116" s="16">
        <f t="shared" si="137"/>
        <v>169319720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2">
        <f>+IF(JUNIO!A117=0,"",JUNIO!A117)</f>
        <v>2200</v>
      </c>
      <c r="B117" s="626" t="str">
        <f>+IF(JUNIO!B117=0,"",JUNIO!B117)</f>
        <v>CREDITO EXTERNO</v>
      </c>
      <c r="C117" s="671">
        <f>+ENERO!C117</f>
        <v>0</v>
      </c>
      <c r="D117" s="464">
        <f>JUNIO!D117+JULIO!P117</f>
        <v>0</v>
      </c>
      <c r="E117" s="464">
        <f>JUNIO!E117+JULIO!Q117</f>
        <v>0</v>
      </c>
      <c r="F117" s="468">
        <f t="shared" si="126"/>
        <v>0</v>
      </c>
      <c r="G117" s="466">
        <f>JUNIO!I117</f>
        <v>0</v>
      </c>
      <c r="H117" s="374">
        <v>0</v>
      </c>
      <c r="I117" s="468">
        <f t="shared" si="127"/>
        <v>0</v>
      </c>
      <c r="J117" s="466">
        <f>JUNIO!L117</f>
        <v>0</v>
      </c>
      <c r="K117" s="374">
        <v>0</v>
      </c>
      <c r="L117" s="465">
        <f t="shared" si="128"/>
        <v>0</v>
      </c>
      <c r="M117" s="469">
        <f t="shared" si="129"/>
        <v>0</v>
      </c>
      <c r="N117" s="465">
        <f t="shared" si="130"/>
        <v>0</v>
      </c>
      <c r="O117" s="461"/>
      <c r="P117" s="372">
        <v>0</v>
      </c>
      <c r="Q117" s="375">
        <v>0</v>
      </c>
      <c r="R117" s="9"/>
      <c r="S117" s="705" t="str">
        <f>+IF(JUNIO!S117=0,"",JUNIO!S117)</f>
        <v>2010100-3</v>
      </c>
      <c r="T117" s="681" t="str">
        <f>+IF(JUNIO!T117=0,"",JUNIO!T117)</f>
        <v>Salud Ocupacional</v>
      </c>
      <c r="U117" s="27">
        <f>+ENERO!U117</f>
        <v>5000000</v>
      </c>
      <c r="V117" s="15">
        <f>JUNIO!V117+JULIO!AL117</f>
        <v>0</v>
      </c>
      <c r="W117" s="15">
        <f>JUNIO!W117+JULIO!AM117</f>
        <v>0</v>
      </c>
      <c r="X117" s="18">
        <f t="shared" si="131"/>
        <v>5000000</v>
      </c>
      <c r="Y117" s="19">
        <f>JUNIO!AA117</f>
        <v>2231045</v>
      </c>
      <c r="Z117" s="374">
        <v>0</v>
      </c>
      <c r="AA117" s="18">
        <f t="shared" si="132"/>
        <v>2231045</v>
      </c>
      <c r="AB117" s="19">
        <f>JUNIO!AD117</f>
        <v>2231045</v>
      </c>
      <c r="AC117" s="374">
        <v>0</v>
      </c>
      <c r="AD117" s="18">
        <f t="shared" si="133"/>
        <v>2231045</v>
      </c>
      <c r="AE117" s="19">
        <f>JUNIO!AG117</f>
        <v>75145</v>
      </c>
      <c r="AF117" s="374">
        <v>0</v>
      </c>
      <c r="AG117" s="18">
        <f t="shared" si="134"/>
        <v>75145</v>
      </c>
      <c r="AH117" s="19">
        <f t="shared" si="135"/>
        <v>2768955</v>
      </c>
      <c r="AI117" s="15">
        <f t="shared" si="136"/>
        <v>2768955</v>
      </c>
      <c r="AJ117" s="16">
        <f t="shared" si="137"/>
        <v>4924855</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3" t="str">
        <f>+IF(JUNIO!A118=0,"",JUNIO!A118)</f>
        <v>2200-1</v>
      </c>
      <c r="B118" s="627" t="str">
        <f>+IF(JUNIO!B118=0,"",JUNIO!B118)</f>
        <v>Vigencia Anterior</v>
      </c>
      <c r="C118" s="671">
        <f>+ENERO!C118</f>
        <v>0</v>
      </c>
      <c r="D118" s="464">
        <f>JUNIO!D118+JULIO!P118</f>
        <v>0</v>
      </c>
      <c r="E118" s="464">
        <f>JUNIO!E118+JULIO!Q118</f>
        <v>0</v>
      </c>
      <c r="F118" s="468">
        <f t="shared" si="126"/>
        <v>0</v>
      </c>
      <c r="G118" s="466">
        <f>JUNIO!I118</f>
        <v>0</v>
      </c>
      <c r="H118" s="374">
        <v>0</v>
      </c>
      <c r="I118" s="468">
        <f t="shared" si="127"/>
        <v>0</v>
      </c>
      <c r="J118" s="466">
        <f>JUNIO!L118</f>
        <v>0</v>
      </c>
      <c r="K118" s="374">
        <v>0</v>
      </c>
      <c r="L118" s="465">
        <f t="shared" si="128"/>
        <v>0</v>
      </c>
      <c r="M118" s="469">
        <f t="shared" si="129"/>
        <v>0</v>
      </c>
      <c r="N118" s="465">
        <f t="shared" si="130"/>
        <v>0</v>
      </c>
      <c r="O118" s="461"/>
      <c r="P118" s="372">
        <v>0</v>
      </c>
      <c r="Q118" s="375">
        <v>0</v>
      </c>
      <c r="R118" s="9"/>
      <c r="S118" s="705" t="str">
        <f>+IF(JUNIO!S118=0,"",JUNIO!S118)</f>
        <v>2010100-4</v>
      </c>
      <c r="T118" s="681" t="str">
        <f>+IF(JUNIO!T118=0,"",JUNIO!T118)</f>
        <v/>
      </c>
      <c r="U118" s="27">
        <f>+ENERO!U118</f>
        <v>0</v>
      </c>
      <c r="V118" s="15">
        <f>JUNIO!V118+JULIO!AL118</f>
        <v>0</v>
      </c>
      <c r="W118" s="15">
        <f>JUNIO!W118+JULIO!AM118</f>
        <v>0</v>
      </c>
      <c r="X118" s="18">
        <f t="shared" si="131"/>
        <v>0</v>
      </c>
      <c r="Y118" s="19">
        <f>JUNIO!AA118</f>
        <v>0</v>
      </c>
      <c r="Z118" s="374">
        <v>0</v>
      </c>
      <c r="AA118" s="18">
        <f t="shared" si="132"/>
        <v>0</v>
      </c>
      <c r="AB118" s="19">
        <f>JUNIO!AD118</f>
        <v>0</v>
      </c>
      <c r="AC118" s="374">
        <v>0</v>
      </c>
      <c r="AD118" s="18">
        <f t="shared" si="133"/>
        <v>0</v>
      </c>
      <c r="AE118" s="19">
        <f>JUNIO!AG118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2">
        <f>+IF(JUNIO!A119=0,"",JUNIO!A119)</f>
        <v>2300</v>
      </c>
      <c r="B119" s="626" t="str">
        <f>+IF(JUNIO!B119=0,"",JUNIO!B119)</f>
        <v>RENDIMIENTOS FINANCIEROS</v>
      </c>
      <c r="C119" s="671">
        <f>+ENERO!C119</f>
        <v>0</v>
      </c>
      <c r="D119" s="464">
        <f>JUNIO!D119+JULIO!P119</f>
        <v>0</v>
      </c>
      <c r="E119" s="464">
        <f>JUNIO!E119+JULIO!Q119</f>
        <v>1599074</v>
      </c>
      <c r="F119" s="468">
        <f t="shared" si="126"/>
        <v>1599074</v>
      </c>
      <c r="G119" s="219">
        <f>JUNIO!I119</f>
        <v>3516381</v>
      </c>
      <c r="H119" s="374">
        <v>106444</v>
      </c>
      <c r="I119" s="473">
        <f t="shared" si="127"/>
        <v>3622825</v>
      </c>
      <c r="J119" s="219">
        <f>JUNIO!L119</f>
        <v>3516381</v>
      </c>
      <c r="K119" s="374">
        <v>106444</v>
      </c>
      <c r="L119" s="143">
        <f t="shared" si="128"/>
        <v>3622825</v>
      </c>
      <c r="M119" s="438">
        <f t="shared" si="129"/>
        <v>-2023751</v>
      </c>
      <c r="N119" s="143">
        <f t="shared" si="130"/>
        <v>-2023751</v>
      </c>
      <c r="O119" s="461"/>
      <c r="P119" s="372">
        <v>0</v>
      </c>
      <c r="Q119" s="375">
        <v>0</v>
      </c>
      <c r="R119" s="9"/>
      <c r="S119" s="705" t="str">
        <f>+IF(JUNIO!S119=0,"",JUNIO!S119)</f>
        <v>2010100-5</v>
      </c>
      <c r="T119" s="681" t="str">
        <f>+IF(JUNIO!T119=0,"",JUNIO!T119)</f>
        <v/>
      </c>
      <c r="U119" s="27">
        <f>+ENERO!U119</f>
        <v>0</v>
      </c>
      <c r="V119" s="15">
        <f>JUNIO!V119+JULIO!AL119</f>
        <v>0</v>
      </c>
      <c r="W119" s="15">
        <f>JUNIO!W119+JULIO!AM119</f>
        <v>0</v>
      </c>
      <c r="X119" s="18">
        <f t="shared" si="131"/>
        <v>0</v>
      </c>
      <c r="Y119" s="19">
        <f>JUNIO!AA119</f>
        <v>0</v>
      </c>
      <c r="Z119" s="374">
        <v>0</v>
      </c>
      <c r="AA119" s="18">
        <f t="shared" si="132"/>
        <v>0</v>
      </c>
      <c r="AB119" s="19">
        <f>JUNIO!AD119</f>
        <v>0</v>
      </c>
      <c r="AC119" s="374">
        <v>0</v>
      </c>
      <c r="AD119" s="18">
        <f t="shared" si="133"/>
        <v>0</v>
      </c>
      <c r="AE119" s="19">
        <f>JUNIO!AG119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4">
        <f>+IF(JUNIO!A120=0,"",JUNIO!A120)</f>
        <v>2400</v>
      </c>
      <c r="B120" s="627" t="str">
        <f>+IF(JUNIO!B120=0,"",JUNIO!B120)</f>
        <v>VENTA DE ACTIVOS</v>
      </c>
      <c r="C120" s="671">
        <f>+ENERO!C120</f>
        <v>0</v>
      </c>
      <c r="D120" s="464">
        <f>JUNIO!D120+JULIO!P120</f>
        <v>0</v>
      </c>
      <c r="E120" s="464">
        <f>JUNIO!E120+JULIO!Q120</f>
        <v>0</v>
      </c>
      <c r="F120" s="468">
        <f t="shared" si="126"/>
        <v>0</v>
      </c>
      <c r="G120" s="219">
        <f>JUNIO!I120</f>
        <v>0</v>
      </c>
      <c r="H120" s="374">
        <v>0</v>
      </c>
      <c r="I120" s="473">
        <f t="shared" si="127"/>
        <v>0</v>
      </c>
      <c r="J120" s="219">
        <f>JUNIO!L120</f>
        <v>0</v>
      </c>
      <c r="K120" s="374">
        <v>0</v>
      </c>
      <c r="L120" s="143">
        <f t="shared" si="128"/>
        <v>0</v>
      </c>
      <c r="M120" s="438">
        <f t="shared" si="129"/>
        <v>0</v>
      </c>
      <c r="N120" s="143">
        <f t="shared" si="130"/>
        <v>0</v>
      </c>
      <c r="P120" s="372">
        <v>0</v>
      </c>
      <c r="Q120" s="375">
        <v>0</v>
      </c>
      <c r="R120" s="9"/>
      <c r="S120" s="705" t="str">
        <f>+IF(JUNIO!S120=0,"",JUNIO!S120)</f>
        <v>2010100-6</v>
      </c>
      <c r="T120" s="681" t="str">
        <f>+IF(JUNIO!T120=0,"",JUNIO!T120)</f>
        <v/>
      </c>
      <c r="U120" s="27">
        <f>+ENERO!U120</f>
        <v>0</v>
      </c>
      <c r="V120" s="15">
        <f>JUNIO!V120+JULIO!AL120</f>
        <v>0</v>
      </c>
      <c r="W120" s="15">
        <f>JUNIO!W120+JULIO!AM120</f>
        <v>0</v>
      </c>
      <c r="X120" s="18">
        <f t="shared" si="131"/>
        <v>0</v>
      </c>
      <c r="Y120" s="19">
        <f>JUNIO!AA120</f>
        <v>0</v>
      </c>
      <c r="Z120" s="374">
        <v>0</v>
      </c>
      <c r="AA120" s="18">
        <f t="shared" si="132"/>
        <v>0</v>
      </c>
      <c r="AB120" s="19">
        <f>JUNIO!AD120</f>
        <v>0</v>
      </c>
      <c r="AC120" s="374">
        <v>0</v>
      </c>
      <c r="AD120" s="18">
        <f t="shared" si="133"/>
        <v>0</v>
      </c>
      <c r="AE120" s="19">
        <f>JUNIO!AG120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4">
        <f>+IF(JUNIO!A121=0,"",JUNIO!A121)</f>
        <v>2500</v>
      </c>
      <c r="B121" s="627" t="str">
        <f>+IF(JUNIO!B121=0,"",JUNIO!B121)</f>
        <v>DONACIONES</v>
      </c>
      <c r="C121" s="671">
        <f>+ENERO!C121</f>
        <v>0</v>
      </c>
      <c r="D121" s="464">
        <f>JUNIO!D121+JULIO!P121</f>
        <v>0</v>
      </c>
      <c r="E121" s="464">
        <f>JUNIO!E121+JULIO!Q121</f>
        <v>0</v>
      </c>
      <c r="F121" s="468">
        <f t="shared" si="126"/>
        <v>0</v>
      </c>
      <c r="G121" s="219">
        <f>JUNIO!I121</f>
        <v>0</v>
      </c>
      <c r="H121" s="374">
        <v>0</v>
      </c>
      <c r="I121" s="473">
        <f t="shared" si="127"/>
        <v>0</v>
      </c>
      <c r="J121" s="219">
        <f>JUNIO!L121</f>
        <v>0</v>
      </c>
      <c r="K121" s="374">
        <v>0</v>
      </c>
      <c r="L121" s="143">
        <f t="shared" si="128"/>
        <v>0</v>
      </c>
      <c r="M121" s="438">
        <f t="shared" si="129"/>
        <v>0</v>
      </c>
      <c r="N121" s="143">
        <f t="shared" si="130"/>
        <v>0</v>
      </c>
      <c r="P121" s="372">
        <v>0</v>
      </c>
      <c r="Q121" s="375">
        <v>0</v>
      </c>
      <c r="R121" s="9"/>
      <c r="S121" s="705">
        <f>+IF(JUNIO!S121=0,"",JUNIO!S121)</f>
        <v>2010199</v>
      </c>
      <c r="T121" s="681" t="str">
        <f>+IF(JUNIO!T121=0,"",JUNIO!T121)</f>
        <v>Vigencias Anteriores</v>
      </c>
      <c r="U121" s="27">
        <f>+ENERO!U121</f>
        <v>0</v>
      </c>
      <c r="V121" s="15">
        <f>JUNIO!V121+JULIO!AL121</f>
        <v>-89040581</v>
      </c>
      <c r="W121" s="15">
        <f>JUNIO!W121+JULIO!AM121</f>
        <v>200000000</v>
      </c>
      <c r="X121" s="18">
        <f t="shared" si="131"/>
        <v>110959419</v>
      </c>
      <c r="Y121" s="19">
        <f>JUNIO!AA121</f>
        <v>110959419</v>
      </c>
      <c r="Z121" s="374">
        <v>0</v>
      </c>
      <c r="AA121" s="18">
        <f t="shared" si="132"/>
        <v>110959419</v>
      </c>
      <c r="AB121" s="19">
        <f>JUNIO!AD121</f>
        <v>110959419</v>
      </c>
      <c r="AC121" s="374">
        <v>0</v>
      </c>
      <c r="AD121" s="18">
        <f t="shared" si="133"/>
        <v>110959419</v>
      </c>
      <c r="AE121" s="19">
        <f>JUNIO!AG121</f>
        <v>110959419</v>
      </c>
      <c r="AF121" s="374">
        <v>0</v>
      </c>
      <c r="AG121" s="18">
        <f t="shared" si="134"/>
        <v>110959419</v>
      </c>
      <c r="AH121" s="19">
        <f t="shared" si="135"/>
        <v>0</v>
      </c>
      <c r="AI121" s="15">
        <f t="shared" si="136"/>
        <v>0</v>
      </c>
      <c r="AJ121" s="16">
        <f t="shared" si="137"/>
        <v>0</v>
      </c>
      <c r="AK121" s="9"/>
      <c r="AL121" s="372">
        <v>-51840151</v>
      </c>
      <c r="AM121" s="375">
        <v>0</v>
      </c>
      <c r="AN121" s="9"/>
      <c r="AO121" s="294"/>
      <c r="AP121" s="294"/>
      <c r="AQ121" s="294"/>
      <c r="AR121" s="294"/>
      <c r="AS121" s="294"/>
      <c r="AT121" s="294"/>
      <c r="AU121" s="294"/>
      <c r="AV121" s="294"/>
      <c r="AW121" s="294"/>
      <c r="AX121" s="294"/>
      <c r="AY121" s="294"/>
      <c r="AZ121" s="294"/>
    </row>
    <row r="122" spans="1:52" s="382" customFormat="1" ht="24.95" customHeight="1">
      <c r="A122" s="744">
        <f>+IF(JUNIO!A122=0,"",JUNIO!A122)</f>
        <v>2600</v>
      </c>
      <c r="B122" s="627" t="str">
        <f>+IF(JUNIO!B122=0,"",JUNIO!B122)</f>
        <v>RECUPERACIÓN DE CARTERA (AÑO 2015 Y ANTERIORES)</v>
      </c>
      <c r="C122" s="671">
        <f>+ENERO!C122</f>
        <v>9052927194</v>
      </c>
      <c r="D122" s="464">
        <f>JUNIO!D122+JULIO!P122</f>
        <v>0</v>
      </c>
      <c r="E122" s="464">
        <f>JUNIO!E122+JULIO!Q122</f>
        <v>0</v>
      </c>
      <c r="F122" s="468">
        <f t="shared" si="126"/>
        <v>9052927194</v>
      </c>
      <c r="G122" s="219">
        <f>JUNIO!I122</f>
        <v>0</v>
      </c>
      <c r="H122" s="374">
        <v>0</v>
      </c>
      <c r="I122" s="473">
        <f t="shared" si="127"/>
        <v>0</v>
      </c>
      <c r="J122" s="219">
        <f>JUNIO!L122</f>
        <v>0</v>
      </c>
      <c r="K122" s="374">
        <v>0</v>
      </c>
      <c r="L122" s="143">
        <f t="shared" si="128"/>
        <v>0</v>
      </c>
      <c r="M122" s="438">
        <f t="shared" si="129"/>
        <v>9052927194</v>
      </c>
      <c r="N122" s="143">
        <f t="shared" si="130"/>
        <v>9052927194</v>
      </c>
      <c r="P122" s="372">
        <v>0</v>
      </c>
      <c r="Q122" s="375">
        <v>0</v>
      </c>
      <c r="R122" s="9"/>
      <c r="S122" s="366" t="str">
        <f>+IF(JUNIO!S122=0,"",JUNIO!S122)</f>
        <v/>
      </c>
      <c r="T122" s="695"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5">
        <f>+IF(JUNIO!A123=0,"",JUNIO!A123)</f>
        <v>2700</v>
      </c>
      <c r="B123" s="627" t="str">
        <f>+IF(JUNIO!B123=0,"",JUNIO!B123)</f>
        <v>OTROS INGRESOS DE CAPITAL</v>
      </c>
      <c r="C123" s="671">
        <f>+ENERO!C123</f>
        <v>0</v>
      </c>
      <c r="D123" s="464">
        <f>JUNIO!D123+JULIO!P123</f>
        <v>0</v>
      </c>
      <c r="E123" s="464">
        <f>JUNIO!E123+JULIO!Q123</f>
        <v>0</v>
      </c>
      <c r="F123" s="468">
        <f t="shared" si="126"/>
        <v>0</v>
      </c>
      <c r="G123" s="219">
        <f>JUNIO!I123</f>
        <v>0</v>
      </c>
      <c r="H123" s="374">
        <v>0</v>
      </c>
      <c r="I123" s="473">
        <f t="shared" si="127"/>
        <v>0</v>
      </c>
      <c r="J123" s="219">
        <f>JUNIO!L123</f>
        <v>0</v>
      </c>
      <c r="K123" s="374">
        <v>0</v>
      </c>
      <c r="L123" s="143">
        <f t="shared" si="128"/>
        <v>0</v>
      </c>
      <c r="M123" s="438">
        <f t="shared" si="129"/>
        <v>0</v>
      </c>
      <c r="N123" s="143">
        <f t="shared" si="130"/>
        <v>0</v>
      </c>
      <c r="P123" s="372">
        <v>0</v>
      </c>
      <c r="Q123" s="375">
        <v>0</v>
      </c>
      <c r="R123" s="9"/>
      <c r="S123" s="704">
        <f>+IF(JUNIO!S123=0,"",JUNIO!S123)</f>
        <v>2010200</v>
      </c>
      <c r="T123" s="680" t="str">
        <f>+IF(JUNIO!T123=0,"",JUNIO!T123)</f>
        <v>Adquisición de Servicios</v>
      </c>
      <c r="U123" s="132">
        <f t="shared" ref="U123:AJ123" si="138">SUM(U124:U139)</f>
        <v>4658828612</v>
      </c>
      <c r="V123" s="122">
        <f t="shared" si="138"/>
        <v>-104446825</v>
      </c>
      <c r="W123" s="122">
        <f t="shared" si="138"/>
        <v>1428156707</v>
      </c>
      <c r="X123" s="129">
        <f t="shared" si="138"/>
        <v>5982538494</v>
      </c>
      <c r="Y123" s="128">
        <f t="shared" si="138"/>
        <v>5335756227</v>
      </c>
      <c r="Z123" s="122">
        <f t="shared" si="138"/>
        <v>133787448</v>
      </c>
      <c r="AA123" s="129">
        <f t="shared" si="138"/>
        <v>5469543675</v>
      </c>
      <c r="AB123" s="128">
        <f t="shared" si="138"/>
        <v>3456984348</v>
      </c>
      <c r="AC123" s="122">
        <f t="shared" si="138"/>
        <v>445415853</v>
      </c>
      <c r="AD123" s="129">
        <f t="shared" si="138"/>
        <v>3902400201</v>
      </c>
      <c r="AE123" s="128">
        <f t="shared" si="138"/>
        <v>2253961122</v>
      </c>
      <c r="AF123" s="122">
        <f t="shared" si="138"/>
        <v>365922897</v>
      </c>
      <c r="AG123" s="129">
        <f t="shared" si="138"/>
        <v>2619884019</v>
      </c>
      <c r="AH123" s="128">
        <f t="shared" si="138"/>
        <v>512994819</v>
      </c>
      <c r="AI123" s="122">
        <f t="shared" si="138"/>
        <v>2080138293</v>
      </c>
      <c r="AJ123" s="130">
        <f t="shared" si="138"/>
        <v>3362654475</v>
      </c>
      <c r="AK123" s="9"/>
      <c r="AL123" s="128">
        <f>SUM(AL124:AL139)</f>
        <v>-49873830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6">
        <f>+IF(JUNIO!A124=0,"",JUNIO!A124)</f>
        <v>2800</v>
      </c>
      <c r="B124" s="655" t="str">
        <f>+IF(JUNIO!B124=0,"",JUNIO!B124)</f>
        <v/>
      </c>
      <c r="C124" s="769">
        <f>+ENERO!C124</f>
        <v>0</v>
      </c>
      <c r="D124" s="462">
        <f>JUNIO!D124+JULIO!P124</f>
        <v>0</v>
      </c>
      <c r="E124" s="462">
        <f>JUNIO!E124+JULIO!Q124</f>
        <v>0</v>
      </c>
      <c r="F124" s="474">
        <f t="shared" si="126"/>
        <v>0</v>
      </c>
      <c r="G124" s="387">
        <f>JUNIO!I124</f>
        <v>0</v>
      </c>
      <c r="H124" s="388">
        <v>0</v>
      </c>
      <c r="I124" s="475">
        <f t="shared" si="127"/>
        <v>0</v>
      </c>
      <c r="J124" s="387">
        <f>JUNIO!L124</f>
        <v>0</v>
      </c>
      <c r="K124" s="388">
        <v>0</v>
      </c>
      <c r="L124" s="386">
        <f t="shared" si="128"/>
        <v>0</v>
      </c>
      <c r="M124" s="476">
        <f t="shared" si="129"/>
        <v>0</v>
      </c>
      <c r="N124" s="386">
        <f t="shared" si="130"/>
        <v>0</v>
      </c>
      <c r="P124" s="384">
        <v>0</v>
      </c>
      <c r="Q124" s="389">
        <v>0</v>
      </c>
      <c r="R124" s="9"/>
      <c r="S124" s="705" t="str">
        <f>+IF(JUNIO!S124=0,"",JUNIO!S124)</f>
        <v>2010200-1</v>
      </c>
      <c r="T124" s="681" t="str">
        <f>+IF(JUNIO!T124=0,"",JUNIO!T124)</f>
        <v>Seguros</v>
      </c>
      <c r="U124" s="27">
        <f>+ENERO!U124</f>
        <v>350000000</v>
      </c>
      <c r="V124" s="15">
        <f>JUNIO!V124+JULIO!AL124</f>
        <v>22168059</v>
      </c>
      <c r="W124" s="15">
        <f>JUNIO!W124+JULIO!AM124</f>
        <v>0</v>
      </c>
      <c r="X124" s="18">
        <f t="shared" ref="X124:X139" si="139">SUM(U124:W124)</f>
        <v>372168059</v>
      </c>
      <c r="Y124" s="19">
        <f>JUNIO!AA124</f>
        <v>371168059</v>
      </c>
      <c r="Z124" s="374">
        <v>437678</v>
      </c>
      <c r="AA124" s="18">
        <f t="shared" ref="AA124:AA139" si="140">SUM(Y124:Z124)</f>
        <v>371605737</v>
      </c>
      <c r="AB124" s="19">
        <f>JUNIO!AD124</f>
        <v>371133202</v>
      </c>
      <c r="AC124" s="374">
        <v>437678</v>
      </c>
      <c r="AD124" s="18">
        <f t="shared" ref="AD124:AD139" si="141">SUM(AB124:AC124)</f>
        <v>371570880</v>
      </c>
      <c r="AE124" s="19">
        <f>JUNIO!AG124</f>
        <v>368485217</v>
      </c>
      <c r="AF124" s="374">
        <v>345526</v>
      </c>
      <c r="AG124" s="18">
        <f t="shared" ref="AG124:AG139" si="142">SUM(AE124:AF124)</f>
        <v>368830743</v>
      </c>
      <c r="AH124" s="19">
        <f t="shared" ref="AH124:AH139" si="143">X124-AA124</f>
        <v>562322</v>
      </c>
      <c r="AI124" s="15">
        <f t="shared" ref="AI124:AI139" si="144">X124-AD124</f>
        <v>597179</v>
      </c>
      <c r="AJ124" s="16">
        <f t="shared" ref="AJ124:AJ139" si="145">X124-AG124</f>
        <v>3337316</v>
      </c>
      <c r="AK124" s="9"/>
      <c r="AL124" s="372">
        <v>1000000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tr">
        <f>+IF(JUNIO!S125=0,"",JUNIO!S125)</f>
        <v>2010200-2</v>
      </c>
      <c r="T125" s="681" t="str">
        <f>+IF(JUNIO!T125=0,"",JUNIO!T125)</f>
        <v>Impresos y Publicaciones</v>
      </c>
      <c r="U125" s="27">
        <f>+ENERO!U125</f>
        <v>60000000</v>
      </c>
      <c r="V125" s="15">
        <f>JUNIO!V125+JULIO!AL125</f>
        <v>29994312</v>
      </c>
      <c r="W125" s="15">
        <f>JUNIO!W125+JULIO!AM125</f>
        <v>0</v>
      </c>
      <c r="X125" s="18">
        <f t="shared" si="139"/>
        <v>89994312</v>
      </c>
      <c r="Y125" s="19">
        <f>JUNIO!AA125</f>
        <v>45525006</v>
      </c>
      <c r="Z125" s="374">
        <v>35770000</v>
      </c>
      <c r="AA125" s="18">
        <f t="shared" si="140"/>
        <v>81295006</v>
      </c>
      <c r="AB125" s="19">
        <f>JUNIO!AD125</f>
        <v>45085000</v>
      </c>
      <c r="AC125" s="374">
        <v>3210006</v>
      </c>
      <c r="AD125" s="18">
        <f t="shared" si="141"/>
        <v>48295006</v>
      </c>
      <c r="AE125" s="19">
        <f>JUNIO!AG125</f>
        <v>26982728</v>
      </c>
      <c r="AF125" s="374">
        <v>6727272</v>
      </c>
      <c r="AG125" s="18">
        <f t="shared" si="142"/>
        <v>33710000</v>
      </c>
      <c r="AH125" s="19">
        <f t="shared" si="143"/>
        <v>8699306</v>
      </c>
      <c r="AI125" s="15">
        <f t="shared" si="144"/>
        <v>41699306</v>
      </c>
      <c r="AJ125" s="16">
        <f t="shared" si="145"/>
        <v>56284312</v>
      </c>
      <c r="AK125" s="9"/>
      <c r="AL125" s="372">
        <v>30000000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5" t="s">
        <v>246</v>
      </c>
      <c r="B126" s="656"/>
      <c r="C126" s="477">
        <f t="shared" ref="C126:N126" si="146">C8-C128</f>
        <v>41169250887</v>
      </c>
      <c r="D126" s="477">
        <f t="shared" si="146"/>
        <v>0</v>
      </c>
      <c r="E126" s="477">
        <f t="shared" si="146"/>
        <v>1068749719</v>
      </c>
      <c r="F126" s="477">
        <f t="shared" si="146"/>
        <v>42238000606</v>
      </c>
      <c r="G126" s="477">
        <f t="shared" si="146"/>
        <v>23451572945</v>
      </c>
      <c r="H126" s="477">
        <f t="shared" si="146"/>
        <v>5184101825</v>
      </c>
      <c r="I126" s="477">
        <f t="shared" si="146"/>
        <v>28635674770</v>
      </c>
      <c r="J126" s="477">
        <f t="shared" si="146"/>
        <v>3887037913</v>
      </c>
      <c r="K126" s="477">
        <f t="shared" si="146"/>
        <v>2216286822</v>
      </c>
      <c r="L126" s="477">
        <f t="shared" si="146"/>
        <v>6103324735</v>
      </c>
      <c r="M126" s="477">
        <f t="shared" si="146"/>
        <v>22655253030</v>
      </c>
      <c r="N126" s="613">
        <f t="shared" si="146"/>
        <v>36134675871</v>
      </c>
      <c r="P126" s="478">
        <f>P8-P128</f>
        <v>0</v>
      </c>
      <c r="Q126" s="479">
        <f>Q8-Q128</f>
        <v>0</v>
      </c>
      <c r="R126" s="9"/>
      <c r="S126" s="705" t="str">
        <f>+IF(JUNIO!S126=0,"",JUNIO!S126)</f>
        <v>2010200-3</v>
      </c>
      <c r="T126" s="681" t="str">
        <f>+IF(JUNIO!T126=0,"",JUNIO!T126)</f>
        <v xml:space="preserve">Servicios Públicos </v>
      </c>
      <c r="U126" s="27">
        <f>+ENERO!U126</f>
        <v>904500000</v>
      </c>
      <c r="V126" s="15">
        <f>JUNIO!V126+JULIO!AL126</f>
        <v>0</v>
      </c>
      <c r="W126" s="15">
        <f>JUNIO!W126+JULIO!AM126</f>
        <v>0</v>
      </c>
      <c r="X126" s="18">
        <f t="shared" si="139"/>
        <v>904500000</v>
      </c>
      <c r="Y126" s="19">
        <f>JUNIO!AA126</f>
        <v>563121887</v>
      </c>
      <c r="Z126" s="374">
        <v>83559463</v>
      </c>
      <c r="AA126" s="18">
        <f t="shared" si="140"/>
        <v>646681350</v>
      </c>
      <c r="AB126" s="19">
        <f>JUNIO!AD126</f>
        <v>563053602</v>
      </c>
      <c r="AC126" s="374">
        <v>83559463</v>
      </c>
      <c r="AD126" s="18">
        <f t="shared" si="141"/>
        <v>646613065</v>
      </c>
      <c r="AE126" s="19">
        <f>JUNIO!AG126</f>
        <v>524329018</v>
      </c>
      <c r="AF126" s="374">
        <v>84600812</v>
      </c>
      <c r="AG126" s="18">
        <f t="shared" si="142"/>
        <v>608929830</v>
      </c>
      <c r="AH126" s="19">
        <f t="shared" si="143"/>
        <v>257818650</v>
      </c>
      <c r="AI126" s="15">
        <f t="shared" si="144"/>
        <v>257886935</v>
      </c>
      <c r="AJ126" s="16">
        <f t="shared" si="145"/>
        <v>295570170</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68"/>
      <c r="B127" s="653"/>
      <c r="C127" s="480"/>
      <c r="D127" s="480"/>
      <c r="E127" s="480"/>
      <c r="F127" s="480"/>
      <c r="G127" s="480"/>
      <c r="H127" s="480"/>
      <c r="I127" s="480"/>
      <c r="J127" s="480"/>
      <c r="K127" s="480"/>
      <c r="L127" s="480"/>
      <c r="M127" s="480"/>
      <c r="N127" s="481"/>
      <c r="P127" s="482"/>
      <c r="Q127" s="481"/>
      <c r="R127" s="9"/>
      <c r="S127" s="705" t="str">
        <f>+IF(JUNIO!S127=0,"",JUNIO!S127)</f>
        <v>2010200-4</v>
      </c>
      <c r="T127" s="681" t="str">
        <f>+IF(JUNIO!T127=0,"",JUNIO!T127)</f>
        <v>Comunicaciones y Transportes</v>
      </c>
      <c r="U127" s="27">
        <f>+ENERO!U127</f>
        <v>35257108</v>
      </c>
      <c r="V127" s="15">
        <f>JUNIO!V127+JULIO!AL127</f>
        <v>0</v>
      </c>
      <c r="W127" s="15">
        <f>JUNIO!W127+JULIO!AM127</f>
        <v>0</v>
      </c>
      <c r="X127" s="18">
        <f t="shared" si="139"/>
        <v>35257108</v>
      </c>
      <c r="Y127" s="19">
        <f>JUNIO!AA127</f>
        <v>29767111</v>
      </c>
      <c r="Z127" s="374">
        <v>2703920</v>
      </c>
      <c r="AA127" s="18">
        <f t="shared" si="140"/>
        <v>32471031</v>
      </c>
      <c r="AB127" s="19">
        <f>JUNIO!AD127</f>
        <v>21130749</v>
      </c>
      <c r="AC127" s="374">
        <v>11340282</v>
      </c>
      <c r="AD127" s="18">
        <f t="shared" si="141"/>
        <v>32471031</v>
      </c>
      <c r="AE127" s="19">
        <f>JUNIO!AG127</f>
        <v>9630793</v>
      </c>
      <c r="AF127" s="374">
        <v>8132762</v>
      </c>
      <c r="AG127" s="18">
        <f t="shared" si="142"/>
        <v>17763555</v>
      </c>
      <c r="AH127" s="19">
        <f t="shared" si="143"/>
        <v>2786077</v>
      </c>
      <c r="AI127" s="15">
        <f t="shared" si="144"/>
        <v>2786077</v>
      </c>
      <c r="AJ127" s="16">
        <f t="shared" si="145"/>
        <v>17493553</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6" t="s">
        <v>249</v>
      </c>
      <c r="B128" s="657"/>
      <c r="C128" s="483">
        <f>SUMIF($B8:$B$122,$B$24,C8:C122)+C122</f>
        <v>9052927194</v>
      </c>
      <c r="D128" s="483">
        <f>SUMIF($B8:$B$122,$B$24,D8:D122)+D122</f>
        <v>0</v>
      </c>
      <c r="E128" s="483">
        <f>SUMIF($B8:$B$122,$B$24,E8:E122)+E122</f>
        <v>11883801151</v>
      </c>
      <c r="F128" s="483">
        <f>SUMIF($B8:$B$122,$B$24,F8:F122)+F122</f>
        <v>20936728345</v>
      </c>
      <c r="G128" s="483">
        <f>SUMIF($B8:$B$122,$B$24,G8:G122)+G122</f>
        <v>15569175587</v>
      </c>
      <c r="H128" s="483">
        <f>SUMIF($B8:$B$122,$B$24,H8:H122)+H122</f>
        <v>1551527258</v>
      </c>
      <c r="I128" s="483">
        <f>SUMIF($B8:$B$122,$B$24,I8:I122)+I122</f>
        <v>17120702845</v>
      </c>
      <c r="J128" s="483">
        <f>SUMIF($B8:$B$122,$B$24,J8:J122)+J1212</f>
        <v>15569175587</v>
      </c>
      <c r="K128" s="483">
        <f>SUMIF($B8:$B$122,$B$24,K8:K122)+K122</f>
        <v>1551527258</v>
      </c>
      <c r="L128" s="483">
        <f>SUMIF($B8:$B$122,$B$24,L8:L122)+L122</f>
        <v>17120702845</v>
      </c>
      <c r="M128" s="483">
        <f>SUMIF($B8:$B$122,$B$24,M8:M122)+M12</f>
        <v>-5236901694</v>
      </c>
      <c r="N128" s="614">
        <f>SUMIF($B8:$B$122,$B$24,N8:N122)+N122</f>
        <v>3816025500</v>
      </c>
      <c r="O128" s="461"/>
      <c r="P128" s="483">
        <f>SUMIF($B8:$B$122,$B$24,P8:P122)+P122</f>
        <v>0</v>
      </c>
      <c r="Q128" s="484">
        <f>SUMIF($B8:$B$122,$B$24,Q8:Q122)+Q122</f>
        <v>0</v>
      </c>
      <c r="R128" s="9"/>
      <c r="S128" s="705" t="str">
        <f>+IF(JUNIO!S128=0,"",JUNIO!S128)</f>
        <v>2010200-5</v>
      </c>
      <c r="T128" s="681" t="str">
        <f>+IF(JUNIO!T128=0,"",JUNIO!T128)</f>
        <v>Viáticos y Gastos de Viaje</v>
      </c>
      <c r="U128" s="27">
        <f>+ENERO!U128</f>
        <v>12609000</v>
      </c>
      <c r="V128" s="15">
        <f>JUNIO!V128+JULIO!AL128</f>
        <v>0</v>
      </c>
      <c r="W128" s="15">
        <f>JUNIO!W128+JULIO!AM128</f>
        <v>0</v>
      </c>
      <c r="X128" s="18">
        <f t="shared" si="139"/>
        <v>12609000</v>
      </c>
      <c r="Y128" s="19">
        <f>JUNIO!AA128</f>
        <v>2719011</v>
      </c>
      <c r="Z128" s="374">
        <v>450526</v>
      </c>
      <c r="AA128" s="18">
        <f t="shared" si="140"/>
        <v>3169537</v>
      </c>
      <c r="AB128" s="19">
        <f>JUNIO!AD128</f>
        <v>2719011</v>
      </c>
      <c r="AC128" s="374">
        <v>450526</v>
      </c>
      <c r="AD128" s="18">
        <f t="shared" si="141"/>
        <v>3169537</v>
      </c>
      <c r="AE128" s="19">
        <f>JUNIO!AG128</f>
        <v>2155400</v>
      </c>
      <c r="AF128" s="374">
        <v>696526</v>
      </c>
      <c r="AG128" s="18">
        <f t="shared" si="142"/>
        <v>2851926</v>
      </c>
      <c r="AH128" s="19">
        <f t="shared" si="143"/>
        <v>9439463</v>
      </c>
      <c r="AI128" s="15">
        <f t="shared" si="144"/>
        <v>9439463</v>
      </c>
      <c r="AJ128" s="16">
        <f t="shared" si="145"/>
        <v>9757074</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68"/>
      <c r="B129" s="653"/>
      <c r="C129" s="480"/>
      <c r="D129" s="480"/>
      <c r="E129" s="480"/>
      <c r="F129" s="480"/>
      <c r="G129" s="480"/>
      <c r="H129" s="480"/>
      <c r="I129" s="480"/>
      <c r="J129" s="480"/>
      <c r="K129" s="480"/>
      <c r="L129" s="480"/>
      <c r="M129" s="480"/>
      <c r="N129" s="481"/>
      <c r="P129" s="482"/>
      <c r="Q129" s="481"/>
      <c r="R129" s="9"/>
      <c r="S129" s="705" t="str">
        <f>+IF(JUNIO!S129=0,"",JUNIO!S129)</f>
        <v>2010200-6</v>
      </c>
      <c r="T129" s="681" t="str">
        <f>+IF(JUNIO!T129=0,"",JUNIO!T129)</f>
        <v>Arrendamientos</v>
      </c>
      <c r="U129" s="27">
        <f>+ENERO!U129</f>
        <v>1100000000</v>
      </c>
      <c r="V129" s="15">
        <f>JUNIO!V129+JULIO!AL129</f>
        <v>1167817483</v>
      </c>
      <c r="W129" s="15">
        <f>JUNIO!W129+JULIO!AM129</f>
        <v>60000000</v>
      </c>
      <c r="X129" s="18">
        <f t="shared" si="139"/>
        <v>2327817483</v>
      </c>
      <c r="Y129" s="19">
        <f>JUNIO!AA129</f>
        <v>2317107100</v>
      </c>
      <c r="Z129" s="374">
        <v>10710000</v>
      </c>
      <c r="AA129" s="18">
        <f t="shared" si="140"/>
        <v>2327817100</v>
      </c>
      <c r="AB129" s="19">
        <f>JUNIO!AD129</f>
        <v>1225503773</v>
      </c>
      <c r="AC129" s="374">
        <v>197645386</v>
      </c>
      <c r="AD129" s="18">
        <f t="shared" si="141"/>
        <v>1423149159</v>
      </c>
      <c r="AE129" s="19">
        <f>JUNIO!AG129</f>
        <v>704701128</v>
      </c>
      <c r="AF129" s="374">
        <v>195034039</v>
      </c>
      <c r="AG129" s="18">
        <f t="shared" si="142"/>
        <v>899735167</v>
      </c>
      <c r="AH129" s="19">
        <f t="shared" si="143"/>
        <v>383</v>
      </c>
      <c r="AI129" s="15">
        <f t="shared" si="144"/>
        <v>904668324</v>
      </c>
      <c r="AJ129" s="16">
        <f t="shared" si="145"/>
        <v>1428082316</v>
      </c>
      <c r="AK129" s="9"/>
      <c r="AL129" s="372">
        <v>3000000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7" t="s">
        <v>252</v>
      </c>
      <c r="B130" s="658"/>
      <c r="C130" s="485">
        <f t="shared" ref="C130:N130" si="147">C128+C126</f>
        <v>50222178081</v>
      </c>
      <c r="D130" s="486">
        <f t="shared" si="147"/>
        <v>0</v>
      </c>
      <c r="E130" s="486">
        <f t="shared" si="147"/>
        <v>12952550870</v>
      </c>
      <c r="F130" s="487">
        <f t="shared" si="147"/>
        <v>63174728951</v>
      </c>
      <c r="G130" s="485">
        <f t="shared" si="147"/>
        <v>39020748532</v>
      </c>
      <c r="H130" s="486">
        <f t="shared" si="147"/>
        <v>6735629083</v>
      </c>
      <c r="I130" s="487">
        <f t="shared" si="147"/>
        <v>45756377615</v>
      </c>
      <c r="J130" s="485">
        <f t="shared" si="147"/>
        <v>19456213500</v>
      </c>
      <c r="K130" s="486">
        <f t="shared" si="147"/>
        <v>3767814080</v>
      </c>
      <c r="L130" s="487">
        <f t="shared" si="147"/>
        <v>23224027580</v>
      </c>
      <c r="M130" s="485">
        <f t="shared" si="147"/>
        <v>17418351336</v>
      </c>
      <c r="N130" s="487">
        <f t="shared" si="147"/>
        <v>39950701371</v>
      </c>
      <c r="P130" s="478">
        <f>P128+P126</f>
        <v>0</v>
      </c>
      <c r="Q130" s="479">
        <f>Q128+Q126</f>
        <v>0</v>
      </c>
      <c r="R130" s="9"/>
      <c r="S130" s="705" t="str">
        <f>+IF(JUNIO!S130=0,"",JUNIO!S130)</f>
        <v>2010200-7</v>
      </c>
      <c r="T130" s="681" t="str">
        <f>+IF(JUNIO!T130=0,"",JUNIO!T130)</f>
        <v>Vigilancia y Aseo</v>
      </c>
      <c r="U130" s="27">
        <f>+ENERO!U130</f>
        <v>2121073970</v>
      </c>
      <c r="V130" s="15">
        <f>JUNIO!V130+JULIO!AL130</f>
        <v>-547426849</v>
      </c>
      <c r="W130" s="15">
        <f>JUNIO!W130+JULIO!AM130</f>
        <v>220000000</v>
      </c>
      <c r="X130" s="18">
        <f t="shared" si="139"/>
        <v>1793647121</v>
      </c>
      <c r="Y130" s="19">
        <f>JUNIO!AA130</f>
        <v>1632786670</v>
      </c>
      <c r="Z130" s="374">
        <v>0</v>
      </c>
      <c r="AA130" s="18">
        <f t="shared" si="140"/>
        <v>1632786670</v>
      </c>
      <c r="AB130" s="19">
        <f>JUNIO!AD130</f>
        <v>855841951</v>
      </c>
      <c r="AC130" s="374">
        <v>148616651</v>
      </c>
      <c r="AD130" s="18">
        <f t="shared" si="141"/>
        <v>1004458602</v>
      </c>
      <c r="AE130" s="19">
        <f>JUNIO!AG130</f>
        <v>250064156</v>
      </c>
      <c r="AF130" s="374">
        <v>66922099</v>
      </c>
      <c r="AG130" s="18">
        <f t="shared" si="142"/>
        <v>316986255</v>
      </c>
      <c r="AH130" s="19">
        <f t="shared" si="143"/>
        <v>160860451</v>
      </c>
      <c r="AI130" s="15">
        <f t="shared" si="144"/>
        <v>789188519</v>
      </c>
      <c r="AJ130" s="16">
        <f t="shared" si="145"/>
        <v>1476660866</v>
      </c>
      <c r="AK130" s="9"/>
      <c r="AL130" s="372">
        <v>-34000000</v>
      </c>
      <c r="AM130" s="375">
        <v>0</v>
      </c>
      <c r="AN130" s="9"/>
      <c r="AO130" s="294"/>
      <c r="AP130" s="294"/>
      <c r="AQ130" s="294"/>
      <c r="AR130" s="294"/>
      <c r="AS130" s="294"/>
      <c r="AT130" s="294"/>
      <c r="AU130" s="294"/>
      <c r="AV130" s="294"/>
      <c r="AW130" s="294"/>
      <c r="AX130" s="294"/>
      <c r="AY130" s="294"/>
      <c r="AZ130" s="294"/>
    </row>
    <row r="131" spans="1:52" s="382" customFormat="1" ht="24.95" customHeight="1">
      <c r="A131" s="752"/>
      <c r="B131" s="660"/>
      <c r="N131" s="9"/>
      <c r="R131" s="9"/>
      <c r="S131" s="705" t="str">
        <f>+IF(JUNIO!S131=0,"",JUNIO!S131)</f>
        <v>2010200-8</v>
      </c>
      <c r="T131" s="681" t="str">
        <f>+IF(JUNIO!T131=0,"",JUNIO!T131)</f>
        <v>Bienestar Social</v>
      </c>
      <c r="U131" s="27">
        <f>+ENERO!U131</f>
        <v>45388534</v>
      </c>
      <c r="V131" s="15">
        <f>JUNIO!V131+JULIO!AL131</f>
        <v>0</v>
      </c>
      <c r="W131" s="15">
        <f>JUNIO!W131+JULIO!AM131</f>
        <v>26156707</v>
      </c>
      <c r="X131" s="18">
        <f t="shared" si="139"/>
        <v>71545241</v>
      </c>
      <c r="Y131" s="19">
        <f>JUNIO!AA131</f>
        <v>18927486</v>
      </c>
      <c r="Z131" s="374">
        <v>150000</v>
      </c>
      <c r="AA131" s="18">
        <f t="shared" si="140"/>
        <v>19077486</v>
      </c>
      <c r="AB131" s="19">
        <f>JUNIO!AD131</f>
        <v>17883163</v>
      </c>
      <c r="AC131" s="374">
        <v>150000</v>
      </c>
      <c r="AD131" s="18">
        <f t="shared" si="141"/>
        <v>18033163</v>
      </c>
      <c r="AE131" s="19">
        <f>JUNIO!AG131</f>
        <v>13449663</v>
      </c>
      <c r="AF131" s="374">
        <v>3458000</v>
      </c>
      <c r="AG131" s="18">
        <f t="shared" si="142"/>
        <v>16907663</v>
      </c>
      <c r="AH131" s="19">
        <f t="shared" si="143"/>
        <v>52467755</v>
      </c>
      <c r="AI131" s="15">
        <f t="shared" si="144"/>
        <v>53512078</v>
      </c>
      <c r="AJ131" s="16">
        <f t="shared" si="145"/>
        <v>54637578</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2"/>
      <c r="B132" s="660"/>
      <c r="N132" s="9"/>
      <c r="R132" s="9"/>
      <c r="S132" s="705" t="str">
        <f>+IF(JUNIO!S132=0,"",JUNIO!S132)</f>
        <v>2010200-9</v>
      </c>
      <c r="T132" s="681" t="str">
        <f>+IF(JUNIO!T132=0,"",JUNIO!T132)</f>
        <v>Capacitación, estimulos, incentivos, programa de calidad</v>
      </c>
      <c r="U132" s="27">
        <f>+ENERO!U132</f>
        <v>15000000</v>
      </c>
      <c r="V132" s="15">
        <f>JUNIO!V132+JULIO!AL132</f>
        <v>0</v>
      </c>
      <c r="W132" s="15">
        <f>JUNIO!W132+JULIO!AM132</f>
        <v>0</v>
      </c>
      <c r="X132" s="18">
        <f t="shared" si="139"/>
        <v>15000000</v>
      </c>
      <c r="Y132" s="19">
        <f>JUNIO!AA132</f>
        <v>0</v>
      </c>
      <c r="Z132" s="374">
        <v>0</v>
      </c>
      <c r="AA132" s="18">
        <f t="shared" si="140"/>
        <v>0</v>
      </c>
      <c r="AB132" s="19">
        <f>JUNIO!AD132</f>
        <v>0</v>
      </c>
      <c r="AC132" s="374">
        <v>0</v>
      </c>
      <c r="AD132" s="18">
        <f t="shared" si="141"/>
        <v>0</v>
      </c>
      <c r="AE132" s="19">
        <f>JUNIO!AG132</f>
        <v>0</v>
      </c>
      <c r="AF132" s="374">
        <v>0</v>
      </c>
      <c r="AG132" s="18">
        <f t="shared" si="142"/>
        <v>0</v>
      </c>
      <c r="AH132" s="19">
        <f t="shared" si="143"/>
        <v>15000000</v>
      </c>
      <c r="AI132" s="15">
        <f t="shared" si="144"/>
        <v>15000000</v>
      </c>
      <c r="AJ132" s="16">
        <f t="shared" si="145"/>
        <v>15000000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2"/>
      <c r="B133" s="660"/>
      <c r="N133" s="9"/>
      <c r="R133" s="9"/>
      <c r="S133" s="705" t="str">
        <f>+IF(JUNIO!S133=0,"",JUNIO!S133)</f>
        <v>2010200-10</v>
      </c>
      <c r="T133" s="681" t="str">
        <f>+IF(JUNIO!T133=0,"",JUNIO!T133)</f>
        <v>Pagos otras IPS</v>
      </c>
      <c r="U133" s="27">
        <f>+ENERO!U133</f>
        <v>5000000</v>
      </c>
      <c r="V133" s="15">
        <f>JUNIO!V133+JULIO!AL133</f>
        <v>0</v>
      </c>
      <c r="W133" s="15">
        <f>JUNIO!W133+JULIO!AM133</f>
        <v>0</v>
      </c>
      <c r="X133" s="18">
        <f t="shared" si="139"/>
        <v>5000000</v>
      </c>
      <c r="Y133" s="19">
        <f>JUNIO!AA133</f>
        <v>0</v>
      </c>
      <c r="Z133" s="374">
        <v>0</v>
      </c>
      <c r="AA133" s="18">
        <f t="shared" si="140"/>
        <v>0</v>
      </c>
      <c r="AB133" s="19">
        <f>JUNIO!AD133</f>
        <v>0</v>
      </c>
      <c r="AC133" s="374">
        <v>0</v>
      </c>
      <c r="AD133" s="18">
        <f t="shared" si="141"/>
        <v>0</v>
      </c>
      <c r="AE133" s="19">
        <f>JUNIO!AG133</f>
        <v>0</v>
      </c>
      <c r="AF133" s="374">
        <v>0</v>
      </c>
      <c r="AG133" s="18">
        <f t="shared" si="142"/>
        <v>0</v>
      </c>
      <c r="AH133" s="19">
        <f t="shared" si="143"/>
        <v>5000000</v>
      </c>
      <c r="AI133" s="15">
        <f t="shared" si="144"/>
        <v>5000000</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2"/>
      <c r="B134" s="660"/>
      <c r="N134" s="9"/>
      <c r="R134" s="9"/>
      <c r="S134" s="705" t="str">
        <f>+IF(JUNIO!S134=0,"",JUNIO!S134)</f>
        <v>2010200-11</v>
      </c>
      <c r="T134" s="681" t="str">
        <f>+IF(JUNIO!T134=0,"",JUNIO!T134)</f>
        <v>Gastos financieros</v>
      </c>
      <c r="U134" s="27">
        <f>+ENERO!U134</f>
        <v>10000000</v>
      </c>
      <c r="V134" s="15">
        <f>JUNIO!V134+JULIO!AL134</f>
        <v>12000000</v>
      </c>
      <c r="W134" s="15">
        <f>JUNIO!W134+JULIO!AM134</f>
        <v>2000000</v>
      </c>
      <c r="X134" s="18">
        <f t="shared" si="139"/>
        <v>24000000</v>
      </c>
      <c r="Y134" s="19">
        <f>JUNIO!AA134</f>
        <v>23633727</v>
      </c>
      <c r="Z134" s="374">
        <v>5861</v>
      </c>
      <c r="AA134" s="18">
        <f t="shared" si="140"/>
        <v>23639588</v>
      </c>
      <c r="AB134" s="19">
        <f>JUNIO!AD134</f>
        <v>23633727</v>
      </c>
      <c r="AC134" s="374">
        <v>5861</v>
      </c>
      <c r="AD134" s="18">
        <f t="shared" si="141"/>
        <v>23639588</v>
      </c>
      <c r="AE134" s="19">
        <f>JUNIO!AG134</f>
        <v>23162849</v>
      </c>
      <c r="AF134" s="374">
        <v>5861</v>
      </c>
      <c r="AG134" s="18">
        <f t="shared" si="142"/>
        <v>23168710</v>
      </c>
      <c r="AH134" s="19">
        <f t="shared" si="143"/>
        <v>360412</v>
      </c>
      <c r="AI134" s="15">
        <f t="shared" si="144"/>
        <v>360412</v>
      </c>
      <c r="AJ134" s="16">
        <f t="shared" si="145"/>
        <v>831290</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2"/>
      <c r="B135" s="660"/>
      <c r="N135" s="9"/>
      <c r="R135" s="9"/>
      <c r="S135" s="705" t="str">
        <f>+IF(JUNIO!S135=0,"",JUNIO!S135)</f>
        <v>2010200-12</v>
      </c>
      <c r="T135" s="681" t="str">
        <f>+IF(JUNIO!T135=0,"",JUNIO!T135)</f>
        <v/>
      </c>
      <c r="U135" s="27">
        <f>+ENERO!U135</f>
        <v>0</v>
      </c>
      <c r="V135" s="15">
        <f>JUNIO!V135+JULIO!AL135</f>
        <v>0</v>
      </c>
      <c r="W135" s="15">
        <f>JUNIO!W135+JULIO!AM135</f>
        <v>0</v>
      </c>
      <c r="X135" s="18">
        <f t="shared" si="139"/>
        <v>0</v>
      </c>
      <c r="Y135" s="19">
        <f>JUNIO!AA135</f>
        <v>0</v>
      </c>
      <c r="Z135" s="374">
        <v>0</v>
      </c>
      <c r="AA135" s="18">
        <f t="shared" si="140"/>
        <v>0</v>
      </c>
      <c r="AB135" s="19">
        <f>JUNIO!AD135</f>
        <v>0</v>
      </c>
      <c r="AC135" s="374">
        <v>0</v>
      </c>
      <c r="AD135" s="18">
        <f t="shared" si="141"/>
        <v>0</v>
      </c>
      <c r="AE135" s="19">
        <f>JUNIO!AG135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2"/>
      <c r="B136" s="660"/>
      <c r="N136" s="9"/>
      <c r="R136" s="9"/>
      <c r="S136" s="705" t="str">
        <f>+IF(JUNIO!S136=0,"",JUNIO!S136)</f>
        <v>2010200-13</v>
      </c>
      <c r="T136" s="681" t="str">
        <f>+IF(JUNIO!T136=0,"",JUNIO!T136)</f>
        <v/>
      </c>
      <c r="U136" s="27">
        <f>+ENERO!U136</f>
        <v>0</v>
      </c>
      <c r="V136" s="15">
        <f>JUNIO!V136+JULIO!AL136</f>
        <v>0</v>
      </c>
      <c r="W136" s="15">
        <f>JUNIO!W136+JULIO!AM136</f>
        <v>0</v>
      </c>
      <c r="X136" s="18">
        <f t="shared" si="139"/>
        <v>0</v>
      </c>
      <c r="Y136" s="19">
        <f>JUNIO!AA136</f>
        <v>0</v>
      </c>
      <c r="Z136" s="374">
        <v>0</v>
      </c>
      <c r="AA136" s="18">
        <f t="shared" si="140"/>
        <v>0</v>
      </c>
      <c r="AB136" s="19">
        <f>JUNIO!AD136</f>
        <v>0</v>
      </c>
      <c r="AC136" s="374">
        <v>0</v>
      </c>
      <c r="AD136" s="18">
        <f t="shared" si="141"/>
        <v>0</v>
      </c>
      <c r="AE136" s="19">
        <f>JUNIO!AG136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2"/>
      <c r="B137" s="660"/>
      <c r="N137" s="9"/>
      <c r="R137" s="9"/>
      <c r="S137" s="705" t="str">
        <f>+IF(JUNIO!S137=0,"",JUNIO!S137)</f>
        <v>2010020-14</v>
      </c>
      <c r="T137" s="681" t="str">
        <f>+IF(JUNIO!T137=0,"",JUNIO!T137)</f>
        <v/>
      </c>
      <c r="U137" s="27">
        <f>+ENERO!U137</f>
        <v>0</v>
      </c>
      <c r="V137" s="15">
        <f>JUNIO!V137+JULIO!AL137</f>
        <v>0</v>
      </c>
      <c r="W137" s="15">
        <f>JUNIO!W137+JULIO!AM137</f>
        <v>0</v>
      </c>
      <c r="X137" s="18">
        <f t="shared" si="139"/>
        <v>0</v>
      </c>
      <c r="Y137" s="19">
        <f>JUNIO!AA137</f>
        <v>0</v>
      </c>
      <c r="Z137" s="374">
        <v>0</v>
      </c>
      <c r="AA137" s="18">
        <f t="shared" si="140"/>
        <v>0</v>
      </c>
      <c r="AB137" s="19">
        <f>JUNIO!AD137</f>
        <v>0</v>
      </c>
      <c r="AC137" s="374">
        <v>0</v>
      </c>
      <c r="AD137" s="18">
        <f t="shared" si="141"/>
        <v>0</v>
      </c>
      <c r="AE137" s="19">
        <f>JUNIO!AG137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2"/>
      <c r="B138" s="660"/>
      <c r="N138" s="9"/>
      <c r="R138" s="9"/>
      <c r="S138" s="705" t="str">
        <f>+IF(JUNIO!S138=0,"",JUNIO!S138)</f>
        <v>2010200-15</v>
      </c>
      <c r="T138" s="681" t="str">
        <f>+IF(JUNIO!T138=0,"",JUNIO!T138)</f>
        <v/>
      </c>
      <c r="U138" s="27">
        <f>+ENERO!U138</f>
        <v>0</v>
      </c>
      <c r="V138" s="15">
        <f>JUNIO!V138+JULIO!AL138</f>
        <v>0</v>
      </c>
      <c r="W138" s="15">
        <f>JUNIO!W138+JULIO!AM138</f>
        <v>0</v>
      </c>
      <c r="X138" s="18">
        <f t="shared" si="139"/>
        <v>0</v>
      </c>
      <c r="Y138" s="19">
        <f>JUNIO!AA138</f>
        <v>0</v>
      </c>
      <c r="Z138" s="374">
        <v>0</v>
      </c>
      <c r="AA138" s="18">
        <f t="shared" si="140"/>
        <v>0</v>
      </c>
      <c r="AB138" s="19">
        <f>JUNIO!AD138</f>
        <v>0</v>
      </c>
      <c r="AC138" s="374">
        <v>0</v>
      </c>
      <c r="AD138" s="18">
        <f t="shared" si="141"/>
        <v>0</v>
      </c>
      <c r="AE138" s="19">
        <f>JUNIO!AG138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2"/>
      <c r="B139" s="660"/>
      <c r="N139" s="9"/>
      <c r="R139" s="9"/>
      <c r="S139" s="705">
        <f>+IF(JUNIO!S139=0,"",JUNIO!S139)</f>
        <v>2010299</v>
      </c>
      <c r="T139" s="681" t="str">
        <f>+IF(JUNIO!T139=0,"",JUNIO!T139)</f>
        <v>Vigencias Anteriores</v>
      </c>
      <c r="U139" s="27">
        <f>+ENERO!U139</f>
        <v>0</v>
      </c>
      <c r="V139" s="15">
        <f>JUNIO!V139+JULIO!AL139</f>
        <v>-788999830</v>
      </c>
      <c r="W139" s="15">
        <f>JUNIO!W139+JULIO!AM139</f>
        <v>1120000000</v>
      </c>
      <c r="X139" s="18">
        <f t="shared" si="139"/>
        <v>331000170</v>
      </c>
      <c r="Y139" s="19">
        <f>JUNIO!AA139</f>
        <v>331000170</v>
      </c>
      <c r="Z139" s="374">
        <v>0</v>
      </c>
      <c r="AA139" s="18">
        <f t="shared" si="140"/>
        <v>331000170</v>
      </c>
      <c r="AB139" s="19">
        <f>JUNIO!AD139</f>
        <v>331000170</v>
      </c>
      <c r="AC139" s="374">
        <v>0</v>
      </c>
      <c r="AD139" s="18">
        <f t="shared" si="141"/>
        <v>331000170</v>
      </c>
      <c r="AE139" s="19">
        <f>JUNIO!AG139</f>
        <v>331000170</v>
      </c>
      <c r="AF139" s="374">
        <v>0</v>
      </c>
      <c r="AG139" s="18">
        <f t="shared" si="142"/>
        <v>331000170</v>
      </c>
      <c r="AH139" s="19">
        <f t="shared" si="143"/>
        <v>0</v>
      </c>
      <c r="AI139" s="15">
        <f t="shared" si="144"/>
        <v>0</v>
      </c>
      <c r="AJ139" s="16">
        <f t="shared" si="145"/>
        <v>0</v>
      </c>
      <c r="AK139" s="9"/>
      <c r="AL139" s="372">
        <v>-49873830</v>
      </c>
      <c r="AM139" s="375">
        <v>0</v>
      </c>
      <c r="AN139" s="9"/>
      <c r="AO139" s="294"/>
      <c r="AP139" s="294"/>
      <c r="AQ139" s="294"/>
    </row>
    <row r="140" spans="1:52" s="382" customFormat="1" ht="24.95" customHeight="1">
      <c r="A140" s="752"/>
      <c r="B140" s="660"/>
      <c r="N140" s="9"/>
      <c r="R140" s="9"/>
      <c r="S140" s="366" t="str">
        <f>+IF(JUNIO!S140=0,"",JUNIO!S140)</f>
        <v/>
      </c>
      <c r="T140" s="695"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2"/>
      <c r="B141" s="660"/>
      <c r="N141" s="9"/>
      <c r="R141" s="9"/>
      <c r="S141" s="704">
        <f>+IF(JUNIO!S141=0,"",JUNIO!S141)</f>
        <v>2010300</v>
      </c>
      <c r="T141" s="680" t="str">
        <f>+IF(JUNIO!T141=0,"",JUNIO!T141)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c r="A142" s="752"/>
      <c r="B142" s="660"/>
      <c r="N142" s="9"/>
      <c r="R142" s="9"/>
      <c r="S142" s="705" t="str">
        <f>+IF(JUNIO!S142=0,"",JUNIO!S142)</f>
        <v>2010300-1</v>
      </c>
      <c r="T142" s="681" t="str">
        <f>+IF(JUNIO!T142=0,"",JUNIO!T142)</f>
        <v>Impuestos (Predial, Vehiculos, Otros)</v>
      </c>
      <c r="U142" s="27">
        <f>+ENERO!U142</f>
        <v>0</v>
      </c>
      <c r="V142" s="15">
        <f>JUNIO!V142+JULIO!AL142</f>
        <v>0</v>
      </c>
      <c r="W142" s="15">
        <f>JUNIO!W142+JULIO!AM142</f>
        <v>0</v>
      </c>
      <c r="X142" s="18">
        <f>SUM(U142:W142)</f>
        <v>0</v>
      </c>
      <c r="Y142" s="19">
        <f>JUNIO!AA142</f>
        <v>0</v>
      </c>
      <c r="Z142" s="374">
        <v>0</v>
      </c>
      <c r="AA142" s="18">
        <f>SUM(Y142:Z142)</f>
        <v>0</v>
      </c>
      <c r="AB142" s="19">
        <f>JUNIO!AD142</f>
        <v>0</v>
      </c>
      <c r="AC142" s="374">
        <v>0</v>
      </c>
      <c r="AD142" s="18">
        <f>SUM(AB142:AC142)</f>
        <v>0</v>
      </c>
      <c r="AE142" s="19">
        <f>JUNIO!AG142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2"/>
      <c r="B143" s="660"/>
      <c r="N143" s="9"/>
      <c r="R143" s="9"/>
      <c r="S143" s="705">
        <f>+IF(JUNIO!S143=0,"",JUNIO!S143)</f>
        <v>2010399</v>
      </c>
      <c r="T143" s="681" t="str">
        <f>+IF(JUNIO!T143=0,"",JUNIO!T143)</f>
        <v>Vigencias Anteriores</v>
      </c>
      <c r="U143" s="27">
        <f>+ENERO!U143</f>
        <v>0</v>
      </c>
      <c r="V143" s="15">
        <f>JUNIO!V143+JULIO!AL143</f>
        <v>0</v>
      </c>
      <c r="W143" s="15">
        <f>JUNIO!W143+JULIO!AM143</f>
        <v>0</v>
      </c>
      <c r="X143" s="18">
        <f>SUM(U143:W143)</f>
        <v>0</v>
      </c>
      <c r="Y143" s="19">
        <f>JUNIO!AA143</f>
        <v>0</v>
      </c>
      <c r="Z143" s="374">
        <v>0</v>
      </c>
      <c r="AA143" s="18">
        <f>SUM(Y143:Z143)</f>
        <v>0</v>
      </c>
      <c r="AB143" s="19">
        <f>JUNIO!AD143</f>
        <v>0</v>
      </c>
      <c r="AC143" s="374">
        <v>0</v>
      </c>
      <c r="AD143" s="18">
        <f>SUM(AB143:AC143)</f>
        <v>0</v>
      </c>
      <c r="AE143" s="19">
        <f>JUNIO!AG143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2"/>
      <c r="B144" s="660"/>
      <c r="N144" s="9"/>
      <c r="R144" s="9"/>
      <c r="S144" s="366" t="str">
        <f>+IF(JUNIO!S144=0,"",JUNIO!S144)</f>
        <v/>
      </c>
      <c r="T144" s="695"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2"/>
      <c r="B145" s="660"/>
      <c r="N145" s="9"/>
      <c r="R145" s="9"/>
      <c r="S145" s="703">
        <f>+IF(JUNIO!S145=0,"",JUNIO!S145)</f>
        <v>2020010</v>
      </c>
      <c r="T145" s="679" t="str">
        <f>+IF(JUNIO!T145=0,"",JUNIO!T145)</f>
        <v>Gastos de Operación</v>
      </c>
      <c r="U145" s="132">
        <f t="shared" ref="U145:AJ145" si="149">U147+U155</f>
        <v>2659132662</v>
      </c>
      <c r="V145" s="122">
        <f t="shared" si="149"/>
        <v>-1104857394</v>
      </c>
      <c r="W145" s="122">
        <f t="shared" si="149"/>
        <v>1650000000</v>
      </c>
      <c r="X145" s="129">
        <f t="shared" si="149"/>
        <v>3204275268</v>
      </c>
      <c r="Y145" s="128">
        <f t="shared" si="149"/>
        <v>1963074102</v>
      </c>
      <c r="Z145" s="122">
        <f t="shared" si="149"/>
        <v>101498322</v>
      </c>
      <c r="AA145" s="129">
        <f t="shared" si="149"/>
        <v>2064572424</v>
      </c>
      <c r="AB145" s="128">
        <f t="shared" si="149"/>
        <v>1310417706</v>
      </c>
      <c r="AC145" s="122">
        <f t="shared" si="149"/>
        <v>226184593</v>
      </c>
      <c r="AD145" s="129">
        <f t="shared" si="149"/>
        <v>1536602299</v>
      </c>
      <c r="AE145" s="128">
        <f t="shared" si="149"/>
        <v>688974973</v>
      </c>
      <c r="AF145" s="122">
        <f t="shared" si="149"/>
        <v>78467673</v>
      </c>
      <c r="AG145" s="129">
        <f t="shared" si="149"/>
        <v>767442646</v>
      </c>
      <c r="AH145" s="128">
        <f t="shared" si="149"/>
        <v>1139702844</v>
      </c>
      <c r="AI145" s="122">
        <f t="shared" si="149"/>
        <v>1667672969</v>
      </c>
      <c r="AJ145" s="130">
        <f t="shared" si="149"/>
        <v>2436832622</v>
      </c>
      <c r="AK145" s="10"/>
      <c r="AL145" s="128">
        <f>AL147+AL155</f>
        <v>-96311147</v>
      </c>
      <c r="AM145" s="130">
        <f>AM147+AM155</f>
        <v>0</v>
      </c>
      <c r="AN145" s="9"/>
    </row>
    <row r="146" spans="1:40" s="382" customFormat="1" ht="24.95" customHeight="1">
      <c r="A146" s="752"/>
      <c r="B146" s="660"/>
      <c r="N146" s="9"/>
      <c r="R146" s="9"/>
      <c r="S146" s="706" t="str">
        <f>+IF(JUNIO!S146=0,"",JUNIO!S146)</f>
        <v/>
      </c>
      <c r="T146" s="682"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2"/>
      <c r="B147" s="660"/>
      <c r="N147" s="9"/>
      <c r="R147" s="9"/>
      <c r="S147" s="704">
        <f>+IF(JUNIO!S147=0,"",JUNIO!S147)</f>
        <v>2020100</v>
      </c>
      <c r="T147" s="680" t="str">
        <f>+IF(JUNIO!T147=0,"",JUNIO!T147)</f>
        <v>Adquisición de bienes</v>
      </c>
      <c r="U147" s="132">
        <f t="shared" ref="U147:AJ147" si="150">SUM(U148:U149)+U153</f>
        <v>1878602056</v>
      </c>
      <c r="V147" s="122">
        <f t="shared" si="150"/>
        <v>-490012077</v>
      </c>
      <c r="W147" s="122">
        <f t="shared" si="150"/>
        <v>550000000</v>
      </c>
      <c r="X147" s="129">
        <f t="shared" si="150"/>
        <v>1938589979</v>
      </c>
      <c r="Y147" s="128">
        <f t="shared" si="150"/>
        <v>940327809</v>
      </c>
      <c r="Z147" s="122">
        <f t="shared" si="150"/>
        <v>96725622</v>
      </c>
      <c r="AA147" s="129">
        <f t="shared" si="150"/>
        <v>1037053431</v>
      </c>
      <c r="AB147" s="128">
        <f t="shared" si="150"/>
        <v>748393181</v>
      </c>
      <c r="AC147" s="122">
        <f t="shared" si="150"/>
        <v>164558547</v>
      </c>
      <c r="AD147" s="129">
        <f t="shared" si="150"/>
        <v>912951728</v>
      </c>
      <c r="AE147" s="128">
        <f t="shared" si="150"/>
        <v>436273666</v>
      </c>
      <c r="AF147" s="122">
        <f t="shared" si="150"/>
        <v>66837478</v>
      </c>
      <c r="AG147" s="129">
        <f t="shared" si="150"/>
        <v>503111144</v>
      </c>
      <c r="AH147" s="128">
        <f t="shared" si="150"/>
        <v>901536548</v>
      </c>
      <c r="AI147" s="122">
        <f t="shared" si="150"/>
        <v>1025638251</v>
      </c>
      <c r="AJ147" s="130">
        <f t="shared" si="150"/>
        <v>1435478835</v>
      </c>
      <c r="AK147" s="9"/>
      <c r="AL147" s="128">
        <f>SUM(AL148:AL149)+AL153</f>
        <v>-31765164</v>
      </c>
      <c r="AM147" s="130">
        <f>SUM(AM148:AM149)+AM153</f>
        <v>0</v>
      </c>
      <c r="AN147" s="9"/>
    </row>
    <row r="148" spans="1:40" s="382" customFormat="1" ht="24.95" customHeight="1">
      <c r="A148" s="752"/>
      <c r="B148" s="660"/>
      <c r="N148" s="9"/>
      <c r="R148" s="9"/>
      <c r="S148" s="705">
        <f>+IF(JUNIO!S148=0,"",JUNIO!S148)</f>
        <v>2020101</v>
      </c>
      <c r="T148" s="681" t="str">
        <f>+IF(JUNIO!T148=0,"",JUNIO!T148)</f>
        <v>Mantenimiento Hospitalario</v>
      </c>
      <c r="U148" s="27">
        <f>+ENERO!U148</f>
        <v>780530606</v>
      </c>
      <c r="V148" s="15">
        <f>JUNIO!V148+JULIO!AL148</f>
        <v>148700666</v>
      </c>
      <c r="W148" s="15">
        <f>JUNIO!W148+JULIO!AM148</f>
        <v>0</v>
      </c>
      <c r="X148" s="18">
        <f>SUM(U148:W148)</f>
        <v>929231272</v>
      </c>
      <c r="Y148" s="19">
        <f>JUNIO!AA148</f>
        <v>215365713</v>
      </c>
      <c r="Z148" s="374">
        <v>13735264</v>
      </c>
      <c r="AA148" s="18">
        <f>SUM(Y148:Z148)</f>
        <v>229100977</v>
      </c>
      <c r="AB148" s="19">
        <f>JUNIO!AD148</f>
        <v>109107772</v>
      </c>
      <c r="AC148" s="374">
        <v>17393029</v>
      </c>
      <c r="AD148" s="18">
        <f>SUM(AB148:AC148)</f>
        <v>126500801</v>
      </c>
      <c r="AE148" s="19">
        <f>JUNIO!AG148</f>
        <v>69012909</v>
      </c>
      <c r="AF148" s="374">
        <v>10345905</v>
      </c>
      <c r="AG148" s="18">
        <f>SUM(AE148:AF148)</f>
        <v>79358814</v>
      </c>
      <c r="AH148" s="19">
        <f>X148-AA148</f>
        <v>700130295</v>
      </c>
      <c r="AI148" s="15">
        <f>X148-AD148</f>
        <v>802730471</v>
      </c>
      <c r="AJ148" s="16">
        <f>X148-AG148</f>
        <v>849872458</v>
      </c>
      <c r="AK148" s="9"/>
      <c r="AL148" s="372">
        <v>0</v>
      </c>
      <c r="AM148" s="375">
        <v>0</v>
      </c>
      <c r="AN148" s="9"/>
    </row>
    <row r="149" spans="1:40" s="382" customFormat="1" ht="24.95" customHeight="1">
      <c r="A149" s="752"/>
      <c r="B149" s="660"/>
      <c r="N149" s="9"/>
      <c r="R149" s="9"/>
      <c r="S149" s="705">
        <f>+IF(JUNIO!S149=0,"",JUNIO!S149)</f>
        <v>2020102</v>
      </c>
      <c r="T149" s="681" t="str">
        <f>+IF(JUNIO!T149=0,"",JUNIO!T149)</f>
        <v>Otros</v>
      </c>
      <c r="U149" s="27">
        <f t="shared" ref="U149:AJ149" si="151">SUM(U150:U152)</f>
        <v>1098071450</v>
      </c>
      <c r="V149" s="15">
        <f t="shared" si="151"/>
        <v>-364218476</v>
      </c>
      <c r="W149" s="15">
        <f t="shared" si="151"/>
        <v>0</v>
      </c>
      <c r="X149" s="18">
        <f t="shared" si="151"/>
        <v>733852974</v>
      </c>
      <c r="Y149" s="19">
        <f t="shared" si="151"/>
        <v>461056363</v>
      </c>
      <c r="Z149" s="142">
        <f t="shared" si="151"/>
        <v>71390358</v>
      </c>
      <c r="AA149" s="18">
        <f t="shared" si="151"/>
        <v>532446721</v>
      </c>
      <c r="AB149" s="19">
        <f t="shared" si="151"/>
        <v>375379676</v>
      </c>
      <c r="AC149" s="142">
        <f t="shared" si="151"/>
        <v>135565518</v>
      </c>
      <c r="AD149" s="18">
        <f t="shared" si="151"/>
        <v>510945194</v>
      </c>
      <c r="AE149" s="19">
        <f t="shared" si="151"/>
        <v>103355024</v>
      </c>
      <c r="AF149" s="142">
        <f t="shared" si="151"/>
        <v>44891573</v>
      </c>
      <c r="AG149" s="18">
        <f t="shared" si="151"/>
        <v>148246597</v>
      </c>
      <c r="AH149" s="19">
        <f t="shared" si="151"/>
        <v>201406253</v>
      </c>
      <c r="AI149" s="15">
        <f t="shared" si="151"/>
        <v>222907780</v>
      </c>
      <c r="AJ149" s="16">
        <f t="shared" si="151"/>
        <v>585606377</v>
      </c>
      <c r="AK149" s="9"/>
      <c r="AL149" s="29">
        <f>SUM(AL150:AL152)</f>
        <v>0</v>
      </c>
      <c r="AM149" s="26">
        <f>SUM(AM150:AM152)</f>
        <v>0</v>
      </c>
      <c r="AN149" s="9"/>
    </row>
    <row r="150" spans="1:40" s="382" customFormat="1" ht="24.95" customHeight="1">
      <c r="A150" s="752"/>
      <c r="B150" s="660"/>
      <c r="N150" s="9"/>
      <c r="R150" s="9"/>
      <c r="S150" s="706" t="str">
        <f>+IF(JUNIO!S150=0,"",JUNIO!S150)</f>
        <v>2020102-1</v>
      </c>
      <c r="T150" s="681" t="str">
        <f>+IF(JUNIO!T150=0,"",JUNIO!T150)</f>
        <v>Compra de Equipo e Instr. Mco. y Laborat.</v>
      </c>
      <c r="U150" s="27">
        <f>+ENERO!U150</f>
        <v>514625084</v>
      </c>
      <c r="V150" s="15">
        <f>JUNIO!V150+JULIO!AL150</f>
        <v>-339050000</v>
      </c>
      <c r="W150" s="15">
        <f>JUNIO!W150+JULIO!AM150</f>
        <v>0</v>
      </c>
      <c r="X150" s="18">
        <f>SUM(U150:W150)</f>
        <v>175575084</v>
      </c>
      <c r="Y150" s="19">
        <f>JUNIO!AA150</f>
        <v>60799579</v>
      </c>
      <c r="Z150" s="374">
        <v>1060742</v>
      </c>
      <c r="AA150" s="18">
        <f>SUM(Y150:Z150)</f>
        <v>61860321</v>
      </c>
      <c r="AB150" s="19">
        <f>JUNIO!AD150</f>
        <v>21682430</v>
      </c>
      <c r="AC150" s="374">
        <v>33615870</v>
      </c>
      <c r="AD150" s="18">
        <f>SUM(AB150:AC150)</f>
        <v>55298300</v>
      </c>
      <c r="AE150" s="19">
        <f>JUNIO!AG150</f>
        <v>21092309</v>
      </c>
      <c r="AF150" s="374">
        <v>7182102</v>
      </c>
      <c r="AG150" s="18">
        <f>SUM(AE150:AF150)</f>
        <v>28274411</v>
      </c>
      <c r="AH150" s="19">
        <f>X150-AA150</f>
        <v>113714763</v>
      </c>
      <c r="AI150" s="15">
        <f>X150-AD150</f>
        <v>120276784</v>
      </c>
      <c r="AJ150" s="16">
        <f>X150-AG150</f>
        <v>147300673</v>
      </c>
      <c r="AK150" s="9"/>
      <c r="AL150" s="372">
        <v>0</v>
      </c>
      <c r="AM150" s="375">
        <v>0</v>
      </c>
      <c r="AN150" s="9"/>
    </row>
    <row r="151" spans="1:40" s="382" customFormat="1" ht="24.95" customHeight="1">
      <c r="A151" s="752"/>
      <c r="B151" s="660"/>
      <c r="N151" s="9"/>
      <c r="R151" s="9"/>
      <c r="S151" s="706" t="str">
        <f>+IF(JUNIO!S151=0,"",JUNIO!S151)</f>
        <v>2020102-2</v>
      </c>
      <c r="T151" s="681" t="str">
        <f>+IF(JUNIO!T151=0,"",JUNIO!T151)</f>
        <v>Materiales</v>
      </c>
      <c r="U151" s="27">
        <f>+ENERO!U151</f>
        <v>583446366</v>
      </c>
      <c r="V151" s="15">
        <f>JUNIO!V151+JULIO!AL151</f>
        <v>-25168476</v>
      </c>
      <c r="W151" s="15">
        <f>JUNIO!W151+JULIO!AM151</f>
        <v>0</v>
      </c>
      <c r="X151" s="18">
        <f>SUM(U151:W151)</f>
        <v>558277890</v>
      </c>
      <c r="Y151" s="19">
        <f>JUNIO!AA151</f>
        <v>400256784</v>
      </c>
      <c r="Z151" s="374">
        <v>70329616</v>
      </c>
      <c r="AA151" s="18">
        <f>SUM(Y151:Z151)</f>
        <v>470586400</v>
      </c>
      <c r="AB151" s="19">
        <f>JUNIO!AD151</f>
        <v>353697246</v>
      </c>
      <c r="AC151" s="374">
        <v>101949648</v>
      </c>
      <c r="AD151" s="18">
        <f>SUM(AB151:AC151)</f>
        <v>455646894</v>
      </c>
      <c r="AE151" s="19">
        <f>JUNIO!AG151</f>
        <v>82262715</v>
      </c>
      <c r="AF151" s="374">
        <v>37709471</v>
      </c>
      <c r="AG151" s="18">
        <f>SUM(AE151:AF151)</f>
        <v>119972186</v>
      </c>
      <c r="AH151" s="19">
        <f>X151-AA151</f>
        <v>87691490</v>
      </c>
      <c r="AI151" s="15">
        <f>X151-AD151</f>
        <v>102630996</v>
      </c>
      <c r="AJ151" s="16">
        <f>X151-AG151</f>
        <v>438305704</v>
      </c>
      <c r="AK151" s="9"/>
      <c r="AL151" s="372">
        <v>0</v>
      </c>
      <c r="AM151" s="375">
        <v>0</v>
      </c>
      <c r="AN151" s="9"/>
    </row>
    <row r="152" spans="1:40" s="382" customFormat="1" ht="24.95" customHeight="1">
      <c r="A152" s="752"/>
      <c r="B152" s="660"/>
      <c r="N152" s="9"/>
      <c r="R152" s="9"/>
      <c r="S152" s="706" t="str">
        <f>+IF(JUNIO!S152=0,"",JUNIO!S152)</f>
        <v>2020102-3</v>
      </c>
      <c r="T152" s="681" t="str">
        <f>+IF(JUNIO!T152=0,"",JUNIO!T152)</f>
        <v/>
      </c>
      <c r="U152" s="27">
        <f>+ENERO!U152</f>
        <v>0</v>
      </c>
      <c r="V152" s="15">
        <f>JUNIO!V152+JULIO!AL152</f>
        <v>0</v>
      </c>
      <c r="W152" s="15">
        <f>JUNIO!W152+JULIO!AM152</f>
        <v>0</v>
      </c>
      <c r="X152" s="18">
        <f>SUM(U152:W152)</f>
        <v>0</v>
      </c>
      <c r="Y152" s="19">
        <f>JUNIO!AA152</f>
        <v>0</v>
      </c>
      <c r="Z152" s="374">
        <v>0</v>
      </c>
      <c r="AA152" s="18">
        <f>SUM(Y152:Z152)</f>
        <v>0</v>
      </c>
      <c r="AB152" s="19">
        <f>JUNIO!AD152</f>
        <v>0</v>
      </c>
      <c r="AC152" s="374">
        <v>0</v>
      </c>
      <c r="AD152" s="18">
        <f>SUM(AB152:AC152)</f>
        <v>0</v>
      </c>
      <c r="AE152" s="19">
        <f>JUNIO!AG152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2"/>
      <c r="B153" s="660"/>
      <c r="N153" s="9"/>
      <c r="R153" s="9"/>
      <c r="S153" s="705">
        <f>+IF(JUNIO!S153=0,"",JUNIO!S153)</f>
        <v>2020199</v>
      </c>
      <c r="T153" s="681" t="str">
        <f>+IF(JUNIO!T153=0,"",JUNIO!T153)</f>
        <v>Vigencias Anteriores</v>
      </c>
      <c r="U153" s="27">
        <f>+ENERO!U153</f>
        <v>0</v>
      </c>
      <c r="V153" s="15">
        <f>JUNIO!V153+JULIO!AL153</f>
        <v>-274494267</v>
      </c>
      <c r="W153" s="15">
        <f>JUNIO!W153+JULIO!AM153</f>
        <v>550000000</v>
      </c>
      <c r="X153" s="18">
        <f>SUM(U153:W153)</f>
        <v>275505733</v>
      </c>
      <c r="Y153" s="19">
        <f>JUNIO!AA153</f>
        <v>263905733</v>
      </c>
      <c r="Z153" s="374">
        <v>11600000</v>
      </c>
      <c r="AA153" s="18">
        <f>SUM(Y153:Z153)</f>
        <v>275505733</v>
      </c>
      <c r="AB153" s="19">
        <f>JUNIO!AD153</f>
        <v>263905733</v>
      </c>
      <c r="AC153" s="374">
        <v>11600000</v>
      </c>
      <c r="AD153" s="18">
        <f>SUM(AB153:AC153)</f>
        <v>275505733</v>
      </c>
      <c r="AE153" s="19">
        <f>JUNIO!AG153</f>
        <v>263905733</v>
      </c>
      <c r="AF153" s="374">
        <v>11600000</v>
      </c>
      <c r="AG153" s="18">
        <f>SUM(AE153:AF153)</f>
        <v>275505733</v>
      </c>
      <c r="AH153" s="19">
        <f>X153-AA153</f>
        <v>0</v>
      </c>
      <c r="AI153" s="15">
        <f>X153-AD153</f>
        <v>0</v>
      </c>
      <c r="AJ153" s="16">
        <f>X153-AG153</f>
        <v>0</v>
      </c>
      <c r="AK153" s="9"/>
      <c r="AL153" s="372">
        <v>-31765164</v>
      </c>
      <c r="AM153" s="375">
        <v>0</v>
      </c>
      <c r="AN153" s="9"/>
    </row>
    <row r="154" spans="1:40" s="382" customFormat="1" ht="24.95" customHeight="1">
      <c r="A154" s="752"/>
      <c r="B154" s="660"/>
      <c r="N154" s="9"/>
      <c r="R154" s="9"/>
      <c r="S154" s="366" t="str">
        <f>+IF(JUNIO!S154=0,"",JUNIO!S154)</f>
        <v/>
      </c>
      <c r="T154" s="695"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2"/>
      <c r="B155" s="660"/>
      <c r="N155" s="9"/>
      <c r="R155" s="9"/>
      <c r="S155" s="704">
        <f>+IF(JUNIO!S155=0,"",JUNIO!S155)</f>
        <v>2020200</v>
      </c>
      <c r="T155" s="680" t="str">
        <f>+IF(JUNIO!T155=0,"",JUNIO!T155)</f>
        <v>Adquisición de Servicios</v>
      </c>
      <c r="U155" s="132">
        <f t="shared" ref="U155:AJ155" si="152">SUM(U156:U157)+U168</f>
        <v>780530606</v>
      </c>
      <c r="V155" s="122">
        <f t="shared" si="152"/>
        <v>-614845317</v>
      </c>
      <c r="W155" s="122">
        <f t="shared" si="152"/>
        <v>1100000000</v>
      </c>
      <c r="X155" s="129">
        <f t="shared" si="152"/>
        <v>1265685289</v>
      </c>
      <c r="Y155" s="128">
        <f t="shared" si="152"/>
        <v>1022746293</v>
      </c>
      <c r="Z155" s="122">
        <f t="shared" si="152"/>
        <v>4772700</v>
      </c>
      <c r="AA155" s="129">
        <f t="shared" si="152"/>
        <v>1027518993</v>
      </c>
      <c r="AB155" s="128">
        <f t="shared" si="152"/>
        <v>562024525</v>
      </c>
      <c r="AC155" s="122">
        <f t="shared" si="152"/>
        <v>61626046</v>
      </c>
      <c r="AD155" s="129">
        <f t="shared" si="152"/>
        <v>623650571</v>
      </c>
      <c r="AE155" s="128">
        <f t="shared" si="152"/>
        <v>252701307</v>
      </c>
      <c r="AF155" s="122">
        <f t="shared" si="152"/>
        <v>11630195</v>
      </c>
      <c r="AG155" s="129">
        <f t="shared" si="152"/>
        <v>264331502</v>
      </c>
      <c r="AH155" s="128">
        <f t="shared" si="152"/>
        <v>238166296</v>
      </c>
      <c r="AI155" s="122">
        <f t="shared" si="152"/>
        <v>642034718</v>
      </c>
      <c r="AJ155" s="130">
        <f t="shared" si="152"/>
        <v>1001353787</v>
      </c>
      <c r="AK155" s="9"/>
      <c r="AL155" s="128">
        <f>SUM(AL156:AL157)+AL168</f>
        <v>-64545983</v>
      </c>
      <c r="AM155" s="130">
        <f>SUM(AM156:AM157)+AM168</f>
        <v>0</v>
      </c>
      <c r="AN155" s="9"/>
    </row>
    <row r="156" spans="1:40" s="382" customFormat="1" ht="24.95" customHeight="1">
      <c r="A156" s="752"/>
      <c r="B156" s="660"/>
      <c r="N156" s="9"/>
      <c r="P156" s="9"/>
      <c r="Q156" s="9"/>
      <c r="R156" s="9"/>
      <c r="S156" s="705">
        <f>+IF(JUNIO!S156=0,"",JUNIO!S156)</f>
        <v>2020201</v>
      </c>
      <c r="T156" s="681" t="str">
        <f>+IF(JUNIO!T156=0,"",JUNIO!T156)</f>
        <v>Mantenimiento Hospitalario</v>
      </c>
      <c r="U156" s="27">
        <f>+ENERO!U156</f>
        <v>780530606</v>
      </c>
      <c r="V156" s="15">
        <f>JUNIO!V156+JULIO!AL156</f>
        <v>348700666</v>
      </c>
      <c r="W156" s="15">
        <f>JUNIO!W156+JULIO!AM156</f>
        <v>0</v>
      </c>
      <c r="X156" s="18">
        <f>SUM(U156:W156)</f>
        <v>1129231272</v>
      </c>
      <c r="Y156" s="19">
        <f>JUNIO!AA156</f>
        <v>886292276</v>
      </c>
      <c r="Z156" s="374">
        <v>4772700</v>
      </c>
      <c r="AA156" s="18">
        <f>SUM(Y156:Z156)</f>
        <v>891064976</v>
      </c>
      <c r="AB156" s="19">
        <f>JUNIO!AD156</f>
        <v>425570508</v>
      </c>
      <c r="AC156" s="374">
        <v>61626046</v>
      </c>
      <c r="AD156" s="18">
        <f>SUM(AB156:AC156)</f>
        <v>487196554</v>
      </c>
      <c r="AE156" s="19">
        <f>JUNIO!AG156</f>
        <v>116247290</v>
      </c>
      <c r="AF156" s="374">
        <v>11630195</v>
      </c>
      <c r="AG156" s="18">
        <f>SUM(AE156:AF156)</f>
        <v>127877485</v>
      </c>
      <c r="AH156" s="19">
        <f>X156-AA156</f>
        <v>238166296</v>
      </c>
      <c r="AI156" s="15">
        <f>X156-AD156</f>
        <v>642034718</v>
      </c>
      <c r="AJ156" s="16">
        <f>X156-AG156</f>
        <v>1001353787</v>
      </c>
      <c r="AK156" s="9"/>
      <c r="AL156" s="372">
        <v>0</v>
      </c>
      <c r="AM156" s="375">
        <v>0</v>
      </c>
      <c r="AN156" s="9"/>
    </row>
    <row r="157" spans="1:40" s="382" customFormat="1" ht="24.95" customHeight="1">
      <c r="A157" s="752"/>
      <c r="B157" s="660"/>
      <c r="N157" s="9"/>
      <c r="P157" s="9"/>
      <c r="Q157" s="9"/>
      <c r="R157" s="9"/>
      <c r="S157" s="705">
        <f>+IF(JUNIO!S157=0,"",JUNIO!S157)</f>
        <v>2020202</v>
      </c>
      <c r="T157" s="681" t="str">
        <f>+IF(JUNIO!T157=0,"",JUNIO!T157)</f>
        <v>Otros</v>
      </c>
      <c r="U157" s="27">
        <f t="shared" ref="U157:AJ157" si="153">SUM(U158:U167)</f>
        <v>0</v>
      </c>
      <c r="V157" s="15">
        <f t="shared" si="153"/>
        <v>0</v>
      </c>
      <c r="W157" s="15">
        <f t="shared" si="153"/>
        <v>0</v>
      </c>
      <c r="X157" s="18">
        <f t="shared" si="153"/>
        <v>0</v>
      </c>
      <c r="Y157" s="19">
        <f t="shared" si="153"/>
        <v>0</v>
      </c>
      <c r="Z157" s="142">
        <f t="shared" si="153"/>
        <v>0</v>
      </c>
      <c r="AA157" s="18">
        <f t="shared" si="153"/>
        <v>0</v>
      </c>
      <c r="AB157" s="19">
        <f t="shared" si="153"/>
        <v>0</v>
      </c>
      <c r="AC157" s="142">
        <f t="shared" si="153"/>
        <v>0</v>
      </c>
      <c r="AD157" s="18">
        <f t="shared" si="153"/>
        <v>0</v>
      </c>
      <c r="AE157" s="19">
        <f t="shared" si="153"/>
        <v>0</v>
      </c>
      <c r="AF157" s="142">
        <f t="shared" si="153"/>
        <v>0</v>
      </c>
      <c r="AG157" s="18">
        <f t="shared" si="153"/>
        <v>0</v>
      </c>
      <c r="AH157" s="19">
        <f t="shared" si="153"/>
        <v>0</v>
      </c>
      <c r="AI157" s="15">
        <f t="shared" si="153"/>
        <v>0</v>
      </c>
      <c r="AJ157" s="16">
        <f t="shared" si="153"/>
        <v>0</v>
      </c>
      <c r="AK157" s="10"/>
      <c r="AL157" s="29">
        <f>SUM(AL158:AL167)</f>
        <v>0</v>
      </c>
      <c r="AM157" s="26">
        <f>SUM(AM158:AM167)</f>
        <v>0</v>
      </c>
      <c r="AN157" s="9"/>
    </row>
    <row r="158" spans="1:40" s="382" customFormat="1" ht="24.95" customHeight="1">
      <c r="A158" s="752"/>
      <c r="B158" s="660"/>
      <c r="N158" s="9"/>
      <c r="P158" s="9"/>
      <c r="Q158" s="9"/>
      <c r="R158" s="9"/>
      <c r="S158" s="706" t="str">
        <f>+IF(JUNIO!S158=0,"",JUNIO!S158)</f>
        <v>2020202-1</v>
      </c>
      <c r="T158" s="682" t="str">
        <f>+IF(JUNIO!T158=0,"",JUNIO!T158)</f>
        <v>Seguros</v>
      </c>
      <c r="U158" s="27">
        <f>+ENERO!U158</f>
        <v>0</v>
      </c>
      <c r="V158" s="15">
        <f>JUNIO!V158+JULIO!AL158</f>
        <v>0</v>
      </c>
      <c r="W158" s="15">
        <f>JUNIO!W158+JULIO!AM158</f>
        <v>0</v>
      </c>
      <c r="X158" s="18">
        <f t="shared" ref="X158:X168" si="154">SUM(U158:W158)</f>
        <v>0</v>
      </c>
      <c r="Y158" s="19">
        <f>JUNIO!AA158</f>
        <v>0</v>
      </c>
      <c r="Z158" s="374">
        <v>0</v>
      </c>
      <c r="AA158" s="18">
        <f t="shared" ref="AA158:AA168" si="155">SUM(Y158:Z158)</f>
        <v>0</v>
      </c>
      <c r="AB158" s="19">
        <f>JUNIO!AD158</f>
        <v>0</v>
      </c>
      <c r="AC158" s="374">
        <v>0</v>
      </c>
      <c r="AD158" s="18">
        <f t="shared" ref="AD158:AD168" si="156">SUM(AB158:AC158)</f>
        <v>0</v>
      </c>
      <c r="AE158" s="19">
        <f>JUNIO!AG158</f>
        <v>0</v>
      </c>
      <c r="AF158" s="374">
        <v>0</v>
      </c>
      <c r="AG158" s="18">
        <f t="shared" ref="AG158:AG168" si="157">SUM(AE158:AF158)</f>
        <v>0</v>
      </c>
      <c r="AH158" s="19">
        <f t="shared" ref="AH158:AH168" si="158">X158-AA158</f>
        <v>0</v>
      </c>
      <c r="AI158" s="15">
        <f t="shared" ref="AI158:AI168" si="159">X158-AD158</f>
        <v>0</v>
      </c>
      <c r="AJ158" s="16">
        <f t="shared" ref="AJ158:AJ168" si="160">X158-AG158</f>
        <v>0</v>
      </c>
      <c r="AK158" s="9"/>
      <c r="AL158" s="372">
        <v>0</v>
      </c>
      <c r="AM158" s="375">
        <v>0</v>
      </c>
      <c r="AN158" s="9"/>
    </row>
    <row r="159" spans="1:40" s="382" customFormat="1" ht="24.95" customHeight="1">
      <c r="A159" s="752"/>
      <c r="B159" s="660"/>
      <c r="N159" s="9"/>
      <c r="P159" s="9"/>
      <c r="Q159" s="9"/>
      <c r="R159" s="9"/>
      <c r="S159" s="706" t="str">
        <f>+IF(JUNIO!S159=0,"",JUNIO!S159)</f>
        <v>2020202-2</v>
      </c>
      <c r="T159" s="682" t="str">
        <f>+IF(JUNIO!T159=0,"",JUNIO!T159)</f>
        <v>Impresos y Publicaciones</v>
      </c>
      <c r="U159" s="27">
        <f>+ENERO!U159</f>
        <v>0</v>
      </c>
      <c r="V159" s="15">
        <f>JUNIO!V159+JULIO!AL159</f>
        <v>0</v>
      </c>
      <c r="W159" s="15">
        <f>JUNIO!W159+JULIO!AM159</f>
        <v>0</v>
      </c>
      <c r="X159" s="18">
        <f t="shared" si="154"/>
        <v>0</v>
      </c>
      <c r="Y159" s="19">
        <f>JUNIO!AA159</f>
        <v>0</v>
      </c>
      <c r="Z159" s="374">
        <v>0</v>
      </c>
      <c r="AA159" s="18">
        <f t="shared" si="155"/>
        <v>0</v>
      </c>
      <c r="AB159" s="19">
        <f>JUNIO!AD159</f>
        <v>0</v>
      </c>
      <c r="AC159" s="374">
        <v>0</v>
      </c>
      <c r="AD159" s="18">
        <f t="shared" si="156"/>
        <v>0</v>
      </c>
      <c r="AE159" s="19">
        <f>JUNIO!AG159</f>
        <v>0</v>
      </c>
      <c r="AF159" s="374">
        <v>0</v>
      </c>
      <c r="AG159" s="18">
        <f t="shared" si="157"/>
        <v>0</v>
      </c>
      <c r="AH159" s="19">
        <f t="shared" si="158"/>
        <v>0</v>
      </c>
      <c r="AI159" s="15">
        <f t="shared" si="159"/>
        <v>0</v>
      </c>
      <c r="AJ159" s="16">
        <f t="shared" si="160"/>
        <v>0</v>
      </c>
      <c r="AK159" s="9"/>
      <c r="AL159" s="372">
        <v>0</v>
      </c>
      <c r="AM159" s="375">
        <v>0</v>
      </c>
      <c r="AN159" s="9"/>
    </row>
    <row r="160" spans="1:40" s="382" customFormat="1" ht="24.95" customHeight="1">
      <c r="A160" s="752"/>
      <c r="B160" s="660"/>
      <c r="N160" s="9"/>
      <c r="P160" s="9"/>
      <c r="Q160" s="9"/>
      <c r="R160" s="9"/>
      <c r="S160" s="706" t="str">
        <f>+IF(JUNIO!S160=0,"",JUNIO!S160)</f>
        <v>2020202-3</v>
      </c>
      <c r="T160" s="682" t="str">
        <f>+IF(JUNIO!T160=0,"",JUNIO!T160)</f>
        <v>Pago a otras IPS</v>
      </c>
      <c r="U160" s="27">
        <f>+ENERO!U160</f>
        <v>0</v>
      </c>
      <c r="V160" s="15">
        <f>JUNIO!V160+JULIO!AL160</f>
        <v>0</v>
      </c>
      <c r="W160" s="15">
        <f>JUNIO!W160+JULIO!AM160</f>
        <v>0</v>
      </c>
      <c r="X160" s="18">
        <f t="shared" si="154"/>
        <v>0</v>
      </c>
      <c r="Y160" s="19">
        <f>JUNIO!AA160</f>
        <v>0</v>
      </c>
      <c r="Z160" s="374">
        <v>0</v>
      </c>
      <c r="AA160" s="18">
        <f t="shared" si="155"/>
        <v>0</v>
      </c>
      <c r="AB160" s="19">
        <f>JUNIO!AD160</f>
        <v>0</v>
      </c>
      <c r="AC160" s="374">
        <v>0</v>
      </c>
      <c r="AD160" s="18">
        <f t="shared" si="156"/>
        <v>0</v>
      </c>
      <c r="AE160" s="19">
        <f>JUNIO!AG160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2"/>
      <c r="B161" s="660"/>
      <c r="N161" s="9"/>
      <c r="P161" s="9"/>
      <c r="Q161" s="9"/>
      <c r="R161" s="9"/>
      <c r="S161" s="706" t="str">
        <f>+IF(JUNIO!S161=0,"",JUNIO!S161)</f>
        <v>2020202-4</v>
      </c>
      <c r="T161" s="682" t="str">
        <f>+IF(JUNIO!T161=0,"",JUNIO!T161)</f>
        <v>Comunicaciones y Transportes</v>
      </c>
      <c r="U161" s="27">
        <f>+ENERO!U161</f>
        <v>0</v>
      </c>
      <c r="V161" s="15">
        <f>JUNIO!V161+JULIO!AL161</f>
        <v>0</v>
      </c>
      <c r="W161" s="15">
        <f>JUNIO!W161+JULIO!AM161</f>
        <v>0</v>
      </c>
      <c r="X161" s="18">
        <f t="shared" si="154"/>
        <v>0</v>
      </c>
      <c r="Y161" s="19">
        <f>JUNIO!AA161</f>
        <v>0</v>
      </c>
      <c r="Z161" s="374">
        <v>0</v>
      </c>
      <c r="AA161" s="18">
        <f t="shared" si="155"/>
        <v>0</v>
      </c>
      <c r="AB161" s="19">
        <f>JUNIO!AD161</f>
        <v>0</v>
      </c>
      <c r="AC161" s="374">
        <v>0</v>
      </c>
      <c r="AD161" s="18">
        <f t="shared" si="156"/>
        <v>0</v>
      </c>
      <c r="AE161" s="19">
        <f>JUNIO!AG161</f>
        <v>0</v>
      </c>
      <c r="AF161" s="374">
        <v>0</v>
      </c>
      <c r="AG161" s="18">
        <f t="shared" si="157"/>
        <v>0</v>
      </c>
      <c r="AH161" s="19">
        <f t="shared" si="158"/>
        <v>0</v>
      </c>
      <c r="AI161" s="15">
        <f t="shared" si="159"/>
        <v>0</v>
      </c>
      <c r="AJ161" s="16">
        <f t="shared" si="160"/>
        <v>0</v>
      </c>
      <c r="AK161" s="9"/>
      <c r="AL161" s="372">
        <v>0</v>
      </c>
      <c r="AM161" s="375">
        <v>0</v>
      </c>
      <c r="AN161" s="9"/>
    </row>
    <row r="162" spans="1:40" s="382" customFormat="1" ht="24.95" customHeight="1">
      <c r="A162" s="752"/>
      <c r="B162" s="660"/>
      <c r="N162" s="9"/>
      <c r="P162" s="9"/>
      <c r="Q162" s="9"/>
      <c r="R162" s="9"/>
      <c r="S162" s="706" t="str">
        <f>+IF(JUNIO!S162=0,"",JUNIO!S162)</f>
        <v>2020202-5</v>
      </c>
      <c r="T162" s="682" t="str">
        <f>+IF(JUNIO!T162=0,"",JUNIO!T162)</f>
        <v>Viáticos y Gastos de Viaje</v>
      </c>
      <c r="U162" s="27">
        <f>+ENERO!U162</f>
        <v>0</v>
      </c>
      <c r="V162" s="15">
        <f>JUNIO!V162+JULIO!AL162</f>
        <v>0</v>
      </c>
      <c r="W162" s="15">
        <f>JUNIO!W162+JULIO!AM162</f>
        <v>0</v>
      </c>
      <c r="X162" s="18">
        <f t="shared" si="154"/>
        <v>0</v>
      </c>
      <c r="Y162" s="19">
        <f>JUNIO!AA162</f>
        <v>0</v>
      </c>
      <c r="Z162" s="374">
        <v>0</v>
      </c>
      <c r="AA162" s="18">
        <f t="shared" si="155"/>
        <v>0</v>
      </c>
      <c r="AB162" s="19">
        <f>JUNIO!AD162</f>
        <v>0</v>
      </c>
      <c r="AC162" s="374">
        <v>0</v>
      </c>
      <c r="AD162" s="18">
        <f t="shared" si="156"/>
        <v>0</v>
      </c>
      <c r="AE162" s="19">
        <f>JUNIO!AG162</f>
        <v>0</v>
      </c>
      <c r="AF162" s="374">
        <v>0</v>
      </c>
      <c r="AG162" s="18">
        <f t="shared" si="157"/>
        <v>0</v>
      </c>
      <c r="AH162" s="19">
        <f t="shared" si="158"/>
        <v>0</v>
      </c>
      <c r="AI162" s="15">
        <f t="shared" si="159"/>
        <v>0</v>
      </c>
      <c r="AJ162" s="16">
        <f t="shared" si="160"/>
        <v>0</v>
      </c>
      <c r="AK162" s="9"/>
      <c r="AL162" s="372">
        <v>0</v>
      </c>
      <c r="AM162" s="375">
        <v>0</v>
      </c>
      <c r="AN162" s="9"/>
    </row>
    <row r="163" spans="1:40" s="382" customFormat="1" ht="24.95" customHeight="1">
      <c r="A163" s="752"/>
      <c r="B163" s="660"/>
      <c r="N163" s="9"/>
      <c r="P163" s="9"/>
      <c r="Q163" s="9"/>
      <c r="R163" s="9"/>
      <c r="S163" s="706" t="str">
        <f>+IF(JUNIO!S163=0,"",JUNIO!S163)</f>
        <v>2020202-6</v>
      </c>
      <c r="T163" s="682" t="str">
        <f>+IF(JUNIO!T163=0,"",JUNIO!T163)</f>
        <v>Plan Integral de Manejo de Residuos Sólidos Hospitalarios</v>
      </c>
      <c r="U163" s="27">
        <f>+ENERO!U163</f>
        <v>0</v>
      </c>
      <c r="V163" s="15">
        <f>JUNIO!V163+JULIO!AL163</f>
        <v>0</v>
      </c>
      <c r="W163" s="15">
        <f>JUNIO!W163+JULIO!AM163</f>
        <v>0</v>
      </c>
      <c r="X163" s="18">
        <f t="shared" si="154"/>
        <v>0</v>
      </c>
      <c r="Y163" s="19">
        <f>JUNIO!AA163</f>
        <v>0</v>
      </c>
      <c r="Z163" s="374">
        <v>0</v>
      </c>
      <c r="AA163" s="18">
        <f t="shared" si="155"/>
        <v>0</v>
      </c>
      <c r="AB163" s="19">
        <f>JUNIO!AD163</f>
        <v>0</v>
      </c>
      <c r="AC163" s="374">
        <v>0</v>
      </c>
      <c r="AD163" s="18">
        <f t="shared" si="156"/>
        <v>0</v>
      </c>
      <c r="AE163" s="19">
        <f>JUNIO!AG163</f>
        <v>0</v>
      </c>
      <c r="AF163" s="374">
        <v>0</v>
      </c>
      <c r="AG163" s="18">
        <f t="shared" si="157"/>
        <v>0</v>
      </c>
      <c r="AH163" s="19">
        <f t="shared" si="158"/>
        <v>0</v>
      </c>
      <c r="AI163" s="15">
        <f t="shared" si="159"/>
        <v>0</v>
      </c>
      <c r="AJ163" s="16">
        <f t="shared" si="160"/>
        <v>0</v>
      </c>
      <c r="AK163" s="9"/>
      <c r="AL163" s="372">
        <v>0</v>
      </c>
      <c r="AM163" s="375">
        <v>0</v>
      </c>
      <c r="AN163" s="9"/>
    </row>
    <row r="164" spans="1:40" s="382" customFormat="1" ht="24.95" customHeight="1">
      <c r="A164" s="752"/>
      <c r="B164" s="660"/>
      <c r="N164" s="9"/>
      <c r="P164" s="9"/>
      <c r="Q164" s="9"/>
      <c r="R164" s="9"/>
      <c r="S164" s="706" t="str">
        <f>+IF(JUNIO!S164=0,"",JUNIO!S164)</f>
        <v>2020202-7</v>
      </c>
      <c r="T164" s="682" t="str">
        <f>+IF(JUNIO!T164=0,"",JUNIO!T164)</f>
        <v>Servicios de Laboratorio contratados con terceros</v>
      </c>
      <c r="U164" s="27">
        <f>+ENERO!U164</f>
        <v>0</v>
      </c>
      <c r="V164" s="15">
        <f>JUNIO!V164+JULIO!AL164</f>
        <v>0</v>
      </c>
      <c r="W164" s="15">
        <f>JUNIO!W164+JULIO!AM164</f>
        <v>0</v>
      </c>
      <c r="X164" s="18">
        <f t="shared" si="154"/>
        <v>0</v>
      </c>
      <c r="Y164" s="19">
        <f>JUNIO!AA164</f>
        <v>0</v>
      </c>
      <c r="Z164" s="374">
        <v>0</v>
      </c>
      <c r="AA164" s="18">
        <f t="shared" si="155"/>
        <v>0</v>
      </c>
      <c r="AB164" s="19">
        <f>JUNIO!AD164</f>
        <v>0</v>
      </c>
      <c r="AC164" s="374">
        <v>0</v>
      </c>
      <c r="AD164" s="18">
        <f t="shared" si="156"/>
        <v>0</v>
      </c>
      <c r="AE164" s="19">
        <f>JUNIO!AG164</f>
        <v>0</v>
      </c>
      <c r="AF164" s="374">
        <v>0</v>
      </c>
      <c r="AG164" s="18">
        <f t="shared" si="157"/>
        <v>0</v>
      </c>
      <c r="AH164" s="19">
        <f t="shared" si="158"/>
        <v>0</v>
      </c>
      <c r="AI164" s="15">
        <f t="shared" si="159"/>
        <v>0</v>
      </c>
      <c r="AJ164" s="16">
        <f t="shared" si="160"/>
        <v>0</v>
      </c>
      <c r="AK164" s="9"/>
      <c r="AL164" s="372">
        <v>0</v>
      </c>
      <c r="AM164" s="375">
        <v>0</v>
      </c>
      <c r="AN164" s="9"/>
    </row>
    <row r="165" spans="1:40" s="382" customFormat="1" ht="24.95" customHeight="1">
      <c r="A165" s="752"/>
      <c r="B165" s="660"/>
      <c r="N165" s="9"/>
      <c r="P165" s="9"/>
      <c r="Q165" s="9"/>
      <c r="R165" s="9"/>
      <c r="S165" s="706" t="str">
        <f>+IF(JUNIO!S165=0,"",JUNIO!S165)</f>
        <v>2020202-8</v>
      </c>
      <c r="T165" s="682" t="str">
        <f>+IF(JUNIO!T165=0,"",JUNIO!T165)</f>
        <v>Servicios de Rayos X e Imaginología contratado con terceros</v>
      </c>
      <c r="U165" s="27">
        <f>+ENERO!U165</f>
        <v>0</v>
      </c>
      <c r="V165" s="15">
        <f>JUNIO!V165+JULIO!AL165</f>
        <v>0</v>
      </c>
      <c r="W165" s="15">
        <f>JUNIO!W165+JULIO!AM165</f>
        <v>0</v>
      </c>
      <c r="X165" s="18">
        <f t="shared" si="154"/>
        <v>0</v>
      </c>
      <c r="Y165" s="19">
        <f>JUNIO!AA165</f>
        <v>0</v>
      </c>
      <c r="Z165" s="374">
        <v>0</v>
      </c>
      <c r="AA165" s="18">
        <f t="shared" si="155"/>
        <v>0</v>
      </c>
      <c r="AB165" s="19">
        <f>JUNIO!AD165</f>
        <v>0</v>
      </c>
      <c r="AC165" s="374">
        <v>0</v>
      </c>
      <c r="AD165" s="18">
        <f t="shared" si="156"/>
        <v>0</v>
      </c>
      <c r="AE165" s="19">
        <f>JUNIO!AG165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c r="A166" s="752"/>
      <c r="B166" s="660"/>
      <c r="N166" s="9"/>
      <c r="P166" s="9"/>
      <c r="Q166" s="9"/>
      <c r="R166" s="9"/>
      <c r="S166" s="706" t="str">
        <f>+IF(JUNIO!S166=0,"",JUNIO!S166)</f>
        <v>2020202-9</v>
      </c>
      <c r="T166" s="682" t="str">
        <f>+IF(JUNIO!T166=0,"",JUNIO!T166)</f>
        <v>Arrendamientos</v>
      </c>
      <c r="U166" s="27">
        <f>+ENERO!U166</f>
        <v>0</v>
      </c>
      <c r="V166" s="15">
        <f>JUNIO!V166+JULIO!AL166</f>
        <v>0</v>
      </c>
      <c r="W166" s="15">
        <f>JUNIO!W166+JULIO!AM166</f>
        <v>0</v>
      </c>
      <c r="X166" s="18">
        <f t="shared" si="154"/>
        <v>0</v>
      </c>
      <c r="Y166" s="19">
        <f>JUNIO!AA166</f>
        <v>0</v>
      </c>
      <c r="Z166" s="374">
        <v>0</v>
      </c>
      <c r="AA166" s="18">
        <f t="shared" si="155"/>
        <v>0</v>
      </c>
      <c r="AB166" s="19">
        <f>JUNIO!AD166</f>
        <v>0</v>
      </c>
      <c r="AC166" s="374">
        <v>0</v>
      </c>
      <c r="AD166" s="18">
        <f t="shared" si="156"/>
        <v>0</v>
      </c>
      <c r="AE166" s="19">
        <f>JUNIO!AG166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c r="A167" s="752"/>
      <c r="B167" s="660"/>
      <c r="N167" s="9"/>
      <c r="P167" s="9"/>
      <c r="Q167" s="9"/>
      <c r="R167" s="9"/>
      <c r="S167" s="706" t="str">
        <f>+IF(JUNIO!S167=0,"",JUNIO!S167)</f>
        <v>2020202-10</v>
      </c>
      <c r="T167" s="682" t="str">
        <f>+IF(JUNIO!T167=0,"",JUNIO!T167)</f>
        <v>Servicios Públicos</v>
      </c>
      <c r="U167" s="27">
        <f>+ENERO!U167</f>
        <v>0</v>
      </c>
      <c r="V167" s="15">
        <f>JUNIO!V167+JULIO!AL167</f>
        <v>0</v>
      </c>
      <c r="W167" s="15">
        <f>JUNIO!W167+JULIO!AM167</f>
        <v>0</v>
      </c>
      <c r="X167" s="18">
        <f>SUM(U167:W167)</f>
        <v>0</v>
      </c>
      <c r="Y167" s="19">
        <f>JUNIO!AA167</f>
        <v>0</v>
      </c>
      <c r="Z167" s="374">
        <v>0</v>
      </c>
      <c r="AA167" s="18">
        <f>SUM(Y167:Z167)</f>
        <v>0</v>
      </c>
      <c r="AB167" s="19">
        <f>JUNIO!AD167</f>
        <v>0</v>
      </c>
      <c r="AC167" s="374">
        <v>0</v>
      </c>
      <c r="AD167" s="18">
        <f>SUM(AB167:AC167)</f>
        <v>0</v>
      </c>
      <c r="AE167" s="19">
        <f>JUNIO!AG167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2"/>
      <c r="B168" s="660"/>
      <c r="N168" s="9"/>
      <c r="P168" s="9"/>
      <c r="Q168" s="9"/>
      <c r="R168" s="9"/>
      <c r="S168" s="705">
        <f>+IF(JUNIO!S168=0,"",JUNIO!S168)</f>
        <v>2020299</v>
      </c>
      <c r="T168" s="681" t="str">
        <f>+IF(JUNIO!T168=0,"",JUNIO!T168)</f>
        <v>Vigencias Anteriores</v>
      </c>
      <c r="U168" s="27">
        <f>+ENERO!U168</f>
        <v>0</v>
      </c>
      <c r="V168" s="15">
        <f>JUNIO!V168+JULIO!AL168</f>
        <v>-963545983</v>
      </c>
      <c r="W168" s="15">
        <f>JUNIO!W168+JULIO!AM168</f>
        <v>1100000000</v>
      </c>
      <c r="X168" s="18">
        <f t="shared" si="154"/>
        <v>136454017</v>
      </c>
      <c r="Y168" s="19">
        <f>JUNIO!AA168</f>
        <v>136454017</v>
      </c>
      <c r="Z168" s="374">
        <v>0</v>
      </c>
      <c r="AA168" s="18">
        <f t="shared" si="155"/>
        <v>136454017</v>
      </c>
      <c r="AB168" s="19">
        <f>JUNIO!AD168</f>
        <v>136454017</v>
      </c>
      <c r="AC168" s="374">
        <v>0</v>
      </c>
      <c r="AD168" s="18">
        <f t="shared" si="156"/>
        <v>136454017</v>
      </c>
      <c r="AE168" s="19">
        <f>JUNIO!AG168</f>
        <v>136454017</v>
      </c>
      <c r="AF168" s="374">
        <v>0</v>
      </c>
      <c r="AG168" s="18">
        <f t="shared" si="157"/>
        <v>136454017</v>
      </c>
      <c r="AH168" s="19">
        <f t="shared" si="158"/>
        <v>0</v>
      </c>
      <c r="AI168" s="15">
        <f t="shared" si="159"/>
        <v>0</v>
      </c>
      <c r="AJ168" s="16">
        <f t="shared" si="160"/>
        <v>0</v>
      </c>
      <c r="AK168" s="9"/>
      <c r="AL168" s="372">
        <v>-64545983</v>
      </c>
      <c r="AM168" s="375">
        <v>0</v>
      </c>
      <c r="AN168" s="9"/>
    </row>
    <row r="169" spans="1:40" s="382" customFormat="1" ht="24.95" customHeight="1">
      <c r="A169" s="752"/>
      <c r="B169" s="660"/>
      <c r="N169" s="9"/>
      <c r="P169" s="9"/>
      <c r="Q169" s="9"/>
      <c r="R169" s="9"/>
      <c r="S169" s="366" t="str">
        <f>+IF(JUNIO!S169=0,"",JUNIO!S169)</f>
        <v/>
      </c>
      <c r="T169" s="695"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2"/>
      <c r="B170" s="660"/>
      <c r="N170" s="9"/>
      <c r="P170" s="9"/>
      <c r="Q170" s="9"/>
      <c r="R170" s="9"/>
      <c r="S170" s="703">
        <f>+IF(JUNIO!S170=0,"",JUNIO!S170)</f>
        <v>3000000</v>
      </c>
      <c r="T170" s="685" t="str">
        <f>+IF(JUNIO!T170=0,"",JUNIO!T170)</f>
        <v>TRANSFERENCIAS CORRIENTES</v>
      </c>
      <c r="U170" s="470">
        <f t="shared" ref="U170:AJ170" si="161">U172+U176+U185</f>
        <v>139736565</v>
      </c>
      <c r="V170" s="471">
        <f t="shared" si="161"/>
        <v>-657430</v>
      </c>
      <c r="W170" s="471">
        <f t="shared" si="161"/>
        <v>24450868</v>
      </c>
      <c r="X170" s="472">
        <f t="shared" si="161"/>
        <v>163530003</v>
      </c>
      <c r="Y170" s="379">
        <f t="shared" si="161"/>
        <v>90111219</v>
      </c>
      <c r="Z170" s="471">
        <f t="shared" si="161"/>
        <v>3206334</v>
      </c>
      <c r="AA170" s="472">
        <f t="shared" si="161"/>
        <v>93317553</v>
      </c>
      <c r="AB170" s="379">
        <f t="shared" si="161"/>
        <v>79236090</v>
      </c>
      <c r="AC170" s="471">
        <f t="shared" si="161"/>
        <v>3206334</v>
      </c>
      <c r="AD170" s="472">
        <f t="shared" si="161"/>
        <v>82442424</v>
      </c>
      <c r="AE170" s="379">
        <f t="shared" si="161"/>
        <v>51154009</v>
      </c>
      <c r="AF170" s="471">
        <f t="shared" si="161"/>
        <v>6400947</v>
      </c>
      <c r="AG170" s="472">
        <f t="shared" si="161"/>
        <v>57554956</v>
      </c>
      <c r="AH170" s="379">
        <f t="shared" si="161"/>
        <v>70212450</v>
      </c>
      <c r="AI170" s="471">
        <f t="shared" si="161"/>
        <v>81087579</v>
      </c>
      <c r="AJ170" s="380">
        <f t="shared" si="161"/>
        <v>105975047</v>
      </c>
      <c r="AK170" s="9"/>
      <c r="AL170" s="128">
        <f>AL172+AL176+AL185</f>
        <v>-657430</v>
      </c>
      <c r="AM170" s="130">
        <f>AM172+AM176+AM185</f>
        <v>0</v>
      </c>
      <c r="AN170" s="9"/>
    </row>
    <row r="171" spans="1:40" s="382" customFormat="1" ht="24.95" customHeight="1">
      <c r="A171" s="752"/>
      <c r="B171" s="660"/>
      <c r="N171" s="9"/>
      <c r="P171" s="9"/>
      <c r="Q171" s="9"/>
      <c r="R171" s="9"/>
      <c r="S171" s="366" t="str">
        <f>+IF(JUNIO!S171=0,"",JUNIO!S171)</f>
        <v/>
      </c>
      <c r="T171" s="695"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2"/>
      <c r="B172" s="660"/>
      <c r="N172" s="9"/>
      <c r="P172" s="9"/>
      <c r="Q172" s="9"/>
      <c r="R172" s="9"/>
      <c r="S172" s="704">
        <f>+IF(JUNIO!S172=0,"",JUNIO!S172)</f>
        <v>3100000</v>
      </c>
      <c r="T172" s="680" t="str">
        <f>+IF(JUNIO!T172=0,"",JUNIO!T172)</f>
        <v>Transferencias al Sector Público</v>
      </c>
      <c r="U172" s="132">
        <f t="shared" ref="U172:AJ172" si="162">SUM(U173:U174)</f>
        <v>39651901</v>
      </c>
      <c r="V172" s="122">
        <f t="shared" si="162"/>
        <v>-357430</v>
      </c>
      <c r="W172" s="122">
        <f t="shared" si="162"/>
        <v>21500000</v>
      </c>
      <c r="X172" s="129">
        <f t="shared" si="162"/>
        <v>60794471</v>
      </c>
      <c r="Y172" s="128">
        <f t="shared" si="162"/>
        <v>59407459</v>
      </c>
      <c r="Z172" s="122">
        <f t="shared" si="162"/>
        <v>203331</v>
      </c>
      <c r="AA172" s="129">
        <f t="shared" si="162"/>
        <v>59610790</v>
      </c>
      <c r="AB172" s="128">
        <f t="shared" si="162"/>
        <v>48827417</v>
      </c>
      <c r="AC172" s="122">
        <f t="shared" si="162"/>
        <v>203331</v>
      </c>
      <c r="AD172" s="129">
        <f t="shared" si="162"/>
        <v>49030748</v>
      </c>
      <c r="AE172" s="128">
        <f t="shared" si="162"/>
        <v>24019592</v>
      </c>
      <c r="AF172" s="122">
        <f t="shared" si="162"/>
        <v>3747305</v>
      </c>
      <c r="AG172" s="129">
        <f t="shared" si="162"/>
        <v>27766897</v>
      </c>
      <c r="AH172" s="128">
        <f t="shared" si="162"/>
        <v>1183681</v>
      </c>
      <c r="AI172" s="122">
        <f t="shared" si="162"/>
        <v>11763723</v>
      </c>
      <c r="AJ172" s="130">
        <f t="shared" si="162"/>
        <v>33027574</v>
      </c>
      <c r="AK172" s="9"/>
      <c r="AL172" s="128">
        <f>SUM(AL173:AL174)</f>
        <v>-657430</v>
      </c>
      <c r="AM172" s="130">
        <f>SUM(AM173:AM174)</f>
        <v>0</v>
      </c>
      <c r="AN172" s="9"/>
    </row>
    <row r="173" spans="1:40" s="382" customFormat="1" ht="24.95" customHeight="1">
      <c r="A173" s="752"/>
      <c r="B173" s="660"/>
      <c r="N173" s="9"/>
      <c r="P173" s="9"/>
      <c r="Q173" s="9"/>
      <c r="R173" s="9"/>
      <c r="S173" s="705">
        <f>+IF(JUNIO!S173=0,"",JUNIO!S173)</f>
        <v>3100003</v>
      </c>
      <c r="T173" s="681" t="str">
        <f>+IF(JUNIO!T173=0,"",JUNIO!T173)</f>
        <v>Entidades Públicas (Contraloria, Supersalud,…)</v>
      </c>
      <c r="U173" s="27">
        <f>+ENERO!U173</f>
        <v>39651901</v>
      </c>
      <c r="V173" s="15">
        <f>JUNIO!V173+JULIO!AL173</f>
        <v>-357430</v>
      </c>
      <c r="W173" s="15">
        <f>JUNIO!W173+JULIO!AM173</f>
        <v>21500000</v>
      </c>
      <c r="X173" s="18">
        <f>SUM(U173:W173)</f>
        <v>60794471</v>
      </c>
      <c r="Y173" s="19">
        <f>JUNIO!AA173</f>
        <v>59407459</v>
      </c>
      <c r="Z173" s="374">
        <v>203331</v>
      </c>
      <c r="AA173" s="18">
        <f>SUM(Y173:Z173)</f>
        <v>59610790</v>
      </c>
      <c r="AB173" s="19">
        <f>JUNIO!AD173</f>
        <v>48827417</v>
      </c>
      <c r="AC173" s="374">
        <v>203331</v>
      </c>
      <c r="AD173" s="18">
        <f>SUM(AB173:AC173)</f>
        <v>49030748</v>
      </c>
      <c r="AE173" s="19">
        <f>JUNIO!AG173</f>
        <v>24019592</v>
      </c>
      <c r="AF173" s="374">
        <v>3747305</v>
      </c>
      <c r="AG173" s="18">
        <f>SUM(AE173:AF173)</f>
        <v>27766897</v>
      </c>
      <c r="AH173" s="19">
        <f>X173-AA173</f>
        <v>1183681</v>
      </c>
      <c r="AI173" s="15">
        <f>X173-AD173</f>
        <v>11763723</v>
      </c>
      <c r="AJ173" s="16">
        <f>X173-AG173</f>
        <v>33027574</v>
      </c>
      <c r="AK173" s="9"/>
      <c r="AL173" s="372">
        <v>0</v>
      </c>
      <c r="AM173" s="375">
        <v>0</v>
      </c>
      <c r="AN173" s="9"/>
    </row>
    <row r="174" spans="1:40" s="382" customFormat="1" ht="24.95" customHeight="1">
      <c r="A174" s="752"/>
      <c r="B174" s="660"/>
      <c r="N174" s="9"/>
      <c r="P174" s="9"/>
      <c r="Q174" s="9"/>
      <c r="R174" s="9"/>
      <c r="S174" s="705">
        <f>+IF(JUNIO!S174=0,"",JUNIO!S174)</f>
        <v>3199999</v>
      </c>
      <c r="T174" s="681" t="str">
        <f>+IF(JUNIO!T174=0,"",JUNIO!T174)</f>
        <v>Vigencias Anteriores</v>
      </c>
      <c r="U174" s="27">
        <f>+ENERO!U174</f>
        <v>0</v>
      </c>
      <c r="V174" s="15">
        <f>JUNIO!V174+JULIO!AL174</f>
        <v>0</v>
      </c>
      <c r="W174" s="15">
        <f>JUNIO!W174+JULIO!AM174</f>
        <v>0</v>
      </c>
      <c r="X174" s="18">
        <f>SUM(U174:W174)</f>
        <v>0</v>
      </c>
      <c r="Y174" s="19">
        <f>JUNIO!AA174</f>
        <v>0</v>
      </c>
      <c r="Z174" s="374">
        <v>0</v>
      </c>
      <c r="AA174" s="18">
        <f>SUM(Y174:Z174)</f>
        <v>0</v>
      </c>
      <c r="AB174" s="19">
        <f>JUNIO!AD174</f>
        <v>0</v>
      </c>
      <c r="AC174" s="374">
        <v>0</v>
      </c>
      <c r="AD174" s="18">
        <f>SUM(AB174:AC174)</f>
        <v>0</v>
      </c>
      <c r="AE174" s="19">
        <f>JUNIO!AG174</f>
        <v>0</v>
      </c>
      <c r="AF174" s="374">
        <v>0</v>
      </c>
      <c r="AG174" s="18">
        <f>SUM(AE174:AF174)</f>
        <v>0</v>
      </c>
      <c r="AH174" s="19">
        <f>X174-AA174</f>
        <v>0</v>
      </c>
      <c r="AI174" s="15">
        <f>X174-AD174</f>
        <v>0</v>
      </c>
      <c r="AJ174" s="16">
        <f>X174-AG174</f>
        <v>0</v>
      </c>
      <c r="AK174" s="9"/>
      <c r="AL174" s="372">
        <v>-657430</v>
      </c>
      <c r="AM174" s="375">
        <v>0</v>
      </c>
      <c r="AN174" s="9"/>
    </row>
    <row r="175" spans="1:40" s="382" customFormat="1" ht="24.95" customHeight="1">
      <c r="A175" s="752"/>
      <c r="B175" s="660"/>
      <c r="N175" s="9"/>
      <c r="P175" s="9"/>
      <c r="Q175" s="9"/>
      <c r="R175" s="9"/>
      <c r="S175" s="366" t="str">
        <f>+IF(JUNIO!S175=0,"",JUNIO!S175)</f>
        <v/>
      </c>
      <c r="T175" s="695"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2"/>
      <c r="B176" s="660"/>
      <c r="N176" s="9"/>
      <c r="P176" s="9"/>
      <c r="Q176" s="9"/>
      <c r="R176" s="9"/>
      <c r="S176" s="704">
        <f>+IF(JUNIO!S176=0,"",JUNIO!S176)</f>
        <v>320000</v>
      </c>
      <c r="T176" s="680" t="str">
        <f>+IF(JUNIO!T176=0,"",JUNIO!T176)</f>
        <v>Transf. Previsión y Seguridad Social</v>
      </c>
      <c r="U176" s="132">
        <f t="shared" ref="U176:AJ176" si="163">SUM(U177:U183)</f>
        <v>50084664</v>
      </c>
      <c r="V176" s="122">
        <f t="shared" si="163"/>
        <v>0</v>
      </c>
      <c r="W176" s="122">
        <f t="shared" si="163"/>
        <v>0</v>
      </c>
      <c r="X176" s="129">
        <f t="shared" si="163"/>
        <v>50084664</v>
      </c>
      <c r="Y176" s="128">
        <f t="shared" si="163"/>
        <v>18454138</v>
      </c>
      <c r="Z176" s="122">
        <f t="shared" si="163"/>
        <v>3003003</v>
      </c>
      <c r="AA176" s="129">
        <f t="shared" si="163"/>
        <v>21457141</v>
      </c>
      <c r="AB176" s="128">
        <f t="shared" si="163"/>
        <v>18454138</v>
      </c>
      <c r="AC176" s="122">
        <f t="shared" si="163"/>
        <v>3003003</v>
      </c>
      <c r="AD176" s="129">
        <f t="shared" si="163"/>
        <v>21457141</v>
      </c>
      <c r="AE176" s="128">
        <f t="shared" si="163"/>
        <v>18273550</v>
      </c>
      <c r="AF176" s="122">
        <f t="shared" si="163"/>
        <v>2653642</v>
      </c>
      <c r="AG176" s="129">
        <f t="shared" si="163"/>
        <v>20927192</v>
      </c>
      <c r="AH176" s="128">
        <f t="shared" si="163"/>
        <v>28627523</v>
      </c>
      <c r="AI176" s="122">
        <f t="shared" si="163"/>
        <v>28627523</v>
      </c>
      <c r="AJ176" s="130">
        <f t="shared" si="163"/>
        <v>29157472</v>
      </c>
      <c r="AK176" s="9"/>
      <c r="AL176" s="128">
        <f>SUM(AL177:AL183)</f>
        <v>0</v>
      </c>
      <c r="AM176" s="130">
        <f>SUM(AM177:AM183)</f>
        <v>0</v>
      </c>
      <c r="AN176" s="9"/>
    </row>
    <row r="177" spans="1:40" s="382" customFormat="1" ht="24.95" customHeight="1">
      <c r="A177" s="752"/>
      <c r="B177" s="660"/>
      <c r="N177" s="9"/>
      <c r="P177" s="9"/>
      <c r="Q177" s="9"/>
      <c r="R177" s="9"/>
      <c r="S177" s="705">
        <f>+IF(JUNIO!S177=0,"",JUNIO!S177)</f>
        <v>3200100</v>
      </c>
      <c r="T177" s="681" t="str">
        <f>+IF(JUNIO!T177=0,"",JUNIO!T177)</f>
        <v>Pensiones y Jubilaciones (Pago Directo)</v>
      </c>
      <c r="U177" s="27">
        <f>+ENERO!U177</f>
        <v>18619412</v>
      </c>
      <c r="V177" s="15">
        <f>JUNIO!V177+JULIO!AL177</f>
        <v>0</v>
      </c>
      <c r="W177" s="15">
        <f>JUNIO!W177+JULIO!AM177</f>
        <v>0</v>
      </c>
      <c r="X177" s="18">
        <f t="shared" ref="X177:X183" si="164">SUM(U177:W177)</f>
        <v>18619412</v>
      </c>
      <c r="Y177" s="19">
        <f>JUNIO!AA177</f>
        <v>5307284</v>
      </c>
      <c r="Z177" s="374">
        <v>2653642</v>
      </c>
      <c r="AA177" s="18">
        <f t="shared" ref="AA177:AA183" si="165">SUM(Y177:Z177)</f>
        <v>7960926</v>
      </c>
      <c r="AB177" s="19">
        <f>JUNIO!AD177</f>
        <v>5307284</v>
      </c>
      <c r="AC177" s="374">
        <v>2653642</v>
      </c>
      <c r="AD177" s="18">
        <f t="shared" ref="AD177:AD183" si="166">SUM(AB177:AC177)</f>
        <v>7960926</v>
      </c>
      <c r="AE177" s="19">
        <f>JUNIO!AG177</f>
        <v>5307284</v>
      </c>
      <c r="AF177" s="374">
        <v>2653642</v>
      </c>
      <c r="AG177" s="18">
        <f t="shared" ref="AG177:AG183" si="167">SUM(AE177:AF177)</f>
        <v>7960926</v>
      </c>
      <c r="AH177" s="19">
        <f t="shared" ref="AH177:AH183" si="168">X177-AA177</f>
        <v>10658486</v>
      </c>
      <c r="AI177" s="15">
        <f t="shared" ref="AI177:AI183" si="169">X177-AD177</f>
        <v>10658486</v>
      </c>
      <c r="AJ177" s="16">
        <f t="shared" ref="AJ177:AJ183" si="170">X177-AG177</f>
        <v>10658486</v>
      </c>
      <c r="AK177" s="9"/>
      <c r="AL177" s="372">
        <v>0</v>
      </c>
      <c r="AM177" s="375">
        <v>0</v>
      </c>
      <c r="AN177" s="9"/>
    </row>
    <row r="178" spans="1:40" s="382" customFormat="1" ht="24.95" customHeight="1">
      <c r="A178" s="752"/>
      <c r="B178" s="660"/>
      <c r="N178" s="9"/>
      <c r="P178" s="9"/>
      <c r="Q178" s="9"/>
      <c r="R178" s="9"/>
      <c r="S178" s="705">
        <f>+IF(JUNIO!S178=0,"",JUNIO!S178)</f>
        <v>3200200</v>
      </c>
      <c r="T178" s="681" t="str">
        <f>+IF(JUNIO!T178=0,"",JUNIO!T178)</f>
        <v>Cesantías Pago Directo (Pago Directo)</v>
      </c>
      <c r="U178" s="27">
        <f>+ENERO!U178</f>
        <v>14936566</v>
      </c>
      <c r="V178" s="15">
        <f>JUNIO!V178+JULIO!AL178</f>
        <v>0</v>
      </c>
      <c r="W178" s="15">
        <f>JUNIO!W178+JULIO!AM178</f>
        <v>0</v>
      </c>
      <c r="X178" s="18">
        <f t="shared" si="164"/>
        <v>14936566</v>
      </c>
      <c r="Y178" s="19">
        <f>JUNIO!AA178</f>
        <v>331170</v>
      </c>
      <c r="Z178" s="374">
        <v>0</v>
      </c>
      <c r="AA178" s="18">
        <f t="shared" si="165"/>
        <v>331170</v>
      </c>
      <c r="AB178" s="19">
        <f>JUNIO!AD178</f>
        <v>331170</v>
      </c>
      <c r="AC178" s="374">
        <v>0</v>
      </c>
      <c r="AD178" s="18">
        <f t="shared" si="166"/>
        <v>331170</v>
      </c>
      <c r="AE178" s="19">
        <f>JUNIO!AG178</f>
        <v>331170</v>
      </c>
      <c r="AF178" s="374">
        <v>0</v>
      </c>
      <c r="AG178" s="18">
        <f t="shared" si="167"/>
        <v>331170</v>
      </c>
      <c r="AH178" s="19">
        <f t="shared" si="168"/>
        <v>14605396</v>
      </c>
      <c r="AI178" s="15">
        <f t="shared" si="169"/>
        <v>14605396</v>
      </c>
      <c r="AJ178" s="16">
        <f t="shared" si="170"/>
        <v>14605396</v>
      </c>
      <c r="AK178" s="9"/>
      <c r="AL178" s="372">
        <v>0</v>
      </c>
      <c r="AM178" s="375">
        <v>0</v>
      </c>
      <c r="AN178" s="9"/>
    </row>
    <row r="179" spans="1:40" s="382" customFormat="1" ht="24.95" customHeight="1">
      <c r="A179" s="752"/>
      <c r="B179" s="660"/>
      <c r="N179" s="9"/>
      <c r="P179" s="9"/>
      <c r="Q179" s="9"/>
      <c r="R179" s="9"/>
      <c r="S179" s="705">
        <f>+IF(JUNIO!S179=0,"",JUNIO!S179)</f>
        <v>3200300</v>
      </c>
      <c r="T179" s="681" t="str">
        <f>+IF(JUNIO!T179=0,"",JUNIO!T179)</f>
        <v>Bonos, Cuotas de Bonos y cuotas partes jubilatorias</v>
      </c>
      <c r="U179" s="27">
        <f>+ENERO!U179</f>
        <v>0</v>
      </c>
      <c r="V179" s="15">
        <f>JUNIO!V179+JULIO!AL179</f>
        <v>4000000</v>
      </c>
      <c r="W179" s="15">
        <f>JUNIO!W179+JULIO!AM179</f>
        <v>0</v>
      </c>
      <c r="X179" s="18">
        <f t="shared" si="164"/>
        <v>4000000</v>
      </c>
      <c r="Y179" s="19">
        <f>JUNIO!AA179</f>
        <v>1249723</v>
      </c>
      <c r="Z179" s="374">
        <v>349361</v>
      </c>
      <c r="AA179" s="18">
        <f t="shared" si="165"/>
        <v>1599084</v>
      </c>
      <c r="AB179" s="19">
        <f>JUNIO!AD179</f>
        <v>1249723</v>
      </c>
      <c r="AC179" s="374">
        <v>349361</v>
      </c>
      <c r="AD179" s="18">
        <f t="shared" si="166"/>
        <v>1599084</v>
      </c>
      <c r="AE179" s="19">
        <f>JUNIO!AG179</f>
        <v>1069135</v>
      </c>
      <c r="AF179" s="374">
        <v>0</v>
      </c>
      <c r="AG179" s="18">
        <f t="shared" si="167"/>
        <v>1069135</v>
      </c>
      <c r="AH179" s="19">
        <f t="shared" si="168"/>
        <v>2400916</v>
      </c>
      <c r="AI179" s="15">
        <f t="shared" si="169"/>
        <v>2400916</v>
      </c>
      <c r="AJ179" s="16">
        <f t="shared" si="170"/>
        <v>2930865</v>
      </c>
      <c r="AK179" s="9"/>
      <c r="AL179" s="372">
        <v>0</v>
      </c>
      <c r="AM179" s="375">
        <v>0</v>
      </c>
      <c r="AN179" s="9"/>
    </row>
    <row r="180" spans="1:40" s="382" customFormat="1" ht="24.95" customHeight="1">
      <c r="A180" s="752"/>
      <c r="B180" s="660"/>
      <c r="N180" s="9"/>
      <c r="P180" s="9"/>
      <c r="Q180" s="9"/>
      <c r="R180" s="9"/>
      <c r="S180" s="705">
        <f>+IF(JUNIO!S180=0,"",JUNIO!S180)</f>
        <v>3200400</v>
      </c>
      <c r="T180" s="681" t="str">
        <f>+IF(JUNIO!T180=0,"",JUNIO!T180)</f>
        <v>Intereses a las cesantias</v>
      </c>
      <c r="U180" s="27">
        <f>+ENERO!U180</f>
        <v>16528686</v>
      </c>
      <c r="V180" s="15">
        <f>JUNIO!V180+JULIO!AL180</f>
        <v>-4000000</v>
      </c>
      <c r="W180" s="15">
        <f>JUNIO!W180+JULIO!AM180</f>
        <v>0</v>
      </c>
      <c r="X180" s="18">
        <f t="shared" si="164"/>
        <v>12528686</v>
      </c>
      <c r="Y180" s="19">
        <f>JUNIO!AA180</f>
        <v>11565961</v>
      </c>
      <c r="Z180" s="374">
        <v>0</v>
      </c>
      <c r="AA180" s="18">
        <f t="shared" si="165"/>
        <v>11565961</v>
      </c>
      <c r="AB180" s="19">
        <f>JUNIO!AD180</f>
        <v>11565961</v>
      </c>
      <c r="AC180" s="374">
        <v>0</v>
      </c>
      <c r="AD180" s="18">
        <f t="shared" si="166"/>
        <v>11565961</v>
      </c>
      <c r="AE180" s="19">
        <f>JUNIO!AG180</f>
        <v>11565961</v>
      </c>
      <c r="AF180" s="374">
        <v>0</v>
      </c>
      <c r="AG180" s="18">
        <f t="shared" si="167"/>
        <v>11565961</v>
      </c>
      <c r="AH180" s="19">
        <f t="shared" si="168"/>
        <v>962725</v>
      </c>
      <c r="AI180" s="15">
        <f t="shared" si="169"/>
        <v>962725</v>
      </c>
      <c r="AJ180" s="16">
        <f t="shared" si="170"/>
        <v>962725</v>
      </c>
      <c r="AK180" s="9"/>
      <c r="AL180" s="372">
        <v>0</v>
      </c>
      <c r="AM180" s="375">
        <v>0</v>
      </c>
      <c r="AN180" s="9"/>
    </row>
    <row r="181" spans="1:40" s="382" customFormat="1" ht="24.95" customHeight="1">
      <c r="A181" s="752"/>
      <c r="B181" s="660"/>
      <c r="N181" s="9"/>
      <c r="P181" s="9"/>
      <c r="Q181" s="9"/>
      <c r="R181" s="9"/>
      <c r="S181" s="705" t="str">
        <f>+IF(JUNIO!S181=0,"",JUNIO!S181)</f>
        <v/>
      </c>
      <c r="T181" s="681" t="str">
        <f>+IF(JUNIO!T181=0,"",JUNIO!T181)</f>
        <v/>
      </c>
      <c r="U181" s="27">
        <f>+ENERO!U181</f>
        <v>0</v>
      </c>
      <c r="V181" s="15">
        <f>JUNIO!V181+JULIO!AL181</f>
        <v>0</v>
      </c>
      <c r="W181" s="15">
        <f>JUNIO!W181+JULIO!AM181</f>
        <v>0</v>
      </c>
      <c r="X181" s="18">
        <f t="shared" si="164"/>
        <v>0</v>
      </c>
      <c r="Y181" s="19">
        <f>JUNIO!AA181</f>
        <v>0</v>
      </c>
      <c r="Z181" s="374">
        <v>0</v>
      </c>
      <c r="AA181" s="18">
        <f t="shared" si="165"/>
        <v>0</v>
      </c>
      <c r="AB181" s="19">
        <f>JUNIO!AD181</f>
        <v>0</v>
      </c>
      <c r="AC181" s="374">
        <v>0</v>
      </c>
      <c r="AD181" s="18">
        <f t="shared" si="166"/>
        <v>0</v>
      </c>
      <c r="AE181" s="19">
        <f>JUNIO!AG181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2"/>
      <c r="B182" s="660"/>
      <c r="N182" s="9"/>
      <c r="P182" s="9"/>
      <c r="Q182" s="9"/>
      <c r="R182" s="9"/>
      <c r="S182" s="705" t="str">
        <f>+IF(JUNIO!S182=0,"",JUNIO!S182)</f>
        <v/>
      </c>
      <c r="T182" s="681" t="str">
        <f>+IF(JUNIO!T182=0,"",JUNIO!T182)</f>
        <v/>
      </c>
      <c r="U182" s="27">
        <f>+ENERO!U182</f>
        <v>0</v>
      </c>
      <c r="V182" s="15">
        <f>JUNIO!V182+JULIO!AL182</f>
        <v>0</v>
      </c>
      <c r="W182" s="15">
        <f>JUNIO!W182+JULIO!AM182</f>
        <v>0</v>
      </c>
      <c r="X182" s="18">
        <f t="shared" si="164"/>
        <v>0</v>
      </c>
      <c r="Y182" s="19">
        <f>JUNIO!AA182</f>
        <v>0</v>
      </c>
      <c r="Z182" s="374">
        <v>0</v>
      </c>
      <c r="AA182" s="18">
        <f t="shared" si="165"/>
        <v>0</v>
      </c>
      <c r="AB182" s="19">
        <f>JUNIO!AD182</f>
        <v>0</v>
      </c>
      <c r="AC182" s="374">
        <v>0</v>
      </c>
      <c r="AD182" s="18">
        <f t="shared" si="166"/>
        <v>0</v>
      </c>
      <c r="AE182" s="19">
        <f>JUNIO!AG182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2"/>
      <c r="B183" s="660"/>
      <c r="N183" s="9"/>
      <c r="P183" s="9"/>
      <c r="Q183" s="9"/>
      <c r="R183" s="9"/>
      <c r="S183" s="705">
        <f>+IF(JUNIO!S183=0,"",JUNIO!S183)</f>
        <v>3299999</v>
      </c>
      <c r="T183" s="681" t="str">
        <f>+IF(JUNIO!T183=0,"",JUNIO!T183)</f>
        <v>Vigencias Anteriores</v>
      </c>
      <c r="U183" s="27">
        <f>+ENERO!U183</f>
        <v>0</v>
      </c>
      <c r="V183" s="15">
        <f>JUNIO!V183+JULIO!AL183</f>
        <v>0</v>
      </c>
      <c r="W183" s="15">
        <f>JUNIO!W183+JULIO!AM183</f>
        <v>0</v>
      </c>
      <c r="X183" s="18">
        <f t="shared" si="164"/>
        <v>0</v>
      </c>
      <c r="Y183" s="19">
        <f>JUNIO!AA183</f>
        <v>0</v>
      </c>
      <c r="Z183" s="374">
        <v>0</v>
      </c>
      <c r="AA183" s="18">
        <f t="shared" si="165"/>
        <v>0</v>
      </c>
      <c r="AB183" s="19">
        <f>JUNIO!AD183</f>
        <v>0</v>
      </c>
      <c r="AC183" s="374">
        <v>0</v>
      </c>
      <c r="AD183" s="18">
        <f t="shared" si="166"/>
        <v>0</v>
      </c>
      <c r="AE183" s="19">
        <f>JUNIO!AG183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2"/>
      <c r="B184" s="660"/>
      <c r="N184" s="9"/>
      <c r="P184" s="9"/>
      <c r="Q184" s="9"/>
      <c r="R184" s="9"/>
      <c r="S184" s="366" t="str">
        <f>+IF(JUNIO!S184=0,"",JUNIO!S184)</f>
        <v/>
      </c>
      <c r="T184" s="695"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2"/>
      <c r="B185" s="660"/>
      <c r="N185" s="9"/>
      <c r="P185" s="9"/>
      <c r="Q185" s="9"/>
      <c r="R185" s="9"/>
      <c r="S185" s="704">
        <f>+IF(JUNIO!S185=0,"",JUNIO!S185)</f>
        <v>3300000</v>
      </c>
      <c r="T185" s="680" t="str">
        <f>+IF(JUNIO!T185=0,"",JUNIO!T185)</f>
        <v>Otras Transferencias</v>
      </c>
      <c r="U185" s="132">
        <f t="shared" ref="U185:AJ185" si="171">U186+U187+U191</f>
        <v>50000000</v>
      </c>
      <c r="V185" s="122">
        <f t="shared" si="171"/>
        <v>-300000</v>
      </c>
      <c r="W185" s="122">
        <f t="shared" si="171"/>
        <v>2950868</v>
      </c>
      <c r="X185" s="129">
        <f t="shared" si="171"/>
        <v>52650868</v>
      </c>
      <c r="Y185" s="128">
        <f t="shared" si="171"/>
        <v>12249622</v>
      </c>
      <c r="Z185" s="122">
        <f t="shared" si="171"/>
        <v>0</v>
      </c>
      <c r="AA185" s="129">
        <f t="shared" si="171"/>
        <v>12249622</v>
      </c>
      <c r="AB185" s="128">
        <f t="shared" si="171"/>
        <v>11954535</v>
      </c>
      <c r="AC185" s="122">
        <f t="shared" si="171"/>
        <v>0</v>
      </c>
      <c r="AD185" s="129">
        <f t="shared" si="171"/>
        <v>11954535</v>
      </c>
      <c r="AE185" s="128">
        <f t="shared" si="171"/>
        <v>8860867</v>
      </c>
      <c r="AF185" s="122">
        <f t="shared" si="171"/>
        <v>0</v>
      </c>
      <c r="AG185" s="129">
        <f t="shared" si="171"/>
        <v>8860867</v>
      </c>
      <c r="AH185" s="128">
        <f t="shared" si="171"/>
        <v>40401246</v>
      </c>
      <c r="AI185" s="122">
        <f t="shared" si="171"/>
        <v>40696333</v>
      </c>
      <c r="AJ185" s="130">
        <f t="shared" si="171"/>
        <v>43790001</v>
      </c>
      <c r="AK185" s="9"/>
      <c r="AL185" s="128">
        <f>AL186+AL187+AL191</f>
        <v>0</v>
      </c>
      <c r="AM185" s="130">
        <f>AM186+AM187+AM191</f>
        <v>0</v>
      </c>
      <c r="AN185" s="9"/>
    </row>
    <row r="186" spans="1:40" s="382" customFormat="1" ht="24.95" customHeight="1">
      <c r="A186" s="752"/>
      <c r="B186" s="660"/>
      <c r="N186" s="9"/>
      <c r="P186" s="9"/>
      <c r="Q186" s="9"/>
      <c r="R186" s="9"/>
      <c r="S186" s="705">
        <f>+IF(JUNIO!S186=0,"",JUNIO!S186)</f>
        <v>3300100</v>
      </c>
      <c r="T186" s="681" t="str">
        <f>+IF(JUNIO!T186=0,"",JUNIO!T186)</f>
        <v>Sentencias y Conciliaciones</v>
      </c>
      <c r="U186" s="27">
        <f>+ENERO!U186</f>
        <v>50000000</v>
      </c>
      <c r="V186" s="15">
        <f>JUNIO!V186+JULIO!AL186</f>
        <v>-3393668</v>
      </c>
      <c r="W186" s="15">
        <f>JUNIO!W186+JULIO!AM186</f>
        <v>0</v>
      </c>
      <c r="X186" s="18">
        <f>SUM(U186:W186)</f>
        <v>46606332</v>
      </c>
      <c r="Y186" s="19">
        <f>JUNIO!AA186</f>
        <v>6205086</v>
      </c>
      <c r="Z186" s="374">
        <v>0</v>
      </c>
      <c r="AA186" s="18">
        <f>SUM(Y186:Z186)</f>
        <v>6205086</v>
      </c>
      <c r="AB186" s="19">
        <f>JUNIO!AD186</f>
        <v>6205086</v>
      </c>
      <c r="AC186" s="374">
        <v>0</v>
      </c>
      <c r="AD186" s="18">
        <f>SUM(AB186:AC186)</f>
        <v>6205086</v>
      </c>
      <c r="AE186" s="19">
        <f>JUNIO!AG186</f>
        <v>6205086</v>
      </c>
      <c r="AF186" s="374">
        <v>0</v>
      </c>
      <c r="AG186" s="18">
        <f>SUM(AE186:AF186)</f>
        <v>6205086</v>
      </c>
      <c r="AH186" s="19">
        <f>X186-AA186</f>
        <v>40401246</v>
      </c>
      <c r="AI186" s="15">
        <f>X186-AD186</f>
        <v>40401246</v>
      </c>
      <c r="AJ186" s="16">
        <f>X186-AG186</f>
        <v>40401246</v>
      </c>
      <c r="AK186" s="9"/>
      <c r="AL186" s="372">
        <v>0</v>
      </c>
      <c r="AM186" s="375">
        <v>0</v>
      </c>
      <c r="AN186" s="9"/>
    </row>
    <row r="187" spans="1:40" s="382" customFormat="1" ht="24.95" customHeight="1">
      <c r="A187" s="752"/>
      <c r="B187" s="660"/>
      <c r="N187" s="9"/>
      <c r="P187" s="9"/>
      <c r="Q187" s="9"/>
      <c r="R187" s="9"/>
      <c r="S187" s="705">
        <f>+IF(JUNIO!S187=0,"",JUNIO!S187)</f>
        <v>3300200</v>
      </c>
      <c r="T187" s="681" t="str">
        <f>+IF(JUNIO!T187=0,"",JUNIO!T187)</f>
        <v>Destinatarios de otras transferencias</v>
      </c>
      <c r="U187" s="27">
        <f t="shared" ref="U187:AM187" si="172">SUM(U188:U190)</f>
        <v>0</v>
      </c>
      <c r="V187" s="15">
        <f t="shared" si="172"/>
        <v>3093668</v>
      </c>
      <c r="W187" s="15">
        <f t="shared" si="172"/>
        <v>2950868</v>
      </c>
      <c r="X187" s="18">
        <f t="shared" si="172"/>
        <v>6044536</v>
      </c>
      <c r="Y187" s="19">
        <f t="shared" si="172"/>
        <v>6044536</v>
      </c>
      <c r="Z187" s="142">
        <f t="shared" si="172"/>
        <v>0</v>
      </c>
      <c r="AA187" s="18">
        <f t="shared" si="172"/>
        <v>6044536</v>
      </c>
      <c r="AB187" s="19">
        <f t="shared" si="172"/>
        <v>5749449</v>
      </c>
      <c r="AC187" s="142">
        <f t="shared" si="172"/>
        <v>0</v>
      </c>
      <c r="AD187" s="18">
        <f t="shared" si="172"/>
        <v>5749449</v>
      </c>
      <c r="AE187" s="19">
        <f t="shared" si="172"/>
        <v>2655781</v>
      </c>
      <c r="AF187" s="142">
        <f t="shared" si="172"/>
        <v>0</v>
      </c>
      <c r="AG187" s="18">
        <f t="shared" si="172"/>
        <v>2655781</v>
      </c>
      <c r="AH187" s="19">
        <f t="shared" si="172"/>
        <v>0</v>
      </c>
      <c r="AI187" s="15">
        <f t="shared" si="172"/>
        <v>295087</v>
      </c>
      <c r="AJ187" s="16">
        <f t="shared" si="172"/>
        <v>3388755</v>
      </c>
      <c r="AK187" s="9"/>
      <c r="AL187" s="29">
        <f t="shared" si="172"/>
        <v>0</v>
      </c>
      <c r="AM187" s="26">
        <f t="shared" si="172"/>
        <v>0</v>
      </c>
      <c r="AN187" s="9"/>
    </row>
    <row r="188" spans="1:40" s="382" customFormat="1" ht="24.95" customHeight="1">
      <c r="A188" s="752"/>
      <c r="B188" s="661"/>
      <c r="N188" s="9"/>
      <c r="P188" s="9"/>
      <c r="Q188" s="9"/>
      <c r="R188" s="9"/>
      <c r="S188" s="706" t="str">
        <f>+IF(JUNIO!S188=0,"",JUNIO!S188)</f>
        <v>3300200-1</v>
      </c>
      <c r="T188" s="681" t="str">
        <f>+IF(JUNIO!T188=0,"",JUNIO!T188)</f>
        <v>COHAN</v>
      </c>
      <c r="U188" s="27">
        <f>+ENERO!U188</f>
        <v>0</v>
      </c>
      <c r="V188" s="15">
        <f>JUNIO!V188+JULIO!AL188</f>
        <v>3093668</v>
      </c>
      <c r="W188" s="15">
        <f>JUNIO!W188+JULIO!AM188</f>
        <v>0</v>
      </c>
      <c r="X188" s="18">
        <f>SUM(U188:W188)</f>
        <v>3093668</v>
      </c>
      <c r="Y188" s="19">
        <f>JUNIO!AA188</f>
        <v>3093668</v>
      </c>
      <c r="Z188" s="374">
        <v>0</v>
      </c>
      <c r="AA188" s="18">
        <f>SUM(Y188:Z188)</f>
        <v>3093668</v>
      </c>
      <c r="AB188" s="19">
        <f>JUNIO!AD188</f>
        <v>3093668</v>
      </c>
      <c r="AC188" s="374">
        <v>0</v>
      </c>
      <c r="AD188" s="18">
        <f>SUM(AB188:AC188)</f>
        <v>3093668</v>
      </c>
      <c r="AE188" s="19">
        <f>JUNIO!AG188</f>
        <v>0</v>
      </c>
      <c r="AF188" s="374">
        <v>0</v>
      </c>
      <c r="AG188" s="18">
        <f>SUM(AE188:AF188)</f>
        <v>0</v>
      </c>
      <c r="AH188" s="19">
        <f>X188-AA188</f>
        <v>0</v>
      </c>
      <c r="AI188" s="15">
        <f>X188-AD188</f>
        <v>0</v>
      </c>
      <c r="AJ188" s="16">
        <f>X188-AG188</f>
        <v>3093668</v>
      </c>
      <c r="AK188" s="9"/>
      <c r="AL188" s="372">
        <v>0</v>
      </c>
      <c r="AM188" s="375">
        <v>0</v>
      </c>
      <c r="AN188" s="9"/>
    </row>
    <row r="189" spans="1:40" s="382" customFormat="1" ht="24.95" customHeight="1">
      <c r="A189" s="752"/>
      <c r="B189" s="661"/>
      <c r="N189" s="9"/>
      <c r="P189" s="9"/>
      <c r="Q189" s="9"/>
      <c r="R189" s="9"/>
      <c r="S189" s="706" t="str">
        <f>+IF(JUNIO!S189=0,"",JUNIO!S189)</f>
        <v>3300200-2</v>
      </c>
      <c r="T189" s="681" t="str">
        <f>+IF(JUNIO!T189=0,"",JUNIO!T189)</f>
        <v>AESA</v>
      </c>
      <c r="U189" s="27">
        <f>+ENERO!U189</f>
        <v>0</v>
      </c>
      <c r="V189" s="15">
        <f>JUNIO!V189+JULIO!AL189</f>
        <v>0</v>
      </c>
      <c r="W189" s="15">
        <f>JUNIO!W189+JULIO!AM189</f>
        <v>2950868</v>
      </c>
      <c r="X189" s="18">
        <f>SUM(U189:W189)</f>
        <v>2950868</v>
      </c>
      <c r="Y189" s="19">
        <f>JUNIO!AA189</f>
        <v>2950868</v>
      </c>
      <c r="Z189" s="374">
        <v>0</v>
      </c>
      <c r="AA189" s="18">
        <f>SUM(Y189:Z189)</f>
        <v>2950868</v>
      </c>
      <c r="AB189" s="19">
        <f>JUNIO!AD189</f>
        <v>2655781</v>
      </c>
      <c r="AC189" s="374">
        <v>0</v>
      </c>
      <c r="AD189" s="18">
        <f>SUM(AB189:AC189)</f>
        <v>2655781</v>
      </c>
      <c r="AE189" s="19">
        <f>JUNIO!AG189</f>
        <v>2655781</v>
      </c>
      <c r="AF189" s="374">
        <v>0</v>
      </c>
      <c r="AG189" s="18">
        <f>SUM(AE189:AF189)</f>
        <v>2655781</v>
      </c>
      <c r="AH189" s="19">
        <f>X189-AA189</f>
        <v>0</v>
      </c>
      <c r="AI189" s="15">
        <f>X189-AD189</f>
        <v>295087</v>
      </c>
      <c r="AJ189" s="16">
        <f>X189-AG189</f>
        <v>295087</v>
      </c>
      <c r="AK189" s="9"/>
      <c r="AL189" s="372">
        <v>0</v>
      </c>
      <c r="AM189" s="375">
        <v>0</v>
      </c>
      <c r="AN189" s="9"/>
    </row>
    <row r="190" spans="1:40" s="382" customFormat="1" ht="24.95" customHeight="1">
      <c r="A190" s="752"/>
      <c r="B190" s="661"/>
      <c r="N190" s="9"/>
      <c r="P190" s="9"/>
      <c r="Q190" s="9"/>
      <c r="R190" s="9"/>
      <c r="S190" s="706" t="str">
        <f>+IF(JUNIO!S190=0,"",JUNIO!S190)</f>
        <v>3300200-3</v>
      </c>
      <c r="T190" s="681" t="str">
        <f>+IF(JUNIO!T190=0,"",JUNIO!T190)</f>
        <v xml:space="preserve">OTRAS </v>
      </c>
      <c r="U190" s="27">
        <f>+ENERO!U190</f>
        <v>0</v>
      </c>
      <c r="V190" s="15">
        <f>JUNIO!V190+JULIO!AL190</f>
        <v>0</v>
      </c>
      <c r="W190" s="15">
        <f>JUNIO!W190+JULIO!AM190</f>
        <v>0</v>
      </c>
      <c r="X190" s="18">
        <f>SUM(U190:W190)</f>
        <v>0</v>
      </c>
      <c r="Y190" s="19">
        <f>JUNIO!AA190</f>
        <v>0</v>
      </c>
      <c r="Z190" s="374">
        <v>0</v>
      </c>
      <c r="AA190" s="18">
        <f>SUM(Y190:Z190)</f>
        <v>0</v>
      </c>
      <c r="AB190" s="19">
        <f>JUNIO!AD190</f>
        <v>0</v>
      </c>
      <c r="AC190" s="374">
        <v>0</v>
      </c>
      <c r="AD190" s="18">
        <f>SUM(AB190:AC190)</f>
        <v>0</v>
      </c>
      <c r="AE190" s="19">
        <f>JUNIO!AG190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2"/>
      <c r="B191" s="661"/>
      <c r="N191" s="9"/>
      <c r="P191" s="9"/>
      <c r="Q191" s="9"/>
      <c r="R191" s="9"/>
      <c r="S191" s="705">
        <f>+IF(JUNIO!S191=0,"",JUNIO!S191)</f>
        <v>3399999</v>
      </c>
      <c r="T191" s="681" t="str">
        <f>+IF(JUNIO!T191=0,"",JUNIO!T191)</f>
        <v>Vigencias Anteriores</v>
      </c>
      <c r="U191" s="27">
        <f>+ENERO!U191</f>
        <v>0</v>
      </c>
      <c r="V191" s="15">
        <f>JUNIO!V191+JULIO!AL191</f>
        <v>0</v>
      </c>
      <c r="W191" s="15">
        <f>JUNIO!W191+JULIO!AM191</f>
        <v>0</v>
      </c>
      <c r="X191" s="18">
        <f>SUM(U191:W191)</f>
        <v>0</v>
      </c>
      <c r="Y191" s="19">
        <f>JUNIO!AA191</f>
        <v>0</v>
      </c>
      <c r="Z191" s="374">
        <v>0</v>
      </c>
      <c r="AA191" s="18">
        <f>SUM(Y191:Z191)</f>
        <v>0</v>
      </c>
      <c r="AB191" s="19">
        <f>JUNIO!AD191</f>
        <v>0</v>
      </c>
      <c r="AC191" s="374">
        <v>0</v>
      </c>
      <c r="AD191" s="18">
        <f>SUM(AB191:AC191)</f>
        <v>0</v>
      </c>
      <c r="AE191" s="19">
        <f>JUNIO!AG191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2"/>
      <c r="B192" s="661"/>
      <c r="N192" s="9"/>
      <c r="P192" s="9"/>
      <c r="Q192" s="9"/>
      <c r="R192" s="9"/>
      <c r="S192" s="805"/>
      <c r="T192" s="806"/>
      <c r="U192" s="188"/>
      <c r="V192" s="807"/>
      <c r="W192" s="807"/>
      <c r="X192" s="807"/>
      <c r="Y192" s="807"/>
      <c r="Z192" s="808"/>
      <c r="AA192" s="807"/>
      <c r="AB192" s="807"/>
      <c r="AC192" s="808"/>
      <c r="AD192" s="807"/>
      <c r="AE192" s="807"/>
      <c r="AF192" s="808"/>
      <c r="AG192" s="807"/>
      <c r="AH192" s="807"/>
      <c r="AI192" s="807"/>
      <c r="AJ192" s="173"/>
      <c r="AK192" s="9"/>
      <c r="AL192" s="809"/>
      <c r="AM192" s="810"/>
      <c r="AN192" s="9"/>
    </row>
    <row r="193" spans="1:40" s="382" customFormat="1" ht="49.5" customHeight="1">
      <c r="A193" s="752"/>
      <c r="B193" s="661"/>
      <c r="N193" s="9"/>
      <c r="P193" s="9"/>
      <c r="Q193" s="9"/>
      <c r="R193" s="9"/>
      <c r="S193" s="493" t="s">
        <v>325</v>
      </c>
      <c r="T193" s="689" t="s">
        <v>581</v>
      </c>
      <c r="U193" s="470">
        <f>U195+U209</f>
        <v>14750406346</v>
      </c>
      <c r="V193" s="471">
        <f t="shared" ref="V193:AJ193" si="173">V195+V209</f>
        <v>332512226</v>
      </c>
      <c r="W193" s="471">
        <f t="shared" si="173"/>
        <v>2783980076</v>
      </c>
      <c r="X193" s="380">
        <f t="shared" si="173"/>
        <v>17866898648</v>
      </c>
      <c r="Y193" s="379">
        <f t="shared" si="173"/>
        <v>10680244013</v>
      </c>
      <c r="Z193" s="494">
        <f t="shared" si="173"/>
        <v>790134246</v>
      </c>
      <c r="AA193" s="380">
        <f t="shared" si="173"/>
        <v>11470378259</v>
      </c>
      <c r="AB193" s="470">
        <f t="shared" si="173"/>
        <v>8941703161</v>
      </c>
      <c r="AC193" s="494">
        <f t="shared" si="173"/>
        <v>946766040</v>
      </c>
      <c r="AD193" s="472">
        <f t="shared" si="173"/>
        <v>9888469201</v>
      </c>
      <c r="AE193" s="379">
        <f t="shared" si="173"/>
        <v>4040477233</v>
      </c>
      <c r="AF193" s="494">
        <f t="shared" si="173"/>
        <v>792023558</v>
      </c>
      <c r="AG193" s="380">
        <f t="shared" si="173"/>
        <v>4832500791</v>
      </c>
      <c r="AH193" s="379">
        <f t="shared" si="173"/>
        <v>6396520389</v>
      </c>
      <c r="AI193" s="471">
        <f t="shared" si="173"/>
        <v>7978429447</v>
      </c>
      <c r="AJ193" s="380">
        <f t="shared" si="173"/>
        <v>13034397857</v>
      </c>
      <c r="AK193" s="9"/>
      <c r="AL193" s="379">
        <f t="shared" ref="AL193:AM193" si="174">AL195+AL209</f>
        <v>-47076073</v>
      </c>
      <c r="AM193" s="380">
        <f t="shared" si="174"/>
        <v>0</v>
      </c>
      <c r="AN193" s="9"/>
    </row>
    <row r="194" spans="1:40" s="382" customFormat="1" ht="24.95" customHeight="1">
      <c r="A194" s="752"/>
      <c r="B194" s="661"/>
      <c r="N194" s="9"/>
      <c r="P194" s="9"/>
      <c r="Q194" s="9"/>
      <c r="R194" s="9"/>
      <c r="S194" s="366" t="str">
        <f>+IF(JUNIO!S194=0,"",JUNIO!S194)</f>
        <v/>
      </c>
      <c r="T194" s="695"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2"/>
      <c r="B195" s="661"/>
      <c r="N195" s="9"/>
      <c r="P195" s="9"/>
      <c r="Q195" s="9"/>
      <c r="R195" s="9"/>
      <c r="S195" s="703">
        <f>+IF(JUNIO!S195=0,"",JUNIO!S195)</f>
        <v>4000000</v>
      </c>
      <c r="T195" s="685" t="str">
        <f>+IF(JUNIO!T195=0,"",JUNIO!T195)</f>
        <v>GASTOS  DE PRESTACION DE SERVICIOS</v>
      </c>
      <c r="U195" s="470">
        <f t="shared" ref="U195:AJ195" si="175">U196</f>
        <v>14750406346</v>
      </c>
      <c r="V195" s="471">
        <f t="shared" si="175"/>
        <v>332512226</v>
      </c>
      <c r="W195" s="471">
        <f t="shared" si="175"/>
        <v>2783980076</v>
      </c>
      <c r="X195" s="472">
        <f t="shared" si="175"/>
        <v>17866898648</v>
      </c>
      <c r="Y195" s="379">
        <f t="shared" si="175"/>
        <v>10680244013</v>
      </c>
      <c r="Z195" s="471">
        <f t="shared" si="175"/>
        <v>790134246</v>
      </c>
      <c r="AA195" s="472">
        <f t="shared" si="175"/>
        <v>11470378259</v>
      </c>
      <c r="AB195" s="379">
        <f t="shared" si="175"/>
        <v>8941703161</v>
      </c>
      <c r="AC195" s="471">
        <f t="shared" si="175"/>
        <v>946766040</v>
      </c>
      <c r="AD195" s="472">
        <f t="shared" si="175"/>
        <v>9888469201</v>
      </c>
      <c r="AE195" s="379">
        <f t="shared" si="175"/>
        <v>4040477233</v>
      </c>
      <c r="AF195" s="471">
        <f t="shared" si="175"/>
        <v>792023558</v>
      </c>
      <c r="AG195" s="472">
        <f t="shared" si="175"/>
        <v>4832500791</v>
      </c>
      <c r="AH195" s="379">
        <f t="shared" si="175"/>
        <v>6396520389</v>
      </c>
      <c r="AI195" s="471">
        <f t="shared" si="175"/>
        <v>7978429447</v>
      </c>
      <c r="AJ195" s="380">
        <f t="shared" si="175"/>
        <v>13034397857</v>
      </c>
      <c r="AK195" s="9"/>
      <c r="AL195" s="128">
        <f>AL196</f>
        <v>-47076073</v>
      </c>
      <c r="AM195" s="130">
        <f>AM196</f>
        <v>0</v>
      </c>
      <c r="AN195" s="9"/>
    </row>
    <row r="196" spans="1:40" s="382" customFormat="1" ht="24.95" customHeight="1">
      <c r="A196" s="752"/>
      <c r="B196" s="661"/>
      <c r="N196" s="9"/>
      <c r="P196" s="9"/>
      <c r="Q196" s="9"/>
      <c r="R196" s="9"/>
      <c r="S196" s="704">
        <f>+IF(JUNIO!S196=0,"",JUNIO!S196)</f>
        <v>4100000</v>
      </c>
      <c r="T196" s="680" t="str">
        <f>+IF(JUNIO!T196=0,"",JUNIO!T196)</f>
        <v>Insumos y Suministros Hospitalarios</v>
      </c>
      <c r="U196" s="132">
        <f t="shared" ref="U196:AJ196" si="176">U197+U205+U207</f>
        <v>14750406346</v>
      </c>
      <c r="V196" s="122">
        <f t="shared" si="176"/>
        <v>332512226</v>
      </c>
      <c r="W196" s="122">
        <f t="shared" si="176"/>
        <v>2783980076</v>
      </c>
      <c r="X196" s="129">
        <f t="shared" si="176"/>
        <v>17866898648</v>
      </c>
      <c r="Y196" s="128">
        <f t="shared" si="176"/>
        <v>10680244013</v>
      </c>
      <c r="Z196" s="122">
        <f t="shared" si="176"/>
        <v>790134246</v>
      </c>
      <c r="AA196" s="129">
        <f t="shared" si="176"/>
        <v>11470378259</v>
      </c>
      <c r="AB196" s="128">
        <f t="shared" si="176"/>
        <v>8941703161</v>
      </c>
      <c r="AC196" s="122">
        <f t="shared" si="176"/>
        <v>946766040</v>
      </c>
      <c r="AD196" s="129">
        <f t="shared" si="176"/>
        <v>9888469201</v>
      </c>
      <c r="AE196" s="128">
        <f t="shared" si="176"/>
        <v>4040477233</v>
      </c>
      <c r="AF196" s="122">
        <f t="shared" si="176"/>
        <v>792023558</v>
      </c>
      <c r="AG196" s="129">
        <f t="shared" si="176"/>
        <v>4832500791</v>
      </c>
      <c r="AH196" s="128">
        <f t="shared" si="176"/>
        <v>6396520389</v>
      </c>
      <c r="AI196" s="122">
        <f t="shared" si="176"/>
        <v>7978429447</v>
      </c>
      <c r="AJ196" s="130">
        <f t="shared" si="176"/>
        <v>13034397857</v>
      </c>
      <c r="AK196" s="10"/>
      <c r="AL196" s="128">
        <f>AL197+AL205+AL207</f>
        <v>-47076073</v>
      </c>
      <c r="AM196" s="130">
        <f>AM197+AM205+AM207</f>
        <v>0</v>
      </c>
      <c r="AN196" s="9"/>
    </row>
    <row r="197" spans="1:40" s="382" customFormat="1" ht="24.95" customHeight="1">
      <c r="A197" s="752"/>
      <c r="B197" s="661"/>
      <c r="N197" s="9"/>
      <c r="P197" s="9"/>
      <c r="Q197" s="9"/>
      <c r="R197" s="9"/>
      <c r="S197" s="705">
        <f>+IF(JUNIO!S197=0,"",JUNIO!S197)</f>
        <v>4100100</v>
      </c>
      <c r="T197" s="681" t="str">
        <f>+IF(JUNIO!T197=0,"",JUNIO!T197)</f>
        <v>Compra de Bienes para la Prestacion de servicios</v>
      </c>
      <c r="U197" s="27">
        <f t="shared" ref="U197:AJ197" si="177">SUM(U198:U204)</f>
        <v>13250406346</v>
      </c>
      <c r="V197" s="15">
        <f t="shared" si="177"/>
        <v>-27000000</v>
      </c>
      <c r="W197" s="15">
        <f t="shared" si="177"/>
        <v>125236928</v>
      </c>
      <c r="X197" s="18">
        <f t="shared" si="177"/>
        <v>13348643274</v>
      </c>
      <c r="Y197" s="19">
        <f t="shared" si="177"/>
        <v>6935656825</v>
      </c>
      <c r="Z197" s="142">
        <f t="shared" si="177"/>
        <v>639339022</v>
      </c>
      <c r="AA197" s="18">
        <f t="shared" si="177"/>
        <v>7574995847</v>
      </c>
      <c r="AB197" s="19">
        <f t="shared" si="177"/>
        <v>5590511076</v>
      </c>
      <c r="AC197" s="142">
        <f t="shared" si="177"/>
        <v>657256141</v>
      </c>
      <c r="AD197" s="18">
        <f t="shared" si="177"/>
        <v>6247767217</v>
      </c>
      <c r="AE197" s="19">
        <f t="shared" si="177"/>
        <v>1409685442</v>
      </c>
      <c r="AF197" s="142">
        <f t="shared" si="177"/>
        <v>641228334</v>
      </c>
      <c r="AG197" s="18">
        <f t="shared" si="177"/>
        <v>2050913776</v>
      </c>
      <c r="AH197" s="19">
        <f t="shared" si="177"/>
        <v>5773647427</v>
      </c>
      <c r="AI197" s="15">
        <f t="shared" si="177"/>
        <v>7100876057</v>
      </c>
      <c r="AJ197" s="16">
        <f t="shared" si="177"/>
        <v>11297729498</v>
      </c>
      <c r="AK197" s="9"/>
      <c r="AL197" s="29">
        <f>SUM(AL198:AL204)</f>
        <v>0</v>
      </c>
      <c r="AM197" s="26">
        <f>SUM(AM198:AM204)</f>
        <v>0</v>
      </c>
      <c r="AN197" s="9"/>
    </row>
    <row r="198" spans="1:40" s="382" customFormat="1" ht="24.95" customHeight="1">
      <c r="A198" s="752"/>
      <c r="B198" s="661"/>
      <c r="N198" s="9"/>
      <c r="P198" s="9"/>
      <c r="Q198" s="9"/>
      <c r="R198" s="9"/>
      <c r="S198" s="706" t="str">
        <f>+IF(JUNIO!S198=0,"",JUNIO!S198)</f>
        <v>4100100-1</v>
      </c>
      <c r="T198" s="682" t="str">
        <f>+IF(JUNIO!T198=0,"",JUNIO!T198)</f>
        <v>Productos Farmaceuticos</v>
      </c>
      <c r="U198" s="27">
        <f>+ENERO!U198</f>
        <v>6473158346</v>
      </c>
      <c r="V198" s="15">
        <f>JUNIO!V198+JULIO!AL198</f>
        <v>-27000000</v>
      </c>
      <c r="W198" s="15">
        <f>JUNIO!W198+JULIO!AM198</f>
        <v>0</v>
      </c>
      <c r="X198" s="18">
        <f t="shared" ref="X198:X204" si="178">SUM(U198:W198)</f>
        <v>6446158346</v>
      </c>
      <c r="Y198" s="19">
        <f>JUNIO!AA198</f>
        <v>2369399569</v>
      </c>
      <c r="Z198" s="374">
        <v>298154948</v>
      </c>
      <c r="AA198" s="18">
        <f t="shared" ref="AA198:AA204" si="179">SUM(Y198:Z198)</f>
        <v>2667554517</v>
      </c>
      <c r="AB198" s="19">
        <f>JUNIO!AD198</f>
        <v>1990203716</v>
      </c>
      <c r="AC198" s="374">
        <v>255553486</v>
      </c>
      <c r="AD198" s="18">
        <f t="shared" ref="AD198:AD204" si="180">SUM(AB198:AC198)</f>
        <v>2245757202</v>
      </c>
      <c r="AE198" s="19">
        <f>JUNIO!AG198</f>
        <v>602757079</v>
      </c>
      <c r="AF198" s="374">
        <v>199420666</v>
      </c>
      <c r="AG198" s="18">
        <f t="shared" ref="AG198:AG204" si="181">SUM(AE198:AF198)</f>
        <v>802177745</v>
      </c>
      <c r="AH198" s="19">
        <f t="shared" ref="AH198:AH204" si="182">X198-AA198</f>
        <v>3778603829</v>
      </c>
      <c r="AI198" s="15">
        <f t="shared" ref="AI198:AI204" si="183">X198-AD198</f>
        <v>4200401144</v>
      </c>
      <c r="AJ198" s="16">
        <f t="shared" ref="AJ198:AJ204" si="184">X198-AG198</f>
        <v>5643980601</v>
      </c>
      <c r="AK198" s="9"/>
      <c r="AL198" s="372">
        <v>0</v>
      </c>
      <c r="AM198" s="375">
        <v>0</v>
      </c>
      <c r="AN198" s="9"/>
    </row>
    <row r="199" spans="1:40" s="382" customFormat="1" ht="24.95" customHeight="1">
      <c r="A199" s="752"/>
      <c r="B199" s="661"/>
      <c r="N199" s="9"/>
      <c r="P199" s="9"/>
      <c r="Q199" s="9"/>
      <c r="R199" s="9"/>
      <c r="S199" s="706" t="str">
        <f>+IF(JUNIO!S199=0,"",JUNIO!S199)</f>
        <v>4100100-2</v>
      </c>
      <c r="T199" s="682" t="str">
        <f>+IF(JUNIO!T199=0,"",JUNIO!T199)</f>
        <v>Material Médico Quirúrgico</v>
      </c>
      <c r="U199" s="27">
        <f>+ENERO!U199</f>
        <v>4177248000</v>
      </c>
      <c r="V199" s="15">
        <f>JUNIO!V199+JULIO!AL199</f>
        <v>0</v>
      </c>
      <c r="W199" s="15">
        <f>JUNIO!W199+JULIO!AM199</f>
        <v>125236928</v>
      </c>
      <c r="X199" s="18">
        <f t="shared" si="178"/>
        <v>4302484928</v>
      </c>
      <c r="Y199" s="19">
        <f>JUNIO!AA199</f>
        <v>2754505387</v>
      </c>
      <c r="Z199" s="374">
        <v>296906093</v>
      </c>
      <c r="AA199" s="18">
        <f t="shared" si="179"/>
        <v>3051411480</v>
      </c>
      <c r="AB199" s="19">
        <f>JUNIO!AD199</f>
        <v>2582143654</v>
      </c>
      <c r="AC199" s="374">
        <v>268022746</v>
      </c>
      <c r="AD199" s="18">
        <f t="shared" si="180"/>
        <v>2850166400</v>
      </c>
      <c r="AE199" s="19">
        <f>JUNIO!AG199</f>
        <v>560496582</v>
      </c>
      <c r="AF199" s="374">
        <v>284793056</v>
      </c>
      <c r="AG199" s="18">
        <f t="shared" si="181"/>
        <v>845289638</v>
      </c>
      <c r="AH199" s="19">
        <f t="shared" si="182"/>
        <v>1251073448</v>
      </c>
      <c r="AI199" s="15">
        <f t="shared" si="183"/>
        <v>1452318528</v>
      </c>
      <c r="AJ199" s="16">
        <f t="shared" si="184"/>
        <v>3457195290</v>
      </c>
      <c r="AK199" s="9"/>
      <c r="AL199" s="372">
        <v>0</v>
      </c>
      <c r="AM199" s="375">
        <v>0</v>
      </c>
      <c r="AN199" s="9"/>
    </row>
    <row r="200" spans="1:40" s="382" customFormat="1" ht="24.95" customHeight="1">
      <c r="A200" s="752"/>
      <c r="B200" s="661"/>
      <c r="N200" s="9"/>
      <c r="P200" s="9"/>
      <c r="Q200" s="9"/>
      <c r="R200" s="9"/>
      <c r="S200" s="706" t="str">
        <f>+IF(JUNIO!S200=0,"",JUNIO!S200)</f>
        <v>4100100-3</v>
      </c>
      <c r="T200" s="682" t="str">
        <f>+IF(JUNIO!T200=0,"",JUNIO!T200)</f>
        <v>Material de Laboratorio</v>
      </c>
      <c r="U200" s="27">
        <f>+ENERO!U200</f>
        <v>1300000000</v>
      </c>
      <c r="V200" s="15">
        <f>JUNIO!V200+JULIO!AL200</f>
        <v>100000000</v>
      </c>
      <c r="W200" s="15">
        <f>JUNIO!W200+JULIO!AM200</f>
        <v>0</v>
      </c>
      <c r="X200" s="18">
        <f t="shared" si="178"/>
        <v>1400000000</v>
      </c>
      <c r="Y200" s="19">
        <f>JUNIO!AA200</f>
        <v>1228288953</v>
      </c>
      <c r="Z200" s="374">
        <v>44277981</v>
      </c>
      <c r="AA200" s="18">
        <f t="shared" si="179"/>
        <v>1272566934</v>
      </c>
      <c r="AB200" s="19">
        <f>JUNIO!AD200</f>
        <v>700047774</v>
      </c>
      <c r="AC200" s="374">
        <v>110337196</v>
      </c>
      <c r="AD200" s="18">
        <f t="shared" si="180"/>
        <v>810384970</v>
      </c>
      <c r="AE200" s="19">
        <f>JUNIO!AG200</f>
        <v>172307621</v>
      </c>
      <c r="AF200" s="374">
        <v>110529380</v>
      </c>
      <c r="AG200" s="18">
        <f t="shared" si="181"/>
        <v>282837001</v>
      </c>
      <c r="AH200" s="19">
        <f t="shared" si="182"/>
        <v>127433066</v>
      </c>
      <c r="AI200" s="15">
        <f t="shared" si="183"/>
        <v>589615030</v>
      </c>
      <c r="AJ200" s="16">
        <f t="shared" si="184"/>
        <v>1117162999</v>
      </c>
      <c r="AK200" s="9"/>
      <c r="AL200" s="372">
        <v>100000000</v>
      </c>
      <c r="AM200" s="375">
        <v>0</v>
      </c>
      <c r="AN200" s="9"/>
    </row>
    <row r="201" spans="1:40" s="382" customFormat="1" ht="24.95" customHeight="1">
      <c r="A201" s="752"/>
      <c r="B201" s="661"/>
      <c r="N201" s="9"/>
      <c r="P201" s="9"/>
      <c r="Q201" s="9"/>
      <c r="R201" s="9"/>
      <c r="S201" s="706" t="str">
        <f>+IF(JUNIO!S201=0,"",JUNIO!S201)</f>
        <v>4100100-4</v>
      </c>
      <c r="T201" s="682" t="str">
        <f>+IF(JUNIO!T201=0,"",JUNIO!T201)</f>
        <v>Material para Odontologia</v>
      </c>
      <c r="U201" s="27">
        <f>+ENERO!U201</f>
        <v>0</v>
      </c>
      <c r="V201" s="15">
        <f>JUNIO!V201+JULIO!AL201</f>
        <v>0</v>
      </c>
      <c r="W201" s="15">
        <f>JUNIO!W201+JULIO!AM201</f>
        <v>0</v>
      </c>
      <c r="X201" s="18">
        <f t="shared" si="178"/>
        <v>0</v>
      </c>
      <c r="Y201" s="19">
        <f>JUNIO!AA201</f>
        <v>0</v>
      </c>
      <c r="Z201" s="374">
        <v>0</v>
      </c>
      <c r="AA201" s="18">
        <f t="shared" si="179"/>
        <v>0</v>
      </c>
      <c r="AB201" s="19">
        <f>JUNIO!AD201</f>
        <v>0</v>
      </c>
      <c r="AC201" s="374">
        <v>0</v>
      </c>
      <c r="AD201" s="18">
        <f t="shared" si="180"/>
        <v>0</v>
      </c>
      <c r="AE201" s="19">
        <f>JUNIO!AG201</f>
        <v>0</v>
      </c>
      <c r="AF201" s="374">
        <v>0</v>
      </c>
      <c r="AG201" s="18">
        <f t="shared" si="181"/>
        <v>0</v>
      </c>
      <c r="AH201" s="19">
        <f t="shared" si="182"/>
        <v>0</v>
      </c>
      <c r="AI201" s="15">
        <f t="shared" si="183"/>
        <v>0</v>
      </c>
      <c r="AJ201" s="16">
        <f t="shared" si="184"/>
        <v>0</v>
      </c>
      <c r="AK201" s="9"/>
      <c r="AL201" s="372">
        <v>0</v>
      </c>
      <c r="AM201" s="375">
        <v>0</v>
      </c>
      <c r="AN201" s="9"/>
    </row>
    <row r="202" spans="1:40" s="382" customFormat="1" ht="24.95" customHeight="1">
      <c r="A202" s="752"/>
      <c r="B202" s="661"/>
      <c r="N202" s="9"/>
      <c r="P202" s="9"/>
      <c r="Q202" s="9"/>
      <c r="R202" s="9"/>
      <c r="S202" s="706" t="str">
        <f>+IF(JUNIO!S202=0,"",JUNIO!S202)</f>
        <v>4100100-5</v>
      </c>
      <c r="T202" s="682" t="str">
        <f>+IF(JUNIO!T202=0,"",JUNIO!T202)</f>
        <v>Material para Rayos X</v>
      </c>
      <c r="U202" s="27">
        <f>+ENERO!U202</f>
        <v>1300000000</v>
      </c>
      <c r="V202" s="15">
        <f>JUNIO!V202+JULIO!AL202</f>
        <v>-100000000</v>
      </c>
      <c r="W202" s="15">
        <f>JUNIO!W202+JULIO!AM202</f>
        <v>0</v>
      </c>
      <c r="X202" s="18">
        <f t="shared" si="178"/>
        <v>1200000000</v>
      </c>
      <c r="Y202" s="19">
        <f>JUNIO!AA202</f>
        <v>583462916</v>
      </c>
      <c r="Z202" s="374">
        <v>0</v>
      </c>
      <c r="AA202" s="18">
        <f t="shared" si="179"/>
        <v>583462916</v>
      </c>
      <c r="AB202" s="19">
        <f>JUNIO!AD202</f>
        <v>318115932</v>
      </c>
      <c r="AC202" s="374">
        <v>23342713</v>
      </c>
      <c r="AD202" s="18">
        <f t="shared" si="180"/>
        <v>341458645</v>
      </c>
      <c r="AE202" s="19">
        <f>JUNIO!AG202</f>
        <v>74124160</v>
      </c>
      <c r="AF202" s="374">
        <v>46485232</v>
      </c>
      <c r="AG202" s="18">
        <f t="shared" si="181"/>
        <v>120609392</v>
      </c>
      <c r="AH202" s="19">
        <f t="shared" si="182"/>
        <v>616537084</v>
      </c>
      <c r="AI202" s="15">
        <f t="shared" si="183"/>
        <v>858541355</v>
      </c>
      <c r="AJ202" s="16">
        <f t="shared" si="184"/>
        <v>1079390608</v>
      </c>
      <c r="AK202" s="9"/>
      <c r="AL202" s="372">
        <v>-100000000</v>
      </c>
      <c r="AM202" s="375">
        <v>0</v>
      </c>
      <c r="AN202" s="9"/>
    </row>
    <row r="203" spans="1:40" s="382" customFormat="1" ht="24.95" customHeight="1">
      <c r="A203" s="752"/>
      <c r="B203" s="661"/>
      <c r="N203" s="9"/>
      <c r="P203" s="9"/>
      <c r="Q203" s="9"/>
      <c r="R203" s="9"/>
      <c r="S203" s="706" t="str">
        <f>+IF(JUNIO!S203=0,"",JUNIO!S203)</f>
        <v/>
      </c>
      <c r="T203" s="682" t="str">
        <f>+IF(JUNIO!T203=0,"",JUNIO!T203)</f>
        <v/>
      </c>
      <c r="U203" s="27">
        <f>+ENERO!U203</f>
        <v>0</v>
      </c>
      <c r="V203" s="15">
        <f>JUNIO!V203+JULIO!AL203</f>
        <v>0</v>
      </c>
      <c r="W203" s="15">
        <f>JUNIO!W203+JULIO!AM203</f>
        <v>0</v>
      </c>
      <c r="X203" s="18">
        <f t="shared" si="178"/>
        <v>0</v>
      </c>
      <c r="Y203" s="19">
        <f>JUNIO!AA203</f>
        <v>0</v>
      </c>
      <c r="Z203" s="374">
        <v>0</v>
      </c>
      <c r="AA203" s="18">
        <f t="shared" si="179"/>
        <v>0</v>
      </c>
      <c r="AB203" s="19">
        <f>JUNIO!AD203</f>
        <v>0</v>
      </c>
      <c r="AC203" s="374">
        <v>0</v>
      </c>
      <c r="AD203" s="18">
        <f t="shared" si="180"/>
        <v>0</v>
      </c>
      <c r="AE203" s="19">
        <f>JUNIO!AG203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2"/>
      <c r="B204" s="661"/>
      <c r="N204" s="9"/>
      <c r="P204" s="9"/>
      <c r="Q204" s="9"/>
      <c r="R204" s="9"/>
      <c r="S204" s="706" t="str">
        <f>+IF(JUNIO!S204=0,"",JUNIO!S204)</f>
        <v/>
      </c>
      <c r="T204" s="682" t="str">
        <f>+IF(JUNIO!T204=0,"",JUNIO!T204)</f>
        <v/>
      </c>
      <c r="U204" s="27">
        <f>+ENERO!U204</f>
        <v>0</v>
      </c>
      <c r="V204" s="15">
        <f>JUNIO!V204+JULIO!AL204</f>
        <v>0</v>
      </c>
      <c r="W204" s="15">
        <f>JUNIO!W204+JULIO!AM204</f>
        <v>0</v>
      </c>
      <c r="X204" s="18">
        <f t="shared" si="178"/>
        <v>0</v>
      </c>
      <c r="Y204" s="19">
        <f>JUNIO!AA204</f>
        <v>0</v>
      </c>
      <c r="Z204" s="374">
        <v>0</v>
      </c>
      <c r="AA204" s="18">
        <f t="shared" si="179"/>
        <v>0</v>
      </c>
      <c r="AB204" s="19">
        <f>JUNIO!AD204</f>
        <v>0</v>
      </c>
      <c r="AC204" s="374">
        <v>0</v>
      </c>
      <c r="AD204" s="18">
        <f t="shared" si="180"/>
        <v>0</v>
      </c>
      <c r="AE204" s="19">
        <f>JUNIO!AG204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2"/>
      <c r="B205" s="661"/>
      <c r="N205" s="9"/>
      <c r="P205" s="9"/>
      <c r="Q205" s="9"/>
      <c r="R205" s="9"/>
      <c r="S205" s="705">
        <f>+IF(JUNIO!S205=0,"",JUNIO!S205)</f>
        <v>4100200</v>
      </c>
      <c r="T205" s="681" t="str">
        <f>+IF(JUNIO!T205=0,"",JUNIO!T205)</f>
        <v>Gastos Complementarios e Intermedios</v>
      </c>
      <c r="U205" s="27">
        <f t="shared" ref="U205:AJ205" si="185">U206</f>
        <v>1500000000</v>
      </c>
      <c r="V205" s="15">
        <f t="shared" si="185"/>
        <v>0</v>
      </c>
      <c r="W205" s="15">
        <f t="shared" si="185"/>
        <v>343424341</v>
      </c>
      <c r="X205" s="18">
        <f t="shared" si="185"/>
        <v>1843424341</v>
      </c>
      <c r="Y205" s="19">
        <f t="shared" si="185"/>
        <v>1220551379</v>
      </c>
      <c r="Z205" s="142">
        <f t="shared" si="185"/>
        <v>0</v>
      </c>
      <c r="AA205" s="18">
        <f t="shared" si="185"/>
        <v>1220551379</v>
      </c>
      <c r="AB205" s="19">
        <f t="shared" si="185"/>
        <v>827156276</v>
      </c>
      <c r="AC205" s="142">
        <f t="shared" si="185"/>
        <v>138714675</v>
      </c>
      <c r="AD205" s="18">
        <f t="shared" si="185"/>
        <v>965870951</v>
      </c>
      <c r="AE205" s="19">
        <f t="shared" si="185"/>
        <v>124669982</v>
      </c>
      <c r="AF205" s="142">
        <f t="shared" si="185"/>
        <v>0</v>
      </c>
      <c r="AG205" s="18">
        <f t="shared" si="185"/>
        <v>124669982</v>
      </c>
      <c r="AH205" s="19">
        <f t="shared" si="185"/>
        <v>622872962</v>
      </c>
      <c r="AI205" s="15">
        <f t="shared" si="185"/>
        <v>877553390</v>
      </c>
      <c r="AJ205" s="16">
        <f t="shared" si="185"/>
        <v>1718754359</v>
      </c>
      <c r="AK205" s="9"/>
      <c r="AL205" s="29">
        <f>AL206</f>
        <v>0</v>
      </c>
      <c r="AM205" s="26">
        <f>AM206</f>
        <v>0</v>
      </c>
      <c r="AN205" s="9"/>
    </row>
    <row r="206" spans="1:40" s="382" customFormat="1" ht="24.95" customHeight="1">
      <c r="A206" s="752"/>
      <c r="B206" s="661"/>
      <c r="N206" s="9"/>
      <c r="P206" s="9"/>
      <c r="Q206" s="9"/>
      <c r="R206" s="9"/>
      <c r="S206" s="706" t="str">
        <f>+IF(JUNIO!S206=0,"",JUNIO!S206)</f>
        <v>4100200-1</v>
      </c>
      <c r="T206" s="682" t="str">
        <f>+IF(JUNIO!T206=0,"",JUNIO!T206)</f>
        <v>Alimentación</v>
      </c>
      <c r="U206" s="27">
        <f>+ENERO!U206</f>
        <v>1500000000</v>
      </c>
      <c r="V206" s="15">
        <f>JUNIO!V206+JULIO!AL206</f>
        <v>0</v>
      </c>
      <c r="W206" s="15">
        <f>JUNIO!W206+JULIO!AM206</f>
        <v>343424341</v>
      </c>
      <c r="X206" s="18">
        <f>SUM(U206:W206)</f>
        <v>1843424341</v>
      </c>
      <c r="Y206" s="19">
        <f>JUNIO!AA206</f>
        <v>1220551379</v>
      </c>
      <c r="Z206" s="374">
        <v>0</v>
      </c>
      <c r="AA206" s="18">
        <f>SUM(Y206:Z206)</f>
        <v>1220551379</v>
      </c>
      <c r="AB206" s="19">
        <f>JUNIO!AD206</f>
        <v>827156276</v>
      </c>
      <c r="AC206" s="374">
        <v>138714675</v>
      </c>
      <c r="AD206" s="18">
        <f>SUM(AB206:AC206)</f>
        <v>965870951</v>
      </c>
      <c r="AE206" s="19">
        <f>JUNIO!AG206</f>
        <v>124669982</v>
      </c>
      <c r="AF206" s="374">
        <v>0</v>
      </c>
      <c r="AG206" s="18">
        <f>SUM(AE206:AF206)</f>
        <v>124669982</v>
      </c>
      <c r="AH206" s="19">
        <f>X206-AA206</f>
        <v>622872962</v>
      </c>
      <c r="AI206" s="15">
        <f>X206-AD206</f>
        <v>877553390</v>
      </c>
      <c r="AJ206" s="16">
        <f>X206-AG206</f>
        <v>1718754359</v>
      </c>
      <c r="AK206" s="9"/>
      <c r="AL206" s="372">
        <v>0</v>
      </c>
      <c r="AM206" s="375">
        <v>0</v>
      </c>
      <c r="AN206" s="9"/>
    </row>
    <row r="207" spans="1:40" s="382" customFormat="1" ht="24.95" customHeight="1" thickBot="1">
      <c r="A207" s="752"/>
      <c r="B207" s="661"/>
      <c r="N207" s="9"/>
      <c r="P207" s="9"/>
      <c r="Q207" s="9"/>
      <c r="R207" s="9"/>
      <c r="S207" s="710">
        <f>+IF(JUNIO!S207=0,"",JUNIO!S207)</f>
        <v>4199999</v>
      </c>
      <c r="T207" s="687" t="str">
        <f>+IF(JUNIO!T207=0,"",JUNIO!T207)</f>
        <v>Vigencias Anteriores</v>
      </c>
      <c r="U207" s="133">
        <f>+ENERO!U207</f>
        <v>0</v>
      </c>
      <c r="V207" s="121">
        <f>JUNIO!V207+JULIO!AL207</f>
        <v>359512226</v>
      </c>
      <c r="W207" s="121">
        <f>JUNIO!W207+JULIO!AM207</f>
        <v>2315318807</v>
      </c>
      <c r="X207" s="126">
        <f>SUM(U207:W207)</f>
        <v>2674831033</v>
      </c>
      <c r="Y207" s="124">
        <f>JUNIO!AA207</f>
        <v>2524035809</v>
      </c>
      <c r="Z207" s="388">
        <v>150795224</v>
      </c>
      <c r="AA207" s="126">
        <f>SUM(Y207:Z207)</f>
        <v>2674831033</v>
      </c>
      <c r="AB207" s="124">
        <f>JUNIO!AD207</f>
        <v>2524035809</v>
      </c>
      <c r="AC207" s="388">
        <v>150795224</v>
      </c>
      <c r="AD207" s="126">
        <f>SUM(AB207:AC207)</f>
        <v>2674831033</v>
      </c>
      <c r="AE207" s="124">
        <f>JUNIO!AG207</f>
        <v>2506121809</v>
      </c>
      <c r="AF207" s="388">
        <v>150795224</v>
      </c>
      <c r="AG207" s="126">
        <f>SUM(AE207:AF207)</f>
        <v>2656917033</v>
      </c>
      <c r="AH207" s="124">
        <f>X207-AA207</f>
        <v>0</v>
      </c>
      <c r="AI207" s="121">
        <f>X207-AD207</f>
        <v>0</v>
      </c>
      <c r="AJ207" s="125">
        <f>X207-AG207</f>
        <v>17914000</v>
      </c>
      <c r="AK207" s="9"/>
      <c r="AL207" s="384">
        <v>-47076073</v>
      </c>
      <c r="AM207" s="389">
        <v>0</v>
      </c>
      <c r="AN207" s="9"/>
    </row>
    <row r="208" spans="1:40" s="382" customFormat="1" ht="24.95" customHeight="1">
      <c r="A208" s="752"/>
      <c r="B208" s="661"/>
      <c r="N208" s="9"/>
      <c r="P208" s="9"/>
      <c r="Q208" s="9"/>
      <c r="R208" s="9"/>
      <c r="S208" s="489" t="str">
        <f>+IF(JUNIO!S208=0,"",JUNIO!S208)</f>
        <v/>
      </c>
      <c r="T208" s="688" t="str">
        <f>+IF(JUNIO!T208=0,"",JUNIO!T208)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2"/>
      <c r="B209" s="661"/>
      <c r="N209" s="9"/>
      <c r="P209" s="9"/>
      <c r="Q209" s="9"/>
      <c r="R209" s="9"/>
      <c r="S209" s="703">
        <f>+IF(JUNIO!S209=0,"",JUNIO!S209)</f>
        <v>5000000</v>
      </c>
      <c r="T209" s="727" t="str">
        <f>+IF(JUNIO!T209=0,"",JUNIO!T209)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2"/>
      <c r="B210" s="661"/>
      <c r="N210" s="9"/>
      <c r="P210" s="9"/>
      <c r="Q210" s="9"/>
      <c r="R210" s="9"/>
      <c r="S210" s="704">
        <f>+IF(JUNIO!S210=0,"",JUNIO!S210)</f>
        <v>5100000</v>
      </c>
      <c r="T210" s="680" t="str">
        <f>+IF(JUNIO!T210=0,"",JUNIO!T210)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2"/>
      <c r="B211" s="661"/>
      <c r="N211" s="9"/>
      <c r="P211" s="9"/>
      <c r="Q211" s="9"/>
      <c r="R211" s="9"/>
      <c r="S211" s="705">
        <f>+IF(JUNIO!S211=0,"",JUNIO!S211)</f>
        <v>5100100</v>
      </c>
      <c r="T211" s="681" t="str">
        <f>+IF(JUNIO!T211=0,"",JUNIO!T211)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2"/>
      <c r="B212" s="661"/>
      <c r="N212" s="9"/>
      <c r="P212" s="9"/>
      <c r="Q212" s="9"/>
      <c r="R212" s="9"/>
      <c r="S212" s="706" t="str">
        <f>+IF(JUNIO!S212=0,"",JUNIO!S212)</f>
        <v>5100100-1</v>
      </c>
      <c r="T212" s="682" t="str">
        <f>+IF(JUNIO!T212=0,"",JUNIO!T212)</f>
        <v>Productos Farmaceuticos</v>
      </c>
      <c r="U212" s="27">
        <f>+ENERO!U212</f>
        <v>0</v>
      </c>
      <c r="V212" s="15">
        <f>JUNIO!V212+JULIO!AL212</f>
        <v>0</v>
      </c>
      <c r="W212" s="15">
        <f>JUNIO!W212+JULIO!AM212</f>
        <v>0</v>
      </c>
      <c r="X212" s="18">
        <f t="shared" ref="X212:X218" si="189">SUM(U212:W212)</f>
        <v>0</v>
      </c>
      <c r="Y212" s="19">
        <f>JUNIO!AA212</f>
        <v>0</v>
      </c>
      <c r="Z212" s="374">
        <v>0</v>
      </c>
      <c r="AA212" s="18">
        <f t="shared" ref="AA212:AA218" si="190">SUM(Y212:Z212)</f>
        <v>0</v>
      </c>
      <c r="AB212" s="19">
        <f>JUNIO!AD212</f>
        <v>0</v>
      </c>
      <c r="AC212" s="374">
        <v>0</v>
      </c>
      <c r="AD212" s="18">
        <f t="shared" ref="AD212:AD218" si="191">SUM(AB212:AC212)</f>
        <v>0</v>
      </c>
      <c r="AE212" s="19">
        <f>JUNIO!AG212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2"/>
      <c r="B213" s="661"/>
      <c r="N213" s="9"/>
      <c r="P213" s="9"/>
      <c r="Q213" s="9"/>
      <c r="R213" s="9"/>
      <c r="S213" s="706" t="str">
        <f>+IF(JUNIO!S213=0,"",JUNIO!S213)</f>
        <v>5100100-2</v>
      </c>
      <c r="T213" s="682" t="str">
        <f>+IF(JUNIO!T213=0,"",JUNIO!T213)</f>
        <v>Material Médico Quirúrgico</v>
      </c>
      <c r="U213" s="27">
        <f>+ENERO!U213</f>
        <v>0</v>
      </c>
      <c r="V213" s="15">
        <f>JUNIO!V213+JULIO!AL213</f>
        <v>0</v>
      </c>
      <c r="W213" s="15">
        <f>JUNIO!W213+JULIO!AM213</f>
        <v>0</v>
      </c>
      <c r="X213" s="18">
        <f t="shared" si="189"/>
        <v>0</v>
      </c>
      <c r="Y213" s="19">
        <f>JUNIO!AA213</f>
        <v>0</v>
      </c>
      <c r="Z213" s="374">
        <v>0</v>
      </c>
      <c r="AA213" s="18">
        <f t="shared" si="190"/>
        <v>0</v>
      </c>
      <c r="AB213" s="19">
        <f>JUNIO!AD213</f>
        <v>0</v>
      </c>
      <c r="AC213" s="374">
        <v>0</v>
      </c>
      <c r="AD213" s="18">
        <f t="shared" si="191"/>
        <v>0</v>
      </c>
      <c r="AE213" s="19">
        <f>JUNIO!AG213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2"/>
      <c r="B214" s="661"/>
      <c r="N214" s="9"/>
      <c r="P214" s="9"/>
      <c r="Q214" s="9"/>
      <c r="R214" s="9"/>
      <c r="S214" s="706" t="str">
        <f>+IF(JUNIO!S214=0,"",JUNIO!S214)</f>
        <v>5100100-3</v>
      </c>
      <c r="T214" s="682" t="str">
        <f>+IF(JUNIO!T214=0,"",JUNIO!T214)</f>
        <v>Material de Laboratorio</v>
      </c>
      <c r="U214" s="27">
        <f>+ENERO!U214</f>
        <v>0</v>
      </c>
      <c r="V214" s="15">
        <f>JUNIO!V214+JULIO!AL214</f>
        <v>0</v>
      </c>
      <c r="W214" s="15">
        <f>JUNIO!W214+JULIO!AM214</f>
        <v>0</v>
      </c>
      <c r="X214" s="18">
        <f t="shared" si="189"/>
        <v>0</v>
      </c>
      <c r="Y214" s="19">
        <f>JUNIO!AA214</f>
        <v>0</v>
      </c>
      <c r="Z214" s="374">
        <v>0</v>
      </c>
      <c r="AA214" s="18">
        <f t="shared" si="190"/>
        <v>0</v>
      </c>
      <c r="AB214" s="19">
        <f>JUNIO!AD214</f>
        <v>0</v>
      </c>
      <c r="AC214" s="374">
        <v>0</v>
      </c>
      <c r="AD214" s="18">
        <f t="shared" si="191"/>
        <v>0</v>
      </c>
      <c r="AE214" s="19">
        <f>JUNIO!AG214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2"/>
      <c r="B215" s="661"/>
      <c r="N215" s="9"/>
      <c r="P215" s="9"/>
      <c r="Q215" s="9"/>
      <c r="R215" s="9"/>
      <c r="S215" s="706" t="str">
        <f>+IF(JUNIO!S215=0,"",JUNIO!S215)</f>
        <v>5100100-4</v>
      </c>
      <c r="T215" s="682" t="str">
        <f>+IF(JUNIO!T215=0,"",JUNIO!T215)</f>
        <v>Material para Odontologia</v>
      </c>
      <c r="U215" s="27">
        <f>+ENERO!U215</f>
        <v>0</v>
      </c>
      <c r="V215" s="15">
        <f>JUNIO!V215+JULIO!AL215</f>
        <v>0</v>
      </c>
      <c r="W215" s="15">
        <f>JUNIO!W215+JULIO!AM215</f>
        <v>0</v>
      </c>
      <c r="X215" s="18">
        <f t="shared" si="189"/>
        <v>0</v>
      </c>
      <c r="Y215" s="19">
        <f>JUNIO!AA215</f>
        <v>0</v>
      </c>
      <c r="Z215" s="374">
        <v>0</v>
      </c>
      <c r="AA215" s="18">
        <f t="shared" si="190"/>
        <v>0</v>
      </c>
      <c r="AB215" s="19">
        <f>JUNIO!AD215</f>
        <v>0</v>
      </c>
      <c r="AC215" s="374">
        <v>0</v>
      </c>
      <c r="AD215" s="18">
        <f t="shared" si="191"/>
        <v>0</v>
      </c>
      <c r="AE215" s="19">
        <f>JUNIO!AG215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2"/>
      <c r="B216" s="661"/>
      <c r="N216" s="9"/>
      <c r="P216" s="9"/>
      <c r="Q216" s="9"/>
      <c r="R216" s="9"/>
      <c r="S216" s="706" t="str">
        <f>+IF(JUNIO!S216=0,"",JUNIO!S216)</f>
        <v>5100100-5</v>
      </c>
      <c r="T216" s="682" t="str">
        <f>+IF(JUNIO!T216=0,"",JUNIO!T216)</f>
        <v>Material para Rayos X</v>
      </c>
      <c r="U216" s="27">
        <f>+ENERO!U216</f>
        <v>0</v>
      </c>
      <c r="V216" s="15">
        <f>JUNIO!V216+JULIO!AL216</f>
        <v>0</v>
      </c>
      <c r="W216" s="15">
        <f>JUNIO!W216+JULIO!AM216</f>
        <v>0</v>
      </c>
      <c r="X216" s="18">
        <f t="shared" si="189"/>
        <v>0</v>
      </c>
      <c r="Y216" s="19">
        <f>JUNIO!AA216</f>
        <v>0</v>
      </c>
      <c r="Z216" s="374">
        <v>0</v>
      </c>
      <c r="AA216" s="18">
        <f t="shared" si="190"/>
        <v>0</v>
      </c>
      <c r="AB216" s="19">
        <f>JUNIO!AD216</f>
        <v>0</v>
      </c>
      <c r="AC216" s="374">
        <v>0</v>
      </c>
      <c r="AD216" s="18">
        <f t="shared" si="191"/>
        <v>0</v>
      </c>
      <c r="AE216" s="19">
        <f>JUNIO!AG216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2"/>
      <c r="B217" s="661"/>
      <c r="N217" s="9"/>
      <c r="P217" s="9"/>
      <c r="Q217" s="9"/>
      <c r="R217" s="9"/>
      <c r="S217" s="706" t="str">
        <f>+IF(JUNIO!S217=0,"",JUNIO!S217)</f>
        <v>5100100-6</v>
      </c>
      <c r="T217" s="682" t="str">
        <f>+IF(JUNIO!T217=0,"",JUNIO!T217)</f>
        <v>Material aseo personal, etc.</v>
      </c>
      <c r="U217" s="27">
        <f>+ENERO!U217</f>
        <v>0</v>
      </c>
      <c r="V217" s="15">
        <f>JUNIO!V217+JULIO!AL217</f>
        <v>0</v>
      </c>
      <c r="W217" s="15">
        <f>JUNIO!W217+JULIO!AM217</f>
        <v>0</v>
      </c>
      <c r="X217" s="18">
        <f t="shared" si="189"/>
        <v>0</v>
      </c>
      <c r="Y217" s="19">
        <f>JUNIO!AA217</f>
        <v>0</v>
      </c>
      <c r="Z217" s="374">
        <v>0</v>
      </c>
      <c r="AA217" s="18">
        <f t="shared" si="190"/>
        <v>0</v>
      </c>
      <c r="AB217" s="19">
        <f>JUNIO!AD217</f>
        <v>0</v>
      </c>
      <c r="AC217" s="374">
        <v>0</v>
      </c>
      <c r="AD217" s="18">
        <f t="shared" si="191"/>
        <v>0</v>
      </c>
      <c r="AE217" s="19">
        <f>JUNIO!AG217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2"/>
      <c r="B218" s="661"/>
      <c r="N218" s="9"/>
      <c r="P218" s="9"/>
      <c r="Q218" s="9"/>
      <c r="R218" s="9"/>
      <c r="S218" s="717">
        <f>+IF(JUNIO!S218=0,"",JUNIO!S218)</f>
        <v>5199999</v>
      </c>
      <c r="T218" s="697" t="str">
        <f>+IF(JUNIO!T218=0,"",JUNIO!T218)</f>
        <v>Vigencias Anteriores</v>
      </c>
      <c r="U218" s="133">
        <f>+ENERO!U218</f>
        <v>0</v>
      </c>
      <c r="V218" s="121">
        <f>JUNIO!V218+JULIO!AL218</f>
        <v>0</v>
      </c>
      <c r="W218" s="121">
        <f>JUNIO!W218+JULIO!AM218</f>
        <v>0</v>
      </c>
      <c r="X218" s="126">
        <f t="shared" si="189"/>
        <v>0</v>
      </c>
      <c r="Y218" s="124">
        <f>JUNIO!AA218</f>
        <v>0</v>
      </c>
      <c r="Z218" s="388">
        <v>0</v>
      </c>
      <c r="AA218" s="126">
        <f t="shared" si="190"/>
        <v>0</v>
      </c>
      <c r="AB218" s="124">
        <f>JUNIO!AD218</f>
        <v>0</v>
      </c>
      <c r="AC218" s="388">
        <v>0</v>
      </c>
      <c r="AD218" s="126">
        <f t="shared" si="191"/>
        <v>0</v>
      </c>
      <c r="AE218" s="124">
        <f>JUNIO!AG218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2"/>
      <c r="B219" s="661"/>
      <c r="N219" s="9"/>
      <c r="P219" s="9"/>
      <c r="Q219" s="9"/>
      <c r="R219" s="9"/>
      <c r="S219" s="495" t="str">
        <f>+IF(JUNIO!S219=0,"",JUNIO!S219)</f>
        <v/>
      </c>
      <c r="T219" s="694" t="str">
        <f>+IF(JUNIO!T219=0,"",JUNIO!T219)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2"/>
      <c r="B220" s="661"/>
      <c r="N220" s="9"/>
      <c r="P220" s="9"/>
      <c r="Q220" s="9"/>
      <c r="R220" s="9"/>
      <c r="S220" s="357" t="str">
        <f>+IF(JUNIO!S220=0,"",JUNIO!S220)</f>
        <v>C</v>
      </c>
      <c r="T220" s="676" t="str">
        <f>+IF(JUNIO!T220=0,"",JUNIO!T220)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2"/>
      <c r="B221" s="661"/>
      <c r="N221" s="9"/>
      <c r="P221" s="9"/>
      <c r="Q221" s="9"/>
      <c r="R221" s="9"/>
      <c r="S221" s="366" t="str">
        <f>+IF(JUNIO!S221=0,"",JUNIO!S221)</f>
        <v/>
      </c>
      <c r="T221" s="695"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2"/>
      <c r="B222" s="661"/>
      <c r="N222" s="9"/>
      <c r="P222" s="9"/>
      <c r="Q222" s="9"/>
      <c r="R222" s="9"/>
      <c r="S222" s="704">
        <f>+IF(JUNIO!S222=0,"",JUNIO!S222)</f>
        <v>7001000</v>
      </c>
      <c r="T222" s="680" t="str">
        <f>+IF(JUNIO!T222=0,"",JUNIO!T222)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2"/>
      <c r="B223" s="661"/>
      <c r="N223" s="9"/>
      <c r="P223" s="9"/>
      <c r="Q223" s="9"/>
      <c r="R223" s="9"/>
      <c r="S223" s="705">
        <f>+IF(JUNIO!S223=0,"",JUNIO!S223)</f>
        <v>7001100</v>
      </c>
      <c r="T223" s="681" t="str">
        <f>+IF(JUNIO!T223=0,"",JUNIO!T223)</f>
        <v>Amortización deuda Pública Interna</v>
      </c>
      <c r="U223" s="27">
        <f>+ENERO!U223</f>
        <v>0</v>
      </c>
      <c r="V223" s="15">
        <f>JUNIO!V223+JULIO!AL223</f>
        <v>0</v>
      </c>
      <c r="W223" s="15">
        <f>JUNIO!W223+JULIO!AM223</f>
        <v>0</v>
      </c>
      <c r="X223" s="18">
        <f>SUM(U223:W223)</f>
        <v>0</v>
      </c>
      <c r="Y223" s="19">
        <f>JUNIO!AA223</f>
        <v>0</v>
      </c>
      <c r="Z223" s="374">
        <v>0</v>
      </c>
      <c r="AA223" s="18">
        <f>SUM(Y223:Z223)</f>
        <v>0</v>
      </c>
      <c r="AB223" s="19">
        <f>JUNIO!AD223</f>
        <v>0</v>
      </c>
      <c r="AC223" s="374">
        <v>0</v>
      </c>
      <c r="AD223" s="18">
        <f>SUM(AB223:AC223)</f>
        <v>0</v>
      </c>
      <c r="AE223" s="19">
        <f>JUNIO!AG223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2"/>
      <c r="B224" s="661"/>
      <c r="N224" s="9"/>
      <c r="P224" s="9"/>
      <c r="Q224" s="9"/>
      <c r="R224" s="9"/>
      <c r="S224" s="705">
        <f>+IF(JUNIO!S224=0,"",JUNIO!S224)</f>
        <v>7001200</v>
      </c>
      <c r="T224" s="681" t="str">
        <f>+IF(JUNIO!T224=0,"",JUNIO!T224)</f>
        <v>Intereses Comisiones y gastos de la Deuda Pública</v>
      </c>
      <c r="U224" s="27">
        <f>+ENERO!U224</f>
        <v>0</v>
      </c>
      <c r="V224" s="15">
        <f>JUNIO!V224+JULIO!AL224</f>
        <v>0</v>
      </c>
      <c r="W224" s="15">
        <f>JUNIO!W224+JULIO!AM224</f>
        <v>0</v>
      </c>
      <c r="X224" s="18">
        <f>SUM(U224:W224)</f>
        <v>0</v>
      </c>
      <c r="Y224" s="19">
        <f>JUNIO!AA224</f>
        <v>0</v>
      </c>
      <c r="Z224" s="374">
        <v>0</v>
      </c>
      <c r="AA224" s="18">
        <f>SUM(Y224:Z224)</f>
        <v>0</v>
      </c>
      <c r="AB224" s="19">
        <f>JUNIO!AD224</f>
        <v>0</v>
      </c>
      <c r="AC224" s="374">
        <v>0</v>
      </c>
      <c r="AD224" s="18">
        <f>SUM(AB224:AC224)</f>
        <v>0</v>
      </c>
      <c r="AE224" s="19">
        <f>JUNIO!AG224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2"/>
      <c r="B225" s="661"/>
      <c r="N225" s="9"/>
      <c r="P225" s="9"/>
      <c r="Q225" s="9"/>
      <c r="R225" s="9"/>
      <c r="S225" s="705">
        <f>+IF(JUNIO!S225=0,"",JUNIO!S225)</f>
        <v>7001999</v>
      </c>
      <c r="T225" s="681" t="str">
        <f>+IF(JUNIO!T225=0,"",JUNIO!T225)</f>
        <v>Vigencias Anteriores</v>
      </c>
      <c r="U225" s="27">
        <f>+ENERO!U225</f>
        <v>0</v>
      </c>
      <c r="V225" s="15">
        <f>JUNIO!V225+JULIO!AL225</f>
        <v>0</v>
      </c>
      <c r="W225" s="15">
        <f>JUNIO!W225+JULIO!AM225</f>
        <v>0</v>
      </c>
      <c r="X225" s="18">
        <f>SUM(U225:W225)</f>
        <v>0</v>
      </c>
      <c r="Y225" s="19">
        <f>JUNIO!AA225</f>
        <v>0</v>
      </c>
      <c r="Z225" s="374">
        <v>0</v>
      </c>
      <c r="AA225" s="18">
        <f>SUM(Y225:Z225)</f>
        <v>0</v>
      </c>
      <c r="AB225" s="19">
        <f>JUNIO!AD225</f>
        <v>0</v>
      </c>
      <c r="AC225" s="374">
        <v>0</v>
      </c>
      <c r="AD225" s="18">
        <f>SUM(AB225:AC225)</f>
        <v>0</v>
      </c>
      <c r="AE225" s="19">
        <f>JUNIO!AG225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2"/>
      <c r="B226" s="661"/>
      <c r="N226" s="9"/>
      <c r="P226" s="9"/>
      <c r="Q226" s="9"/>
      <c r="R226" s="9"/>
      <c r="S226" s="366" t="str">
        <f>+IF(JUNIO!S226=0,"",JUNIO!S226)</f>
        <v/>
      </c>
      <c r="T226" s="695"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2"/>
      <c r="B227" s="661"/>
      <c r="N227" s="9"/>
      <c r="P227" s="9"/>
      <c r="Q227" s="9"/>
      <c r="R227" s="9"/>
      <c r="S227" s="704">
        <f>+IF(JUNIO!S227=0,"",JUNIO!S227)</f>
        <v>7002001</v>
      </c>
      <c r="T227" s="680" t="str">
        <f>+IF(JUNIO!T227=0,"",JUNIO!T227)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2"/>
      <c r="B228" s="661"/>
      <c r="N228" s="9"/>
      <c r="P228" s="9"/>
      <c r="Q228" s="9"/>
      <c r="R228" s="9"/>
      <c r="S228" s="705">
        <f>+IF(JUNIO!S228=0,"",JUNIO!S228)</f>
        <v>7002100</v>
      </c>
      <c r="T228" s="681" t="str">
        <f>+IF(JUNIO!T228=0,"",JUNIO!T228)</f>
        <v>Amortización deuda Pública Externa</v>
      </c>
      <c r="U228" s="27">
        <f>+ENERO!U228</f>
        <v>0</v>
      </c>
      <c r="V228" s="15">
        <f>JUNIO!V228+JULIO!AL228</f>
        <v>0</v>
      </c>
      <c r="W228" s="15">
        <f>JUNIO!W228+JULIO!AM228</f>
        <v>0</v>
      </c>
      <c r="X228" s="18">
        <f>SUM(U228:W228)</f>
        <v>0</v>
      </c>
      <c r="Y228" s="19">
        <f>JUNIO!AA228</f>
        <v>0</v>
      </c>
      <c r="Z228" s="374">
        <v>0</v>
      </c>
      <c r="AA228" s="18">
        <f>SUM(Y228:Z228)</f>
        <v>0</v>
      </c>
      <c r="AB228" s="19">
        <f>JUNIO!AD228</f>
        <v>0</v>
      </c>
      <c r="AC228" s="374">
        <v>0</v>
      </c>
      <c r="AD228" s="18">
        <f>SUM(AB228:AC228)</f>
        <v>0</v>
      </c>
      <c r="AE228" s="19">
        <f>JUNIO!AG228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2"/>
      <c r="B229" s="661"/>
      <c r="N229" s="9"/>
      <c r="P229" s="9"/>
      <c r="Q229" s="9"/>
      <c r="R229" s="9"/>
      <c r="S229" s="705">
        <f>+IF(JUNIO!S229=0,"",JUNIO!S229)</f>
        <v>7002200</v>
      </c>
      <c r="T229" s="681" t="str">
        <f>+IF(JUNIO!T229=0,"",JUNIO!T229)</f>
        <v>Intereses Comisiones y gastos de la Deuda Pública</v>
      </c>
      <c r="U229" s="27">
        <f>+ENERO!U229</f>
        <v>0</v>
      </c>
      <c r="V229" s="15">
        <f>JUNIO!V229+JULIO!AL229</f>
        <v>0</v>
      </c>
      <c r="W229" s="15">
        <f>JUNIO!W229+JULIO!AM229</f>
        <v>0</v>
      </c>
      <c r="X229" s="18">
        <f>SUM(U229:W229)</f>
        <v>0</v>
      </c>
      <c r="Y229" s="19">
        <f>JUNIO!AA229</f>
        <v>0</v>
      </c>
      <c r="Z229" s="374">
        <v>0</v>
      </c>
      <c r="AA229" s="18">
        <f>SUM(Y229:Z229)</f>
        <v>0</v>
      </c>
      <c r="AB229" s="19">
        <f>JUNIO!AD229</f>
        <v>0</v>
      </c>
      <c r="AC229" s="374">
        <v>0</v>
      </c>
      <c r="AD229" s="18">
        <f>SUM(AB229:AC229)</f>
        <v>0</v>
      </c>
      <c r="AE229" s="19">
        <f>JUNIO!AG229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2"/>
      <c r="B230" s="661"/>
      <c r="N230" s="9"/>
      <c r="P230" s="9"/>
      <c r="Q230" s="9"/>
      <c r="R230" s="9"/>
      <c r="S230" s="710">
        <f>+IF(JUNIO!S230=0,"",JUNIO!S230)</f>
        <v>7002999</v>
      </c>
      <c r="T230" s="687" t="str">
        <f>+IF(JUNIO!T230=0,"",JUNIO!T230)</f>
        <v>Vigencias Anteriores</v>
      </c>
      <c r="U230" s="133">
        <f>+ENERO!U230</f>
        <v>0</v>
      </c>
      <c r="V230" s="121">
        <f>JUNIO!V230+JULIO!AL230</f>
        <v>0</v>
      </c>
      <c r="W230" s="121">
        <f>JUNIO!W230+JULIO!AM230</f>
        <v>0</v>
      </c>
      <c r="X230" s="126">
        <f>SUM(U230:W230)</f>
        <v>0</v>
      </c>
      <c r="Y230" s="124">
        <f>JUNIO!AA230</f>
        <v>0</v>
      </c>
      <c r="Z230" s="388">
        <v>0</v>
      </c>
      <c r="AA230" s="126">
        <f>SUM(Y230:Z230)</f>
        <v>0</v>
      </c>
      <c r="AB230" s="124">
        <f>JUNIO!AD230</f>
        <v>0</v>
      </c>
      <c r="AC230" s="388">
        <v>0</v>
      </c>
      <c r="AD230" s="126">
        <f>SUM(AB230:AC230)</f>
        <v>0</v>
      </c>
      <c r="AE230" s="124">
        <f>JUNIO!AG230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2"/>
      <c r="B231" s="661"/>
      <c r="N231" s="9"/>
      <c r="P231" s="9"/>
      <c r="Q231" s="9"/>
      <c r="R231" s="9"/>
      <c r="S231" s="489" t="str">
        <f>+IF(JUNIO!S231=0,"",JUNIO!S231)</f>
        <v/>
      </c>
      <c r="T231" s="688" t="str">
        <f>+IF(JUNIO!T231=0,"",JUNIO!T231)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2"/>
      <c r="B232" s="661"/>
      <c r="N232" s="9"/>
      <c r="P232" s="9"/>
      <c r="Q232" s="9"/>
      <c r="R232" s="9"/>
      <c r="S232" s="505" t="str">
        <f>+IF(JUNIO!S232=0,"",JUNIO!S232)</f>
        <v>D</v>
      </c>
      <c r="T232" s="696" t="str">
        <f>+IF(JUNIO!T232=0,"",JUNIO!T232)</f>
        <v>INVERSION</v>
      </c>
      <c r="U232" s="470">
        <f>U234+U243</f>
        <v>0</v>
      </c>
      <c r="V232" s="471">
        <f t="shared" ref="V232:AJ232" si="199">V234+V243</f>
        <v>0</v>
      </c>
      <c r="W232" s="471">
        <f t="shared" si="199"/>
        <v>433878092</v>
      </c>
      <c r="X232" s="472">
        <f t="shared" si="199"/>
        <v>433878092</v>
      </c>
      <c r="Y232" s="379">
        <f t="shared" si="199"/>
        <v>352813794</v>
      </c>
      <c r="Z232" s="471">
        <f t="shared" si="199"/>
        <v>0</v>
      </c>
      <c r="AA232" s="472">
        <f t="shared" si="199"/>
        <v>352813794</v>
      </c>
      <c r="AB232" s="379">
        <f t="shared" si="199"/>
        <v>180073229</v>
      </c>
      <c r="AC232" s="471">
        <f t="shared" si="199"/>
        <v>7332666</v>
      </c>
      <c r="AD232" s="472">
        <f t="shared" si="199"/>
        <v>187405895</v>
      </c>
      <c r="AE232" s="379">
        <f t="shared" si="199"/>
        <v>172740563</v>
      </c>
      <c r="AF232" s="471">
        <f t="shared" si="199"/>
        <v>0</v>
      </c>
      <c r="AG232" s="472">
        <f t="shared" si="199"/>
        <v>172740563</v>
      </c>
      <c r="AH232" s="379">
        <f t="shared" si="199"/>
        <v>81064298</v>
      </c>
      <c r="AI232" s="471">
        <f t="shared" si="199"/>
        <v>246472197</v>
      </c>
      <c r="AJ232" s="380">
        <f t="shared" si="199"/>
        <v>261137529</v>
      </c>
      <c r="AK232" s="500"/>
      <c r="AL232" s="379">
        <f t="shared" ref="AL232:AM232" si="200">AL234+AL243</f>
        <v>0</v>
      </c>
      <c r="AM232" s="380">
        <f t="shared" si="200"/>
        <v>0</v>
      </c>
      <c r="AN232" s="9"/>
    </row>
    <row r="233" spans="1:64" s="382" customFormat="1" ht="24.95" customHeight="1">
      <c r="A233" s="752"/>
      <c r="B233" s="661"/>
      <c r="N233" s="9"/>
      <c r="P233" s="9"/>
      <c r="Q233" s="9"/>
      <c r="R233" s="9"/>
      <c r="S233" s="366" t="str">
        <f>+IF(JUNIO!S233=0,"",JUNIO!S233)</f>
        <v/>
      </c>
      <c r="T233" s="695"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2"/>
      <c r="B234" s="661"/>
      <c r="N234" s="9"/>
      <c r="P234" s="9"/>
      <c r="Q234" s="9"/>
      <c r="R234" s="9"/>
      <c r="S234" s="704">
        <f>+IF(JUNIO!S234=0,"",JUNIO!S234)</f>
        <v>8000000</v>
      </c>
      <c r="T234" s="680" t="str">
        <f>+IF(JUNIO!T234=0,"",JUNIO!T234)</f>
        <v>Programas de Inversión</v>
      </c>
      <c r="U234" s="132">
        <f>U235</f>
        <v>0</v>
      </c>
      <c r="V234" s="122">
        <f t="shared" ref="V234:AJ234" si="201">V235</f>
        <v>0</v>
      </c>
      <c r="W234" s="122">
        <f t="shared" si="201"/>
        <v>380000000</v>
      </c>
      <c r="X234" s="129">
        <f t="shared" si="201"/>
        <v>380000000</v>
      </c>
      <c r="Y234" s="128">
        <f t="shared" si="201"/>
        <v>352813794</v>
      </c>
      <c r="Z234" s="122">
        <f t="shared" si="201"/>
        <v>0</v>
      </c>
      <c r="AA234" s="129">
        <f t="shared" si="201"/>
        <v>352813794</v>
      </c>
      <c r="AB234" s="128">
        <f t="shared" si="201"/>
        <v>180073229</v>
      </c>
      <c r="AC234" s="122">
        <f t="shared" si="201"/>
        <v>7332666</v>
      </c>
      <c r="AD234" s="129">
        <f t="shared" si="201"/>
        <v>187405895</v>
      </c>
      <c r="AE234" s="128">
        <f t="shared" si="201"/>
        <v>172740563</v>
      </c>
      <c r="AF234" s="122">
        <f t="shared" si="201"/>
        <v>0</v>
      </c>
      <c r="AG234" s="129">
        <f t="shared" si="201"/>
        <v>172740563</v>
      </c>
      <c r="AH234" s="128">
        <f t="shared" si="201"/>
        <v>27186206</v>
      </c>
      <c r="AI234" s="122">
        <f t="shared" si="201"/>
        <v>192594105</v>
      </c>
      <c r="AJ234" s="130">
        <f t="shared" si="201"/>
        <v>207259437</v>
      </c>
      <c r="AK234" s="9"/>
      <c r="AL234" s="128">
        <f t="shared" ref="AL234:AM234" si="202">AL235</f>
        <v>0</v>
      </c>
      <c r="AM234" s="130">
        <f t="shared" si="202"/>
        <v>0</v>
      </c>
      <c r="AN234" s="9"/>
    </row>
    <row r="235" spans="1:64" s="382" customFormat="1" ht="24.95" customHeight="1">
      <c r="A235" s="752"/>
      <c r="B235" s="661"/>
      <c r="N235" s="9"/>
      <c r="P235" s="9"/>
      <c r="Q235" s="9"/>
      <c r="R235" s="9"/>
      <c r="S235" s="705">
        <f>+IF(JUNIO!S235=0,"",JUNIO!S235)</f>
        <v>8001000</v>
      </c>
      <c r="T235" s="681" t="str">
        <f>+IF(JUNIO!T235=0,"",JUNIO!T235)</f>
        <v>Formación Bruta del Capital</v>
      </c>
      <c r="U235" s="27">
        <f t="shared" ref="U235:AJ235" si="203">SUM(U236:U241)</f>
        <v>0</v>
      </c>
      <c r="V235" s="15">
        <f t="shared" si="203"/>
        <v>0</v>
      </c>
      <c r="W235" s="15">
        <f t="shared" si="203"/>
        <v>380000000</v>
      </c>
      <c r="X235" s="18">
        <f t="shared" si="203"/>
        <v>380000000</v>
      </c>
      <c r="Y235" s="19">
        <f t="shared" si="203"/>
        <v>352813794</v>
      </c>
      <c r="Z235" s="142">
        <f t="shared" si="203"/>
        <v>0</v>
      </c>
      <c r="AA235" s="18">
        <f t="shared" si="203"/>
        <v>352813794</v>
      </c>
      <c r="AB235" s="19">
        <f t="shared" si="203"/>
        <v>180073229</v>
      </c>
      <c r="AC235" s="142">
        <f t="shared" si="203"/>
        <v>7332666</v>
      </c>
      <c r="AD235" s="18">
        <f t="shared" si="203"/>
        <v>187405895</v>
      </c>
      <c r="AE235" s="19">
        <f t="shared" si="203"/>
        <v>172740563</v>
      </c>
      <c r="AF235" s="142">
        <f t="shared" si="203"/>
        <v>0</v>
      </c>
      <c r="AG235" s="18">
        <f t="shared" si="203"/>
        <v>172740563</v>
      </c>
      <c r="AH235" s="19">
        <f t="shared" si="203"/>
        <v>27186206</v>
      </c>
      <c r="AI235" s="15">
        <f t="shared" si="203"/>
        <v>192594105</v>
      </c>
      <c r="AJ235" s="16">
        <f t="shared" si="203"/>
        <v>207259437</v>
      </c>
      <c r="AK235" s="9"/>
      <c r="AL235" s="29">
        <f>SUM(AL236:AL241)</f>
        <v>0</v>
      </c>
      <c r="AM235" s="26">
        <f>SUM(AM236:AM241)</f>
        <v>0</v>
      </c>
      <c r="AN235" s="9"/>
    </row>
    <row r="236" spans="1:64" s="382" customFormat="1" ht="24.95" customHeight="1">
      <c r="A236" s="752"/>
      <c r="B236" s="661"/>
      <c r="N236" s="9"/>
      <c r="P236" s="9"/>
      <c r="Q236" s="9"/>
      <c r="R236" s="9"/>
      <c r="S236" s="706" t="str">
        <f>+IF(JUNIO!S236=0,"",JUNIO!S236)</f>
        <v>8001000-1</v>
      </c>
      <c r="T236" s="682" t="str">
        <f>+IF(JUNIO!T236=0,"",JUNIO!T236)</f>
        <v>Subprogr.Construc. Remodelac. Adecuación y Apliac.1</v>
      </c>
      <c r="U236" s="27">
        <f>+ENERO!U236</f>
        <v>0</v>
      </c>
      <c r="V236" s="15">
        <f>JUNIO!V236+JULIO!AL236</f>
        <v>0</v>
      </c>
      <c r="W236" s="15">
        <f>JUNIO!W236+JULIO!AM236</f>
        <v>380000000</v>
      </c>
      <c r="X236" s="18">
        <f t="shared" ref="X236:X241" si="204">SUM(U236:W236)</f>
        <v>380000000</v>
      </c>
      <c r="Y236" s="19">
        <f>JUNIO!AA236</f>
        <v>352813794</v>
      </c>
      <c r="Z236" s="374">
        <v>0</v>
      </c>
      <c r="AA236" s="18">
        <f t="shared" ref="AA236:AA241" si="205">SUM(Y236:Z236)</f>
        <v>352813794</v>
      </c>
      <c r="AB236" s="19">
        <f>JUNIO!AD236</f>
        <v>180073229</v>
      </c>
      <c r="AC236" s="374">
        <v>7332666</v>
      </c>
      <c r="AD236" s="18">
        <f t="shared" ref="AD236:AD241" si="206">SUM(AB236:AC236)</f>
        <v>187405895</v>
      </c>
      <c r="AE236" s="19">
        <f>JUNIO!AG236</f>
        <v>172740563</v>
      </c>
      <c r="AF236" s="374">
        <v>0</v>
      </c>
      <c r="AG236" s="18">
        <f t="shared" ref="AG236:AG241" si="207">SUM(AE236:AF236)</f>
        <v>172740563</v>
      </c>
      <c r="AH236" s="19">
        <f t="shared" ref="AH236:AH241" si="208">X236-AA236</f>
        <v>27186206</v>
      </c>
      <c r="AI236" s="15">
        <f t="shared" ref="AI236:AI241" si="209">X236-AD236</f>
        <v>192594105</v>
      </c>
      <c r="AJ236" s="16">
        <f t="shared" ref="AJ236:AJ241" si="210">X236-AG236</f>
        <v>207259437</v>
      </c>
      <c r="AK236" s="9"/>
      <c r="AL236" s="372">
        <v>0</v>
      </c>
      <c r="AM236" s="375">
        <v>0</v>
      </c>
      <c r="AN236" s="9"/>
    </row>
    <row r="237" spans="1:64" s="382" customFormat="1" ht="24.95" customHeight="1">
      <c r="A237" s="752"/>
      <c r="B237" s="661"/>
      <c r="N237" s="9"/>
      <c r="P237" s="9"/>
      <c r="Q237" s="9"/>
      <c r="R237" s="9"/>
      <c r="S237" s="706" t="str">
        <f>+IF(JUNIO!S237=0,"",JUNIO!S237)</f>
        <v>8001000-2</v>
      </c>
      <c r="T237" s="682" t="str">
        <f>+IF(JUNIO!T237=0,"",JUNIO!T237)</f>
        <v>Subprogr.Construc. Remodelac. Adecuación y Apliac.2</v>
      </c>
      <c r="U237" s="27">
        <f>+ENERO!U237</f>
        <v>0</v>
      </c>
      <c r="V237" s="15">
        <f>JUNIO!V237+JULIO!AL237</f>
        <v>0</v>
      </c>
      <c r="W237" s="15">
        <f>JUNIO!W237+JULIO!AM237</f>
        <v>0</v>
      </c>
      <c r="X237" s="18">
        <f t="shared" si="204"/>
        <v>0</v>
      </c>
      <c r="Y237" s="19">
        <f>JUNIO!AA237</f>
        <v>0</v>
      </c>
      <c r="Z237" s="374">
        <v>0</v>
      </c>
      <c r="AA237" s="18">
        <f t="shared" si="205"/>
        <v>0</v>
      </c>
      <c r="AB237" s="19">
        <f>JUNIO!AD237</f>
        <v>0</v>
      </c>
      <c r="AC237" s="374">
        <v>0</v>
      </c>
      <c r="AD237" s="18">
        <f t="shared" si="206"/>
        <v>0</v>
      </c>
      <c r="AE237" s="19">
        <f>JUNIO!AG237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2"/>
      <c r="B238" s="661"/>
      <c r="N238" s="9"/>
      <c r="P238" s="9"/>
      <c r="Q238" s="9"/>
      <c r="R238" s="9"/>
      <c r="S238" s="706" t="str">
        <f>+IF(JUNIO!S238=0,"",JUNIO!S238)</f>
        <v>8001000-3</v>
      </c>
      <c r="T238" s="682" t="str">
        <f>+IF(JUNIO!T238=0,"",JUNIO!T238)</f>
        <v>Subprogr.Construc. Remodelac. Adecuación y Apliac.3</v>
      </c>
      <c r="U238" s="27">
        <f>+ENERO!U238</f>
        <v>0</v>
      </c>
      <c r="V238" s="15">
        <f>JUNIO!V238+JULIO!AL238</f>
        <v>0</v>
      </c>
      <c r="W238" s="15">
        <f>JUNIO!W238+JULIO!AM238</f>
        <v>0</v>
      </c>
      <c r="X238" s="18">
        <f t="shared" si="204"/>
        <v>0</v>
      </c>
      <c r="Y238" s="19">
        <f>JUNIO!AA238</f>
        <v>0</v>
      </c>
      <c r="Z238" s="374">
        <v>0</v>
      </c>
      <c r="AA238" s="18">
        <f t="shared" si="205"/>
        <v>0</v>
      </c>
      <c r="AB238" s="19">
        <f>JUNIO!AD238</f>
        <v>0</v>
      </c>
      <c r="AC238" s="374">
        <v>0</v>
      </c>
      <c r="AD238" s="18">
        <f t="shared" si="206"/>
        <v>0</v>
      </c>
      <c r="AE238" s="19">
        <f>JUNIO!AG238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2"/>
      <c r="B239" s="661"/>
      <c r="N239" s="9"/>
      <c r="P239" s="9"/>
      <c r="Q239" s="9"/>
      <c r="S239" s="706" t="str">
        <f>+IF(JUNIO!S239=0,"",JUNIO!S239)</f>
        <v>8001000-4</v>
      </c>
      <c r="T239" s="682" t="str">
        <f>+IF(JUNIO!T239=0,"",JUNIO!T239)</f>
        <v>Subprogr.Construc. Remodelac. Adecuación y Apliac.4</v>
      </c>
      <c r="U239" s="27">
        <f>+ENERO!U239</f>
        <v>0</v>
      </c>
      <c r="V239" s="15">
        <f>JUNIO!V239+JULIO!AL239</f>
        <v>0</v>
      </c>
      <c r="W239" s="15">
        <f>JUNIO!W239+JULIO!AM239</f>
        <v>0</v>
      </c>
      <c r="X239" s="18">
        <f t="shared" si="204"/>
        <v>0</v>
      </c>
      <c r="Y239" s="19">
        <f>JUNIO!AA239</f>
        <v>0</v>
      </c>
      <c r="Z239" s="374">
        <v>0</v>
      </c>
      <c r="AA239" s="18">
        <f t="shared" si="205"/>
        <v>0</v>
      </c>
      <c r="AB239" s="19">
        <f>JUNIO!AD239</f>
        <v>0</v>
      </c>
      <c r="AC239" s="374">
        <v>0</v>
      </c>
      <c r="AD239" s="18">
        <f t="shared" si="206"/>
        <v>0</v>
      </c>
      <c r="AE239" s="19">
        <f>JUNIO!AG239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2"/>
      <c r="B240" s="661"/>
      <c r="N240" s="9"/>
      <c r="P240" s="9"/>
      <c r="Q240" s="9"/>
      <c r="S240" s="706" t="str">
        <f>+IF(JUNIO!S240=0,"",JUNIO!S240)</f>
        <v>8001000-7</v>
      </c>
      <c r="T240" s="682" t="str">
        <f>+IF(JUNIO!T240=0,"",JUNIO!T240)</f>
        <v>Subprogr.Construc. Remodelac. Adecuación y Apliac.5</v>
      </c>
      <c r="U240" s="27">
        <f>+ENERO!U240</f>
        <v>0</v>
      </c>
      <c r="V240" s="15">
        <f>JUNIO!V240+JULIO!AL240</f>
        <v>0</v>
      </c>
      <c r="W240" s="15">
        <f>JUNIO!W240+JULIO!AM240</f>
        <v>0</v>
      </c>
      <c r="X240" s="18">
        <f t="shared" si="204"/>
        <v>0</v>
      </c>
      <c r="Y240" s="19">
        <f>JUNIO!AA240</f>
        <v>0</v>
      </c>
      <c r="Z240" s="374">
        <v>0</v>
      </c>
      <c r="AA240" s="18">
        <f t="shared" si="205"/>
        <v>0</v>
      </c>
      <c r="AB240" s="19">
        <f>JUNIO!AD240</f>
        <v>0</v>
      </c>
      <c r="AC240" s="374">
        <v>0</v>
      </c>
      <c r="AD240" s="18">
        <f t="shared" si="206"/>
        <v>0</v>
      </c>
      <c r="AE240" s="19">
        <f>JUNIO!AG240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2"/>
      <c r="B241" s="661"/>
      <c r="C241" s="382"/>
      <c r="D241" s="382"/>
      <c r="E241" s="382"/>
      <c r="F241" s="382"/>
      <c r="G241" s="382"/>
      <c r="H241" s="382"/>
      <c r="I241" s="382"/>
      <c r="J241" s="382"/>
      <c r="K241" s="382"/>
      <c r="L241" s="382"/>
      <c r="M241" s="382"/>
      <c r="N241" s="9"/>
      <c r="O241" s="382"/>
      <c r="P241" s="9"/>
      <c r="Q241" s="9"/>
      <c r="S241" s="716">
        <f>+IF(JUNIO!S241=0,"",JUNIO!S241)</f>
        <v>8001999</v>
      </c>
      <c r="T241" s="682" t="str">
        <f>+IF(JUNIO!T241=0,"",JUNIO!T241)</f>
        <v>Vigencias Anteriores</v>
      </c>
      <c r="U241" s="27">
        <f>+ENERO!U241</f>
        <v>0</v>
      </c>
      <c r="V241" s="15">
        <f>JUNIO!V241+JULIO!AL241</f>
        <v>0</v>
      </c>
      <c r="W241" s="15">
        <f>JUNIO!W241+JULIO!AM241</f>
        <v>0</v>
      </c>
      <c r="X241" s="18">
        <f t="shared" si="204"/>
        <v>0</v>
      </c>
      <c r="Y241" s="19">
        <f>JUNIO!AA241</f>
        <v>0</v>
      </c>
      <c r="Z241" s="374">
        <v>0</v>
      </c>
      <c r="AA241" s="18">
        <f t="shared" si="205"/>
        <v>0</v>
      </c>
      <c r="AB241" s="19">
        <f>JUNIO!AD241</f>
        <v>0</v>
      </c>
      <c r="AC241" s="374">
        <v>0</v>
      </c>
      <c r="AD241" s="18">
        <f t="shared" si="206"/>
        <v>0</v>
      </c>
      <c r="AE241" s="19">
        <f>JUNIO!AG241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2"/>
      <c r="B242" s="661"/>
      <c r="C242" s="382"/>
      <c r="D242" s="382"/>
      <c r="E242" s="382"/>
      <c r="F242" s="382"/>
      <c r="G242" s="382"/>
      <c r="H242" s="382"/>
      <c r="I242" s="382"/>
      <c r="J242" s="382"/>
      <c r="K242" s="382"/>
      <c r="L242" s="382"/>
      <c r="M242" s="382"/>
      <c r="N242" s="9"/>
      <c r="O242" s="382"/>
      <c r="P242" s="9"/>
      <c r="Q242" s="9"/>
      <c r="S242" s="366" t="str">
        <f>+IF(JUNIO!S242=0,"",JUNIO!S242)</f>
        <v/>
      </c>
      <c r="T242" s="695"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2"/>
      <c r="B243" s="661"/>
      <c r="C243" s="382"/>
      <c r="D243" s="382"/>
      <c r="E243" s="382"/>
      <c r="F243" s="382"/>
      <c r="G243" s="382"/>
      <c r="H243" s="382"/>
      <c r="I243" s="382"/>
      <c r="J243" s="382"/>
      <c r="K243" s="382"/>
      <c r="L243" s="382"/>
      <c r="M243" s="382"/>
      <c r="N243" s="9"/>
      <c r="O243" s="382"/>
      <c r="P243" s="9"/>
      <c r="Q243" s="9"/>
      <c r="S243" s="704">
        <f>+IF(JUNIO!S243=0,"",JUNIO!S243)</f>
        <v>8002001</v>
      </c>
      <c r="T243" s="680" t="str">
        <f>+IF(JUNIO!T243=0,"",JUNIO!T243)</f>
        <v>Gastos Operativos de Inversion   (Programas Especiales)</v>
      </c>
      <c r="U243" s="132">
        <f t="shared" ref="U243:AJ243" si="211">SUM(U244:U256)</f>
        <v>0</v>
      </c>
      <c r="V243" s="122">
        <f t="shared" si="211"/>
        <v>0</v>
      </c>
      <c r="W243" s="122">
        <f t="shared" si="211"/>
        <v>53878092</v>
      </c>
      <c r="X243" s="129">
        <f t="shared" si="211"/>
        <v>53878092</v>
      </c>
      <c r="Y243" s="128">
        <f t="shared" si="211"/>
        <v>0</v>
      </c>
      <c r="Z243" s="122">
        <f t="shared" si="211"/>
        <v>0</v>
      </c>
      <c r="AA243" s="129">
        <f t="shared" si="211"/>
        <v>0</v>
      </c>
      <c r="AB243" s="128">
        <f t="shared" si="211"/>
        <v>0</v>
      </c>
      <c r="AC243" s="122">
        <f t="shared" si="211"/>
        <v>0</v>
      </c>
      <c r="AD243" s="129">
        <f t="shared" si="211"/>
        <v>0</v>
      </c>
      <c r="AE243" s="128">
        <f t="shared" si="211"/>
        <v>0</v>
      </c>
      <c r="AF243" s="122">
        <f t="shared" si="211"/>
        <v>0</v>
      </c>
      <c r="AG243" s="129">
        <f t="shared" si="211"/>
        <v>0</v>
      </c>
      <c r="AH243" s="128">
        <f t="shared" si="211"/>
        <v>53878092</v>
      </c>
      <c r="AI243" s="122">
        <f t="shared" si="211"/>
        <v>53878092</v>
      </c>
      <c r="AJ243" s="130">
        <f t="shared" si="211"/>
        <v>53878092</v>
      </c>
      <c r="AK243" s="9"/>
      <c r="AL243" s="128">
        <f>SUM(AL244:AL256)</f>
        <v>0</v>
      </c>
      <c r="AM243" s="130">
        <f>SUM(AM244:AM256)</f>
        <v>0</v>
      </c>
    </row>
    <row r="244" spans="1:70" ht="24.95" customHeight="1">
      <c r="A244" s="752"/>
      <c r="B244" s="661"/>
      <c r="C244" s="382"/>
      <c r="D244" s="382"/>
      <c r="E244" s="382"/>
      <c r="F244" s="382"/>
      <c r="G244" s="382"/>
      <c r="H244" s="382"/>
      <c r="I244" s="382"/>
      <c r="J244" s="382"/>
      <c r="K244" s="382"/>
      <c r="L244" s="382"/>
      <c r="M244" s="382"/>
      <c r="N244" s="9"/>
      <c r="O244" s="382"/>
      <c r="P244" s="9"/>
      <c r="Q244" s="9"/>
      <c r="S244" s="706" t="str">
        <f>+IF(JUNIO!S244=0,"",JUNIO!S244)</f>
        <v>8002100-1</v>
      </c>
      <c r="T244" s="682" t="str">
        <f>+IF(JUNIO!T244=0,"",JUNIO!T244)</f>
        <v>Fondo de la Vivienda</v>
      </c>
      <c r="U244" s="27">
        <f>+ENERO!U244</f>
        <v>0</v>
      </c>
      <c r="V244" s="15">
        <f>JUNIO!V244+JULIO!AL244</f>
        <v>0</v>
      </c>
      <c r="W244" s="15">
        <f>JUNIO!W244+JULIO!AM244</f>
        <v>53878092</v>
      </c>
      <c r="X244" s="18">
        <f t="shared" ref="X244:X256" si="212">SUM(U244:W244)</f>
        <v>53878092</v>
      </c>
      <c r="Y244" s="19">
        <f>JUNIO!AA244</f>
        <v>0</v>
      </c>
      <c r="Z244" s="374">
        <v>0</v>
      </c>
      <c r="AA244" s="18">
        <f t="shared" ref="AA244:AA256" si="213">SUM(Y244:Z244)</f>
        <v>0</v>
      </c>
      <c r="AB244" s="19">
        <f>JUNIO!AD244</f>
        <v>0</v>
      </c>
      <c r="AC244" s="374">
        <v>0</v>
      </c>
      <c r="AD244" s="18">
        <f t="shared" ref="AD244:AD256" si="214">SUM(AB244:AC244)</f>
        <v>0</v>
      </c>
      <c r="AE244" s="19">
        <f>JUNIO!AG244</f>
        <v>0</v>
      </c>
      <c r="AF244" s="374">
        <v>0</v>
      </c>
      <c r="AG244" s="18">
        <f t="shared" ref="AG244:AG256" si="215">SUM(AE244:AF244)</f>
        <v>0</v>
      </c>
      <c r="AH244" s="19">
        <f t="shared" ref="AH244:AH256" si="216">X244-AA244</f>
        <v>53878092</v>
      </c>
      <c r="AI244" s="15">
        <f t="shared" ref="AI244:AI256" si="217">X244-AD244</f>
        <v>53878092</v>
      </c>
      <c r="AJ244" s="16">
        <f t="shared" ref="AJ244:AJ256" si="218">X244-AG244</f>
        <v>53878092</v>
      </c>
      <c r="AK244" s="9"/>
      <c r="AL244" s="372">
        <v>0</v>
      </c>
      <c r="AM244" s="375">
        <v>0</v>
      </c>
    </row>
    <row r="245" spans="1:70" ht="24.95" customHeight="1">
      <c r="A245" s="752"/>
      <c r="B245" s="661"/>
      <c r="C245" s="382"/>
      <c r="D245" s="382"/>
      <c r="E245" s="382"/>
      <c r="F245" s="382"/>
      <c r="G245" s="382"/>
      <c r="H245" s="382"/>
      <c r="I245" s="382"/>
      <c r="J245" s="382"/>
      <c r="K245" s="382"/>
      <c r="L245" s="382"/>
      <c r="M245" s="382"/>
      <c r="N245" s="9"/>
      <c r="O245" s="382"/>
      <c r="P245" s="9"/>
      <c r="Q245" s="9"/>
      <c r="S245" s="706" t="str">
        <f>+IF(JUNIO!S245=0,"",JUNIO!S245)</f>
        <v>8002100-2</v>
      </c>
      <c r="T245" s="682" t="str">
        <f>+IF(JUNIO!T245=0,"",JUNIO!T245)</f>
        <v>Programas Especial 01</v>
      </c>
      <c r="U245" s="27">
        <f>+ENERO!U245</f>
        <v>0</v>
      </c>
      <c r="V245" s="15">
        <f>JUNIO!V245+JULIO!AL245</f>
        <v>0</v>
      </c>
      <c r="W245" s="15">
        <f>JUNIO!W245+JULIO!AM245</f>
        <v>0</v>
      </c>
      <c r="X245" s="18">
        <f t="shared" si="212"/>
        <v>0</v>
      </c>
      <c r="Y245" s="19">
        <f>JUNIO!AA245</f>
        <v>0</v>
      </c>
      <c r="Z245" s="374">
        <v>0</v>
      </c>
      <c r="AA245" s="18">
        <f t="shared" si="213"/>
        <v>0</v>
      </c>
      <c r="AB245" s="19">
        <f>JUNIO!AD245</f>
        <v>0</v>
      </c>
      <c r="AC245" s="374">
        <v>0</v>
      </c>
      <c r="AD245" s="18">
        <f t="shared" si="214"/>
        <v>0</v>
      </c>
      <c r="AE245" s="19">
        <f>JUNIO!AG245</f>
        <v>0</v>
      </c>
      <c r="AF245" s="374">
        <v>0</v>
      </c>
      <c r="AG245" s="18">
        <f t="shared" si="215"/>
        <v>0</v>
      </c>
      <c r="AH245" s="19">
        <f t="shared" si="216"/>
        <v>0</v>
      </c>
      <c r="AI245" s="15">
        <f t="shared" si="217"/>
        <v>0</v>
      </c>
      <c r="AJ245" s="16">
        <f t="shared" si="218"/>
        <v>0</v>
      </c>
      <c r="AK245" s="9"/>
      <c r="AL245" s="372">
        <v>0</v>
      </c>
      <c r="AM245" s="375">
        <v>0</v>
      </c>
    </row>
    <row r="246" spans="1:70" ht="24.95" customHeight="1">
      <c r="A246" s="752"/>
      <c r="B246" s="661"/>
      <c r="C246" s="382"/>
      <c r="D246" s="382"/>
      <c r="E246" s="382"/>
      <c r="F246" s="382"/>
      <c r="G246" s="382"/>
      <c r="H246" s="382"/>
      <c r="I246" s="382"/>
      <c r="J246" s="382"/>
      <c r="K246" s="382"/>
      <c r="L246" s="382"/>
      <c r="M246" s="382"/>
      <c r="N246" s="9"/>
      <c r="O246" s="382"/>
      <c r="P246" s="9"/>
      <c r="Q246" s="9"/>
      <c r="S246" s="706" t="str">
        <f>+IF(JUNIO!S246=0,"",JUNIO!S246)</f>
        <v>8002100-3</v>
      </c>
      <c r="T246" s="682" t="str">
        <f>+IF(JUNIO!T246=0,"",JUNIO!T246)</f>
        <v>Programas Especial 02</v>
      </c>
      <c r="U246" s="27">
        <f>+ENERO!U246</f>
        <v>0</v>
      </c>
      <c r="V246" s="15">
        <f>JUNIO!V246+JULIO!AL246</f>
        <v>0</v>
      </c>
      <c r="W246" s="15">
        <f>JUNIO!W246+JULIO!AM246</f>
        <v>0</v>
      </c>
      <c r="X246" s="18">
        <f t="shared" si="212"/>
        <v>0</v>
      </c>
      <c r="Y246" s="19">
        <f>JUNIO!AA246</f>
        <v>0</v>
      </c>
      <c r="Z246" s="374">
        <v>0</v>
      </c>
      <c r="AA246" s="18">
        <f t="shared" si="213"/>
        <v>0</v>
      </c>
      <c r="AB246" s="19">
        <f>JUNIO!AD246</f>
        <v>0</v>
      </c>
      <c r="AC246" s="374">
        <v>0</v>
      </c>
      <c r="AD246" s="18">
        <f t="shared" si="214"/>
        <v>0</v>
      </c>
      <c r="AE246" s="19">
        <f>JUNIO!AG246</f>
        <v>0</v>
      </c>
      <c r="AF246" s="374">
        <v>0</v>
      </c>
      <c r="AG246" s="18">
        <f t="shared" si="215"/>
        <v>0</v>
      </c>
      <c r="AH246" s="19">
        <f t="shared" si="216"/>
        <v>0</v>
      </c>
      <c r="AI246" s="15">
        <f t="shared" si="217"/>
        <v>0</v>
      </c>
      <c r="AJ246" s="16">
        <f t="shared" si="218"/>
        <v>0</v>
      </c>
      <c r="AK246" s="9"/>
      <c r="AL246" s="372">
        <v>0</v>
      </c>
      <c r="AM246" s="375">
        <v>0</v>
      </c>
    </row>
    <row r="247" spans="1:70" ht="24.95" customHeight="1">
      <c r="A247" s="752"/>
      <c r="B247" s="661"/>
      <c r="C247" s="382"/>
      <c r="D247" s="382"/>
      <c r="E247" s="382"/>
      <c r="F247" s="382"/>
      <c r="G247" s="382"/>
      <c r="H247" s="382"/>
      <c r="I247" s="382"/>
      <c r="J247" s="382"/>
      <c r="K247" s="382"/>
      <c r="L247" s="382"/>
      <c r="M247" s="382"/>
      <c r="N247" s="9"/>
      <c r="O247" s="382"/>
      <c r="P247" s="9"/>
      <c r="Q247" s="9"/>
      <c r="S247" s="706" t="str">
        <f>+IF(JUNIO!S247=0,"",JUNIO!S247)</f>
        <v>8002100-4</v>
      </c>
      <c r="T247" s="682" t="str">
        <f>+IF(JUNIO!T247=0,"",JUNIO!T247)</f>
        <v>Programas Especial 03</v>
      </c>
      <c r="U247" s="27">
        <f>+ENERO!U247</f>
        <v>0</v>
      </c>
      <c r="V247" s="15">
        <f>JUNIO!V247+JULIO!AL247</f>
        <v>0</v>
      </c>
      <c r="W247" s="15">
        <f>JUNIO!W247+JULIO!AM247</f>
        <v>0</v>
      </c>
      <c r="X247" s="18">
        <f t="shared" si="212"/>
        <v>0</v>
      </c>
      <c r="Y247" s="19">
        <f>JUNIO!AA247</f>
        <v>0</v>
      </c>
      <c r="Z247" s="374">
        <v>0</v>
      </c>
      <c r="AA247" s="18">
        <f t="shared" si="213"/>
        <v>0</v>
      </c>
      <c r="AB247" s="19">
        <f>JUNIO!AD247</f>
        <v>0</v>
      </c>
      <c r="AC247" s="374">
        <v>0</v>
      </c>
      <c r="AD247" s="18">
        <f t="shared" si="214"/>
        <v>0</v>
      </c>
      <c r="AE247" s="19">
        <f>JUNIO!AG247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2"/>
      <c r="B248" s="661"/>
      <c r="C248" s="382"/>
      <c r="D248" s="382"/>
      <c r="E248" s="382"/>
      <c r="F248" s="382"/>
      <c r="G248" s="382"/>
      <c r="H248" s="382"/>
      <c r="I248" s="382"/>
      <c r="J248" s="382"/>
      <c r="K248" s="382"/>
      <c r="L248" s="382"/>
      <c r="M248" s="382"/>
      <c r="N248" s="9"/>
      <c r="O248" s="382"/>
      <c r="P248" s="9"/>
      <c r="Q248" s="9"/>
      <c r="S248" s="706" t="str">
        <f>+IF(JUNIO!S248=0,"",JUNIO!S248)</f>
        <v>8002100-5</v>
      </c>
      <c r="T248" s="682" t="str">
        <f>+IF(JUNIO!T248=0,"",JUNIO!T248)</f>
        <v>Programas Especial 04</v>
      </c>
      <c r="U248" s="27">
        <f>+ENERO!U248</f>
        <v>0</v>
      </c>
      <c r="V248" s="15">
        <f>JUNIO!V248+JULIO!AL248</f>
        <v>0</v>
      </c>
      <c r="W248" s="15">
        <f>JUNIO!W248+JULIO!AM248</f>
        <v>0</v>
      </c>
      <c r="X248" s="18">
        <f t="shared" si="212"/>
        <v>0</v>
      </c>
      <c r="Y248" s="19">
        <f>JUNIO!AA248</f>
        <v>0</v>
      </c>
      <c r="Z248" s="374">
        <v>0</v>
      </c>
      <c r="AA248" s="18">
        <f t="shared" si="213"/>
        <v>0</v>
      </c>
      <c r="AB248" s="19">
        <f>JUNIO!AD248</f>
        <v>0</v>
      </c>
      <c r="AC248" s="374">
        <v>0</v>
      </c>
      <c r="AD248" s="18">
        <f t="shared" si="214"/>
        <v>0</v>
      </c>
      <c r="AE248" s="19">
        <f>JUNIO!AG248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2"/>
      <c r="B249" s="661"/>
      <c r="C249" s="382"/>
      <c r="D249" s="382"/>
      <c r="E249" s="382"/>
      <c r="F249" s="382"/>
      <c r="G249" s="382"/>
      <c r="H249" s="382"/>
      <c r="I249" s="382"/>
      <c r="J249" s="382"/>
      <c r="K249" s="382"/>
      <c r="L249" s="382"/>
      <c r="M249" s="382"/>
      <c r="N249" s="9"/>
      <c r="O249" s="382"/>
      <c r="P249" s="9"/>
      <c r="Q249" s="9"/>
      <c r="S249" s="706" t="str">
        <f>+IF(JUNIO!S249=0,"",JUNIO!S249)</f>
        <v>8002100-6</v>
      </c>
      <c r="T249" s="682" t="str">
        <f>+IF(JUNIO!T249=0,"",JUNIO!T249)</f>
        <v>Programas Especial 05</v>
      </c>
      <c r="U249" s="27">
        <f>+ENERO!U249</f>
        <v>0</v>
      </c>
      <c r="V249" s="15">
        <f>JUNIO!V249+JULIO!AL249</f>
        <v>0</v>
      </c>
      <c r="W249" s="15">
        <f>JUNIO!W249+JULIO!AM249</f>
        <v>0</v>
      </c>
      <c r="X249" s="18">
        <f t="shared" si="212"/>
        <v>0</v>
      </c>
      <c r="Y249" s="19">
        <f>JUNIO!AA249</f>
        <v>0</v>
      </c>
      <c r="Z249" s="374">
        <v>0</v>
      </c>
      <c r="AA249" s="18">
        <f t="shared" si="213"/>
        <v>0</v>
      </c>
      <c r="AB249" s="19">
        <f>JUNIO!AD249</f>
        <v>0</v>
      </c>
      <c r="AC249" s="374">
        <v>0</v>
      </c>
      <c r="AD249" s="18">
        <f t="shared" si="214"/>
        <v>0</v>
      </c>
      <c r="AE249" s="19">
        <f>JUNIO!AG249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2"/>
      <c r="B250" s="661"/>
      <c r="C250" s="382"/>
      <c r="D250" s="382"/>
      <c r="E250" s="382"/>
      <c r="F250" s="382"/>
      <c r="G250" s="382"/>
      <c r="H250" s="382"/>
      <c r="I250" s="382"/>
      <c r="J250" s="382"/>
      <c r="K250" s="382"/>
      <c r="L250" s="382"/>
      <c r="M250" s="382"/>
      <c r="N250" s="9"/>
      <c r="O250" s="382"/>
      <c r="P250" s="9"/>
      <c r="Q250" s="9"/>
      <c r="S250" s="706" t="str">
        <f>+IF(JUNIO!S250=0,"",JUNIO!S250)</f>
        <v>8002100-7</v>
      </c>
      <c r="T250" s="682" t="str">
        <f>+IF(JUNIO!T250=0,"",JUNIO!T250)</f>
        <v>Programas Especial 06</v>
      </c>
      <c r="U250" s="27">
        <f>+ENERO!U250</f>
        <v>0</v>
      </c>
      <c r="V250" s="15">
        <f>JUNIO!V250+JULIO!AL250</f>
        <v>0</v>
      </c>
      <c r="W250" s="15">
        <f>JUNIO!W250+JULIO!AM250</f>
        <v>0</v>
      </c>
      <c r="X250" s="18">
        <f>SUM(U250:W250)</f>
        <v>0</v>
      </c>
      <c r="Y250" s="19">
        <f>JUNIO!AA250</f>
        <v>0</v>
      </c>
      <c r="Z250" s="374">
        <v>0</v>
      </c>
      <c r="AA250" s="18">
        <f>SUM(Y250:Z250)</f>
        <v>0</v>
      </c>
      <c r="AB250" s="19">
        <f>JUNIO!AD250</f>
        <v>0</v>
      </c>
      <c r="AC250" s="374">
        <v>0</v>
      </c>
      <c r="AD250" s="18">
        <f>SUM(AB250:AC250)</f>
        <v>0</v>
      </c>
      <c r="AE250" s="19">
        <f>JUNIO!AG250</f>
        <v>0</v>
      </c>
      <c r="AF250" s="374">
        <v>0</v>
      </c>
      <c r="AG250" s="18">
        <f>SUM(AE250:AF250)</f>
        <v>0</v>
      </c>
      <c r="AH250" s="19">
        <f>X250-AA250</f>
        <v>0</v>
      </c>
      <c r="AI250" s="15">
        <f>X250-AD250</f>
        <v>0</v>
      </c>
      <c r="AJ250" s="16">
        <f>X250-AG250</f>
        <v>0</v>
      </c>
      <c r="AK250" s="9"/>
      <c r="AL250" s="372">
        <v>0</v>
      </c>
      <c r="AM250" s="375">
        <v>0</v>
      </c>
    </row>
    <row r="251" spans="1:70" ht="24.95" customHeight="1">
      <c r="A251" s="752"/>
      <c r="B251" s="661"/>
      <c r="C251" s="382"/>
      <c r="D251" s="382"/>
      <c r="E251" s="382"/>
      <c r="F251" s="382"/>
      <c r="G251" s="382"/>
      <c r="H251" s="382"/>
      <c r="I251" s="382"/>
      <c r="J251" s="382"/>
      <c r="K251" s="382"/>
      <c r="L251" s="382"/>
      <c r="M251" s="382"/>
      <c r="N251" s="9"/>
      <c r="O251" s="382"/>
      <c r="P251" s="9"/>
      <c r="Q251" s="9"/>
      <c r="S251" s="706" t="str">
        <f>+IF(JUNIO!S251=0,"",JUNIO!S251)</f>
        <v>8002100-8</v>
      </c>
      <c r="T251" s="682" t="str">
        <f>+IF(JUNIO!T251=0,"",JUNIO!T251)</f>
        <v>Programas Especial 07</v>
      </c>
      <c r="U251" s="27">
        <f>+ENERO!U251</f>
        <v>0</v>
      </c>
      <c r="V251" s="15">
        <f>JUNIO!V251+JULIO!AL251</f>
        <v>0</v>
      </c>
      <c r="W251" s="15">
        <f>JUNIO!W251+JULIO!AM251</f>
        <v>0</v>
      </c>
      <c r="X251" s="18">
        <f>SUM(U251:W251)</f>
        <v>0</v>
      </c>
      <c r="Y251" s="19">
        <f>JUNIO!AA251</f>
        <v>0</v>
      </c>
      <c r="Z251" s="374">
        <v>0</v>
      </c>
      <c r="AA251" s="18">
        <f>SUM(Y251:Z251)</f>
        <v>0</v>
      </c>
      <c r="AB251" s="19">
        <f>JUNIO!AD251</f>
        <v>0</v>
      </c>
      <c r="AC251" s="374">
        <v>0</v>
      </c>
      <c r="AD251" s="18">
        <f>SUM(AB251:AC251)</f>
        <v>0</v>
      </c>
      <c r="AE251" s="19">
        <f>JUNIO!AG251</f>
        <v>0</v>
      </c>
      <c r="AF251" s="374">
        <v>0</v>
      </c>
      <c r="AG251" s="18">
        <f>SUM(AE251:AF251)</f>
        <v>0</v>
      </c>
      <c r="AH251" s="19">
        <f>X251-AA251</f>
        <v>0</v>
      </c>
      <c r="AI251" s="15">
        <f>X251-AD251</f>
        <v>0</v>
      </c>
      <c r="AJ251" s="16">
        <f>X251-AG251</f>
        <v>0</v>
      </c>
      <c r="AK251" s="9"/>
      <c r="AL251" s="372">
        <v>0</v>
      </c>
      <c r="AM251" s="375">
        <v>0</v>
      </c>
    </row>
    <row r="252" spans="1:70" ht="24.95" customHeight="1">
      <c r="A252" s="752"/>
      <c r="B252" s="661"/>
      <c r="C252" s="382"/>
      <c r="D252" s="382"/>
      <c r="E252" s="382"/>
      <c r="F252" s="382"/>
      <c r="G252" s="382"/>
      <c r="H252" s="382"/>
      <c r="I252" s="382"/>
      <c r="J252" s="382"/>
      <c r="K252" s="382"/>
      <c r="L252" s="382"/>
      <c r="M252" s="382"/>
      <c r="N252" s="9"/>
      <c r="O252" s="382"/>
      <c r="P252" s="9"/>
      <c r="Q252" s="9"/>
      <c r="S252" s="706" t="str">
        <f>+IF(JUNIO!S252=0,"",JUNIO!S252)</f>
        <v>8002100-9</v>
      </c>
      <c r="T252" s="682" t="str">
        <f>+IF(JUNIO!T252=0,"",JUNIO!T252)</f>
        <v>Programas Especial 08</v>
      </c>
      <c r="U252" s="27">
        <f>+ENERO!U252</f>
        <v>0</v>
      </c>
      <c r="V252" s="15">
        <f>JUNIO!V252+JULIO!AL252</f>
        <v>0</v>
      </c>
      <c r="W252" s="15">
        <f>JUNIO!W252+JULIO!AM252</f>
        <v>0</v>
      </c>
      <c r="X252" s="18">
        <f>SUM(U252:W252)</f>
        <v>0</v>
      </c>
      <c r="Y252" s="19">
        <f>JUNIO!AA252</f>
        <v>0</v>
      </c>
      <c r="Z252" s="374">
        <v>0</v>
      </c>
      <c r="AA252" s="18">
        <f>SUM(Y252:Z252)</f>
        <v>0</v>
      </c>
      <c r="AB252" s="19">
        <f>JUNIO!AD252</f>
        <v>0</v>
      </c>
      <c r="AC252" s="374">
        <v>0</v>
      </c>
      <c r="AD252" s="18">
        <f>SUM(AB252:AC252)</f>
        <v>0</v>
      </c>
      <c r="AE252" s="19">
        <f>JUNIO!AG252</f>
        <v>0</v>
      </c>
      <c r="AF252" s="374">
        <v>0</v>
      </c>
      <c r="AG252" s="18">
        <f>SUM(AE252:AF252)</f>
        <v>0</v>
      </c>
      <c r="AH252" s="19">
        <f>X252-AA252</f>
        <v>0</v>
      </c>
      <c r="AI252" s="15">
        <f>X252-AD252</f>
        <v>0</v>
      </c>
      <c r="AJ252" s="16">
        <f>X252-AG252</f>
        <v>0</v>
      </c>
      <c r="AK252" s="9"/>
      <c r="AL252" s="372">
        <v>0</v>
      </c>
      <c r="AM252" s="375">
        <v>0</v>
      </c>
    </row>
    <row r="253" spans="1:70" ht="24.95" customHeight="1">
      <c r="A253" s="752"/>
      <c r="B253" s="661"/>
      <c r="C253" s="382"/>
      <c r="D253" s="382"/>
      <c r="E253" s="382"/>
      <c r="F253" s="382"/>
      <c r="G253" s="382"/>
      <c r="H253" s="382"/>
      <c r="I253" s="382"/>
      <c r="J253" s="382"/>
      <c r="K253" s="382"/>
      <c r="L253" s="382"/>
      <c r="M253" s="382"/>
      <c r="N253" s="9"/>
      <c r="O253" s="382"/>
      <c r="P253" s="9"/>
      <c r="Q253" s="9"/>
      <c r="S253" s="706" t="str">
        <f>+IF(JUNIO!S253=0,"",JUNIO!S253)</f>
        <v>8002100-10</v>
      </c>
      <c r="T253" s="682" t="str">
        <f>+IF(JUNIO!T253=0,"",JUNIO!T253)</f>
        <v>Programas Especial 09</v>
      </c>
      <c r="U253" s="27">
        <f>+ENERO!U253</f>
        <v>0</v>
      </c>
      <c r="V253" s="15">
        <f>JUNIO!V253+JULIO!AL253</f>
        <v>0</v>
      </c>
      <c r="W253" s="15">
        <f>JUNIO!W253+JULIO!AM253</f>
        <v>0</v>
      </c>
      <c r="X253" s="18">
        <f>SUM(U253:W253)</f>
        <v>0</v>
      </c>
      <c r="Y253" s="19">
        <f>JUNIO!AA253</f>
        <v>0</v>
      </c>
      <c r="Z253" s="374">
        <v>0</v>
      </c>
      <c r="AA253" s="18">
        <f>SUM(Y253:Z253)</f>
        <v>0</v>
      </c>
      <c r="AB253" s="19">
        <f>JUNIO!AD253</f>
        <v>0</v>
      </c>
      <c r="AC253" s="374">
        <v>0</v>
      </c>
      <c r="AD253" s="18">
        <f>SUM(AB253:AC253)</f>
        <v>0</v>
      </c>
      <c r="AE253" s="19">
        <f>JUNIO!AG253</f>
        <v>0</v>
      </c>
      <c r="AF253" s="374">
        <v>0</v>
      </c>
      <c r="AG253" s="18">
        <f>SUM(AE253:AF253)</f>
        <v>0</v>
      </c>
      <c r="AH253" s="19">
        <f>X253-AA253</f>
        <v>0</v>
      </c>
      <c r="AI253" s="15">
        <f>X253-AD253</f>
        <v>0</v>
      </c>
      <c r="AJ253" s="16">
        <f>X253-AG253</f>
        <v>0</v>
      </c>
      <c r="AK253" s="9"/>
      <c r="AL253" s="372">
        <v>0</v>
      </c>
      <c r="AM253" s="375">
        <v>0</v>
      </c>
    </row>
    <row r="254" spans="1:70" ht="24.95" customHeight="1">
      <c r="A254" s="752"/>
      <c r="B254" s="661"/>
      <c r="C254" s="382"/>
      <c r="D254" s="382"/>
      <c r="E254" s="382"/>
      <c r="F254" s="382"/>
      <c r="G254" s="382"/>
      <c r="H254" s="382"/>
      <c r="I254" s="382"/>
      <c r="J254" s="382"/>
      <c r="K254" s="382"/>
      <c r="L254" s="382"/>
      <c r="M254" s="382"/>
      <c r="N254" s="9"/>
      <c r="O254" s="382"/>
      <c r="P254" s="9"/>
      <c r="Q254" s="9"/>
      <c r="S254" s="706" t="str">
        <f>+IF(JUNIO!S254=0,"",JUNIO!S254)</f>
        <v>8002100-11</v>
      </c>
      <c r="T254" s="682" t="str">
        <f>+IF(JUNIO!T254=0,"",JUNIO!T254)</f>
        <v>Programas Especial 10</v>
      </c>
      <c r="U254" s="27">
        <f>+ENERO!U254</f>
        <v>0</v>
      </c>
      <c r="V254" s="15">
        <f>JUNIO!V254+JULIO!AL254</f>
        <v>0</v>
      </c>
      <c r="W254" s="15">
        <f>JUNIO!W254+JULIO!AM254</f>
        <v>0</v>
      </c>
      <c r="X254" s="18">
        <f>SUM(U254:W254)</f>
        <v>0</v>
      </c>
      <c r="Y254" s="19">
        <f>JUNIO!AA254</f>
        <v>0</v>
      </c>
      <c r="Z254" s="374">
        <v>0</v>
      </c>
      <c r="AA254" s="18">
        <f>SUM(Y254:Z254)</f>
        <v>0</v>
      </c>
      <c r="AB254" s="19">
        <f>JUNIO!AD254</f>
        <v>0</v>
      </c>
      <c r="AC254" s="374">
        <v>0</v>
      </c>
      <c r="AD254" s="18">
        <f>SUM(AB254:AC254)</f>
        <v>0</v>
      </c>
      <c r="AE254" s="19">
        <f>JUNIO!AG254</f>
        <v>0</v>
      </c>
      <c r="AF254" s="374">
        <v>0</v>
      </c>
      <c r="AG254" s="18">
        <f>SUM(AE254:AF254)</f>
        <v>0</v>
      </c>
      <c r="AH254" s="19">
        <f>X254-AA254</f>
        <v>0</v>
      </c>
      <c r="AI254" s="15">
        <f>X254-AD254</f>
        <v>0</v>
      </c>
      <c r="AJ254" s="16">
        <f>X254-AG254</f>
        <v>0</v>
      </c>
      <c r="AK254" s="9"/>
      <c r="AL254" s="372">
        <v>0</v>
      </c>
      <c r="AM254" s="375">
        <v>0</v>
      </c>
    </row>
    <row r="255" spans="1:70" ht="24.95" customHeight="1">
      <c r="A255" s="752"/>
      <c r="B255" s="661"/>
      <c r="C255" s="382"/>
      <c r="D255" s="382"/>
      <c r="E255" s="382"/>
      <c r="F255" s="382"/>
      <c r="G255" s="382"/>
      <c r="H255" s="382"/>
      <c r="I255" s="382"/>
      <c r="J255" s="382"/>
      <c r="K255" s="382"/>
      <c r="L255" s="382"/>
      <c r="M255" s="382"/>
      <c r="N255" s="9"/>
      <c r="O255" s="382"/>
      <c r="P255" s="9"/>
      <c r="Q255" s="9"/>
      <c r="S255" s="706" t="str">
        <f>+IF(JUNIO!S255=0,"",JUNIO!S255)</f>
        <v>8002100-12</v>
      </c>
      <c r="T255" s="682" t="str">
        <f>+IF(JUNIO!T255=0,"",JUNIO!T255)</f>
        <v>Programas Especial 11</v>
      </c>
      <c r="U255" s="27">
        <f>+ENERO!U255</f>
        <v>0</v>
      </c>
      <c r="V255" s="15">
        <f>JUNIO!V255+JULIO!AL255</f>
        <v>0</v>
      </c>
      <c r="W255" s="15">
        <f>JUNIO!W255+JULIO!AM255</f>
        <v>0</v>
      </c>
      <c r="X255" s="18">
        <f t="shared" si="212"/>
        <v>0</v>
      </c>
      <c r="Y255" s="19">
        <f>JUNIO!AA255</f>
        <v>0</v>
      </c>
      <c r="Z255" s="374">
        <v>0</v>
      </c>
      <c r="AA255" s="18">
        <f t="shared" si="213"/>
        <v>0</v>
      </c>
      <c r="AB255" s="19">
        <f>JUNIO!AD255</f>
        <v>0</v>
      </c>
      <c r="AC255" s="374">
        <v>0</v>
      </c>
      <c r="AD255" s="18">
        <f t="shared" si="214"/>
        <v>0</v>
      </c>
      <c r="AE255" s="19">
        <f>JUNIO!AG255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2"/>
      <c r="B256" s="661"/>
      <c r="C256" s="382"/>
      <c r="D256" s="382"/>
      <c r="E256" s="382"/>
      <c r="F256" s="382"/>
      <c r="G256" s="382"/>
      <c r="H256" s="382"/>
      <c r="I256" s="382"/>
      <c r="J256" s="382"/>
      <c r="K256" s="382"/>
      <c r="L256" s="382"/>
      <c r="M256" s="382"/>
      <c r="N256" s="9"/>
      <c r="O256" s="382"/>
      <c r="P256" s="9"/>
      <c r="Q256" s="9"/>
      <c r="S256" s="717">
        <f>+IF(JUNIO!S256=0,"",JUNIO!S256)</f>
        <v>8002999</v>
      </c>
      <c r="T256" s="697" t="str">
        <f>+IF(JUNIO!T256=0,"",JUNIO!T256)</f>
        <v>Vigencias Anteriores</v>
      </c>
      <c r="U256" s="133">
        <f>+ENERO!U256</f>
        <v>0</v>
      </c>
      <c r="V256" s="121">
        <f>JUNIO!V256+JULIO!AL256</f>
        <v>0</v>
      </c>
      <c r="W256" s="121">
        <f>JUNIO!W256+JULIO!AM256</f>
        <v>0</v>
      </c>
      <c r="X256" s="126">
        <f t="shared" si="212"/>
        <v>0</v>
      </c>
      <c r="Y256" s="124">
        <f>JUNIO!AA256</f>
        <v>0</v>
      </c>
      <c r="Z256" s="388">
        <v>0</v>
      </c>
      <c r="AA256" s="126">
        <f t="shared" si="213"/>
        <v>0</v>
      </c>
      <c r="AB256" s="124">
        <f>JUNIO!AD256</f>
        <v>0</v>
      </c>
      <c r="AC256" s="388">
        <v>0</v>
      </c>
      <c r="AD256" s="126">
        <f t="shared" si="214"/>
        <v>0</v>
      </c>
      <c r="AE256" s="124">
        <f>JUNIO!AG256</f>
        <v>0</v>
      </c>
      <c r="AF256" s="388">
        <v>0</v>
      </c>
      <c r="AG256" s="126">
        <f t="shared" si="215"/>
        <v>0</v>
      </c>
      <c r="AH256" s="124">
        <f t="shared" si="216"/>
        <v>0</v>
      </c>
      <c r="AI256" s="121">
        <f t="shared" si="217"/>
        <v>0</v>
      </c>
      <c r="AJ256" s="125">
        <f t="shared" si="218"/>
        <v>0</v>
      </c>
      <c r="AK256" s="9"/>
      <c r="AL256" s="384">
        <v>0</v>
      </c>
      <c r="AM256" s="389">
        <v>0</v>
      </c>
    </row>
    <row r="257" spans="1:39" ht="24.95" customHeight="1" thickBot="1">
      <c r="A257" s="752"/>
      <c r="B257" s="661"/>
      <c r="C257" s="382"/>
      <c r="D257" s="382"/>
      <c r="E257" s="382"/>
      <c r="F257" s="382"/>
      <c r="G257" s="382"/>
      <c r="H257" s="382"/>
      <c r="I257" s="382"/>
      <c r="J257" s="382"/>
      <c r="K257" s="382"/>
      <c r="L257" s="382"/>
      <c r="M257" s="382"/>
      <c r="N257" s="9"/>
      <c r="O257" s="382"/>
      <c r="P257" s="9"/>
      <c r="Q257" s="9"/>
      <c r="S257" s="495" t="str">
        <f>+IF(JUNIO!S257=0,"",JUNIO!S257)</f>
        <v/>
      </c>
      <c r="T257" s="694" t="str">
        <f>+IF(JUNIO!T257=0,"",JUNIO!T257)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76" t="s">
        <v>363</v>
      </c>
      <c r="T258" s="777" t="s">
        <v>133</v>
      </c>
      <c r="U258" s="340">
        <f>+(C10+C17+C113)-(U10+U193+U220+U232)</f>
        <v>0</v>
      </c>
      <c r="V258" s="340">
        <f t="shared" ref="V258:AJ258" si="219">+(D10+D17+D113)-(V10+V193+V220+V232)</f>
        <v>0</v>
      </c>
      <c r="W258" s="340">
        <f t="shared" si="219"/>
        <v>0</v>
      </c>
      <c r="X258" s="340">
        <f t="shared" si="219"/>
        <v>0</v>
      </c>
      <c r="Y258" s="340">
        <f t="shared" si="219"/>
        <v>-9297188626</v>
      </c>
      <c r="Z258" s="340">
        <f t="shared" si="219"/>
        <v>6393670401</v>
      </c>
      <c r="AA258" s="340">
        <f t="shared" si="219"/>
        <v>-2903518225</v>
      </c>
      <c r="AB258" s="340">
        <f t="shared" si="219"/>
        <v>-15675152455</v>
      </c>
      <c r="AC258" s="340">
        <f t="shared" si="219"/>
        <v>-867627363</v>
      </c>
      <c r="AD258" s="340">
        <f t="shared" si="219"/>
        <v>-16542779818</v>
      </c>
      <c r="AE258" s="340">
        <f t="shared" si="219"/>
        <v>-2447703934</v>
      </c>
      <c r="AF258" s="340">
        <f t="shared" si="219"/>
        <v>36262968556</v>
      </c>
      <c r="AG258" s="340">
        <f t="shared" si="219"/>
        <v>-23553788085</v>
      </c>
      <c r="AH258" s="340">
        <f t="shared" si="219"/>
        <v>-14514833111</v>
      </c>
      <c r="AI258" s="340">
        <f t="shared" si="219"/>
        <v>-23407921553</v>
      </c>
      <c r="AJ258" s="778">
        <f t="shared" si="219"/>
        <v>-39620940866</v>
      </c>
      <c r="AK258" s="9"/>
      <c r="AL258" s="338">
        <v>0</v>
      </c>
      <c r="AM258" s="339">
        <v>0</v>
      </c>
    </row>
    <row r="259" spans="1: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0</v>
      </c>
    </row>
    <row r="260" spans="1:39" ht="24.95" customHeight="1" thickBot="1">
      <c r="S260" s="795" t="s">
        <v>582</v>
      </c>
      <c r="T260" s="796"/>
      <c r="U260" s="771">
        <f>+U8-U262</f>
        <v>47989706380</v>
      </c>
      <c r="V260" s="771">
        <f t="shared" ref="V260:AJ260" si="220">+V8-V262</f>
        <v>-102068247</v>
      </c>
      <c r="W260" s="771">
        <f t="shared" si="220"/>
        <v>4863890063</v>
      </c>
      <c r="X260" s="771">
        <f t="shared" si="220"/>
        <v>52751528196</v>
      </c>
      <c r="Y260" s="771">
        <f t="shared" si="220"/>
        <v>38408255047</v>
      </c>
      <c r="Z260" s="771">
        <f t="shared" si="220"/>
        <v>-171559962</v>
      </c>
      <c r="AA260" s="771">
        <f t="shared" si="220"/>
        <v>38236695085</v>
      </c>
      <c r="AB260" s="771">
        <f t="shared" si="220"/>
        <v>25221683844</v>
      </c>
      <c r="AC260" s="771">
        <f t="shared" si="220"/>
        <v>4121922799</v>
      </c>
      <c r="AD260" s="771">
        <f t="shared" si="220"/>
        <v>29343606643</v>
      </c>
      <c r="AE260" s="771">
        <f t="shared" si="220"/>
        <v>9974287159</v>
      </c>
      <c r="AF260" s="771">
        <f t="shared" si="220"/>
        <v>3174214171</v>
      </c>
      <c r="AG260" s="771">
        <f t="shared" si="220"/>
        <v>13148501330</v>
      </c>
      <c r="AH260" s="771">
        <f t="shared" si="220"/>
        <v>14514833111</v>
      </c>
      <c r="AI260" s="771">
        <f t="shared" si="220"/>
        <v>23407921553</v>
      </c>
      <c r="AJ260" s="772">
        <f t="shared" si="220"/>
        <v>39603026866</v>
      </c>
      <c r="AK260" s="10"/>
      <c r="AL260" s="382"/>
      <c r="AM260" s="382"/>
    </row>
    <row r="261" spans="1:39" ht="24.95" customHeight="1" thickBot="1">
      <c r="S261" s="800"/>
      <c r="T261" s="801"/>
      <c r="U261" s="779"/>
      <c r="V261" s="779"/>
      <c r="W261" s="779"/>
      <c r="X261" s="779"/>
      <c r="Y261" s="779"/>
      <c r="Z261" s="779"/>
      <c r="AA261" s="779"/>
      <c r="AB261" s="779"/>
      <c r="AC261" s="779"/>
      <c r="AD261" s="779"/>
      <c r="AE261" s="779"/>
      <c r="AF261" s="779"/>
      <c r="AG261" s="779"/>
      <c r="AH261" s="779"/>
      <c r="AI261" s="779"/>
      <c r="AJ261" s="780"/>
    </row>
    <row r="262" spans="1:39" ht="24.95" customHeight="1" thickBot="1">
      <c r="S262" s="797" t="s">
        <v>583</v>
      </c>
      <c r="T262" s="798"/>
      <c r="U262" s="775">
        <f>+SUMIF($T$8:$T$256,$T$33,U8:U256)</f>
        <v>2232471701</v>
      </c>
      <c r="V262" s="775">
        <f t="shared" ref="V262:AJ262" si="221">+SUMIF($T$8:$T$256,$T$33,V8:V256)</f>
        <v>102068247</v>
      </c>
      <c r="W262" s="775">
        <f t="shared" si="221"/>
        <v>8088660807</v>
      </c>
      <c r="X262" s="775">
        <f t="shared" si="221"/>
        <v>10423200755</v>
      </c>
      <c r="Y262" s="775">
        <f t="shared" si="221"/>
        <v>9909682111</v>
      </c>
      <c r="Z262" s="775">
        <f t="shared" si="221"/>
        <v>513518644</v>
      </c>
      <c r="AA262" s="775">
        <f t="shared" si="221"/>
        <v>10423200755</v>
      </c>
      <c r="AB262" s="775">
        <f t="shared" si="221"/>
        <v>9909682111</v>
      </c>
      <c r="AC262" s="775">
        <f t="shared" si="221"/>
        <v>513518644</v>
      </c>
      <c r="AD262" s="775">
        <f t="shared" si="221"/>
        <v>10423200755</v>
      </c>
      <c r="AE262" s="775">
        <f t="shared" si="221"/>
        <v>9891768111</v>
      </c>
      <c r="AF262" s="775">
        <f t="shared" si="221"/>
        <v>513518644</v>
      </c>
      <c r="AG262" s="775">
        <f t="shared" si="221"/>
        <v>10405286755</v>
      </c>
      <c r="AH262" s="775">
        <f t="shared" si="221"/>
        <v>0</v>
      </c>
      <c r="AI262" s="775">
        <f t="shared" si="221"/>
        <v>0</v>
      </c>
      <c r="AJ262" s="799">
        <f t="shared" si="221"/>
        <v>17914000</v>
      </c>
    </row>
    <row r="263" spans="1: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39" ht="24.95" customHeight="1" thickBot="1">
      <c r="S264" s="773" t="s">
        <v>584</v>
      </c>
      <c r="T264" s="774"/>
      <c r="U264" s="793">
        <f>+U260+U262</f>
        <v>50222178081</v>
      </c>
      <c r="V264" s="793">
        <f t="shared" ref="V264:AJ264" si="222">+V260+V262</f>
        <v>0</v>
      </c>
      <c r="W264" s="793">
        <f t="shared" si="222"/>
        <v>12952550870</v>
      </c>
      <c r="X264" s="793">
        <f t="shared" si="222"/>
        <v>63174728951</v>
      </c>
      <c r="Y264" s="793">
        <f t="shared" si="222"/>
        <v>48317937158</v>
      </c>
      <c r="Z264" s="793">
        <f t="shared" si="222"/>
        <v>341958682</v>
      </c>
      <c r="AA264" s="793">
        <f t="shared" si="222"/>
        <v>48659895840</v>
      </c>
      <c r="AB264" s="793">
        <f t="shared" si="222"/>
        <v>35131365955</v>
      </c>
      <c r="AC264" s="793">
        <f t="shared" si="222"/>
        <v>4635441443</v>
      </c>
      <c r="AD264" s="793">
        <f t="shared" si="222"/>
        <v>39766807398</v>
      </c>
      <c r="AE264" s="793">
        <f t="shared" si="222"/>
        <v>19866055270</v>
      </c>
      <c r="AF264" s="793">
        <f t="shared" si="222"/>
        <v>3687732815</v>
      </c>
      <c r="AG264" s="793">
        <f t="shared" si="222"/>
        <v>23553788085</v>
      </c>
      <c r="AH264" s="793">
        <f t="shared" si="222"/>
        <v>14514833111</v>
      </c>
      <c r="AI264" s="793">
        <f t="shared" si="222"/>
        <v>23407921553</v>
      </c>
      <c r="AJ264" s="794">
        <f t="shared" si="222"/>
        <v>39620940866</v>
      </c>
    </row>
  </sheetData>
  <sheetProtection password="E3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700-000000000000}"/>
    <dataValidation allowBlank="1" showInputMessage="1" showErrorMessage="1" promptTitle="ATENCION..." prompt="Las actividades de Promoción y Prevención se manejaran en cada régimen." sqref="A23:C24 P23:Q24 K23:K24 H23:H24" xr:uid="{00000000-0002-0000-07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7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BS264"/>
  <sheetViews>
    <sheetView showGridLines="0" topLeftCell="C1" zoomScale="80" zoomScaleNormal="80" workbookViewId="0">
      <selection activeCell="R11" sqref="R11"/>
    </sheetView>
  </sheetViews>
  <sheetFormatPr baseColWidth="10" defaultColWidth="0" defaultRowHeight="24.95" customHeight="1"/>
  <cols>
    <col min="1" max="1" width="11.7109375" style="753" customWidth="1"/>
    <col min="2" max="2" width="50.5703125" style="662" customWidth="1"/>
    <col min="3" max="3" width="18.42578125" style="272" customWidth="1"/>
    <col min="4" max="4" width="16.140625" style="272" customWidth="1"/>
    <col min="5" max="7" width="14.42578125" style="272" customWidth="1"/>
    <col min="8" max="8" width="16.42578125" style="272" customWidth="1"/>
    <col min="9" max="10" width="14.42578125" style="272" customWidth="1"/>
    <col min="11" max="11" width="17.7109375" style="272" customWidth="1"/>
    <col min="12"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5703125" style="698" customWidth="1"/>
    <col min="20" max="20" width="43.7109375" style="674" customWidth="1"/>
    <col min="21" max="21" width="17.7109375" style="272" customWidth="1"/>
    <col min="22" max="22" width="14.7109375" style="272" customWidth="1"/>
    <col min="23" max="23" width="17.85546875" style="272" customWidth="1"/>
    <col min="24" max="25" width="18.140625" style="272" customWidth="1"/>
    <col min="26" max="26" width="17" style="272" customWidth="1"/>
    <col min="27" max="27" width="17.28515625" style="272" customWidth="1"/>
    <col min="28" max="28" width="18.140625" style="272" customWidth="1"/>
    <col min="29" max="29" width="16" style="272" customWidth="1"/>
    <col min="30" max="30" width="19.140625" style="272" customWidth="1"/>
    <col min="31" max="31" width="17" style="272" customWidth="1"/>
    <col min="32" max="32" width="18.140625" style="272" customWidth="1"/>
    <col min="33" max="33" width="19.140625" style="272" customWidth="1"/>
    <col min="34" max="34" width="18.140625" style="272" customWidth="1"/>
    <col min="35" max="35" width="17.5703125" style="272" customWidth="1"/>
    <col min="36" max="36" width="18.5703125" style="272" customWidth="1"/>
    <col min="37" max="37" width="8.85546875" style="1" customWidth="1"/>
    <col min="38" max="39" width="23.7109375" style="272" customWidth="1"/>
    <col min="40" max="40" width="4.85546875" style="272" customWidth="1"/>
    <col min="41" max="41" width="12.28515625" style="272" customWidth="1"/>
    <col min="42" max="42" width="56"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2998" t="str">
        <f>IF($F$8-$X$8=0," ","OJO: PRESUPUESTO DESEQUILIBRADO")</f>
        <v xml:space="preserve"> </v>
      </c>
      <c r="B1" s="2998"/>
      <c r="C1" s="3132"/>
      <c r="D1" s="3132"/>
      <c r="E1" s="3132"/>
      <c r="F1" s="3132"/>
      <c r="G1" s="3132"/>
      <c r="H1" s="3132"/>
      <c r="I1" s="3132"/>
      <c r="J1" s="3132"/>
      <c r="K1" s="2999" t="str">
        <f>+IF(L8&gt;I8,"OJO - SUS RECAUDOS SON SUPERIORES A SUS RECONOCIMIENTOS, VERIFIQUE","")</f>
        <v/>
      </c>
      <c r="L1" s="2999"/>
      <c r="M1" s="2999"/>
      <c r="N1" s="2999"/>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0"/>
      <c r="B2" s="718" t="str">
        <f>+ENERO!B2</f>
        <v>SECRETARIA SECCIONAL DE SALUD Y PROTECCION SOCIAL DE ANTIOQUIA DE ANTIOQUIA</v>
      </c>
      <c r="C2" s="274"/>
      <c r="D2" s="3008" t="str">
        <f>+IF(F2="","","MUNICIPIO:")</f>
        <v>MUNICIPIO:</v>
      </c>
      <c r="E2" s="3008"/>
      <c r="F2" s="275" t="str">
        <f>IF(INSTRUCCIONES!B3=0,"",INSTRUCCIONES!B3)</f>
        <v>ITAGUI</v>
      </c>
      <c r="G2" s="276"/>
      <c r="H2" s="276"/>
      <c r="I2" s="276"/>
      <c r="J2" s="276"/>
      <c r="K2" s="277"/>
      <c r="L2" s="3009" t="s">
        <v>388</v>
      </c>
      <c r="M2" s="2982"/>
      <c r="N2" s="278" t="s">
        <v>389</v>
      </c>
      <c r="P2" s="2993" t="s">
        <v>466</v>
      </c>
      <c r="Q2" s="2994"/>
      <c r="R2" s="279"/>
      <c r="S2" s="699"/>
      <c r="T2" s="718" t="str">
        <f>+ENERO!T2</f>
        <v>SECRETARIA SECCIONAL DE SALUD Y PROTECCION SOCIAL DE ANTIOQUIA DE ANTIOQUIA</v>
      </c>
      <c r="U2" s="274"/>
      <c r="V2" s="2992" t="str">
        <f>+IF(Y2="","","M U N I C I P I O:")</f>
        <v>M U N I C I P I O:</v>
      </c>
      <c r="W2" s="2992"/>
      <c r="X2" s="2992"/>
      <c r="Y2" s="2984" t="str">
        <f>IF(INSTRUCCIONES!B3=0,"",INSTRUCCIONES!B3)</f>
        <v>ITAGUI</v>
      </c>
      <c r="Z2" s="2984"/>
      <c r="AA2" s="2984"/>
      <c r="AB2" s="2984"/>
      <c r="AC2" s="2984"/>
      <c r="AD2" s="2984"/>
      <c r="AE2" s="2984"/>
      <c r="AF2" s="2984"/>
      <c r="AG2" s="2985"/>
      <c r="AH2" s="2982" t="s">
        <v>388</v>
      </c>
      <c r="AI2" s="2983"/>
      <c r="AJ2" s="278" t="s">
        <v>389</v>
      </c>
      <c r="AL2" s="2993" t="s">
        <v>466</v>
      </c>
      <c r="AM2" s="2994"/>
      <c r="AO2" s="2">
        <v>8</v>
      </c>
      <c r="AP2" s="280" t="s">
        <v>7</v>
      </c>
      <c r="AQ2" s="281"/>
      <c r="AR2" s="3"/>
      <c r="AS2" s="3"/>
      <c r="AT2" s="3"/>
      <c r="AU2" s="3"/>
      <c r="AV2" s="3"/>
      <c r="AW2" s="3"/>
      <c r="AX2" s="3"/>
      <c r="AY2" s="3"/>
      <c r="AZ2" s="4"/>
      <c r="BB2" s="2993" t="s">
        <v>616</v>
      </c>
      <c r="BC2" s="3010"/>
      <c r="BD2" s="51" t="s">
        <v>388</v>
      </c>
      <c r="BE2" s="278" t="str">
        <f>+L3</f>
        <v>AGOSTO</v>
      </c>
      <c r="BF2" s="273"/>
      <c r="BG2" s="2993" t="s">
        <v>617</v>
      </c>
      <c r="BH2" s="3010"/>
      <c r="BI2" s="3010"/>
      <c r="BJ2" s="51" t="s">
        <v>388</v>
      </c>
      <c r="BK2" s="278" t="str">
        <f>+BE2</f>
        <v>AGOSTO</v>
      </c>
      <c r="BM2" s="2993" t="s">
        <v>617</v>
      </c>
      <c r="BN2" s="3010"/>
      <c r="BO2" s="3010"/>
      <c r="BP2" s="51" t="s">
        <v>388</v>
      </c>
      <c r="BQ2" s="278" t="str">
        <f>+BK2</f>
        <v>AGOSTO</v>
      </c>
    </row>
    <row r="3" spans="1:69" ht="24.95" customHeight="1" thickBot="1">
      <c r="A3" s="751"/>
      <c r="B3" s="3025" t="s">
        <v>8</v>
      </c>
      <c r="C3" s="282"/>
      <c r="D3" s="3041" t="str">
        <f>+IF(F3="","","INSTITUCION:")</f>
        <v>INSTITUCION:</v>
      </c>
      <c r="E3" s="3041"/>
      <c r="F3" s="3000" t="str">
        <f>IF(INSTRUCCIONES!B5=0,"",INSTRUCCIONES!B5)</f>
        <v>ESE HOSPITALSAN RAFAEL</v>
      </c>
      <c r="G3" s="3000"/>
      <c r="H3" s="3000"/>
      <c r="I3" s="3000"/>
      <c r="J3" s="3000"/>
      <c r="K3" s="3001"/>
      <c r="L3" s="3026" t="s">
        <v>372</v>
      </c>
      <c r="M3" s="3027"/>
      <c r="N3" s="3006">
        <f>+INSTRUCCIONES!F3</f>
        <v>2017</v>
      </c>
      <c r="P3" s="2995" t="s">
        <v>525</v>
      </c>
      <c r="Q3" s="3013" t="s">
        <v>532</v>
      </c>
      <c r="R3" s="279"/>
      <c r="S3" s="700"/>
      <c r="T3" s="3025" t="s">
        <v>10</v>
      </c>
      <c r="U3" s="283"/>
      <c r="V3" s="2972" t="str">
        <f>+IF(Y3="","","E.S.E. H O S P I T A L:")</f>
        <v>E.S.E. H O S P I T A L:</v>
      </c>
      <c r="W3" s="2972"/>
      <c r="X3" s="2972"/>
      <c r="Y3" s="2974" t="str">
        <f>IF(INSTRUCCIONES!B5=0,"",INSTRUCCIONES!B5)</f>
        <v>ESE HOSPITALSAN RAFAEL</v>
      </c>
      <c r="Z3" s="2974"/>
      <c r="AA3" s="2974"/>
      <c r="AB3" s="2974"/>
      <c r="AC3" s="2974"/>
      <c r="AD3" s="2974"/>
      <c r="AE3" s="2974"/>
      <c r="AF3" s="2974"/>
      <c r="AG3" s="2975"/>
      <c r="AH3" s="2978" t="str">
        <f>+L3</f>
        <v>AGOSTO</v>
      </c>
      <c r="AI3" s="2979"/>
      <c r="AJ3" s="2970">
        <f>+N3</f>
        <v>2017</v>
      </c>
      <c r="AL3" s="2995" t="s">
        <v>533</v>
      </c>
      <c r="AM3" s="3013" t="s">
        <v>532</v>
      </c>
      <c r="AO3" s="5"/>
      <c r="AP3" s="284" t="s">
        <v>11</v>
      </c>
      <c r="AQ3" s="285"/>
      <c r="AR3" s="285"/>
      <c r="AS3" s="285"/>
      <c r="AT3" s="285"/>
      <c r="AU3" s="285"/>
      <c r="AV3" s="285"/>
      <c r="AW3" s="285"/>
      <c r="AX3" s="285"/>
      <c r="AY3" s="285"/>
      <c r="AZ3" s="286"/>
      <c r="BB3" s="3011" t="str">
        <f>+CONCATENATE(INSTRUCCIONES!B5, " - ", INSTRUCCIONES!B3)</f>
        <v>ESE HOSPITALSAN RAFAEL - ITAGUI</v>
      </c>
      <c r="BC3" s="3012"/>
      <c r="BD3" s="52" t="s">
        <v>389</v>
      </c>
      <c r="BE3" s="50">
        <f>+N3</f>
        <v>2017</v>
      </c>
      <c r="BF3" s="6" t="s">
        <v>12</v>
      </c>
      <c r="BG3" s="3011" t="str">
        <f>+CONCATENATE(INSTRUCCIONES!B5, " - ", INSTRUCCIONES!B3)</f>
        <v>ESE HOSPITALSAN RAFAEL - ITAGUI</v>
      </c>
      <c r="BH3" s="3012"/>
      <c r="BI3" s="3012"/>
      <c r="BJ3" s="52" t="s">
        <v>389</v>
      </c>
      <c r="BK3" s="50">
        <f>+BE3</f>
        <v>2017</v>
      </c>
      <c r="BM3" s="3011" t="str">
        <f>+CONCATENATE(INSTRUCCIONES!B5, " - ", INSTRUCCIONES!B3)</f>
        <v>ESE HOSPITALSAN RAFAEL - ITAGUI</v>
      </c>
      <c r="BN3" s="3012"/>
      <c r="BO3" s="3012"/>
      <c r="BP3" s="52" t="s">
        <v>389</v>
      </c>
      <c r="BQ3" s="50">
        <f>+BK3</f>
        <v>2017</v>
      </c>
    </row>
    <row r="4" spans="1:69" ht="24.95" customHeight="1" thickBot="1">
      <c r="A4" s="751"/>
      <c r="B4" s="3133"/>
      <c r="C4" s="287"/>
      <c r="D4" s="3042"/>
      <c r="E4" s="3042"/>
      <c r="F4" s="3002"/>
      <c r="G4" s="3002"/>
      <c r="H4" s="3002"/>
      <c r="I4" s="3002"/>
      <c r="J4" s="3002"/>
      <c r="K4" s="3003"/>
      <c r="L4" s="3028"/>
      <c r="M4" s="3029"/>
      <c r="N4" s="3007"/>
      <c r="P4" s="2996"/>
      <c r="Q4" s="3014"/>
      <c r="R4" s="279"/>
      <c r="S4" s="700"/>
      <c r="T4" s="3025"/>
      <c r="U4" s="287"/>
      <c r="V4" s="2973"/>
      <c r="W4" s="2973"/>
      <c r="X4" s="2973"/>
      <c r="Y4" s="2976"/>
      <c r="Z4" s="2976"/>
      <c r="AA4" s="2976"/>
      <c r="AB4" s="2976"/>
      <c r="AC4" s="2976"/>
      <c r="AD4" s="2976"/>
      <c r="AE4" s="2976"/>
      <c r="AF4" s="2976"/>
      <c r="AG4" s="2977"/>
      <c r="AH4" s="2980"/>
      <c r="AI4" s="2981"/>
      <c r="AJ4" s="2971"/>
      <c r="AL4" s="2996"/>
      <c r="AM4" s="3014"/>
      <c r="AO4" s="5"/>
      <c r="AP4" s="288"/>
      <c r="AQ4" s="289" t="s">
        <v>13</v>
      </c>
      <c r="AR4" s="289" t="s">
        <v>14</v>
      </c>
      <c r="AS4" s="289" t="s">
        <v>15</v>
      </c>
      <c r="AT4" s="289" t="s">
        <v>16</v>
      </c>
      <c r="AU4" s="289" t="s">
        <v>16</v>
      </c>
      <c r="AV4" s="290" t="s">
        <v>16</v>
      </c>
      <c r="AW4" s="2963" t="str">
        <f>+CONCATENATE("PROYECCION A DICIEMBRE 31 DEL ",N3)</f>
        <v>PROYECCION A DICIEMBRE 31 DEL 2017</v>
      </c>
      <c r="AX4" s="2964"/>
      <c r="AY4" s="2964"/>
      <c r="AZ4" s="2965"/>
      <c r="BB4" s="291"/>
      <c r="BC4" s="292"/>
      <c r="BD4" s="292"/>
      <c r="BE4" s="47"/>
      <c r="BF4" s="7"/>
      <c r="BG4" s="291"/>
      <c r="BH4" s="292"/>
      <c r="BI4" s="292"/>
      <c r="BJ4" s="48"/>
      <c r="BK4" s="293"/>
      <c r="BL4" s="8"/>
      <c r="BM4" s="291"/>
      <c r="BN4" s="294"/>
      <c r="BO4" s="294"/>
      <c r="BP4" s="49"/>
      <c r="BQ4" s="295"/>
    </row>
    <row r="5" spans="1:69" ht="42" customHeight="1" thickBot="1">
      <c r="A5" s="3134" t="s">
        <v>17</v>
      </c>
      <c r="B5" s="3136" t="s">
        <v>18</v>
      </c>
      <c r="C5" s="3030" t="s">
        <v>19</v>
      </c>
      <c r="D5" s="3031"/>
      <c r="E5" s="3031"/>
      <c r="F5" s="3032"/>
      <c r="G5" s="3033" t="s">
        <v>529</v>
      </c>
      <c r="H5" s="3034"/>
      <c r="I5" s="3035"/>
      <c r="J5" s="3036" t="str">
        <f>+IF(L8&gt;I8,"OJO - RECAUDOS MAYORES QUE RECONOCIMIENTOS","RECAUDO")</f>
        <v>RECAUDO</v>
      </c>
      <c r="K5" s="3037"/>
      <c r="L5" s="3038"/>
      <c r="M5" s="3039" t="s">
        <v>21</v>
      </c>
      <c r="N5" s="3040"/>
      <c r="P5" s="2997"/>
      <c r="Q5" s="3015"/>
      <c r="R5" s="279"/>
      <c r="S5" s="3143" t="s">
        <v>481</v>
      </c>
      <c r="T5" s="3043" t="s">
        <v>18</v>
      </c>
      <c r="U5" s="296" t="s">
        <v>19</v>
      </c>
      <c r="V5" s="297"/>
      <c r="W5" s="297"/>
      <c r="X5" s="298"/>
      <c r="Y5" s="299" t="s">
        <v>530</v>
      </c>
      <c r="Z5" s="297"/>
      <c r="AA5" s="297"/>
      <c r="AB5" s="2967" t="s">
        <v>531</v>
      </c>
      <c r="AC5" s="2968"/>
      <c r="AD5" s="2969"/>
      <c r="AE5" s="2967" t="s">
        <v>22</v>
      </c>
      <c r="AF5" s="2968"/>
      <c r="AG5" s="2969"/>
      <c r="AH5" s="2967" t="s">
        <v>23</v>
      </c>
      <c r="AI5" s="2968"/>
      <c r="AJ5" s="2969"/>
      <c r="AL5" s="2997"/>
      <c r="AM5" s="3015"/>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3018" t="str">
        <f>+CONCATENATE("ACUMULADO ",N3)</f>
        <v>ACUMULADO 2017</v>
      </c>
      <c r="BI5" s="3019"/>
      <c r="BJ5" s="3019"/>
      <c r="BK5" s="3020"/>
      <c r="BM5" s="3016" t="s">
        <v>32</v>
      </c>
      <c r="BN5" s="308" t="str">
        <f>+CONCATENATE("ACUMULADO ",BQ3)</f>
        <v>ACUMULADO 2017</v>
      </c>
      <c r="BO5" s="309"/>
      <c r="BP5" s="310"/>
      <c r="BQ5" s="311"/>
    </row>
    <row r="6" spans="1:69" ht="24.95" customHeight="1" thickBot="1">
      <c r="A6" s="3135"/>
      <c r="B6" s="313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3144" t="s">
        <v>42</v>
      </c>
      <c r="T6" s="304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AGOSTO</v>
      </c>
      <c r="AS6" s="316" t="str">
        <f>AR6</f>
        <v>AGOSTO</v>
      </c>
      <c r="AT6" s="316" t="str">
        <f>AR6</f>
        <v>AGOSTO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3017"/>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26175033475</v>
      </c>
      <c r="AR7" s="327">
        <f>I22</f>
        <v>19231377134</v>
      </c>
      <c r="AS7" s="327">
        <f>L22</f>
        <v>10776228037</v>
      </c>
      <c r="AT7" s="13"/>
      <c r="AU7" s="328">
        <f t="shared" ref="AU7:AU17" si="0">IF(AQ7=0," ",AR7/AQ7)</f>
        <v>0.73472216004491664</v>
      </c>
      <c r="AV7" s="328">
        <f t="shared" ref="AV7:AV17" si="1">IF(AQ7=0," ",AS7/AQ7)</f>
        <v>0.41169872990964723</v>
      </c>
      <c r="AW7" s="327">
        <f>I23/AO$2*12+I24</f>
        <v>24749843068.5</v>
      </c>
      <c r="AX7" s="327">
        <f>L23/AO$2*12+L24</f>
        <v>12067119423</v>
      </c>
      <c r="AY7" s="327">
        <f t="shared" ref="AY7:AY16" si="2">AW7-AQ7</f>
        <v>-1425190406.5</v>
      </c>
      <c r="AZ7" s="329">
        <f t="shared" ref="AZ7:AZ16" si="3">AX7-AQ7</f>
        <v>-14107914052</v>
      </c>
      <c r="BB7" s="330" t="s">
        <v>53</v>
      </c>
      <c r="BC7" s="54">
        <f>F10</f>
        <v>617329922</v>
      </c>
      <c r="BD7" s="55">
        <f>I10</f>
        <v>617329922</v>
      </c>
      <c r="BE7" s="56">
        <f>K10</f>
        <v>0</v>
      </c>
      <c r="BF7" s="57"/>
      <c r="BG7" s="91" t="s">
        <v>54</v>
      </c>
      <c r="BH7" s="116">
        <f>+SUM(BH8:BH11)</f>
        <v>40087988303</v>
      </c>
      <c r="BI7" s="116">
        <f>+SUM(BI8:BI11)</f>
        <v>34167646924</v>
      </c>
      <c r="BJ7" s="116">
        <f>+SUM(BJ8:BJ11)</f>
        <v>24859043224</v>
      </c>
      <c r="BK7" s="116">
        <f>+SUM(BK8:BK11)</f>
        <v>2084148867</v>
      </c>
      <c r="BM7" s="61" t="s">
        <v>54</v>
      </c>
      <c r="BN7" s="62">
        <f>BN8+BN15+BN22</f>
        <v>40087988303</v>
      </c>
      <c r="BO7" s="63">
        <f>BO8+BO15+BO22</f>
        <v>34167646924</v>
      </c>
      <c r="BP7" s="63">
        <f>BP8+BP15+BP22</f>
        <v>24859043224</v>
      </c>
      <c r="BQ7" s="64">
        <f>BQ8+BQ15+BQ22</f>
        <v>2084148867</v>
      </c>
    </row>
    <row r="8" spans="1:69" s="9" customFormat="1" ht="24.95" customHeight="1" thickBot="1">
      <c r="A8" s="730">
        <f>+IF(JULIO!A8=0,"",JULIO!A8)</f>
        <v>1</v>
      </c>
      <c r="B8" s="635" t="str">
        <f>+IF(JULIO!B8=0,"",JULIO!B8)</f>
        <v>INGRESOS</v>
      </c>
      <c r="C8" s="331">
        <f>C10+C17+C113</f>
        <v>50222178081</v>
      </c>
      <c r="D8" s="331">
        <f t="shared" ref="D8:Q8" si="4">D10+D17+D113</f>
        <v>0</v>
      </c>
      <c r="E8" s="331">
        <f t="shared" si="4"/>
        <v>16656156033</v>
      </c>
      <c r="F8" s="331">
        <f t="shared" si="4"/>
        <v>66878334114</v>
      </c>
      <c r="G8" s="331">
        <f t="shared" si="4"/>
        <v>45756377615</v>
      </c>
      <c r="H8" s="331">
        <f t="shared" si="4"/>
        <v>3869525822</v>
      </c>
      <c r="I8" s="331">
        <f t="shared" si="4"/>
        <v>49625903437</v>
      </c>
      <c r="J8" s="331">
        <f t="shared" si="4"/>
        <v>23224027580</v>
      </c>
      <c r="K8" s="331">
        <f t="shared" si="4"/>
        <v>3517882295</v>
      </c>
      <c r="L8" s="331">
        <f t="shared" si="4"/>
        <v>26741909875</v>
      </c>
      <c r="M8" s="331">
        <f t="shared" si="4"/>
        <v>17252430677</v>
      </c>
      <c r="N8" s="331">
        <f t="shared" si="4"/>
        <v>40136424239</v>
      </c>
      <c r="O8" s="333"/>
      <c r="P8" s="334">
        <f t="shared" si="4"/>
        <v>0</v>
      </c>
      <c r="Q8" s="332">
        <f t="shared" si="4"/>
        <v>3703605163</v>
      </c>
      <c r="S8" s="701" t="str">
        <f>+IF(JULIO!S8=0,"",JULIO!S8)</f>
        <v/>
      </c>
      <c r="T8" s="675" t="str">
        <f>+IF(JULIO!T8=0,"",JULIO!T8)</f>
        <v>GASTOS</v>
      </c>
      <c r="U8" s="335">
        <f>U10+U193+U220+U232</f>
        <v>50222178081</v>
      </c>
      <c r="V8" s="336">
        <f t="shared" ref="V8:AJ8" si="5">V10+V193+V220+V232</f>
        <v>0</v>
      </c>
      <c r="W8" s="336">
        <f t="shared" si="5"/>
        <v>16656156033</v>
      </c>
      <c r="X8" s="337">
        <f t="shared" si="5"/>
        <v>66878334114</v>
      </c>
      <c r="Y8" s="338">
        <f t="shared" si="5"/>
        <v>48659895840</v>
      </c>
      <c r="Z8" s="336">
        <f t="shared" si="5"/>
        <v>6136909645</v>
      </c>
      <c r="AA8" s="337">
        <f t="shared" si="5"/>
        <v>54796805485</v>
      </c>
      <c r="AB8" s="338">
        <f t="shared" si="5"/>
        <v>39766807398</v>
      </c>
      <c r="AC8" s="336">
        <f t="shared" si="5"/>
        <v>4401731365</v>
      </c>
      <c r="AD8" s="337">
        <f t="shared" si="5"/>
        <v>44168538763</v>
      </c>
      <c r="AE8" s="338">
        <f t="shared" si="5"/>
        <v>23553788085</v>
      </c>
      <c r="AF8" s="336">
        <f t="shared" si="5"/>
        <v>2826209662</v>
      </c>
      <c r="AG8" s="337">
        <f t="shared" si="5"/>
        <v>26379997747</v>
      </c>
      <c r="AH8" s="338">
        <f t="shared" si="5"/>
        <v>12081528629</v>
      </c>
      <c r="AI8" s="336">
        <f t="shared" si="5"/>
        <v>22709795351</v>
      </c>
      <c r="AJ8" s="339">
        <f t="shared" si="5"/>
        <v>40498336367</v>
      </c>
      <c r="AL8" s="340">
        <f t="shared" ref="AL8:AM8" si="6">AL10+AL193+AL220+AL232</f>
        <v>0</v>
      </c>
      <c r="AM8" s="341">
        <f t="shared" si="6"/>
        <v>3703605163</v>
      </c>
      <c r="AO8" s="21"/>
      <c r="AP8" s="11" t="s">
        <v>56</v>
      </c>
      <c r="AQ8" s="12">
        <f>F25</f>
        <v>18546893803</v>
      </c>
      <c r="AR8" s="12">
        <f>I25</f>
        <v>18858723166</v>
      </c>
      <c r="AS8" s="12">
        <f>L25</f>
        <v>9885014204</v>
      </c>
      <c r="AT8" s="13"/>
      <c r="AU8" s="342">
        <f t="shared" si="0"/>
        <v>1.016813023588325</v>
      </c>
      <c r="AV8" s="342">
        <f t="shared" si="1"/>
        <v>0.53297410924955413</v>
      </c>
      <c r="AW8" s="12">
        <f>I26/AO$2*12+I27</f>
        <v>25375597225.5</v>
      </c>
      <c r="AX8" s="12">
        <f>L26/AO$2*12+L27</f>
        <v>11915033782.5</v>
      </c>
      <c r="AY8" s="12">
        <f t="shared" si="2"/>
        <v>6828703422.5</v>
      </c>
      <c r="AZ8" s="343">
        <f t="shared" si="3"/>
        <v>-6631860020.5</v>
      </c>
      <c r="BB8" s="140" t="s">
        <v>57</v>
      </c>
      <c r="BC8" s="65">
        <f>BC9+BC19</f>
        <v>41635385030</v>
      </c>
      <c r="BD8" s="66">
        <f>BD9+BD19</f>
        <v>31517219894</v>
      </c>
      <c r="BE8" s="67">
        <f>BE9+BE19</f>
        <v>3150854344</v>
      </c>
      <c r="BF8" s="57"/>
      <c r="BG8" s="68" t="s">
        <v>58</v>
      </c>
      <c r="BH8" s="69">
        <f>BN9+BN13</f>
        <v>2864245139</v>
      </c>
      <c r="BI8" s="69">
        <f>BO9+BO13</f>
        <v>1405759101</v>
      </c>
      <c r="BJ8" s="69">
        <f>BP9+BP13</f>
        <v>1405759101</v>
      </c>
      <c r="BK8" s="69">
        <f>BQ9+BQ13</f>
        <v>212551573</v>
      </c>
      <c r="BM8" s="71" t="s">
        <v>59</v>
      </c>
      <c r="BN8" s="72">
        <f>BN9+BN14+BN13</f>
        <v>31025098644</v>
      </c>
      <c r="BO8" s="69">
        <f>BO9+BO14+BO13</f>
        <v>26960553249</v>
      </c>
      <c r="BP8" s="69">
        <f>BP9+BP14+BP13</f>
        <v>19341600698</v>
      </c>
      <c r="BQ8" s="70">
        <f>BQ9+BQ14+BQ13</f>
        <v>1842109322</v>
      </c>
    </row>
    <row r="9" spans="1:69" s="9" customFormat="1" ht="24.95" customHeight="1" thickBot="1">
      <c r="A9" s="666"/>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468414189</v>
      </c>
      <c r="AR9" s="12">
        <f>I28+I75</f>
        <v>1259181889</v>
      </c>
      <c r="AS9" s="12">
        <f>L28+L75</f>
        <v>217115065</v>
      </c>
      <c r="AT9" s="13"/>
      <c r="AU9" s="350">
        <f t="shared" si="0"/>
        <v>2.6881805004416721</v>
      </c>
      <c r="AV9" s="350">
        <f t="shared" si="1"/>
        <v>0.46351086303237499</v>
      </c>
      <c r="AW9" s="351">
        <f>(I30+I33+I36+I76)/AO$2*12+I31+I34+I37+I38+I39+I40+I77</f>
        <v>1834598940</v>
      </c>
      <c r="AX9" s="351">
        <f>(L30+L33+L36+L76)/AO$2*12+L31+L34+L37+L38+L39+L40+L77</f>
        <v>271498704</v>
      </c>
      <c r="AY9" s="351">
        <f t="shared" si="2"/>
        <v>1366184751</v>
      </c>
      <c r="AZ9" s="352">
        <f t="shared" si="3"/>
        <v>-196915485</v>
      </c>
      <c r="BB9" s="353" t="s">
        <v>427</v>
      </c>
      <c r="BC9" s="73">
        <f>BC10+BC18</f>
        <v>40887180589</v>
      </c>
      <c r="BD9" s="74">
        <f>BD10+BD18</f>
        <v>30764793804</v>
      </c>
      <c r="BE9" s="75">
        <f>BE10+BE18</f>
        <v>3036580572</v>
      </c>
      <c r="BF9" s="76"/>
      <c r="BG9" s="77" t="s">
        <v>62</v>
      </c>
      <c r="BH9" s="78">
        <f t="shared" ref="BH9:BK10" si="7">BN14</f>
        <v>28160853505</v>
      </c>
      <c r="BI9" s="78">
        <f t="shared" si="7"/>
        <v>25554794148</v>
      </c>
      <c r="BJ9" s="78">
        <f t="shared" si="7"/>
        <v>17935841597</v>
      </c>
      <c r="BK9" s="78">
        <f t="shared" si="7"/>
        <v>1629557749</v>
      </c>
      <c r="BM9" s="137" t="s">
        <v>63</v>
      </c>
      <c r="BN9" s="80">
        <f>SUM(BN10:BN12)</f>
        <v>2061410762</v>
      </c>
      <c r="BO9" s="78">
        <f>SUM(BO10:BO12)</f>
        <v>1134182839</v>
      </c>
      <c r="BP9" s="78">
        <f>SUM(BP10:BP12)</f>
        <v>1134182839</v>
      </c>
      <c r="BQ9" s="79">
        <f>SUM(BQ10:BQ12)</f>
        <v>179372075</v>
      </c>
    </row>
    <row r="10" spans="1:69" s="9" customFormat="1" ht="24.95" customHeight="1">
      <c r="A10" s="731">
        <f>+IF(JULIO!A10=0,"",JULIO!A10)</f>
        <v>10</v>
      </c>
      <c r="B10" s="637" t="str">
        <f>+IF(JULIO!B10=0,"",JULIO!B10)</f>
        <v>DISPONIBILIDAD INICIAL</v>
      </c>
      <c r="C10" s="174">
        <f t="shared" ref="C10:N10" si="8">SUM(C12:C15)</f>
        <v>0</v>
      </c>
      <c r="D10" s="354">
        <f t="shared" si="8"/>
        <v>0</v>
      </c>
      <c r="E10" s="354">
        <f t="shared" si="8"/>
        <v>617329922</v>
      </c>
      <c r="F10" s="175">
        <f t="shared" si="8"/>
        <v>617329922</v>
      </c>
      <c r="G10" s="355">
        <f t="shared" si="8"/>
        <v>617329922</v>
      </c>
      <c r="H10" s="354">
        <f t="shared" si="8"/>
        <v>0</v>
      </c>
      <c r="I10" s="356">
        <f t="shared" si="8"/>
        <v>617329922</v>
      </c>
      <c r="J10" s="174">
        <f t="shared" si="8"/>
        <v>617329922</v>
      </c>
      <c r="K10" s="354">
        <f t="shared" si="8"/>
        <v>0</v>
      </c>
      <c r="L10" s="175">
        <f t="shared" si="8"/>
        <v>617329922</v>
      </c>
      <c r="M10" s="174">
        <f t="shared" si="8"/>
        <v>0</v>
      </c>
      <c r="N10" s="175">
        <f t="shared" si="8"/>
        <v>0</v>
      </c>
      <c r="O10" s="13"/>
      <c r="P10" s="174">
        <f>SUM(P12:P15)</f>
        <v>0</v>
      </c>
      <c r="Q10" s="175">
        <f>SUM(Q12:Q15)</f>
        <v>0</v>
      </c>
      <c r="S10" s="357" t="str">
        <f>+IF(JULIO!S10=0,"",JULIO!S10)</f>
        <v>A</v>
      </c>
      <c r="T10" s="676" t="str">
        <f>+IF(JULIO!T10=0,"",JULIO!T10)</f>
        <v>GASTOS DE FUNCIONAMIENTO</v>
      </c>
      <c r="U10" s="358">
        <f>U12+U110+U170</f>
        <v>35471771735</v>
      </c>
      <c r="V10" s="359">
        <f t="shared" ref="V10:AJ10" si="9">V12+V110+V170</f>
        <v>-320612226</v>
      </c>
      <c r="W10" s="359">
        <f t="shared" si="9"/>
        <v>13088297865</v>
      </c>
      <c r="X10" s="362">
        <f t="shared" si="9"/>
        <v>48239457374</v>
      </c>
      <c r="Y10" s="361">
        <f t="shared" si="9"/>
        <v>36836703787</v>
      </c>
      <c r="Z10" s="359">
        <f t="shared" si="9"/>
        <v>5309123637</v>
      </c>
      <c r="AA10" s="362">
        <f t="shared" si="9"/>
        <v>42145827424</v>
      </c>
      <c r="AB10" s="361">
        <f t="shared" si="9"/>
        <v>29690932302</v>
      </c>
      <c r="AC10" s="359">
        <f t="shared" si="9"/>
        <v>3146291422</v>
      </c>
      <c r="AD10" s="362">
        <f t="shared" si="9"/>
        <v>32837223724</v>
      </c>
      <c r="AE10" s="361">
        <f t="shared" si="9"/>
        <v>18548546731</v>
      </c>
      <c r="AF10" s="359">
        <f t="shared" si="9"/>
        <v>2313959645</v>
      </c>
      <c r="AG10" s="362">
        <f t="shared" si="9"/>
        <v>20862506376</v>
      </c>
      <c r="AH10" s="361">
        <f t="shared" si="9"/>
        <v>6093629950</v>
      </c>
      <c r="AI10" s="359">
        <f t="shared" si="9"/>
        <v>15402233650</v>
      </c>
      <c r="AJ10" s="360">
        <f t="shared" si="9"/>
        <v>27376950998</v>
      </c>
      <c r="AL10" s="363">
        <f t="shared" ref="AL10:AM10" si="10">AL12+AL110+AL170</f>
        <v>11900000</v>
      </c>
      <c r="AM10" s="364">
        <f t="shared" si="10"/>
        <v>3353605163</v>
      </c>
      <c r="AO10" s="349"/>
      <c r="AP10" s="11" t="s">
        <v>65</v>
      </c>
      <c r="AQ10" s="12">
        <f>F42</f>
        <v>0</v>
      </c>
      <c r="AR10" s="12">
        <f>I42</f>
        <v>0</v>
      </c>
      <c r="AS10" s="12">
        <f>L42</f>
        <v>0</v>
      </c>
      <c r="AT10" s="13"/>
      <c r="AU10" s="350" t="str">
        <f t="shared" si="0"/>
        <v xml:space="preserve"> </v>
      </c>
      <c r="AV10" s="350" t="str">
        <f t="shared" si="1"/>
        <v xml:space="preserve"> </v>
      </c>
      <c r="AW10" s="351">
        <f>I43/AO$2*12+I44</f>
        <v>0</v>
      </c>
      <c r="AX10" s="351">
        <f>L43/AO$2*12+L44</f>
        <v>0</v>
      </c>
      <c r="AY10" s="351">
        <f t="shared" si="2"/>
        <v>0</v>
      </c>
      <c r="AZ10" s="352">
        <f t="shared" si="3"/>
        <v>0</v>
      </c>
      <c r="BB10" s="365" t="s">
        <v>428</v>
      </c>
      <c r="BC10" s="73">
        <f>BC11+BC12+BC13+BC14+BC16+BC17+BC15</f>
        <v>40761943661</v>
      </c>
      <c r="BD10" s="74">
        <f>BD11+BD12+BD13+BD14+BD16+BD17+BD15</f>
        <v>30639556876</v>
      </c>
      <c r="BE10" s="75">
        <f>BE11+BE12+BE13+BE14+BE16+BE17+BE15</f>
        <v>3036580572</v>
      </c>
      <c r="BF10" s="76"/>
      <c r="BG10" s="68" t="s">
        <v>66</v>
      </c>
      <c r="BH10" s="81">
        <f t="shared" si="7"/>
        <v>8899359656</v>
      </c>
      <c r="BI10" s="81">
        <f t="shared" si="7"/>
        <v>7111688127</v>
      </c>
      <c r="BJ10" s="81">
        <f t="shared" si="7"/>
        <v>5433290695</v>
      </c>
      <c r="BK10" s="81">
        <f t="shared" si="7"/>
        <v>236966752</v>
      </c>
      <c r="BM10" s="134" t="s">
        <v>440</v>
      </c>
      <c r="BN10" s="83">
        <f>X17+X66</f>
        <v>1482951119</v>
      </c>
      <c r="BO10" s="81">
        <f>AA17+AA66</f>
        <v>825649322</v>
      </c>
      <c r="BP10" s="81">
        <f>AD17+AD66</f>
        <v>825649322</v>
      </c>
      <c r="BQ10" s="82">
        <f>AF17+AF66</f>
        <v>107879193</v>
      </c>
    </row>
    <row r="11" spans="1:69" s="9" customFormat="1" ht="24.95" customHeight="1">
      <c r="A11" s="666"/>
      <c r="B11" s="636"/>
      <c r="C11" s="344"/>
      <c r="D11" s="344"/>
      <c r="E11" s="344"/>
      <c r="F11" s="344"/>
      <c r="G11" s="344"/>
      <c r="H11" s="344"/>
      <c r="I11" s="344"/>
      <c r="J11" s="344"/>
      <c r="K11" s="344"/>
      <c r="L11" s="344"/>
      <c r="M11" s="344"/>
      <c r="N11" s="345"/>
      <c r="O11" s="333"/>
      <c r="P11" s="346"/>
      <c r="Q11" s="345"/>
      <c r="S11" s="366"/>
      <c r="T11" s="695"/>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0.66666666666666663</v>
      </c>
      <c r="AU11" s="350" t="str">
        <f t="shared" si="0"/>
        <v xml:space="preserve"> </v>
      </c>
      <c r="AV11" s="350" t="str">
        <f t="shared" si="1"/>
        <v xml:space="preserve"> </v>
      </c>
      <c r="AW11" s="351">
        <f>I88</f>
        <v>0</v>
      </c>
      <c r="AX11" s="351">
        <f>L88</f>
        <v>0</v>
      </c>
      <c r="AY11" s="351">
        <f t="shared" si="2"/>
        <v>0</v>
      </c>
      <c r="AZ11" s="352">
        <f t="shared" si="3"/>
        <v>0</v>
      </c>
      <c r="BB11" s="365" t="s">
        <v>429</v>
      </c>
      <c r="BC11" s="73">
        <f>F26</f>
        <v>13439321219</v>
      </c>
      <c r="BD11" s="74">
        <f>I26</f>
        <v>13033748119</v>
      </c>
      <c r="BE11" s="75">
        <f>K26</f>
        <v>1960038015</v>
      </c>
      <c r="BF11" s="76"/>
      <c r="BG11" s="68" t="s">
        <v>67</v>
      </c>
      <c r="BH11" s="84">
        <f>BN22</f>
        <v>163530003</v>
      </c>
      <c r="BI11" s="84">
        <f>BO22</f>
        <v>95405548</v>
      </c>
      <c r="BJ11" s="84">
        <f>BP22</f>
        <v>84151831</v>
      </c>
      <c r="BK11" s="84">
        <f>BQ22</f>
        <v>5072793</v>
      </c>
      <c r="BM11" s="135" t="s">
        <v>441</v>
      </c>
      <c r="BN11" s="86">
        <f>X18+X67</f>
        <v>72988810</v>
      </c>
      <c r="BO11" s="84">
        <f>AA18+AA67</f>
        <v>56632858</v>
      </c>
      <c r="BP11" s="84">
        <f>AD18+AD67</f>
        <v>56632858</v>
      </c>
      <c r="BQ11" s="85">
        <f>AF18+AF67</f>
        <v>7886934</v>
      </c>
    </row>
    <row r="12" spans="1:69" s="9" customFormat="1" ht="24.95" customHeight="1">
      <c r="A12" s="611">
        <f>+IF(JULIO!A12=0,"",JULIO!A12)</f>
        <v>1001</v>
      </c>
      <c r="B12" s="638" t="str">
        <f>+IF(JULIO!B12=0,"",JULIO!B12)</f>
        <v>Bienestar Social (Caja, Bancos, Inversiones Tempor.) a Dic-31-2016</v>
      </c>
      <c r="C12" s="671">
        <f>+ENERO!C12</f>
        <v>0</v>
      </c>
      <c r="D12" s="373">
        <f>JULIO!D12+AGOSTO!P12</f>
        <v>0</v>
      </c>
      <c r="E12" s="373">
        <f>JULIO!E12+AGOSTO!Q12</f>
        <v>26156707</v>
      </c>
      <c r="F12" s="143">
        <f>SUM(C12:E12)</f>
        <v>26156707</v>
      </c>
      <c r="G12" s="219">
        <f>JULIO!I12</f>
        <v>26156707</v>
      </c>
      <c r="H12" s="374">
        <v>0</v>
      </c>
      <c r="I12" s="143">
        <f>SUM(G12:H12)</f>
        <v>26156707</v>
      </c>
      <c r="J12" s="219">
        <f>JULIO!L12</f>
        <v>26156707</v>
      </c>
      <c r="K12" s="131">
        <v>0</v>
      </c>
      <c r="L12" s="143">
        <f>SUM(J12:K12)</f>
        <v>26156707</v>
      </c>
      <c r="M12" s="219">
        <f>F12-I12</f>
        <v>0</v>
      </c>
      <c r="N12" s="143">
        <f>F12-L12</f>
        <v>0</v>
      </c>
      <c r="O12" s="294"/>
      <c r="P12" s="372">
        <v>0</v>
      </c>
      <c r="Q12" s="375">
        <v>0</v>
      </c>
      <c r="S12" s="702">
        <f>+IF(JULIO!S12=0,"",JULIO!S12)</f>
        <v>1000000</v>
      </c>
      <c r="T12" s="678" t="str">
        <f>+IF(JULIO!T12=0,"",JULIO!T12)</f>
        <v>GASTOS DE PERSONAL</v>
      </c>
      <c r="U12" s="376">
        <f t="shared" ref="U12:AJ12" si="11">U14+U63</f>
        <v>27757873896</v>
      </c>
      <c r="V12" s="377">
        <f t="shared" si="11"/>
        <v>973390004</v>
      </c>
      <c r="W12" s="377">
        <f t="shared" si="11"/>
        <v>9585690290</v>
      </c>
      <c r="X12" s="378">
        <f t="shared" si="11"/>
        <v>38316954190</v>
      </c>
      <c r="Y12" s="363">
        <f t="shared" si="11"/>
        <v>28912921289</v>
      </c>
      <c r="Z12" s="377">
        <f t="shared" si="11"/>
        <v>5166198935</v>
      </c>
      <c r="AA12" s="378">
        <f t="shared" si="11"/>
        <v>34079120224</v>
      </c>
      <c r="AB12" s="363">
        <f t="shared" si="11"/>
        <v>23939817483</v>
      </c>
      <c r="AC12" s="377">
        <f t="shared" si="11"/>
        <v>2520350190</v>
      </c>
      <c r="AD12" s="378">
        <f t="shared" si="11"/>
        <v>26460167673</v>
      </c>
      <c r="AE12" s="363">
        <f t="shared" si="11"/>
        <v>14903387231</v>
      </c>
      <c r="AF12" s="377">
        <f t="shared" si="11"/>
        <v>2066225914</v>
      </c>
      <c r="AG12" s="378">
        <f t="shared" si="11"/>
        <v>16969613145</v>
      </c>
      <c r="AH12" s="363">
        <f t="shared" si="11"/>
        <v>4237833966</v>
      </c>
      <c r="AI12" s="377">
        <f t="shared" si="11"/>
        <v>11856786517</v>
      </c>
      <c r="AJ12" s="364">
        <f t="shared" si="11"/>
        <v>21347341045</v>
      </c>
      <c r="AK12" s="10"/>
      <c r="AL12" s="379">
        <f>AL14+AL63</f>
        <v>6900000</v>
      </c>
      <c r="AM12" s="380">
        <f>AM14+AM63</f>
        <v>3283605163</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18905646713</v>
      </c>
      <c r="BD12" s="74">
        <f>I23</f>
        <v>11036931869</v>
      </c>
      <c r="BE12" s="75">
        <f>K23</f>
        <v>632235034</v>
      </c>
      <c r="BF12" s="76"/>
      <c r="BG12" s="381" t="s">
        <v>391</v>
      </c>
      <c r="BH12" s="84">
        <f>BN25</f>
        <v>15192067615</v>
      </c>
      <c r="BI12" s="15">
        <f>BO25</f>
        <v>9586748359</v>
      </c>
      <c r="BJ12" s="84">
        <f>BP25</f>
        <v>8283626129</v>
      </c>
      <c r="BK12" s="84">
        <f>BQ25</f>
        <v>475665142</v>
      </c>
      <c r="BM12" s="136" t="s">
        <v>442</v>
      </c>
      <c r="BN12" s="86">
        <f>X16+X65-X81-X33-BN10-BN11</f>
        <v>505470833</v>
      </c>
      <c r="BO12" s="84">
        <f>AA16+AA65-AA81-AA33-BO10-BO11</f>
        <v>251900659</v>
      </c>
      <c r="BP12" s="84">
        <f>AD16+AD65-AD81-AD33-BP10-BP11</f>
        <v>251900659</v>
      </c>
      <c r="BQ12" s="85">
        <f>AF16+AF65-AF81-AF33-BQ10-BQ11</f>
        <v>63605948</v>
      </c>
    </row>
    <row r="13" spans="1:69" s="9" customFormat="1" ht="24.95" customHeight="1">
      <c r="A13" s="611">
        <f>+IF(JULIO!A13=0,"",JULIO!A13)</f>
        <v>1002</v>
      </c>
      <c r="B13" s="638" t="str">
        <f>+IF(JULIO!B13=0,"",JULIO!B13)</f>
        <v>Fondo Vivienda (Caja, Bancos, Inversiones Tempor.) a Dic-31-2016</v>
      </c>
      <c r="C13" s="671">
        <f>+ENERO!C13</f>
        <v>0</v>
      </c>
      <c r="D13" s="373">
        <f>JULIO!D13+AGOSTO!P13</f>
        <v>0</v>
      </c>
      <c r="E13" s="373">
        <f>JULIO!E13+AGOSTO!Q13</f>
        <v>53878092</v>
      </c>
      <c r="F13" s="143">
        <f>SUM(C13:E13)</f>
        <v>53878092</v>
      </c>
      <c r="G13" s="219">
        <f>JULIO!I13</f>
        <v>53878092</v>
      </c>
      <c r="H13" s="374">
        <v>0</v>
      </c>
      <c r="I13" s="143">
        <f>SUM(G13:H13)</f>
        <v>53878092</v>
      </c>
      <c r="J13" s="219">
        <f>JULIO!L13</f>
        <v>53878092</v>
      </c>
      <c r="K13" s="131">
        <v>0</v>
      </c>
      <c r="L13" s="143">
        <f>SUM(J13:K13)</f>
        <v>53878092</v>
      </c>
      <c r="M13" s="219">
        <f>F13-I13</f>
        <v>0</v>
      </c>
      <c r="N13" s="143">
        <f>F13-L13</f>
        <v>0</v>
      </c>
      <c r="O13" s="382"/>
      <c r="P13" s="372">
        <v>0</v>
      </c>
      <c r="Q13" s="375">
        <v>0</v>
      </c>
      <c r="S13" s="366"/>
      <c r="T13" s="695"/>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415598482</v>
      </c>
      <c r="BD13" s="88">
        <f>+I30+I33+I36+I38+I39+I40</f>
        <v>1227601668</v>
      </c>
      <c r="BE13" s="89">
        <f>+K30+K33+K36+K38+K39+K40</f>
        <v>11941887</v>
      </c>
      <c r="BF13" s="90"/>
      <c r="BG13" s="91" t="s">
        <v>70</v>
      </c>
      <c r="BH13" s="84">
        <f t="shared" ref="BH13:BK15" si="12">BN29</f>
        <v>433878092</v>
      </c>
      <c r="BI13" s="84">
        <f t="shared" si="12"/>
        <v>352813794</v>
      </c>
      <c r="BJ13" s="84">
        <f t="shared" si="12"/>
        <v>336273002</v>
      </c>
      <c r="BK13" s="84">
        <f t="shared" si="12"/>
        <v>0</v>
      </c>
      <c r="BM13" s="139" t="s">
        <v>443</v>
      </c>
      <c r="BN13" s="83">
        <f>X43-X55+X57-X61+X90-X102+X104-X108</f>
        <v>802834377</v>
      </c>
      <c r="BO13" s="81">
        <f>AA43-AA55+AA57-AA61+AA90-AA102+AA104-AA108</f>
        <v>271576262</v>
      </c>
      <c r="BP13" s="81">
        <f>AD43-AD55+AD57-AD61+AD90-AD102+AD104-AD108</f>
        <v>271576262</v>
      </c>
      <c r="BQ13" s="82">
        <f>AF43-AF55+AF57-AF61+AF90-AF102+AF104-AF108</f>
        <v>33179498</v>
      </c>
    </row>
    <row r="14" spans="1:69" s="9" customFormat="1" ht="24.95" customHeight="1">
      <c r="A14" s="611">
        <f>+IF(JULIO!A14=0,"",JULIO!A14)</f>
        <v>1003</v>
      </c>
      <c r="B14" s="638" t="str">
        <f>+IF(JULIO!B14=0,"",JULIO!B14)</f>
        <v>Fondos Comunes y Especiales (Caja, Bancos, Invers. Tempor.) a Dic-31-2016</v>
      </c>
      <c r="C14" s="671">
        <f>+ENERO!C14</f>
        <v>0</v>
      </c>
      <c r="D14" s="373">
        <f>JULIO!D14+AGOSTO!P14</f>
        <v>0</v>
      </c>
      <c r="E14" s="373">
        <f>JULIO!E14+AGOSTO!Q14</f>
        <v>433953123</v>
      </c>
      <c r="F14" s="143">
        <f>SUM(C14:E14)</f>
        <v>433953123</v>
      </c>
      <c r="G14" s="219">
        <f>JULIO!I14</f>
        <v>433953123</v>
      </c>
      <c r="H14" s="374">
        <v>0</v>
      </c>
      <c r="I14" s="143">
        <f>SUM(G14:H14)</f>
        <v>433953123</v>
      </c>
      <c r="J14" s="219">
        <f>JULIO!L14</f>
        <v>433953123</v>
      </c>
      <c r="K14" s="131">
        <v>0</v>
      </c>
      <c r="L14" s="143">
        <f>SUM(J14:K14)</f>
        <v>433953123</v>
      </c>
      <c r="M14" s="219">
        <f>F14-I14</f>
        <v>0</v>
      </c>
      <c r="N14" s="143">
        <f>F14-L14</f>
        <v>0</v>
      </c>
      <c r="O14" s="382"/>
      <c r="P14" s="372">
        <v>0</v>
      </c>
      <c r="Q14" s="375">
        <v>0</v>
      </c>
      <c r="S14" s="703">
        <f>+IF(JULIO!S14=0,"",JULIO!S14)</f>
        <v>1010000</v>
      </c>
      <c r="T14" s="679" t="str">
        <f>+IF(JULIO!T14=0,"",JULIO!T14)</f>
        <v>Gastos de Administración</v>
      </c>
      <c r="U14" s="132">
        <f t="shared" ref="U14:AJ14" si="13">U16+U35+U43+U57</f>
        <v>4011945263</v>
      </c>
      <c r="V14" s="122">
        <f t="shared" si="13"/>
        <v>704394100</v>
      </c>
      <c r="W14" s="122">
        <f t="shared" si="13"/>
        <v>2691531683</v>
      </c>
      <c r="X14" s="129">
        <f t="shared" si="13"/>
        <v>7407871046</v>
      </c>
      <c r="Y14" s="128">
        <f t="shared" si="13"/>
        <v>4734084722</v>
      </c>
      <c r="Z14" s="122">
        <f t="shared" si="13"/>
        <v>900526029</v>
      </c>
      <c r="AA14" s="129">
        <f t="shared" si="13"/>
        <v>5634610751</v>
      </c>
      <c r="AB14" s="128">
        <f t="shared" si="13"/>
        <v>4223948994</v>
      </c>
      <c r="AC14" s="122">
        <f t="shared" si="13"/>
        <v>548148483</v>
      </c>
      <c r="AD14" s="129">
        <f t="shared" si="13"/>
        <v>4772097477</v>
      </c>
      <c r="AE14" s="128">
        <f t="shared" si="13"/>
        <v>2879368016</v>
      </c>
      <c r="AF14" s="122">
        <f t="shared" si="13"/>
        <v>492485276</v>
      </c>
      <c r="AG14" s="129">
        <f t="shared" si="13"/>
        <v>3371853292</v>
      </c>
      <c r="AH14" s="128">
        <f t="shared" si="13"/>
        <v>1773260295</v>
      </c>
      <c r="AI14" s="122">
        <f t="shared" si="13"/>
        <v>2635773569</v>
      </c>
      <c r="AJ14" s="130">
        <f t="shared" si="13"/>
        <v>4036017754</v>
      </c>
      <c r="AK14" s="10"/>
      <c r="AL14" s="128">
        <f>AL16+AL35+AL43+AL57</f>
        <v>133900000</v>
      </c>
      <c r="AM14" s="130">
        <f>AM16+AM35+AM43+AM57</f>
        <v>1250000000</v>
      </c>
      <c r="AO14" s="21"/>
      <c r="AP14" s="11" t="s">
        <v>73</v>
      </c>
      <c r="AQ14" s="12">
        <f>F19-AQ7-AQ8-AQ9-AQ10-AQ11-AQ12-AQ13</f>
        <v>11089111654</v>
      </c>
      <c r="AR14" s="12">
        <f>I19-AR7-AR8-AR9-AR10-AR11-AR12-AR13</f>
        <v>8648795496</v>
      </c>
      <c r="AS14" s="12">
        <f>L19-AS7-AS8-AS9-AS10-AS11-AS12-AS13</f>
        <v>4475239269</v>
      </c>
      <c r="AT14" s="382"/>
      <c r="AU14" s="350">
        <f t="shared" si="0"/>
        <v>0.77993582947469531</v>
      </c>
      <c r="AV14" s="350">
        <f t="shared" si="1"/>
        <v>0.40357058424835301</v>
      </c>
      <c r="AW14" s="351">
        <f>(I41+I46+I49+I52+I55+I58+I61+I64+I67+I70+I73+I78+I81+I82+I83+I85+I94+I104)/AO$2*12+I47+I50+I53+I56+I59+I62+I65+I68+I71+I74</f>
        <v>12782394199.5</v>
      </c>
      <c r="AX14" s="351">
        <f>(L41+L46+L49+L52+L55+L58+L61+L64+L67+L70+L73+L78+L81+L82+L83+L85+L94+L104)/AO$2*12+L47+L50+L53+L56+L59+L62+L65+L68+L71+L74</f>
        <v>6162791181</v>
      </c>
      <c r="AY14" s="351">
        <f t="shared" si="2"/>
        <v>1693282545.5</v>
      </c>
      <c r="AZ14" s="352">
        <f t="shared" si="3"/>
        <v>-4926320473</v>
      </c>
      <c r="BB14" s="383" t="s">
        <v>432</v>
      </c>
      <c r="BC14" s="92">
        <f>+F64</f>
        <v>5110724757</v>
      </c>
      <c r="BD14" s="93">
        <f>+I64</f>
        <v>1445370153</v>
      </c>
      <c r="BE14" s="94">
        <f>K64</f>
        <v>151910974</v>
      </c>
      <c r="BF14" s="95"/>
      <c r="BG14" s="91" t="s">
        <v>74</v>
      </c>
      <c r="BH14" s="81">
        <f t="shared" si="12"/>
        <v>0</v>
      </c>
      <c r="BI14" s="81">
        <f t="shared" si="12"/>
        <v>0</v>
      </c>
      <c r="BJ14" s="81">
        <f t="shared" si="12"/>
        <v>0</v>
      </c>
      <c r="BK14" s="81">
        <f t="shared" si="12"/>
        <v>0</v>
      </c>
      <c r="BM14" s="138" t="s">
        <v>439</v>
      </c>
      <c r="BN14" s="86">
        <f>X35-X41+X83-X88</f>
        <v>28160853505</v>
      </c>
      <c r="BO14" s="84">
        <f>AA35-AA41+AA83-AA88</f>
        <v>25554794148</v>
      </c>
      <c r="BP14" s="84">
        <f>AD35-AD41+AD83-AD88</f>
        <v>17935841597</v>
      </c>
      <c r="BQ14" s="85">
        <f>AF35-AF41+AF83-AF88</f>
        <v>1629557749</v>
      </c>
    </row>
    <row r="15" spans="1:69" s="9" customFormat="1" ht="24.95" customHeight="1" thickBot="1">
      <c r="A15" s="612">
        <f>+IF(JULIO!A15=0,"",JULIO!A15)</f>
        <v>1004</v>
      </c>
      <c r="B15" s="638" t="str">
        <f>+IF(JULIO!B15=0,"",JULIO!B15)</f>
        <v>Cesantias Ley 50/1990 a Dic-31-2016</v>
      </c>
      <c r="C15" s="769">
        <f>+ENERO!C15</f>
        <v>0</v>
      </c>
      <c r="D15" s="385">
        <f>JULIO!D15+AGOSTO!P15</f>
        <v>0</v>
      </c>
      <c r="E15" s="385">
        <f>JULIO!E15+AGOSTO!Q15</f>
        <v>103342000</v>
      </c>
      <c r="F15" s="386">
        <f>SUM(C15:E15)</f>
        <v>103342000</v>
      </c>
      <c r="G15" s="387">
        <f>JULIO!I15</f>
        <v>103342000</v>
      </c>
      <c r="H15" s="388">
        <v>0</v>
      </c>
      <c r="I15" s="386">
        <f>SUM(G15:H15)</f>
        <v>103342000</v>
      </c>
      <c r="J15" s="387">
        <f>JULIO!L15</f>
        <v>103342000</v>
      </c>
      <c r="K15" s="165">
        <v>0</v>
      </c>
      <c r="L15" s="386">
        <f>SUM(J15:K15)</f>
        <v>103342000</v>
      </c>
      <c r="M15" s="387">
        <f>F15-I15</f>
        <v>0</v>
      </c>
      <c r="N15" s="386">
        <f>F15-L15</f>
        <v>0</v>
      </c>
      <c r="O15" s="382"/>
      <c r="P15" s="384">
        <v>0</v>
      </c>
      <c r="Q15" s="389">
        <v>0</v>
      </c>
      <c r="S15" s="366" t="str">
        <f>+IF(JULIO!S15=0,"",JULIO!S15)</f>
        <v/>
      </c>
      <c r="T15" s="695"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9056443575</v>
      </c>
      <c r="AR15" s="12">
        <f>I113</f>
        <v>25849681</v>
      </c>
      <c r="AS15" s="12">
        <f>L113</f>
        <v>25849681</v>
      </c>
      <c r="AT15" s="13"/>
      <c r="AU15" s="350">
        <f t="shared" si="0"/>
        <v>2.8542860987239133E-3</v>
      </c>
      <c r="AV15" s="342">
        <f t="shared" si="1"/>
        <v>2.8542860987239133E-3</v>
      </c>
      <c r="AW15" s="12">
        <f>+AR15</f>
        <v>25849681</v>
      </c>
      <c r="AX15" s="12">
        <f>+AS15</f>
        <v>25849681</v>
      </c>
      <c r="AY15" s="12">
        <f t="shared" si="2"/>
        <v>-9030593894</v>
      </c>
      <c r="AZ15" s="343">
        <f t="shared" si="3"/>
        <v>-9030593894</v>
      </c>
      <c r="BA15" s="382"/>
      <c r="BB15" s="383" t="s">
        <v>77</v>
      </c>
      <c r="BC15" s="92">
        <f>F46+F49</f>
        <v>375197511</v>
      </c>
      <c r="BD15" s="93">
        <f>I46+I49</f>
        <v>246144820</v>
      </c>
      <c r="BE15" s="94">
        <f>K46+K49</f>
        <v>0</v>
      </c>
      <c r="BF15" s="95"/>
      <c r="BG15" s="91" t="s">
        <v>78</v>
      </c>
      <c r="BH15" s="81">
        <f t="shared" si="12"/>
        <v>11164400104</v>
      </c>
      <c r="BI15" s="81">
        <f t="shared" si="12"/>
        <v>10689596408</v>
      </c>
      <c r="BJ15" s="81">
        <f t="shared" si="12"/>
        <v>10689596408</v>
      </c>
      <c r="BK15" s="81">
        <f t="shared" si="12"/>
        <v>266395653</v>
      </c>
      <c r="BM15" s="71" t="s">
        <v>66</v>
      </c>
      <c r="BN15" s="83">
        <f>SUM(BN16:BN21)</f>
        <v>8899359656</v>
      </c>
      <c r="BO15" s="81">
        <f>SUM(BO16:BO21)</f>
        <v>7111688127</v>
      </c>
      <c r="BP15" s="81">
        <f>SUM(BP16:BP21)</f>
        <v>5433290695</v>
      </c>
      <c r="BQ15" s="82">
        <f>SUM(BQ16:BQ21)</f>
        <v>236966752</v>
      </c>
    </row>
    <row r="16" spans="1:69" s="9" customFormat="1" ht="24.95" customHeight="1" thickBot="1">
      <c r="A16" s="732" t="str">
        <f>+IF(JULIO!A16=0,"",JULIO!A16)</f>
        <v/>
      </c>
      <c r="B16" s="639" t="str">
        <f>+IF(JULIO!B16=0,"",JULIO!B16)</f>
        <v/>
      </c>
      <c r="C16" s="390"/>
      <c r="D16" s="390"/>
      <c r="E16" s="390"/>
      <c r="F16" s="390"/>
      <c r="G16" s="390"/>
      <c r="H16" s="390"/>
      <c r="I16" s="390"/>
      <c r="J16" s="390"/>
      <c r="K16" s="390"/>
      <c r="L16" s="390"/>
      <c r="M16" s="390"/>
      <c r="N16" s="391"/>
      <c r="O16" s="382"/>
      <c r="P16" s="392"/>
      <c r="Q16" s="393"/>
      <c r="S16" s="704">
        <f>+IF(JULIO!S16=0,"",JULIO!S16)</f>
        <v>1010100</v>
      </c>
      <c r="T16" s="680" t="str">
        <f>+IF(JULIO!T16=0,"",JULIO!T16)</f>
        <v>Servicios Personales Asociados a Nómina</v>
      </c>
      <c r="U16" s="132">
        <f t="shared" ref="U16:AJ16" si="14">SUM(U17:U20)+U33</f>
        <v>762990941</v>
      </c>
      <c r="V16" s="122">
        <f t="shared" si="14"/>
        <v>-30000000</v>
      </c>
      <c r="W16" s="122">
        <f t="shared" si="14"/>
        <v>19210353</v>
      </c>
      <c r="X16" s="129">
        <f t="shared" si="14"/>
        <v>752201294</v>
      </c>
      <c r="Y16" s="128">
        <f t="shared" si="14"/>
        <v>311982713</v>
      </c>
      <c r="Z16" s="122">
        <f t="shared" si="14"/>
        <v>60365110</v>
      </c>
      <c r="AA16" s="129">
        <f t="shared" si="14"/>
        <v>372347823</v>
      </c>
      <c r="AB16" s="128">
        <f t="shared" si="14"/>
        <v>311982713</v>
      </c>
      <c r="AC16" s="122">
        <f t="shared" si="14"/>
        <v>60365110</v>
      </c>
      <c r="AD16" s="129">
        <f t="shared" si="14"/>
        <v>372347823</v>
      </c>
      <c r="AE16" s="128">
        <f t="shared" si="14"/>
        <v>311982713</v>
      </c>
      <c r="AF16" s="122">
        <f t="shared" si="14"/>
        <v>60365110</v>
      </c>
      <c r="AG16" s="129">
        <f t="shared" si="14"/>
        <v>372347823</v>
      </c>
      <c r="AH16" s="128">
        <f t="shared" si="14"/>
        <v>379853471</v>
      </c>
      <c r="AI16" s="122">
        <f t="shared" si="14"/>
        <v>379853471</v>
      </c>
      <c r="AJ16" s="130">
        <f t="shared" si="14"/>
        <v>379853471</v>
      </c>
      <c r="AK16" s="10"/>
      <c r="AL16" s="128">
        <f>SUM(AL17:AL20)+AL33</f>
        <v>-30000000</v>
      </c>
      <c r="AM16" s="130">
        <f>SUM(AM17:AM20)+AM33</f>
        <v>0</v>
      </c>
      <c r="AO16" s="21"/>
      <c r="AP16" s="394" t="s">
        <v>81</v>
      </c>
      <c r="AQ16" s="395">
        <f>F10</f>
        <v>617329922</v>
      </c>
      <c r="AR16" s="395">
        <f>I10</f>
        <v>617329922</v>
      </c>
      <c r="AS16" s="395">
        <f>L10</f>
        <v>617329922</v>
      </c>
      <c r="AT16" s="382"/>
      <c r="AU16" s="396">
        <f t="shared" si="0"/>
        <v>1</v>
      </c>
      <c r="AV16" s="396">
        <f t="shared" si="1"/>
        <v>1</v>
      </c>
      <c r="AW16" s="395">
        <f t="shared" ref="AW16:AX16" si="15">+AR16</f>
        <v>617329922</v>
      </c>
      <c r="AX16" s="395">
        <f t="shared" si="15"/>
        <v>617329922</v>
      </c>
      <c r="AY16" s="12">
        <f t="shared" si="2"/>
        <v>0</v>
      </c>
      <c r="AZ16" s="397">
        <f t="shared" si="3"/>
        <v>0</v>
      </c>
      <c r="BA16" s="382"/>
      <c r="BB16" s="365" t="s">
        <v>433</v>
      </c>
      <c r="BC16" s="73">
        <f>F43</f>
        <v>0</v>
      </c>
      <c r="BD16" s="74">
        <f>I43</f>
        <v>0</v>
      </c>
      <c r="BE16" s="75">
        <f>K43</f>
        <v>0</v>
      </c>
      <c r="BF16" s="76"/>
      <c r="BG16" s="91" t="s">
        <v>82</v>
      </c>
      <c r="BH16" s="96">
        <f>BH7+BH12+BH13+BH14+BH15</f>
        <v>66878334114</v>
      </c>
      <c r="BI16" s="96">
        <f>BI7+BI12+BI13+BI14+BI15</f>
        <v>54796805485</v>
      </c>
      <c r="BJ16" s="96">
        <f>BJ7+BJ12+BJ13+BJ14+BJ15</f>
        <v>44168538763</v>
      </c>
      <c r="BK16" s="96">
        <f>BK7+BK12+BK13+BK14+BK15</f>
        <v>2826209662</v>
      </c>
      <c r="BM16" s="137" t="s">
        <v>83</v>
      </c>
      <c r="BN16" s="83">
        <f>X114-X121+X147-X148-X153</f>
        <v>1119358788</v>
      </c>
      <c r="BO16" s="81">
        <f>AA114-AA121+AA147-AA148-AA153</f>
        <v>745208135</v>
      </c>
      <c r="BP16" s="81">
        <f>AD114-AD121+AD147-AD148-AD153</f>
        <v>685221966</v>
      </c>
      <c r="BQ16" s="82">
        <f>AF114-AF121+AF147-AF148-AF153</f>
        <v>22519037</v>
      </c>
    </row>
    <row r="17" spans="1:70" s="382" customFormat="1" ht="24.95" customHeight="1" thickBot="1">
      <c r="A17" s="731">
        <f>+IF(JULIO!A17=0,"",JULIO!A17)</f>
        <v>11</v>
      </c>
      <c r="B17" s="640" t="str">
        <f>+IF(JULIO!B17=0,"",JULIO!B17)</f>
        <v>INGRESOS  CORRIENTES</v>
      </c>
      <c r="C17" s="334">
        <f>C19+C94+C104</f>
        <v>41169250887</v>
      </c>
      <c r="D17" s="331">
        <f t="shared" ref="D17:Q17" si="16">D19+D94+D104</f>
        <v>0</v>
      </c>
      <c r="E17" s="331">
        <f t="shared" si="16"/>
        <v>16035309730</v>
      </c>
      <c r="F17" s="331">
        <f t="shared" si="16"/>
        <v>57204560617</v>
      </c>
      <c r="G17" s="331">
        <f t="shared" si="16"/>
        <v>45135424868</v>
      </c>
      <c r="H17" s="331">
        <f t="shared" si="16"/>
        <v>3847298966</v>
      </c>
      <c r="I17" s="331">
        <f t="shared" si="16"/>
        <v>48982723834</v>
      </c>
      <c r="J17" s="331">
        <f t="shared" si="16"/>
        <v>22603074833</v>
      </c>
      <c r="K17" s="331">
        <f t="shared" si="16"/>
        <v>3495655439</v>
      </c>
      <c r="L17" s="331">
        <f t="shared" si="16"/>
        <v>26098730272</v>
      </c>
      <c r="M17" s="331">
        <f t="shared" si="16"/>
        <v>8221836783</v>
      </c>
      <c r="N17" s="332">
        <f t="shared" si="16"/>
        <v>31105830345</v>
      </c>
      <c r="P17" s="174">
        <f t="shared" si="16"/>
        <v>0</v>
      </c>
      <c r="Q17" s="175">
        <f t="shared" si="16"/>
        <v>3701687856</v>
      </c>
      <c r="R17" s="9"/>
      <c r="S17" s="705">
        <f>+IF(JULIO!S17=0,"",JULIO!S17)</f>
        <v>1010101</v>
      </c>
      <c r="T17" s="681" t="str">
        <f>+IF(JULIO!T17=0,"",JULIO!T17)</f>
        <v>Sueldos del Personal de nómina</v>
      </c>
      <c r="U17" s="27">
        <f>+ENERO!U17</f>
        <v>619731764</v>
      </c>
      <c r="V17" s="15">
        <f>JULIO!V17+AGOSTO!AL17</f>
        <v>-30000000</v>
      </c>
      <c r="W17" s="15">
        <f>JULIO!W17+AGOSTO!AM17</f>
        <v>0</v>
      </c>
      <c r="X17" s="18">
        <f>SUM(U17:W17)</f>
        <v>589731764</v>
      </c>
      <c r="Y17" s="19">
        <f>JULIO!AA17</f>
        <v>265025930</v>
      </c>
      <c r="Z17" s="374">
        <v>38878405</v>
      </c>
      <c r="AA17" s="18">
        <f>SUM(Y17:Z17)</f>
        <v>303904335</v>
      </c>
      <c r="AB17" s="19">
        <f>JULIO!AD17</f>
        <v>265025930</v>
      </c>
      <c r="AC17" s="374">
        <v>38878405</v>
      </c>
      <c r="AD17" s="18">
        <f>SUM(AB17:AC17)</f>
        <v>303904335</v>
      </c>
      <c r="AE17" s="19">
        <f>JULIO!AG17</f>
        <v>265025930</v>
      </c>
      <c r="AF17" s="374">
        <v>38878405</v>
      </c>
      <c r="AG17" s="18">
        <f>SUM(AE17:AF17)</f>
        <v>303904335</v>
      </c>
      <c r="AH17" s="19">
        <f>X17-AA17</f>
        <v>285827429</v>
      </c>
      <c r="AI17" s="15">
        <f>X17-AD17</f>
        <v>285827429</v>
      </c>
      <c r="AJ17" s="16">
        <f>X17-AG17</f>
        <v>285827429</v>
      </c>
      <c r="AK17" s="9"/>
      <c r="AL17" s="372">
        <v>-30000000</v>
      </c>
      <c r="AM17" s="375">
        <v>0</v>
      </c>
      <c r="AN17" s="9"/>
      <c r="AO17" s="349"/>
      <c r="AP17" s="399" t="s">
        <v>85</v>
      </c>
      <c r="AQ17" s="400">
        <f>SUM(AQ7:AQ16)</f>
        <v>65953226618</v>
      </c>
      <c r="AR17" s="401">
        <f>SUM(AR7:AR16)</f>
        <v>48641257288</v>
      </c>
      <c r="AS17" s="402">
        <f>SUM(AS7:AS16)</f>
        <v>25996776178</v>
      </c>
      <c r="AT17" s="403"/>
      <c r="AU17" s="401">
        <f t="shared" si="0"/>
        <v>0.73751141198488068</v>
      </c>
      <c r="AV17" s="401">
        <f t="shared" si="1"/>
        <v>0.39416989146828096</v>
      </c>
      <c r="AW17" s="404">
        <f>SUM(AX7:AX16)</f>
        <v>31059622693.5</v>
      </c>
      <c r="AX17" s="404">
        <f>SUM(AX7:AX16)</f>
        <v>31059622693.5</v>
      </c>
      <c r="AY17" s="404">
        <f>SUM(AY7:AY16)</f>
        <v>-567613581.5</v>
      </c>
      <c r="AZ17" s="405">
        <f>SUM(AZ7:AZ16)</f>
        <v>-34893603924.5</v>
      </c>
      <c r="BA17" s="9"/>
      <c r="BB17" s="365" t="s">
        <v>434</v>
      </c>
      <c r="BC17" s="73">
        <f>F41+F52+F55+F58+F61+F67+F70+F73+F76+F79+F82+F86+F87+F88+F89+F90+F91</f>
        <v>2515454979</v>
      </c>
      <c r="BD17" s="74">
        <f>I41+I52+I55+I58+I61+I67+I70+I73+I76+I79+I82+I86+I87+I88+I89+I90+I91</f>
        <v>3649760247</v>
      </c>
      <c r="BE17" s="75">
        <f>K41+K52+K55+K58+K61+K67+K70+K73+K76+K79+K82+K86+K87+K88+K89+K90+K91</f>
        <v>280454662</v>
      </c>
      <c r="BF17" s="76"/>
      <c r="BG17" s="98" t="s">
        <v>86</v>
      </c>
      <c r="BH17" s="99">
        <f>BC23-BH16</f>
        <v>-66878334114</v>
      </c>
      <c r="BI17" s="99"/>
      <c r="BJ17" s="99"/>
      <c r="BK17" s="99"/>
      <c r="BM17" s="137" t="s">
        <v>449</v>
      </c>
      <c r="BN17" s="83">
        <f>X123-X126-X139+X155-X156-X167-X168</f>
        <v>4814146146</v>
      </c>
      <c r="BO17" s="81">
        <f>AA123-AA126-AA139+AA155-AA156-AA167-AA168</f>
        <v>4503810444</v>
      </c>
      <c r="BP17" s="81">
        <f>AD123-AD126-AD139+AD155-AD156-AD167-AD168</f>
        <v>3275984098</v>
      </c>
      <c r="BQ17" s="82">
        <f>AF123-AF126-AF139+AF155-AF156-AF167-AF168</f>
        <v>121373367</v>
      </c>
      <c r="BR17" s="9"/>
    </row>
    <row r="18" spans="1:70" s="9" customFormat="1" ht="24.95" customHeight="1" thickBot="1">
      <c r="A18" s="611" t="str">
        <f>+IF(JULIO!A18=0,"",JULIO!A18)</f>
        <v/>
      </c>
      <c r="B18" s="641" t="str">
        <f>+IF(JULIO!B18=0,"",JULIO!B18)</f>
        <v/>
      </c>
      <c r="C18" s="294"/>
      <c r="D18" s="294"/>
      <c r="E18" s="294"/>
      <c r="F18" s="294"/>
      <c r="G18" s="294"/>
      <c r="H18" s="294"/>
      <c r="I18" s="294"/>
      <c r="J18" s="294"/>
      <c r="K18" s="294"/>
      <c r="L18" s="294"/>
      <c r="M18" s="294"/>
      <c r="N18" s="463"/>
      <c r="P18" s="407"/>
      <c r="Q18" s="406"/>
      <c r="S18" s="705">
        <f>+IF(JULIO!S18=0,"",JULIO!S18)</f>
        <v>1010102</v>
      </c>
      <c r="T18" s="681" t="str">
        <f>+IF(JULIO!T18=0,"",JULIO!T18)</f>
        <v>Horas Extras,Dominic.,Festivos y Rec. Nocturnos</v>
      </c>
      <c r="U18" s="27">
        <f>+ENERO!U18</f>
        <v>0</v>
      </c>
      <c r="V18" s="15">
        <f>JULIO!V18+AGOSTO!AL18</f>
        <v>0</v>
      </c>
      <c r="W18" s="15">
        <f>JULIO!W18+AGOSTO!AM18</f>
        <v>0</v>
      </c>
      <c r="X18" s="18">
        <f>SUM(U18:W18)</f>
        <v>0</v>
      </c>
      <c r="Y18" s="19">
        <f>JULIO!AA18</f>
        <v>0</v>
      </c>
      <c r="Z18" s="374">
        <v>0</v>
      </c>
      <c r="AA18" s="18">
        <f>SUM(Y18:Z18)</f>
        <v>0</v>
      </c>
      <c r="AB18" s="19">
        <f>JULIO!AD18</f>
        <v>0</v>
      </c>
      <c r="AC18" s="374">
        <v>0</v>
      </c>
      <c r="AD18" s="18">
        <f>SUM(AB18:AC18)</f>
        <v>0</v>
      </c>
      <c r="AE18" s="19">
        <f>JULIO!AG18</f>
        <v>0</v>
      </c>
      <c r="AF18" s="374">
        <v>0</v>
      </c>
      <c r="AG18" s="18">
        <f>SUM(AE18:AF18)</f>
        <v>0</v>
      </c>
      <c r="AH18" s="19">
        <f>X18-AA18</f>
        <v>0</v>
      </c>
      <c r="AI18" s="15">
        <f>X18-AD18</f>
        <v>0</v>
      </c>
      <c r="AJ18" s="16">
        <f>X18-AG18</f>
        <v>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125236928</v>
      </c>
      <c r="BD18" s="74">
        <f>+I95+I96+I97+I99+I100+I101</f>
        <v>125236928</v>
      </c>
      <c r="BE18" s="75">
        <f>+K95+K96+K97+K99+K100+K101</f>
        <v>0</v>
      </c>
      <c r="BF18" s="95"/>
      <c r="BM18" s="137" t="s">
        <v>87</v>
      </c>
      <c r="BN18" s="83">
        <f>X148+X156</f>
        <v>2058462544</v>
      </c>
      <c r="BO18" s="81">
        <f>AA148+AA156</f>
        <v>1127549154</v>
      </c>
      <c r="BP18" s="81">
        <f>AD148+AD156</f>
        <v>737032522</v>
      </c>
      <c r="BQ18" s="82">
        <f>AF148+AF156</f>
        <v>8685898</v>
      </c>
      <c r="BR18" s="382"/>
    </row>
    <row r="19" spans="1:70" s="9" customFormat="1" ht="24.95" customHeight="1" thickBot="1">
      <c r="A19" s="733">
        <f>+IF(JULIO!A19=0,"",JULIO!A19)</f>
        <v>113</v>
      </c>
      <c r="B19" s="642" t="str">
        <f>+IF(JULIO!B19=0,"",JULIO!B19)</f>
        <v>VENTA DE SERVICIOS</v>
      </c>
      <c r="C19" s="334">
        <f t="shared" ref="C19:N19" si="17">C21+C85</f>
        <v>40501810887</v>
      </c>
      <c r="D19" s="331">
        <f t="shared" si="17"/>
        <v>0</v>
      </c>
      <c r="E19" s="331">
        <f t="shared" si="17"/>
        <v>15777642234</v>
      </c>
      <c r="F19" s="332">
        <f t="shared" si="17"/>
        <v>56279453121</v>
      </c>
      <c r="G19" s="334">
        <f t="shared" si="17"/>
        <v>44275485281</v>
      </c>
      <c r="H19" s="331">
        <f t="shared" si="17"/>
        <v>3722592404</v>
      </c>
      <c r="I19" s="332">
        <f t="shared" si="17"/>
        <v>47998077685</v>
      </c>
      <c r="J19" s="334">
        <f t="shared" si="17"/>
        <v>22027531912</v>
      </c>
      <c r="K19" s="331">
        <f t="shared" si="17"/>
        <v>3326064663</v>
      </c>
      <c r="L19" s="332">
        <f t="shared" si="17"/>
        <v>25353596575</v>
      </c>
      <c r="M19" s="334">
        <f t="shared" si="17"/>
        <v>8281375436</v>
      </c>
      <c r="N19" s="332">
        <f t="shared" si="17"/>
        <v>30925856546</v>
      </c>
      <c r="O19" s="382"/>
      <c r="P19" s="43">
        <f>P21+P85</f>
        <v>0</v>
      </c>
      <c r="Q19" s="45">
        <f>Q21+Q85</f>
        <v>3687430210</v>
      </c>
      <c r="S19" s="705">
        <f>+IF(JULIO!S19=0,"",JULIO!S19)</f>
        <v>1010103</v>
      </c>
      <c r="T19" s="681" t="str">
        <f>+IF(JULIO!T19=0,"",JULIO!T19)</f>
        <v>Prima Técnica</v>
      </c>
      <c r="U19" s="27">
        <f>+ENERO!U19</f>
        <v>0</v>
      </c>
      <c r="V19" s="15">
        <f>JULIO!V19+AGOSTO!AL19</f>
        <v>0</v>
      </c>
      <c r="W19" s="15">
        <f>JULIO!W19+AGOSTO!AM19</f>
        <v>0</v>
      </c>
      <c r="X19" s="18">
        <f>SUM(U19:W19)</f>
        <v>0</v>
      </c>
      <c r="Y19" s="19">
        <f>JULIO!AA19</f>
        <v>0</v>
      </c>
      <c r="Z19" s="374">
        <v>0</v>
      </c>
      <c r="AA19" s="18">
        <f>SUM(Y19:Z19)</f>
        <v>0</v>
      </c>
      <c r="AB19" s="19">
        <f>JULIO!AD19</f>
        <v>0</v>
      </c>
      <c r="AC19" s="374">
        <v>0</v>
      </c>
      <c r="AD19" s="18">
        <f>SUM(AB19:AC19)</f>
        <v>0</v>
      </c>
      <c r="AE19" s="19">
        <f>JULIO!AG19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2960" t="str">
        <f>+CONCATENATE("PROYECCION A DICIEMBRE 31 DEL ",N3)</f>
        <v>PROYECCION A DICIEMBRE 31 DEL 2017</v>
      </c>
      <c r="AX19" s="2961"/>
      <c r="AY19" s="2961"/>
      <c r="AZ19" s="2962"/>
      <c r="BA19" s="382"/>
      <c r="BB19" s="414" t="s">
        <v>93</v>
      </c>
      <c r="BC19" s="621">
        <f>+F105+F106+F107+F108+F109+F110+F98</f>
        <v>748204441</v>
      </c>
      <c r="BD19" s="93">
        <f>+I105+I106+I107+I108+I109+I110+I98</f>
        <v>752426090</v>
      </c>
      <c r="BE19" s="94">
        <f>+K105+K106+K107+K108+K109+K110+K98</f>
        <v>114273772</v>
      </c>
      <c r="BF19" s="57"/>
      <c r="BG19" s="382"/>
      <c r="BH19" s="382">
        <f>BN33</f>
        <v>0</v>
      </c>
      <c r="BI19" s="382"/>
      <c r="BJ19" s="382"/>
      <c r="BK19" s="382"/>
      <c r="BM19" s="137" t="s">
        <v>94</v>
      </c>
      <c r="BN19" s="83">
        <f>X126+X167</f>
        <v>904500000</v>
      </c>
      <c r="BO19" s="81">
        <f>AA126+AA167</f>
        <v>732228216</v>
      </c>
      <c r="BP19" s="81">
        <f>AD126+AD167</f>
        <v>732159931</v>
      </c>
      <c r="BQ19" s="82">
        <f>AF126+AF167</f>
        <v>84388450</v>
      </c>
    </row>
    <row r="20" spans="1:70" s="422" customFormat="1" ht="24.95" customHeight="1" thickBot="1">
      <c r="A20" s="611" t="str">
        <f>+IF(JULIO!A20=0,"",JULIO!A20)</f>
        <v/>
      </c>
      <c r="B20" s="643" t="str">
        <f>+IF(JULIO!B20=0,"",JULIO!B20)</f>
        <v/>
      </c>
      <c r="C20" s="294"/>
      <c r="D20" s="294"/>
      <c r="E20" s="294"/>
      <c r="F20" s="294"/>
      <c r="G20" s="294"/>
      <c r="H20" s="294"/>
      <c r="I20" s="294"/>
      <c r="J20" s="294"/>
      <c r="K20" s="294"/>
      <c r="L20" s="294"/>
      <c r="M20" s="294"/>
      <c r="N20" s="463"/>
      <c r="O20" s="9"/>
      <c r="P20" s="407"/>
      <c r="Q20" s="406"/>
      <c r="R20" s="9"/>
      <c r="S20" s="705">
        <f>+IF(JULIO!S20=0,"",JULIO!S20)</f>
        <v>1010104</v>
      </c>
      <c r="T20" s="681" t="str">
        <f>+IF(JULIO!T20=0,"",JULIO!T20)</f>
        <v>Otros</v>
      </c>
      <c r="U20" s="27">
        <f t="shared" ref="U20:AJ20" si="18">SUM(U21:U32)</f>
        <v>143259177</v>
      </c>
      <c r="V20" s="15">
        <f t="shared" si="18"/>
        <v>0</v>
      </c>
      <c r="W20" s="15">
        <f t="shared" si="18"/>
        <v>19210353</v>
      </c>
      <c r="X20" s="18">
        <f t="shared" si="18"/>
        <v>162469530</v>
      </c>
      <c r="Y20" s="19">
        <f t="shared" si="18"/>
        <v>46956783</v>
      </c>
      <c r="Z20" s="142">
        <f t="shared" si="18"/>
        <v>21486705</v>
      </c>
      <c r="AA20" s="18">
        <f t="shared" si="18"/>
        <v>68443488</v>
      </c>
      <c r="AB20" s="19">
        <f t="shared" si="18"/>
        <v>46956783</v>
      </c>
      <c r="AC20" s="142">
        <f t="shared" si="18"/>
        <v>21486705</v>
      </c>
      <c r="AD20" s="18">
        <f t="shared" si="18"/>
        <v>68443488</v>
      </c>
      <c r="AE20" s="19">
        <f t="shared" si="18"/>
        <v>46956783</v>
      </c>
      <c r="AF20" s="142">
        <f t="shared" si="18"/>
        <v>21486705</v>
      </c>
      <c r="AG20" s="18">
        <f t="shared" si="18"/>
        <v>68443488</v>
      </c>
      <c r="AH20" s="19">
        <f t="shared" si="18"/>
        <v>94026042</v>
      </c>
      <c r="AI20" s="15">
        <f t="shared" si="18"/>
        <v>94026042</v>
      </c>
      <c r="AJ20" s="16">
        <f t="shared" si="18"/>
        <v>94026042</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3516381</v>
      </c>
      <c r="BD20" s="66">
        <f>+I115+I117+I119+I120+I121+I123+I124</f>
        <v>4221801</v>
      </c>
      <c r="BE20" s="67">
        <f>+K115+K117+K119+K120+K121+K123+K124</f>
        <v>598976</v>
      </c>
      <c r="BF20" s="57"/>
      <c r="BG20" s="382"/>
      <c r="BH20" s="382">
        <f>BH19-BH16</f>
        <v>-66878334114</v>
      </c>
      <c r="BI20" s="382"/>
      <c r="BJ20" s="382"/>
      <c r="BK20" s="382"/>
      <c r="BL20" s="382"/>
      <c r="BM20" s="139" t="s">
        <v>444</v>
      </c>
      <c r="BN20" s="83">
        <f>+X141-X143</f>
        <v>2892178</v>
      </c>
      <c r="BO20" s="81">
        <f>+AA141-AA143</f>
        <v>2892178</v>
      </c>
      <c r="BP20" s="81">
        <f>+AD141-AD143</f>
        <v>2892178</v>
      </c>
      <c r="BQ20" s="82">
        <f>+AF141-AF143</f>
        <v>0</v>
      </c>
      <c r="BR20" s="9"/>
    </row>
    <row r="21" spans="1:70" s="422" customFormat="1" ht="24.95" customHeight="1" thickBot="1">
      <c r="A21" s="734">
        <f>+IF(JULIO!A21=0,"",JULIO!A21)</f>
        <v>11301</v>
      </c>
      <c r="B21" s="644" t="str">
        <f>+IF(JULIO!B21=0,"",JULIO!B21)</f>
        <v>Venta de Servicios de Salud</v>
      </c>
      <c r="C21" s="174">
        <f t="shared" ref="C21:N21" si="19">C22+C25+C28+C41+C42+C45+C48+C51+C54+C57+C60+C63+C66+C69+C72+C75+C78+C81</f>
        <v>40501810887</v>
      </c>
      <c r="D21" s="354">
        <f t="shared" si="19"/>
        <v>0</v>
      </c>
      <c r="E21" s="354">
        <f t="shared" si="19"/>
        <v>15777642234</v>
      </c>
      <c r="F21" s="354">
        <f t="shared" si="19"/>
        <v>56279453121</v>
      </c>
      <c r="G21" s="354">
        <f t="shared" si="19"/>
        <v>44275485281</v>
      </c>
      <c r="H21" s="354">
        <f t="shared" si="19"/>
        <v>3722592404</v>
      </c>
      <c r="I21" s="354">
        <f t="shared" si="19"/>
        <v>47998077685</v>
      </c>
      <c r="J21" s="354">
        <f t="shared" si="19"/>
        <v>22027531912</v>
      </c>
      <c r="K21" s="354">
        <f t="shared" si="19"/>
        <v>3326064663</v>
      </c>
      <c r="L21" s="354">
        <f t="shared" si="19"/>
        <v>25353596575</v>
      </c>
      <c r="M21" s="354">
        <f t="shared" si="19"/>
        <v>8281375436</v>
      </c>
      <c r="N21" s="175">
        <f t="shared" si="19"/>
        <v>30925856546</v>
      </c>
      <c r="O21" s="382"/>
      <c r="P21" s="43">
        <f>P22+P25+P28+P41+P42+P45+P48+P51+P54+P57+P60+P63+P66+P69+P72+P75+P78+P81</f>
        <v>0</v>
      </c>
      <c r="Q21" s="45">
        <f>Q22+Q25+Q28+Q41+Q42+Q45+Q48+Q51+Q54+Q57+Q60+Q63+Q66+Q69+Q72+Q75+Q78+Q81</f>
        <v>3687430210</v>
      </c>
      <c r="R21" s="9"/>
      <c r="S21" s="706" t="str">
        <f>+IF(JULIO!S21=0,"",JULIO!S21)</f>
        <v>1010104-1</v>
      </c>
      <c r="T21" s="682" t="str">
        <f>+IF(JULIO!T21=0,"",JULIO!T21)</f>
        <v xml:space="preserve">Prima de Navidad </v>
      </c>
      <c r="U21" s="27">
        <f>+ENERO!U21</f>
        <v>52257791</v>
      </c>
      <c r="V21" s="15">
        <f>JULIO!V21+AGOSTO!AL21</f>
        <v>0</v>
      </c>
      <c r="W21" s="15">
        <f>JULIO!W21+AGOSTO!AM21</f>
        <v>0</v>
      </c>
      <c r="X21" s="18">
        <f t="shared" ref="X21:X33" si="20">SUM(U21:W21)</f>
        <v>52257791</v>
      </c>
      <c r="Y21" s="19">
        <f>JULIO!AA21</f>
        <v>317672</v>
      </c>
      <c r="Z21" s="374">
        <v>0</v>
      </c>
      <c r="AA21" s="18">
        <f t="shared" ref="AA21:AA33" si="21">SUM(Y21:Z21)</f>
        <v>317672</v>
      </c>
      <c r="AB21" s="19">
        <f>JULIO!AD21</f>
        <v>317672</v>
      </c>
      <c r="AC21" s="374">
        <v>0</v>
      </c>
      <c r="AD21" s="18">
        <f t="shared" ref="AD21:AD33" si="22">SUM(AB21:AC21)</f>
        <v>317672</v>
      </c>
      <c r="AE21" s="19">
        <f>JULIO!AG21</f>
        <v>317672</v>
      </c>
      <c r="AF21" s="374">
        <v>0</v>
      </c>
      <c r="AG21" s="18">
        <f t="shared" ref="AG21:AG33" si="23">SUM(AE21:AF21)</f>
        <v>317672</v>
      </c>
      <c r="AH21" s="19">
        <f t="shared" ref="AH21:AH33" si="24">X21-AA21</f>
        <v>51940119</v>
      </c>
      <c r="AI21" s="15">
        <f t="shared" ref="AI21:AI33" si="25">X21-AD21</f>
        <v>51940119</v>
      </c>
      <c r="AJ21" s="16">
        <f t="shared" ref="AJ21:AJ33" si="26">X21-AG21</f>
        <v>51940119</v>
      </c>
      <c r="AK21" s="9"/>
      <c r="AL21" s="372">
        <v>0</v>
      </c>
      <c r="AM21" s="375">
        <v>0</v>
      </c>
      <c r="AN21" s="9"/>
      <c r="AO21" s="349"/>
      <c r="AP21" s="423"/>
      <c r="AQ21" s="424"/>
      <c r="AR21" s="425" t="str">
        <f>AR6</f>
        <v>AGOSTO</v>
      </c>
      <c r="AS21" s="426" t="str">
        <f>AR6</f>
        <v>AGOSTO</v>
      </c>
      <c r="AT21" s="425" t="str">
        <f>AR6</f>
        <v>AGOSTO</v>
      </c>
      <c r="AU21" s="425" t="s">
        <v>44</v>
      </c>
      <c r="AV21" s="425" t="s">
        <v>22</v>
      </c>
      <c r="AW21" s="427"/>
      <c r="AX21" s="427"/>
      <c r="AY21" s="425" t="s">
        <v>44</v>
      </c>
      <c r="AZ21" s="428" t="s">
        <v>22</v>
      </c>
      <c r="BA21" s="9"/>
      <c r="BB21" s="101" t="s">
        <v>437</v>
      </c>
      <c r="BC21" s="65">
        <f>SUMIF($B8:B122,$B24,F8:F122)+F122</f>
        <v>24622102781</v>
      </c>
      <c r="BD21" s="66">
        <f>SUMIF($B8:B122,$B24,I8:I122)+I122</f>
        <v>17487131820</v>
      </c>
      <c r="BE21" s="67">
        <f>SUMIF($B8:B122,$B24,K8:K122)+K122</f>
        <v>366428975</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3">
        <f>+IF(JULIO!A22=0,"",JULIO!A22)</f>
        <v>1130101</v>
      </c>
      <c r="B22" s="645" t="str">
        <f>+IF(JULIO!B22=0,"",JULIO!B22)</f>
        <v>EPS - REGIMEN CONTRIBUTIVO</v>
      </c>
      <c r="C22" s="43">
        <f t="shared" ref="C22:N22" si="27">SUM(C23:C24)</f>
        <v>18905646713</v>
      </c>
      <c r="D22" s="44">
        <f t="shared" si="27"/>
        <v>0</v>
      </c>
      <c r="E22" s="44">
        <f t="shared" si="27"/>
        <v>7269386762</v>
      </c>
      <c r="F22" s="44">
        <f t="shared" si="27"/>
        <v>26175033475</v>
      </c>
      <c r="G22" s="44">
        <f t="shared" si="27"/>
        <v>17586414515</v>
      </c>
      <c r="H22" s="44">
        <f t="shared" si="27"/>
        <v>1644962619</v>
      </c>
      <c r="I22" s="44">
        <f t="shared" si="27"/>
        <v>19231377134</v>
      </c>
      <c r="J22" s="44">
        <f t="shared" si="27"/>
        <v>9859215242</v>
      </c>
      <c r="K22" s="44">
        <f t="shared" si="27"/>
        <v>917012795</v>
      </c>
      <c r="L22" s="44">
        <f t="shared" si="27"/>
        <v>10776228037</v>
      </c>
      <c r="M22" s="44">
        <f t="shared" si="27"/>
        <v>6943656341</v>
      </c>
      <c r="N22" s="45">
        <f t="shared" si="27"/>
        <v>15398805438</v>
      </c>
      <c r="P22" s="43">
        <f>SUM(P23:P24)</f>
        <v>0</v>
      </c>
      <c r="Q22" s="45">
        <f>SUM(Q23:Q24)</f>
        <v>1999802291</v>
      </c>
      <c r="S22" s="706" t="str">
        <f>+IF(JULIO!S22=0,"",JULIO!S22)</f>
        <v>1010104-2</v>
      </c>
      <c r="T22" s="682" t="str">
        <f>+IF(JULIO!T22=0,"",JULIO!T22)</f>
        <v>Prima Vida Cara</v>
      </c>
      <c r="U22" s="27">
        <f>+ENERO!U22</f>
        <v>24380551</v>
      </c>
      <c r="V22" s="15">
        <f>JULIO!V22+AGOSTO!AL22</f>
        <v>0</v>
      </c>
      <c r="W22" s="15">
        <f>JULIO!W22+AGOSTO!AM22</f>
        <v>19210353</v>
      </c>
      <c r="X22" s="18">
        <f t="shared" si="20"/>
        <v>43590904</v>
      </c>
      <c r="Y22" s="19">
        <f>JULIO!AA22</f>
        <v>19210353</v>
      </c>
      <c r="Z22" s="374">
        <v>20535407</v>
      </c>
      <c r="AA22" s="18">
        <f t="shared" si="21"/>
        <v>39745760</v>
      </c>
      <c r="AB22" s="19">
        <f>JULIO!AD22</f>
        <v>19210353</v>
      </c>
      <c r="AC22" s="374">
        <v>20535407</v>
      </c>
      <c r="AD22" s="18">
        <f t="shared" si="22"/>
        <v>39745760</v>
      </c>
      <c r="AE22" s="19">
        <f>JULIO!AG22</f>
        <v>19210353</v>
      </c>
      <c r="AF22" s="374">
        <v>20535407</v>
      </c>
      <c r="AG22" s="18">
        <f t="shared" si="23"/>
        <v>39745760</v>
      </c>
      <c r="AH22" s="19">
        <f t="shared" si="24"/>
        <v>3845144</v>
      </c>
      <c r="AI22" s="15">
        <f t="shared" si="25"/>
        <v>3845144</v>
      </c>
      <c r="AJ22" s="16">
        <f t="shared" si="26"/>
        <v>3845144</v>
      </c>
      <c r="AL22" s="372">
        <v>0</v>
      </c>
      <c r="AM22" s="375">
        <v>0</v>
      </c>
      <c r="AO22" s="21"/>
      <c r="AP22" s="429" t="s">
        <v>104</v>
      </c>
      <c r="AQ22" s="430">
        <f>X17+X66</f>
        <v>1482951119</v>
      </c>
      <c r="AR22" s="430">
        <f>AD17+AD66</f>
        <v>825649322</v>
      </c>
      <c r="AS22" s="430">
        <f>AG17+AG66</f>
        <v>825649322</v>
      </c>
      <c r="AT22" s="431"/>
      <c r="AU22" s="432">
        <f t="shared" ref="AU22:AU32" si="28">IF(AQ22=0," ",AR22/AQ22)</f>
        <v>0.55676098249061712</v>
      </c>
      <c r="AV22" s="432">
        <f t="shared" ref="AV22:AV32" si="29">IF(AQ22=0," ",AS22/AQ22)</f>
        <v>0.55676098249061712</v>
      </c>
      <c r="AW22" s="433">
        <f>AR22/$AO$2*12</f>
        <v>1238473983</v>
      </c>
      <c r="AX22" s="433">
        <f>AS22/$AO$2*12</f>
        <v>1238473983</v>
      </c>
      <c r="AY22" s="433">
        <f t="shared" ref="AY22:AY31" si="30">AW22-AQ22</f>
        <v>-244477136</v>
      </c>
      <c r="AZ22" s="434">
        <f t="shared" ref="AZ22:AZ31" si="31">AQ22-AX22</f>
        <v>244477136</v>
      </c>
      <c r="BA22" s="382"/>
      <c r="BB22" s="102" t="s">
        <v>109</v>
      </c>
      <c r="BC22" s="103">
        <f>BC7+BC8+BC20+BC21</f>
        <v>66878334114</v>
      </c>
      <c r="BD22" s="104">
        <f>BD7+BD8+BD20+BD21</f>
        <v>49625903437</v>
      </c>
      <c r="BE22" s="105">
        <f>BE7+BE8+BE20+BE21</f>
        <v>3517882295</v>
      </c>
      <c r="BF22" s="57"/>
      <c r="BG22" s="382"/>
      <c r="BH22" s="382"/>
      <c r="BI22" s="382"/>
      <c r="BJ22" s="382"/>
      <c r="BK22" s="382"/>
      <c r="BM22" s="71" t="s">
        <v>67</v>
      </c>
      <c r="BN22" s="83">
        <f>BN23+BN24</f>
        <v>163530003</v>
      </c>
      <c r="BO22" s="81">
        <f>BO23+BO24</f>
        <v>95405548</v>
      </c>
      <c r="BP22" s="81">
        <f>BP23+BP24</f>
        <v>84151831</v>
      </c>
      <c r="BQ22" s="82">
        <f>BQ23+BQ24</f>
        <v>5072793</v>
      </c>
      <c r="BR22" s="382"/>
    </row>
    <row r="23" spans="1:70" s="422" customFormat="1" ht="24.95" customHeight="1">
      <c r="A23" s="611" t="str">
        <f>+IF(JULIO!A23=0,"",JULIO!A23)</f>
        <v>1130101-1</v>
      </c>
      <c r="B23" s="646" t="str">
        <f>+CONCATENATE("Vigencia ",INSTRUCCIONES!$F$3)</f>
        <v>Vigencia 2017</v>
      </c>
      <c r="C23" s="671">
        <f>+ENERO!C23</f>
        <v>18905646713</v>
      </c>
      <c r="D23" s="373">
        <f>JULIO!D23+AGOSTO!P23</f>
        <v>0</v>
      </c>
      <c r="E23" s="373">
        <f>JULIO!E23+AGOSTO!Q23</f>
        <v>0</v>
      </c>
      <c r="F23" s="373">
        <f>SUM(C23:E23)</f>
        <v>18905646713</v>
      </c>
      <c r="G23" s="373">
        <f>JULIO!I23</f>
        <v>9676747011</v>
      </c>
      <c r="H23" s="374">
        <v>1360184858</v>
      </c>
      <c r="I23" s="373">
        <f>SUM(G23:H23)</f>
        <v>11036931869</v>
      </c>
      <c r="J23" s="373">
        <f>JULIO!L23</f>
        <v>1949547738</v>
      </c>
      <c r="K23" s="374">
        <v>632235034</v>
      </c>
      <c r="L23" s="373">
        <f>SUM(J23:K23)</f>
        <v>2581782772</v>
      </c>
      <c r="M23" s="373">
        <f>F23-I23</f>
        <v>7868714844</v>
      </c>
      <c r="N23" s="143">
        <f>F23-L23</f>
        <v>16323863941</v>
      </c>
      <c r="O23" s="9"/>
      <c r="P23" s="372">
        <v>0</v>
      </c>
      <c r="Q23" s="375">
        <v>0</v>
      </c>
      <c r="R23" s="9"/>
      <c r="S23" s="706" t="str">
        <f>+IF(JULIO!S23=0,"",JULIO!S23)</f>
        <v>1010104-3</v>
      </c>
      <c r="T23" s="682" t="str">
        <f>+IF(JULIO!T23=0,"",JULIO!T23)</f>
        <v>Prima de Vacaciones</v>
      </c>
      <c r="U23" s="27">
        <f>+ENERO!U23</f>
        <v>25221642</v>
      </c>
      <c r="V23" s="15">
        <f>JULIO!V23+AGOSTO!AL23</f>
        <v>0</v>
      </c>
      <c r="W23" s="15">
        <f>JULIO!W23+AGOSTO!AM23</f>
        <v>0</v>
      </c>
      <c r="X23" s="18">
        <f t="shared" si="20"/>
        <v>25221642</v>
      </c>
      <c r="Y23" s="19">
        <f>JULIO!AA23</f>
        <v>1047535</v>
      </c>
      <c r="Z23" s="374">
        <v>776224</v>
      </c>
      <c r="AA23" s="18">
        <f t="shared" si="21"/>
        <v>1823759</v>
      </c>
      <c r="AB23" s="19">
        <f>JULIO!AD23</f>
        <v>1047535</v>
      </c>
      <c r="AC23" s="374">
        <v>776224</v>
      </c>
      <c r="AD23" s="18">
        <f t="shared" si="22"/>
        <v>1823759</v>
      </c>
      <c r="AE23" s="19">
        <f>JULIO!AG23</f>
        <v>1047535</v>
      </c>
      <c r="AF23" s="374">
        <v>776224</v>
      </c>
      <c r="AG23" s="18">
        <f t="shared" si="23"/>
        <v>1823759</v>
      </c>
      <c r="AH23" s="19">
        <f t="shared" si="24"/>
        <v>23397883</v>
      </c>
      <c r="AI23" s="15">
        <f t="shared" si="25"/>
        <v>23397883</v>
      </c>
      <c r="AJ23" s="16">
        <f t="shared" si="26"/>
        <v>23397883</v>
      </c>
      <c r="AK23" s="9"/>
      <c r="AL23" s="372">
        <v>0</v>
      </c>
      <c r="AM23" s="375">
        <v>0</v>
      </c>
      <c r="AN23" s="9"/>
      <c r="AO23" s="370"/>
      <c r="AP23" s="435" t="s">
        <v>108</v>
      </c>
      <c r="AQ23" s="436">
        <f>X16+X65-AQ22</f>
        <v>578459643</v>
      </c>
      <c r="AR23" s="436">
        <f>AD16+AD65-AR22</f>
        <v>308533517</v>
      </c>
      <c r="AS23" s="436">
        <f>AG16+AG65-AS22</f>
        <v>308533517</v>
      </c>
      <c r="AT23" s="327"/>
      <c r="AU23" s="342">
        <f t="shared" si="28"/>
        <v>0.53337085954672203</v>
      </c>
      <c r="AV23" s="342">
        <f t="shared" si="29"/>
        <v>0.53337085954672203</v>
      </c>
      <c r="AW23" s="436">
        <f>(AR23-AD21-AD22-AD23-AD25-AD30-AD33-AD70-AD71-AD72-AD74-AD78-AD81)/$AO$2*12+AX22/12*2.5+AD30+AD33+AD78+AD81</f>
        <v>458724326.125</v>
      </c>
      <c r="AX23" s="436">
        <f>(AS23-AG21-AG22-AG23-AG25-AG30-AG33-AG70-AG71-AG72-AG74-AG78-AG81)/$AO$2*12+AX22/12*2.5+AG30+AG33+AG78+AG81</f>
        <v>458724326.125</v>
      </c>
      <c r="AY23" s="436">
        <f t="shared" si="30"/>
        <v>-119735316.875</v>
      </c>
      <c r="AZ23" s="46">
        <f t="shared" si="31"/>
        <v>119735316.875</v>
      </c>
      <c r="BA23" s="382"/>
      <c r="BF23" s="382"/>
      <c r="BG23" s="382"/>
      <c r="BH23" s="382"/>
      <c r="BI23" s="382"/>
      <c r="BJ23" s="382"/>
      <c r="BK23" s="382"/>
      <c r="BL23" s="382"/>
      <c r="BM23" s="137" t="s">
        <v>105</v>
      </c>
      <c r="BN23" s="83">
        <f>X177</f>
        <v>18619412</v>
      </c>
      <c r="BO23" s="81">
        <f>AA177</f>
        <v>9287747</v>
      </c>
      <c r="BP23" s="81">
        <f>AD177</f>
        <v>9287747</v>
      </c>
      <c r="BQ23" s="82">
        <f>AF177</f>
        <v>1326821</v>
      </c>
      <c r="BR23" s="9"/>
    </row>
    <row r="24" spans="1:70" s="422" customFormat="1" ht="24.95" customHeight="1">
      <c r="A24" s="611" t="str">
        <f>+IF(JULIO!A24=0,"",JULIO!A24)</f>
        <v>1130101-2</v>
      </c>
      <c r="B24" s="646" t="str">
        <f>+IF(JULIO!B24=0,"",JULIO!B24)</f>
        <v>Vigencia Anterior</v>
      </c>
      <c r="C24" s="671">
        <f>+ENERO!C24</f>
        <v>0</v>
      </c>
      <c r="D24" s="373">
        <f>JULIO!D24+AGOSTO!P24</f>
        <v>0</v>
      </c>
      <c r="E24" s="373">
        <f>JULIO!E24+AGOSTO!Q24</f>
        <v>7269386762</v>
      </c>
      <c r="F24" s="373">
        <f>SUM(C24:E24)</f>
        <v>7269386762</v>
      </c>
      <c r="G24" s="373">
        <f>JULIO!I24</f>
        <v>7909667504</v>
      </c>
      <c r="H24" s="374">
        <v>284777761</v>
      </c>
      <c r="I24" s="373">
        <f>SUM(G24:H24)</f>
        <v>8194445265</v>
      </c>
      <c r="J24" s="373">
        <f>JULIO!L24</f>
        <v>7909667504</v>
      </c>
      <c r="K24" s="374">
        <v>284777761</v>
      </c>
      <c r="L24" s="373">
        <f>SUM(J24:K24)</f>
        <v>8194445265</v>
      </c>
      <c r="M24" s="373">
        <f>F24-I24</f>
        <v>-925058503</v>
      </c>
      <c r="N24" s="143">
        <f>F24-L24</f>
        <v>-925058503</v>
      </c>
      <c r="O24" s="382"/>
      <c r="P24" s="372">
        <v>0</v>
      </c>
      <c r="Q24" s="375">
        <v>1999802291</v>
      </c>
      <c r="R24" s="9"/>
      <c r="S24" s="706" t="str">
        <f>+IF(JULIO!S24=0,"",JULIO!S24)</f>
        <v>1010104-4</v>
      </c>
      <c r="T24" s="682" t="str">
        <f>+IF(JULIO!T24=0,"",JULIO!T24)</f>
        <v>Prima Clima</v>
      </c>
      <c r="U24" s="27">
        <f>+ENERO!U24</f>
        <v>0</v>
      </c>
      <c r="V24" s="15">
        <f>JULIO!V24+AGOSTO!AL24</f>
        <v>0</v>
      </c>
      <c r="W24" s="15">
        <f>JULIO!W24+AGOSTO!AM24</f>
        <v>0</v>
      </c>
      <c r="X24" s="18">
        <f t="shared" si="20"/>
        <v>0</v>
      </c>
      <c r="Y24" s="19">
        <f>JULIO!AA24</f>
        <v>0</v>
      </c>
      <c r="Z24" s="374">
        <v>0</v>
      </c>
      <c r="AA24" s="18">
        <f t="shared" si="21"/>
        <v>0</v>
      </c>
      <c r="AB24" s="19">
        <f>JULIO!AD24</f>
        <v>0</v>
      </c>
      <c r="AC24" s="374">
        <v>0</v>
      </c>
      <c r="AD24" s="18">
        <f t="shared" si="22"/>
        <v>0</v>
      </c>
      <c r="AE24" s="19">
        <f>JULIO!AG24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35452709051</v>
      </c>
      <c r="AR24" s="431">
        <f>AD35+AD83</f>
        <v>25054408572</v>
      </c>
      <c r="AS24" s="431">
        <f>AG35+AG83</f>
        <v>15563854044</v>
      </c>
      <c r="AT24" s="431"/>
      <c r="AU24" s="373">
        <f t="shared" si="28"/>
        <v>0.70669941007775539</v>
      </c>
      <c r="AV24" s="373">
        <f t="shared" si="29"/>
        <v>0.43900323728747598</v>
      </c>
      <c r="AW24" s="373">
        <f>(AR24-AD41-AD88)/$AO$2*12+AD41+AD88</f>
        <v>34022329370.5</v>
      </c>
      <c r="AX24" s="373">
        <f>(AS24-AG41-AG88)/$AO$2*12+AG41+AG88</f>
        <v>19786497578.5</v>
      </c>
      <c r="AY24" s="373">
        <f t="shared" si="30"/>
        <v>-1430379680.5</v>
      </c>
      <c r="AZ24" s="143">
        <f t="shared" si="31"/>
        <v>15666211472.5</v>
      </c>
      <c r="BA24" s="9"/>
      <c r="BB24" s="437"/>
      <c r="BC24" s="382"/>
      <c r="BD24" s="382"/>
      <c r="BE24" s="382"/>
      <c r="BF24" s="382"/>
      <c r="BG24" s="382"/>
      <c r="BH24" s="382"/>
      <c r="BI24" s="382"/>
      <c r="BJ24" s="382"/>
      <c r="BK24" s="382"/>
      <c r="BL24" s="382"/>
      <c r="BM24" s="137" t="s">
        <v>110</v>
      </c>
      <c r="BN24" s="83">
        <f>X170-X177-X174-X183-X191</f>
        <v>144910591</v>
      </c>
      <c r="BO24" s="81">
        <f>AA170-AA177-AA174-AA183-AA191</f>
        <v>86117801</v>
      </c>
      <c r="BP24" s="81">
        <f>AD170-AD177-AD174-AD183-AD191</f>
        <v>74864084</v>
      </c>
      <c r="BQ24" s="82">
        <f>AF170-AF177-AF174-AF183-AF191</f>
        <v>3745972</v>
      </c>
      <c r="BR24" s="382"/>
    </row>
    <row r="25" spans="1:70" s="382" customFormat="1" ht="24.95" customHeight="1">
      <c r="A25" s="733">
        <f>+IF(JULIO!A25=0,"",JULIO!A25)</f>
        <v>1130102</v>
      </c>
      <c r="B25" s="645" t="str">
        <f>+IF(JULIO!B25=0,"",JULIO!B25)</f>
        <v>ARS - REGIMEN SUBSIDIADO</v>
      </c>
      <c r="C25" s="43">
        <f t="shared" ref="C25:N25" si="32">SUM(C26:C27)</f>
        <v>13439321219</v>
      </c>
      <c r="D25" s="44">
        <f t="shared" si="32"/>
        <v>0</v>
      </c>
      <c r="E25" s="44">
        <f t="shared" si="32"/>
        <v>5107572584</v>
      </c>
      <c r="F25" s="44">
        <f t="shared" si="32"/>
        <v>18546893803</v>
      </c>
      <c r="G25" s="44">
        <f t="shared" si="32"/>
        <v>17581632478</v>
      </c>
      <c r="H25" s="44">
        <f t="shared" si="32"/>
        <v>1277090688</v>
      </c>
      <c r="I25" s="44">
        <f t="shared" si="32"/>
        <v>18858723166</v>
      </c>
      <c r="J25" s="44">
        <f t="shared" si="32"/>
        <v>7924860315</v>
      </c>
      <c r="K25" s="44">
        <f t="shared" si="32"/>
        <v>1960153889</v>
      </c>
      <c r="L25" s="44">
        <f t="shared" si="32"/>
        <v>9885014204</v>
      </c>
      <c r="M25" s="44">
        <f t="shared" si="32"/>
        <v>-311829363</v>
      </c>
      <c r="N25" s="45">
        <f t="shared" si="32"/>
        <v>8661879599</v>
      </c>
      <c r="P25" s="43">
        <f>SUM(P26:P27)</f>
        <v>0</v>
      </c>
      <c r="Q25" s="45">
        <f>SUM(Q26:Q27)</f>
        <v>699277404</v>
      </c>
      <c r="R25" s="9"/>
      <c r="S25" s="706" t="str">
        <f>+IF(JULIO!S25=0,"",JULIO!S25)</f>
        <v>1010104-5</v>
      </c>
      <c r="T25" s="682" t="str">
        <f>+IF(JULIO!T25=0,"",JULIO!T25)</f>
        <v>Prima de Servicios</v>
      </c>
      <c r="U25" s="27">
        <f>+ENERO!U25</f>
        <v>26128895</v>
      </c>
      <c r="V25" s="15">
        <f>JULIO!V25+AGOSTO!AL25</f>
        <v>0</v>
      </c>
      <c r="W25" s="15">
        <f>JULIO!W25+AGOSTO!AM25</f>
        <v>0</v>
      </c>
      <c r="X25" s="18">
        <f t="shared" si="20"/>
        <v>26128895</v>
      </c>
      <c r="Y25" s="19">
        <f>JULIO!AA25</f>
        <v>19363434</v>
      </c>
      <c r="Z25" s="374">
        <v>0</v>
      </c>
      <c r="AA25" s="18">
        <f t="shared" si="21"/>
        <v>19363434</v>
      </c>
      <c r="AB25" s="19">
        <f>JULIO!AD25</f>
        <v>19363434</v>
      </c>
      <c r="AC25" s="374">
        <v>0</v>
      </c>
      <c r="AD25" s="18">
        <f t="shared" si="22"/>
        <v>19363434</v>
      </c>
      <c r="AE25" s="19">
        <f>JULIO!AG25</f>
        <v>19363434</v>
      </c>
      <c r="AF25" s="374">
        <v>0</v>
      </c>
      <c r="AG25" s="18">
        <f t="shared" si="23"/>
        <v>19363434</v>
      </c>
      <c r="AH25" s="19">
        <f t="shared" si="24"/>
        <v>6765461</v>
      </c>
      <c r="AI25" s="15">
        <f t="shared" si="25"/>
        <v>6765461</v>
      </c>
      <c r="AJ25" s="16">
        <f t="shared" si="26"/>
        <v>6765461</v>
      </c>
      <c r="AK25" s="9"/>
      <c r="AL25" s="372">
        <v>0</v>
      </c>
      <c r="AM25" s="375">
        <v>0</v>
      </c>
      <c r="AN25" s="9"/>
      <c r="AO25" s="21"/>
      <c r="AP25" s="438" t="s">
        <v>116</v>
      </c>
      <c r="AQ25" s="373">
        <f>X43+X57+X90+X104</f>
        <v>802834377</v>
      </c>
      <c r="AR25" s="373">
        <f>AD43+AD57+AD90+AD104</f>
        <v>271576262</v>
      </c>
      <c r="AS25" s="373">
        <f>AG43+AG57+AG90+AG104</f>
        <v>271576262</v>
      </c>
      <c r="AT25" s="431"/>
      <c r="AU25" s="373">
        <f t="shared" si="28"/>
        <v>0.33827184009585576</v>
      </c>
      <c r="AV25" s="373">
        <f t="shared" si="29"/>
        <v>0.33827184009585576</v>
      </c>
      <c r="AW25" s="373">
        <f>(AR25-AD55-AD61-AD102-AD108)/$AO$2*12+AD55+AD61+AD102+AD108</f>
        <v>407364393</v>
      </c>
      <c r="AX25" s="373">
        <f>(AS25-AG55-AG61-AG102-AG108)/$AO$2*12+AG55+AG61+AG102+AG108</f>
        <v>407364393</v>
      </c>
      <c r="AY25" s="373">
        <f t="shared" si="30"/>
        <v>-395469984</v>
      </c>
      <c r="AZ25" s="143">
        <f t="shared" si="31"/>
        <v>395469984</v>
      </c>
      <c r="BM25" s="140" t="s">
        <v>445</v>
      </c>
      <c r="BN25" s="106">
        <f>+SUM(BN26:BN28)</f>
        <v>15192067615</v>
      </c>
      <c r="BO25" s="107">
        <f>+SUM(BO26:BO28)</f>
        <v>9586748359</v>
      </c>
      <c r="BP25" s="107">
        <f>+SUM(BP26:BP28)</f>
        <v>8283626129</v>
      </c>
      <c r="BQ25" s="108">
        <f>+SUM(BQ26:BQ28)</f>
        <v>475665142</v>
      </c>
    </row>
    <row r="26" spans="1:70" s="9" customFormat="1" ht="24.95" customHeight="1">
      <c r="A26" s="611" t="str">
        <f>+IF(JULIO!A26=0,"",JULIO!A26)</f>
        <v>1130102-1</v>
      </c>
      <c r="B26" s="646" t="str">
        <f>+CONCATENATE("Vigencia ",INSTRUCCIONES!$F$3)</f>
        <v>Vigencia 2017</v>
      </c>
      <c r="C26" s="671">
        <f>+ENERO!C26</f>
        <v>13439321219</v>
      </c>
      <c r="D26" s="373">
        <f>JULIO!D26+AGOSTO!P26</f>
        <v>0</v>
      </c>
      <c r="E26" s="373">
        <f>JULIO!E26+AGOSTO!Q26</f>
        <v>0</v>
      </c>
      <c r="F26" s="373">
        <f>SUM(C26:E26)</f>
        <v>13439321219</v>
      </c>
      <c r="G26" s="373">
        <f>JULIO!I26</f>
        <v>11756773305</v>
      </c>
      <c r="H26" s="374">
        <v>1276974814</v>
      </c>
      <c r="I26" s="373">
        <f>SUM(G26:H26)</f>
        <v>13033748119</v>
      </c>
      <c r="J26" s="373">
        <f>JULIO!L26</f>
        <v>2100001142</v>
      </c>
      <c r="K26" s="374">
        <v>1960038015</v>
      </c>
      <c r="L26" s="373">
        <f>SUM(J26:K26)</f>
        <v>4060039157</v>
      </c>
      <c r="M26" s="373">
        <f>F26-I26</f>
        <v>405573100</v>
      </c>
      <c r="N26" s="143">
        <f>F26-L26</f>
        <v>9379282062</v>
      </c>
      <c r="P26" s="372">
        <v>0</v>
      </c>
      <c r="Q26" s="375">
        <v>0</v>
      </c>
      <c r="S26" s="706" t="str">
        <f>+IF(JULIO!S26=0,"",JULIO!S26)</f>
        <v>1010104-8</v>
      </c>
      <c r="T26" s="682" t="str">
        <f>+IF(JULIO!T26=0,"",JULIO!T26)</f>
        <v>Bonific. por Servicios Prestados</v>
      </c>
      <c r="U26" s="27">
        <f>+ENERO!U26</f>
        <v>12868455</v>
      </c>
      <c r="V26" s="15">
        <f>JULIO!V26+AGOSTO!AL26</f>
        <v>0</v>
      </c>
      <c r="W26" s="15">
        <f>JULIO!W26+AGOSTO!AM26</f>
        <v>0</v>
      </c>
      <c r="X26" s="18">
        <f t="shared" si="20"/>
        <v>12868455</v>
      </c>
      <c r="Y26" s="19">
        <f>JULIO!AA26</f>
        <v>6571931</v>
      </c>
      <c r="Z26" s="374">
        <v>0</v>
      </c>
      <c r="AA26" s="18">
        <f t="shared" si="21"/>
        <v>6571931</v>
      </c>
      <c r="AB26" s="19">
        <f>JULIO!AD26</f>
        <v>6571931</v>
      </c>
      <c r="AC26" s="374">
        <v>0</v>
      </c>
      <c r="AD26" s="18">
        <f t="shared" si="22"/>
        <v>6571931</v>
      </c>
      <c r="AE26" s="19">
        <f>JULIO!AG26</f>
        <v>6571931</v>
      </c>
      <c r="AF26" s="374">
        <v>0</v>
      </c>
      <c r="AG26" s="18">
        <f t="shared" si="23"/>
        <v>6571931</v>
      </c>
      <c r="AH26" s="19">
        <f t="shared" si="24"/>
        <v>6296524</v>
      </c>
      <c r="AI26" s="15">
        <f t="shared" si="25"/>
        <v>6296524</v>
      </c>
      <c r="AJ26" s="16">
        <f t="shared" si="26"/>
        <v>6296524</v>
      </c>
      <c r="AL26" s="372">
        <v>0</v>
      </c>
      <c r="AM26" s="375">
        <v>0</v>
      </c>
      <c r="AO26" s="21"/>
      <c r="AP26" s="439" t="s">
        <v>120</v>
      </c>
      <c r="AQ26" s="327">
        <f>X110</f>
        <v>9758973181</v>
      </c>
      <c r="AR26" s="327">
        <f>AD110</f>
        <v>6292904220</v>
      </c>
      <c r="AS26" s="327">
        <f>AG110</f>
        <v>3830265482</v>
      </c>
      <c r="AT26" s="371">
        <f>AO2/12</f>
        <v>0.66666666666666663</v>
      </c>
      <c r="AU26" s="342">
        <f t="shared" si="28"/>
        <v>0.64483261745731812</v>
      </c>
      <c r="AV26" s="342">
        <f t="shared" si="29"/>
        <v>0.39248652608834339</v>
      </c>
      <c r="AW26" s="436">
        <f>(AR26-AD121-AD139-AD143-AD153-AD168)/$AO$2*12+AD121+AD139+AD143+AD153+AD168</f>
        <v>9009549567.5</v>
      </c>
      <c r="AX26" s="436">
        <f>(AS26-AG121-AG139-AG143-AG153-AG168)/$AO$2*12+AG121+AG139+AG143+AG153+AG168</f>
        <v>5315591460.5</v>
      </c>
      <c r="AY26" s="436">
        <f t="shared" si="30"/>
        <v>-749423613.5</v>
      </c>
      <c r="AZ26" s="46">
        <f t="shared" si="31"/>
        <v>4443381720.5</v>
      </c>
      <c r="BA26" s="382"/>
      <c r="BB26" s="382"/>
      <c r="BC26" s="382"/>
      <c r="BD26" s="382"/>
      <c r="BE26" s="382"/>
      <c r="BF26" s="382"/>
      <c r="BG26" s="382"/>
      <c r="BH26" s="382"/>
      <c r="BI26" s="382"/>
      <c r="BJ26" s="382"/>
      <c r="BK26" s="382"/>
      <c r="BM26" s="109" t="s">
        <v>446</v>
      </c>
      <c r="BN26" s="86">
        <f>+X198+X212</f>
        <v>6446158346</v>
      </c>
      <c r="BO26" s="84">
        <f>+AA198+AA212</f>
        <v>2912063098</v>
      </c>
      <c r="BP26" s="84">
        <f>+AD198+AD212</f>
        <v>2500429398</v>
      </c>
      <c r="BQ26" s="85">
        <f>+AF198+AF212</f>
        <v>242817900</v>
      </c>
      <c r="BR26" s="382"/>
    </row>
    <row r="27" spans="1:70" s="422" customFormat="1" ht="24.95" customHeight="1">
      <c r="A27" s="611" t="str">
        <f>+IF(JULIO!A27=0,"",JULIO!A27)</f>
        <v>1130102-2</v>
      </c>
      <c r="B27" s="646" t="str">
        <f>+IF(JULIO!B27=0,"",JULIO!B27)</f>
        <v>Vigencia Anterior</v>
      </c>
      <c r="C27" s="671">
        <f>+ENERO!C27</f>
        <v>0</v>
      </c>
      <c r="D27" s="373">
        <f>JULIO!D27+AGOSTO!P27</f>
        <v>0</v>
      </c>
      <c r="E27" s="373">
        <f>JULIO!E27+AGOSTO!Q27</f>
        <v>5107572584</v>
      </c>
      <c r="F27" s="373">
        <f>SUM(C27:E27)</f>
        <v>5107572584</v>
      </c>
      <c r="G27" s="373">
        <f>JULIO!I27</f>
        <v>5824859173</v>
      </c>
      <c r="H27" s="374">
        <v>115874</v>
      </c>
      <c r="I27" s="373">
        <f>SUM(G27:H27)</f>
        <v>5824975047</v>
      </c>
      <c r="J27" s="373">
        <f>JULIO!L27</f>
        <v>5824859173</v>
      </c>
      <c r="K27" s="374">
        <v>115874</v>
      </c>
      <c r="L27" s="373">
        <f>SUM(J27:K27)</f>
        <v>5824975047</v>
      </c>
      <c r="M27" s="373">
        <f>F27-I27</f>
        <v>-717402463</v>
      </c>
      <c r="N27" s="143">
        <f>F27-L27</f>
        <v>-717402463</v>
      </c>
      <c r="O27" s="382"/>
      <c r="P27" s="372">
        <v>0</v>
      </c>
      <c r="Q27" s="375">
        <v>699277404</v>
      </c>
      <c r="R27" s="9"/>
      <c r="S27" s="706" t="str">
        <f>+IF(JULIO!S27=0,"",JULIO!S27)</f>
        <v>1010104-9</v>
      </c>
      <c r="T27" s="682" t="str">
        <f>+IF(JULIO!T27=0,"",JULIO!T27)</f>
        <v>Auxilio de Transporte</v>
      </c>
      <c r="U27" s="27">
        <f>+ENERO!U27</f>
        <v>0</v>
      </c>
      <c r="V27" s="15">
        <f>JULIO!V27+AGOSTO!AL27</f>
        <v>0</v>
      </c>
      <c r="W27" s="15">
        <f>JULIO!W27+AGOSTO!AM27</f>
        <v>0</v>
      </c>
      <c r="X27" s="18">
        <f t="shared" si="20"/>
        <v>0</v>
      </c>
      <c r="Y27" s="19">
        <f>JULIO!AA27</f>
        <v>0</v>
      </c>
      <c r="Z27" s="374">
        <v>0</v>
      </c>
      <c r="AA27" s="18">
        <f t="shared" si="21"/>
        <v>0</v>
      </c>
      <c r="AB27" s="19">
        <f>JULIO!AD27</f>
        <v>0</v>
      </c>
      <c r="AC27" s="374">
        <v>0</v>
      </c>
      <c r="AD27" s="18">
        <f t="shared" si="22"/>
        <v>0</v>
      </c>
      <c r="AE27" s="19">
        <f>JULIO!AG27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163530003</v>
      </c>
      <c r="AR27" s="373">
        <f>AD170</f>
        <v>84151831</v>
      </c>
      <c r="AS27" s="373">
        <f>AG170</f>
        <v>62627749</v>
      </c>
      <c r="AT27" s="431"/>
      <c r="AU27" s="373">
        <f t="shared" si="28"/>
        <v>0.51459566719386651</v>
      </c>
      <c r="AV27" s="373">
        <f t="shared" si="29"/>
        <v>0.38297405889486835</v>
      </c>
      <c r="AW27" s="373">
        <f>(AR27-AD174-AD183-AD191)/$AO$2*12+AD174+AD183+AD191</f>
        <v>126227746.5</v>
      </c>
      <c r="AX27" s="373">
        <f>(AS27-AG174-AG183-AG191)/$AO$2*12+AG174+AG183+AG191</f>
        <v>93941623.5</v>
      </c>
      <c r="AY27" s="373">
        <f t="shared" si="30"/>
        <v>-37302256.5</v>
      </c>
      <c r="AZ27" s="143">
        <f t="shared" si="31"/>
        <v>69588379.5</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3">
        <f>+IF(JULIO!A28=0,"",JULIO!A28)</f>
        <v>1130103</v>
      </c>
      <c r="B28" s="622" t="str">
        <f>+IF(JULIO!B28=0,"",JULIO!B28)</f>
        <v>SUBSIDIO A LA OFERTA- ATENCION PERSONAS POBRES NO CUBIERTOS CON SUBSIDIO A LA DEMANDA</v>
      </c>
      <c r="C28" s="43">
        <f>C29+C32+C35+C38+C39+C40</f>
        <v>157521482</v>
      </c>
      <c r="D28" s="44">
        <f>+D29+D32+D35+D38+D39+D40</f>
        <v>0</v>
      </c>
      <c r="E28" s="44">
        <f>+E29+E32+E35+E38+E39+E40</f>
        <v>258289958</v>
      </c>
      <c r="F28" s="44">
        <f>+F29+F32+F35+F38+F39+F40</f>
        <v>415811440</v>
      </c>
      <c r="G28" s="44">
        <f t="shared" ref="G28:N28" si="33">G29+G32+G35+G38+G39+G40</f>
        <v>846603791</v>
      </c>
      <c r="H28" s="44">
        <f t="shared" si="33"/>
        <v>381210835</v>
      </c>
      <c r="I28" s="44">
        <f t="shared" si="33"/>
        <v>1227814626</v>
      </c>
      <c r="J28" s="44">
        <f t="shared" si="33"/>
        <v>203664129</v>
      </c>
      <c r="K28" s="44">
        <f t="shared" si="33"/>
        <v>11941887</v>
      </c>
      <c r="L28" s="44">
        <f t="shared" si="33"/>
        <v>215606016</v>
      </c>
      <c r="M28" s="44">
        <f t="shared" si="33"/>
        <v>-812003186</v>
      </c>
      <c r="N28" s="45">
        <f t="shared" si="33"/>
        <v>200205424</v>
      </c>
      <c r="O28" s="382"/>
      <c r="P28" s="43">
        <f>P29+P32+P35+P38+P39+P940</f>
        <v>0</v>
      </c>
      <c r="Q28" s="45">
        <f>Q29+Q32+Q35+Q38+Q39+Q40</f>
        <v>0</v>
      </c>
      <c r="R28" s="9"/>
      <c r="S28" s="706" t="str">
        <f>+IF(JULIO!S28=0,"",JULIO!S28)</f>
        <v>1010104-10</v>
      </c>
      <c r="T28" s="682" t="str">
        <f>+IF(JULIO!T28=0,"",JULIO!T28)</f>
        <v>Subsidio de Alimentación</v>
      </c>
      <c r="U28" s="27">
        <f>+ENERO!U28</f>
        <v>532000</v>
      </c>
      <c r="V28" s="15">
        <f>JULIO!V28+AGOSTO!AL28</f>
        <v>0</v>
      </c>
      <c r="W28" s="15">
        <f>JULIO!W28+AGOSTO!AM28</f>
        <v>0</v>
      </c>
      <c r="X28" s="18">
        <f t="shared" si="20"/>
        <v>532000</v>
      </c>
      <c r="Y28" s="19">
        <f>JULIO!AA28</f>
        <v>328955</v>
      </c>
      <c r="Z28" s="374">
        <v>57256</v>
      </c>
      <c r="AA28" s="18">
        <f t="shared" si="21"/>
        <v>386211</v>
      </c>
      <c r="AB28" s="19">
        <f>JULIO!AD28</f>
        <v>328955</v>
      </c>
      <c r="AC28" s="374">
        <v>57256</v>
      </c>
      <c r="AD28" s="18">
        <f t="shared" si="22"/>
        <v>386211</v>
      </c>
      <c r="AE28" s="19">
        <f>JULIO!AG28</f>
        <v>328955</v>
      </c>
      <c r="AF28" s="374">
        <v>57256</v>
      </c>
      <c r="AG28" s="18">
        <f t="shared" si="23"/>
        <v>386211</v>
      </c>
      <c r="AH28" s="19">
        <f t="shared" si="24"/>
        <v>145789</v>
      </c>
      <c r="AI28" s="15">
        <f t="shared" si="25"/>
        <v>145789</v>
      </c>
      <c r="AJ28" s="16">
        <f t="shared" si="26"/>
        <v>145789</v>
      </c>
      <c r="AK28" s="9"/>
      <c r="AL28" s="372">
        <v>0</v>
      </c>
      <c r="AM28" s="375">
        <v>0</v>
      </c>
      <c r="AN28" s="9"/>
      <c r="AO28" s="349"/>
      <c r="AP28" s="787" t="s">
        <v>586</v>
      </c>
      <c r="AQ28" s="373">
        <f>X195</f>
        <v>18204998648</v>
      </c>
      <c r="AR28" s="373">
        <f>AD195</f>
        <v>10995042037</v>
      </c>
      <c r="AS28" s="373">
        <f>AG195</f>
        <v>5344750808</v>
      </c>
      <c r="AT28" s="431"/>
      <c r="AU28" s="373">
        <f t="shared" si="28"/>
        <v>0.6039573113732648</v>
      </c>
      <c r="AV28" s="373">
        <f t="shared" si="29"/>
        <v>0.29358699285523837</v>
      </c>
      <c r="AW28" s="373">
        <f>(AR28-AD207)/$AO$2*12+AD207</f>
        <v>15136855101.5</v>
      </c>
      <c r="AX28" s="373">
        <f>(AS28-AG207)/$AO$2*12+AG207</f>
        <v>6670375258</v>
      </c>
      <c r="AY28" s="373">
        <f t="shared" si="30"/>
        <v>-3068143546.5</v>
      </c>
      <c r="AZ28" s="143">
        <f t="shared" si="31"/>
        <v>11534623390</v>
      </c>
      <c r="BA28" s="382"/>
      <c r="BB28" s="382"/>
      <c r="BC28" s="382"/>
      <c r="BD28" s="382"/>
      <c r="BE28" s="382"/>
      <c r="BF28" s="382"/>
      <c r="BG28" s="382"/>
      <c r="BH28" s="382"/>
      <c r="BI28" s="382"/>
      <c r="BJ28" s="382"/>
      <c r="BK28" s="382"/>
      <c r="BL28" s="382"/>
      <c r="BM28" s="71" t="s">
        <v>448</v>
      </c>
      <c r="BN28" s="83">
        <f>+X196-X198-X207</f>
        <v>8745909269</v>
      </c>
      <c r="BO28" s="81">
        <f>+AA196-AA198-AA207</f>
        <v>6674685261</v>
      </c>
      <c r="BP28" s="81">
        <f>+AD196-AD198-AD207</f>
        <v>5783196731</v>
      </c>
      <c r="BQ28" s="82">
        <f>+AF196-AF198-AF207</f>
        <v>232847242</v>
      </c>
      <c r="BR28" s="9"/>
    </row>
    <row r="29" spans="1:70" s="9" customFormat="1" ht="24.95" customHeight="1">
      <c r="A29" s="611" t="str">
        <f>+IF(JULIO!A29=0,"",JULIO!A29)</f>
        <v>1130103-1</v>
      </c>
      <c r="B29" s="647"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6" t="str">
        <f>+IF(JULIO!S29=0,"",JULIO!S29)</f>
        <v>1010104-11</v>
      </c>
      <c r="T29" s="682" t="str">
        <f>+IF(JULIO!T29=0,"",JULIO!T29)</f>
        <v>Gastos de Representación</v>
      </c>
      <c r="U29" s="27">
        <f>+ENERO!U29</f>
        <v>0</v>
      </c>
      <c r="V29" s="15">
        <f>JULIO!V29+AGOSTO!AL29</f>
        <v>0</v>
      </c>
      <c r="W29" s="15">
        <f>JULIO!W29+AGOSTO!AM29</f>
        <v>0</v>
      </c>
      <c r="X29" s="18">
        <f t="shared" si="20"/>
        <v>0</v>
      </c>
      <c r="Y29" s="19">
        <f>JULIO!AA29</f>
        <v>0</v>
      </c>
      <c r="Z29" s="374">
        <v>0</v>
      </c>
      <c r="AA29" s="18">
        <f t="shared" si="21"/>
        <v>0</v>
      </c>
      <c r="AB29" s="19">
        <f>JULIO!AD29</f>
        <v>0</v>
      </c>
      <c r="AC29" s="374">
        <v>0</v>
      </c>
      <c r="AD29" s="18">
        <f t="shared" si="22"/>
        <v>0</v>
      </c>
      <c r="AE29" s="19">
        <f>JULIO!AG29</f>
        <v>0</v>
      </c>
      <c r="AF29" s="374">
        <v>0</v>
      </c>
      <c r="AG29" s="18">
        <f t="shared" si="23"/>
        <v>0</v>
      </c>
      <c r="AH29" s="19">
        <f t="shared" si="24"/>
        <v>0</v>
      </c>
      <c r="AI29" s="15">
        <f t="shared" si="25"/>
        <v>0</v>
      </c>
      <c r="AJ29" s="16">
        <f t="shared" si="26"/>
        <v>0</v>
      </c>
      <c r="AL29" s="372">
        <v>0</v>
      </c>
      <c r="AM29" s="375">
        <v>0</v>
      </c>
      <c r="AO29" s="21"/>
      <c r="AP29" s="787"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433878092</v>
      </c>
      <c r="BO29" s="107">
        <f>AA232-AA256-AA241</f>
        <v>352813794</v>
      </c>
      <c r="BP29" s="107">
        <f>AD232-AD256-AD241</f>
        <v>336273002</v>
      </c>
      <c r="BQ29" s="108">
        <f>AF232-AF256-AF241</f>
        <v>0</v>
      </c>
      <c r="BR29" s="382"/>
    </row>
    <row r="30" spans="1:70" s="422" customFormat="1" ht="24.95" customHeight="1">
      <c r="A30" s="611" t="str">
        <f>+IF(JULIO!A30=0,"",JULIO!A30)</f>
        <v>1130103-1-1</v>
      </c>
      <c r="B30" s="646" t="str">
        <f>+CONCATENATE("Vigencia ",INSTRUCCIONES!$F$3)</f>
        <v>Vigencia 2017</v>
      </c>
      <c r="C30" s="671">
        <f>+ENERO!C30</f>
        <v>0</v>
      </c>
      <c r="D30" s="373">
        <f>JULIO!D30+AGOSTO!P30</f>
        <v>0</v>
      </c>
      <c r="E30" s="373">
        <f>JULIO!E30+AGOSTO!Q30</f>
        <v>0</v>
      </c>
      <c r="F30" s="373">
        <f>SUM(C30:E30)</f>
        <v>0</v>
      </c>
      <c r="G30" s="373">
        <f>JULIO!I30</f>
        <v>0</v>
      </c>
      <c r="H30" s="374">
        <v>0</v>
      </c>
      <c r="I30" s="373">
        <f>SUM(G30:H30)</f>
        <v>0</v>
      </c>
      <c r="J30" s="373">
        <f>JULIO!L30</f>
        <v>0</v>
      </c>
      <c r="K30" s="374">
        <v>0</v>
      </c>
      <c r="L30" s="373">
        <f>SUM(J30:K30)</f>
        <v>0</v>
      </c>
      <c r="M30" s="373">
        <f>F30-I30</f>
        <v>0</v>
      </c>
      <c r="N30" s="143">
        <f>F30-L30</f>
        <v>0</v>
      </c>
      <c r="O30" s="9"/>
      <c r="P30" s="372">
        <v>0</v>
      </c>
      <c r="Q30" s="375">
        <v>0</v>
      </c>
      <c r="R30" s="9"/>
      <c r="S30" s="706" t="str">
        <f>+IF(JULIO!S30=0,"",JULIO!S30)</f>
        <v>1010104-12</v>
      </c>
      <c r="T30" s="682" t="str">
        <f>+IF(JULIO!T30=0,"",JULIO!T30)</f>
        <v xml:space="preserve"> Indemnizaciones por Vacaciones o Supresión de Cargos por Reestructuración</v>
      </c>
      <c r="U30" s="27">
        <f>+ENERO!U30</f>
        <v>0</v>
      </c>
      <c r="V30" s="15">
        <f>JULIO!V30+AGOSTO!AL30</f>
        <v>0</v>
      </c>
      <c r="W30" s="15">
        <f>JULIO!W30+AGOSTO!AM30</f>
        <v>0</v>
      </c>
      <c r="X30" s="18">
        <f t="shared" si="20"/>
        <v>0</v>
      </c>
      <c r="Y30" s="19">
        <f>JULIO!AA30</f>
        <v>0</v>
      </c>
      <c r="Z30" s="374">
        <v>0</v>
      </c>
      <c r="AA30" s="18">
        <f t="shared" si="21"/>
        <v>0</v>
      </c>
      <c r="AB30" s="19">
        <f>JULIO!AD30</f>
        <v>0</v>
      </c>
      <c r="AC30" s="374">
        <v>0</v>
      </c>
      <c r="AD30" s="18">
        <f t="shared" si="22"/>
        <v>0</v>
      </c>
      <c r="AE30" s="19">
        <f>JULIO!AG30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433878092</v>
      </c>
      <c r="AR30" s="373">
        <f>AD220+AD232</f>
        <v>336273002</v>
      </c>
      <c r="AS30" s="373">
        <f>AG220+AG232</f>
        <v>172740563</v>
      </c>
      <c r="AT30" s="431"/>
      <c r="AU30" s="373">
        <f t="shared" si="28"/>
        <v>0.7750402894276579</v>
      </c>
      <c r="AV30" s="373">
        <f t="shared" si="29"/>
        <v>0.39813156318572546</v>
      </c>
      <c r="AW30" s="373">
        <f>(AR30-AD225-AD230-AD241-AD256)/$AO$2*12+AD225+AD230+AD241+AD256</f>
        <v>504409503</v>
      </c>
      <c r="AX30" s="373">
        <f>(AS30-AG225-AG230-AG241-AG256)/$AO$2*12+AG225+AG230+AG241+AG256</f>
        <v>259110844.5</v>
      </c>
      <c r="AY30" s="373">
        <f t="shared" si="30"/>
        <v>70531411</v>
      </c>
      <c r="AZ30" s="143">
        <f t="shared" si="31"/>
        <v>174767247.5</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+IF(JULIO!A31=0,"",JULIO!A31)</f>
        <v>1130103-1-2</v>
      </c>
      <c r="B31" s="646" t="str">
        <f>+IF(JULIO!B31=0,"",JULIO!B31)</f>
        <v>Vigencia Anterior</v>
      </c>
      <c r="C31" s="671">
        <f>+ENERO!C31</f>
        <v>0</v>
      </c>
      <c r="D31" s="373">
        <f>JULIO!D31+AGOSTO!P31</f>
        <v>0</v>
      </c>
      <c r="E31" s="373">
        <f>JULIO!E31+AGOSTO!Q31</f>
        <v>0</v>
      </c>
      <c r="F31" s="373">
        <f>SUM(C31:E31)</f>
        <v>0</v>
      </c>
      <c r="G31" s="373">
        <f>JULIO!I31</f>
        <v>0</v>
      </c>
      <c r="H31" s="374">
        <v>0</v>
      </c>
      <c r="I31" s="373">
        <f>SUM(G31:H31)</f>
        <v>0</v>
      </c>
      <c r="J31" s="373">
        <f>JULIO!L31</f>
        <v>0</v>
      </c>
      <c r="K31" s="374">
        <v>0</v>
      </c>
      <c r="L31" s="373">
        <f>SUM(J31:K31)</f>
        <v>0</v>
      </c>
      <c r="M31" s="373">
        <f>F31-I31</f>
        <v>0</v>
      </c>
      <c r="N31" s="143">
        <f>F31-L31</f>
        <v>0</v>
      </c>
      <c r="O31" s="382"/>
      <c r="P31" s="372">
        <v>0</v>
      </c>
      <c r="Q31" s="375">
        <v>0</v>
      </c>
      <c r="R31" s="9"/>
      <c r="S31" s="706" t="str">
        <f>+IF(JULIO!S31=0,"",JULIO!S31)</f>
        <v>1010104-13</v>
      </c>
      <c r="T31" s="682" t="str">
        <f>+IF(JULIO!T31=0,"",JULIO!T31)</f>
        <v>Bonificación Especial por Recreación</v>
      </c>
      <c r="U31" s="27">
        <f>+ENERO!U31</f>
        <v>1869843</v>
      </c>
      <c r="V31" s="15">
        <f>JULIO!V31+AGOSTO!AL31</f>
        <v>0</v>
      </c>
      <c r="W31" s="15">
        <f>JULIO!W31+AGOSTO!AM31</f>
        <v>0</v>
      </c>
      <c r="X31" s="18">
        <f t="shared" si="20"/>
        <v>1869843</v>
      </c>
      <c r="Y31" s="19">
        <f>JULIO!AA31</f>
        <v>116903</v>
      </c>
      <c r="Z31" s="374">
        <v>117818</v>
      </c>
      <c r="AA31" s="18">
        <f t="shared" si="21"/>
        <v>234721</v>
      </c>
      <c r="AB31" s="19">
        <f>JULIO!AD31</f>
        <v>116903</v>
      </c>
      <c r="AC31" s="374">
        <v>117818</v>
      </c>
      <c r="AD31" s="18">
        <f t="shared" si="22"/>
        <v>234721</v>
      </c>
      <c r="AE31" s="19">
        <f>JULIO!AG31</f>
        <v>116903</v>
      </c>
      <c r="AF31" s="374">
        <v>117818</v>
      </c>
      <c r="AG31" s="18">
        <f t="shared" si="23"/>
        <v>234721</v>
      </c>
      <c r="AH31" s="19">
        <f t="shared" si="24"/>
        <v>1635122</v>
      </c>
      <c r="AI31" s="15">
        <f t="shared" si="25"/>
        <v>1635122</v>
      </c>
      <c r="AJ31" s="16">
        <f t="shared" si="26"/>
        <v>1635122</v>
      </c>
      <c r="AK31" s="9"/>
      <c r="AL31" s="372">
        <v>0</v>
      </c>
      <c r="AM31" s="375">
        <v>0</v>
      </c>
      <c r="AN31" s="9"/>
      <c r="AO31" s="349"/>
      <c r="AP31" s="415" t="s">
        <v>135</v>
      </c>
      <c r="AQ31" s="431">
        <f>X258</f>
        <v>0</v>
      </c>
      <c r="AR31" s="431">
        <f>AD258</f>
        <v>-17426628888</v>
      </c>
      <c r="AS31" s="431">
        <f>AG258</f>
        <v>-26379997747</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11164400104</v>
      </c>
      <c r="BO31" s="107">
        <f>AA33+AA41+AA55+AA61+AA81+AA88+AA102+AA108+AA121+AA139+AA143+AA153+AA168+AA174+AA183+AA191+AA207+AA218+AA230+AA241+AA256+AA225</f>
        <v>10689596408</v>
      </c>
      <c r="BP31" s="107">
        <f>AD33+AD41+AD55+AD61+AD81+AD88+AD102+AD108+AD121+AD139+AD143+AD153+AD168+AD174+AD183+AD191+AD207+AD218+AD230+AD241+AD256+AD225</f>
        <v>10689596408</v>
      </c>
      <c r="BQ31" s="108">
        <f>AF33+AF41+AF55+AF61+AF81+AF88+AF102+AF108+AF121+AF139+AF143+AF153+AF168+AF174+AF183+AF191+AF207+AF218+AF230+AF241+AF256+AF225</f>
        <v>266395653</v>
      </c>
      <c r="BR31" s="9"/>
    </row>
    <row r="32" spans="1:70" s="9" customFormat="1" ht="24.95" customHeight="1" thickBot="1">
      <c r="A32" s="611" t="str">
        <f>+IF(JULIO!A32=0,"",JULIO!A32)</f>
        <v>1130103-2</v>
      </c>
      <c r="B32" s="647" t="str">
        <f>+IF(JULIO!B32=0,"",JULIO!B32)</f>
        <v>Prestación de Servicios de salud  2o. Nivel</v>
      </c>
      <c r="C32" s="19">
        <f t="shared" ref="C32:N32" si="35">SUM(C33:C34)</f>
        <v>157521482</v>
      </c>
      <c r="D32" s="15">
        <f t="shared" si="35"/>
        <v>0</v>
      </c>
      <c r="E32" s="15">
        <f t="shared" si="35"/>
        <v>212958</v>
      </c>
      <c r="F32" s="15">
        <f t="shared" si="35"/>
        <v>157734440</v>
      </c>
      <c r="G32" s="15">
        <f t="shared" si="35"/>
        <v>739071711</v>
      </c>
      <c r="H32" s="15">
        <f t="shared" si="35"/>
        <v>381210835</v>
      </c>
      <c r="I32" s="15">
        <f t="shared" si="35"/>
        <v>1120282546</v>
      </c>
      <c r="J32" s="15">
        <f t="shared" si="35"/>
        <v>96132049</v>
      </c>
      <c r="K32" s="15">
        <f t="shared" si="35"/>
        <v>11941887</v>
      </c>
      <c r="L32" s="15">
        <f t="shared" si="35"/>
        <v>108073936</v>
      </c>
      <c r="M32" s="15">
        <f t="shared" si="35"/>
        <v>-962548106</v>
      </c>
      <c r="N32" s="16">
        <f t="shared" si="35"/>
        <v>49660504</v>
      </c>
      <c r="O32" s="382"/>
      <c r="P32" s="144">
        <f>SUM(P33:P34)</f>
        <v>0</v>
      </c>
      <c r="Q32" s="145">
        <f>SUM(Q33:Q34)</f>
        <v>0</v>
      </c>
      <c r="S32" s="706" t="str">
        <f>+IF(JULIO!S32=0,"",JULIO!S32)</f>
        <v>1010104-14</v>
      </c>
      <c r="T32" s="682" t="str">
        <f>+IF(JULIO!T32=0,"",JULIO!T32)</f>
        <v/>
      </c>
      <c r="U32" s="27">
        <f>+ENERO!U32</f>
        <v>0</v>
      </c>
      <c r="V32" s="15">
        <f>JULIO!V32+AGOSTO!AL32</f>
        <v>0</v>
      </c>
      <c r="W32" s="15">
        <f>JULIO!W32+AGOSTO!AM32</f>
        <v>0</v>
      </c>
      <c r="X32" s="18">
        <f t="shared" si="20"/>
        <v>0</v>
      </c>
      <c r="Y32" s="19">
        <f>JULIO!AA32</f>
        <v>0</v>
      </c>
      <c r="Z32" s="374">
        <v>0</v>
      </c>
      <c r="AA32" s="18">
        <f t="shared" si="21"/>
        <v>0</v>
      </c>
      <c r="AB32" s="19">
        <f>JULIO!AD32</f>
        <v>0</v>
      </c>
      <c r="AC32" s="374">
        <v>0</v>
      </c>
      <c r="AD32" s="18">
        <f t="shared" si="22"/>
        <v>0</v>
      </c>
      <c r="AE32" s="19">
        <f>JULIO!AG32</f>
        <v>0</v>
      </c>
      <c r="AF32" s="374">
        <v>0</v>
      </c>
      <c r="AG32" s="18">
        <f t="shared" si="23"/>
        <v>0</v>
      </c>
      <c r="AH32" s="19">
        <f t="shared" si="24"/>
        <v>0</v>
      </c>
      <c r="AI32" s="15">
        <f t="shared" si="25"/>
        <v>0</v>
      </c>
      <c r="AJ32" s="16">
        <f t="shared" si="26"/>
        <v>0</v>
      </c>
      <c r="AL32" s="372">
        <v>0</v>
      </c>
      <c r="AM32" s="375">
        <v>0</v>
      </c>
      <c r="AO32" s="21"/>
      <c r="AP32" s="440" t="s">
        <v>140</v>
      </c>
      <c r="AQ32" s="395">
        <f>SUM(AQ22:AQ31)</f>
        <v>66878334114</v>
      </c>
      <c r="AR32" s="395">
        <f>SUM(AR22:AR31)</f>
        <v>26741909875</v>
      </c>
      <c r="AS32" s="395">
        <f>SUM(AS22:AS31)</f>
        <v>0</v>
      </c>
      <c r="AT32" s="441"/>
      <c r="AU32" s="442">
        <f t="shared" si="28"/>
        <v>0.39985909082926713</v>
      </c>
      <c r="AV32" s="442">
        <f t="shared" si="29"/>
        <v>0</v>
      </c>
      <c r="AW32" s="351">
        <f>SUM(AW22:AW31)</f>
        <v>60903933991.125</v>
      </c>
      <c r="AX32" s="351">
        <f>SUM(AX22:AX31)</f>
        <v>34230079467.125</v>
      </c>
      <c r="AY32" s="351">
        <f>SUM(AY22:AY31)</f>
        <v>-5974400122.875</v>
      </c>
      <c r="AZ32" s="352">
        <f>SUM(AZ22:AZ31)</f>
        <v>32648254646.875</v>
      </c>
      <c r="BA32" s="382"/>
      <c r="BB32" s="422"/>
      <c r="BC32" s="422"/>
      <c r="BD32" s="422"/>
      <c r="BE32" s="422"/>
      <c r="BF32" s="422"/>
      <c r="BG32" s="382"/>
      <c r="BH32" s="382"/>
      <c r="BI32" s="382"/>
      <c r="BJ32" s="382"/>
      <c r="BK32" s="382"/>
      <c r="BM32" s="110" t="s">
        <v>136</v>
      </c>
      <c r="BN32" s="106">
        <f>+BN7+BN25+BN29+BN30+BN31</f>
        <v>66878334114</v>
      </c>
      <c r="BO32" s="107">
        <f t="shared" ref="BO32:BQ32" si="36">+BO7+BO25+BO29+BO30+BO31</f>
        <v>54796805485</v>
      </c>
      <c r="BP32" s="107">
        <f t="shared" si="36"/>
        <v>44168538763</v>
      </c>
      <c r="BQ32" s="108">
        <f t="shared" si="36"/>
        <v>2826209662</v>
      </c>
      <c r="BR32" s="382"/>
    </row>
    <row r="33" spans="1:70" s="422" customFormat="1" ht="24.95" customHeight="1" thickBot="1">
      <c r="A33" s="611" t="str">
        <f>+IF(JULIO!A33=0,"",JULIO!A33)</f>
        <v>1130103-2-1</v>
      </c>
      <c r="B33" s="646" t="str">
        <f>+CONCATENATE("Vigencia ",INSTRUCCIONES!$F$3)</f>
        <v>Vigencia 2017</v>
      </c>
      <c r="C33" s="671">
        <f>+ENERO!C33</f>
        <v>157521482</v>
      </c>
      <c r="D33" s="373">
        <f>JULIO!D33+AGOSTO!P33</f>
        <v>0</v>
      </c>
      <c r="E33" s="373">
        <f>JULIO!E33+AGOSTO!Q33</f>
        <v>0</v>
      </c>
      <c r="F33" s="373">
        <f>SUM(C33:E33)</f>
        <v>157521482</v>
      </c>
      <c r="G33" s="373">
        <f>JULIO!I33</f>
        <v>738858753</v>
      </c>
      <c r="H33" s="374">
        <v>381210835</v>
      </c>
      <c r="I33" s="373">
        <f>SUM(G33:H33)</f>
        <v>1120069588</v>
      </c>
      <c r="J33" s="373">
        <f>JULIO!L33</f>
        <v>95919091</v>
      </c>
      <c r="K33" s="374">
        <v>11941887</v>
      </c>
      <c r="L33" s="373">
        <f>SUM(J33:K33)</f>
        <v>107860978</v>
      </c>
      <c r="M33" s="373">
        <f>F33-I33</f>
        <v>-962548106</v>
      </c>
      <c r="N33" s="143">
        <f>F33-L33</f>
        <v>49660504</v>
      </c>
      <c r="O33" s="9"/>
      <c r="P33" s="372">
        <v>0</v>
      </c>
      <c r="Q33" s="375">
        <v>0</v>
      </c>
      <c r="R33" s="9"/>
      <c r="S33" s="705">
        <f>+IF(JULIO!S33=0,"",JULIO!S33)</f>
        <v>1010199</v>
      </c>
      <c r="T33" s="681" t="str">
        <f>+IF(JULIO!T33=0,"",JULIO!T33)</f>
        <v>Vigencias Anteriores</v>
      </c>
      <c r="U33" s="27">
        <f>+ENERO!U33</f>
        <v>0</v>
      </c>
      <c r="V33" s="15">
        <f>JULIO!V33+AGOSTO!AL33</f>
        <v>0</v>
      </c>
      <c r="W33" s="15">
        <f>JULIO!W33+AGOSTO!AM33</f>
        <v>0</v>
      </c>
      <c r="X33" s="18">
        <f t="shared" si="20"/>
        <v>0</v>
      </c>
      <c r="Y33" s="19">
        <f>JULIO!AA33</f>
        <v>0</v>
      </c>
      <c r="Z33" s="374">
        <v>0</v>
      </c>
      <c r="AA33" s="18">
        <f t="shared" si="21"/>
        <v>0</v>
      </c>
      <c r="AB33" s="19">
        <f>JULIO!AD33</f>
        <v>0</v>
      </c>
      <c r="AC33" s="374">
        <v>0</v>
      </c>
      <c r="AD33" s="18">
        <f t="shared" si="22"/>
        <v>0</v>
      </c>
      <c r="AE33" s="19">
        <f>JULIO!AG33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-5170902048</v>
      </c>
      <c r="BP33" s="113">
        <f>AD258</f>
        <v>-17426628888</v>
      </c>
      <c r="BQ33" s="114">
        <f>AF258</f>
        <v>37310214577</v>
      </c>
      <c r="BR33" s="382"/>
    </row>
    <row r="34" spans="1:70" s="422" customFormat="1" ht="24.95" customHeight="1" thickBot="1">
      <c r="A34" s="611" t="str">
        <f>+IF(JULIO!A34=0,"",JULIO!A34)</f>
        <v>1130103-2-2</v>
      </c>
      <c r="B34" s="646" t="str">
        <f>+IF(JULIO!B34=0,"",JULIO!B34)</f>
        <v>Vigencia Anterior</v>
      </c>
      <c r="C34" s="671">
        <f>+ENERO!C34</f>
        <v>0</v>
      </c>
      <c r="D34" s="373">
        <f>JULIO!D34+AGOSTO!P34</f>
        <v>0</v>
      </c>
      <c r="E34" s="373">
        <f>JULIO!E34+AGOSTO!Q34</f>
        <v>212958</v>
      </c>
      <c r="F34" s="373">
        <f>SUM(C34:E34)</f>
        <v>212958</v>
      </c>
      <c r="G34" s="373">
        <f>JULIO!I34</f>
        <v>212958</v>
      </c>
      <c r="H34" s="374">
        <v>0</v>
      </c>
      <c r="I34" s="373">
        <f>SUM(G34:H34)</f>
        <v>212958</v>
      </c>
      <c r="J34" s="373">
        <f>JULIO!L34</f>
        <v>212958</v>
      </c>
      <c r="K34" s="374">
        <v>0</v>
      </c>
      <c r="L34" s="373">
        <f>SUM(J34:K34)</f>
        <v>212958</v>
      </c>
      <c r="M34" s="373">
        <f>F34-I34</f>
        <v>0</v>
      </c>
      <c r="N34" s="143">
        <f>F34-L34</f>
        <v>0</v>
      </c>
      <c r="O34" s="382"/>
      <c r="P34" s="372">
        <v>0</v>
      </c>
      <c r="Q34" s="375">
        <v>0</v>
      </c>
      <c r="R34" s="9"/>
      <c r="S34" s="366" t="str">
        <f>+IF(JULIO!S34=0,"",JULIO!S34)</f>
        <v/>
      </c>
      <c r="T34" s="695"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+IF(JULIO!A35=0,"",JULIO!A35)</f>
        <v>1130103-3</v>
      </c>
      <c r="B35" s="647" t="str">
        <f>+IF(JULIO!B35=0,"",JULIO!B35)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4">
        <f>+IF(JULIO!S35=0,"",JULIO!S35)</f>
        <v>1010200</v>
      </c>
      <c r="T35" s="680" t="str">
        <f>+IF(JULIO!T35=0,"",JULIO!T35)</f>
        <v>Servicios Personales Indirectos</v>
      </c>
      <c r="U35" s="132">
        <f t="shared" ref="U35:AJ35" si="38">SUM(U36:U41)</f>
        <v>3034900183</v>
      </c>
      <c r="V35" s="122">
        <f t="shared" si="38"/>
        <v>765196180</v>
      </c>
      <c r="W35" s="122">
        <f t="shared" si="38"/>
        <v>2575000000</v>
      </c>
      <c r="X35" s="129">
        <f t="shared" si="38"/>
        <v>6375096363</v>
      </c>
      <c r="Y35" s="128">
        <f t="shared" si="38"/>
        <v>4340205014</v>
      </c>
      <c r="Z35" s="122">
        <f t="shared" si="38"/>
        <v>828704599</v>
      </c>
      <c r="AA35" s="129">
        <f t="shared" si="38"/>
        <v>5168909613</v>
      </c>
      <c r="AB35" s="128">
        <f t="shared" si="38"/>
        <v>3830069286</v>
      </c>
      <c r="AC35" s="122">
        <f t="shared" si="38"/>
        <v>476327053</v>
      </c>
      <c r="AD35" s="129">
        <f t="shared" si="38"/>
        <v>4306396339</v>
      </c>
      <c r="AE35" s="128">
        <f t="shared" si="38"/>
        <v>2485488308</v>
      </c>
      <c r="AF35" s="122">
        <f t="shared" si="38"/>
        <v>420663846</v>
      </c>
      <c r="AG35" s="129">
        <f t="shared" si="38"/>
        <v>2906152154</v>
      </c>
      <c r="AH35" s="128">
        <f t="shared" si="38"/>
        <v>1206186750</v>
      </c>
      <c r="AI35" s="122">
        <f t="shared" si="38"/>
        <v>2068700024</v>
      </c>
      <c r="AJ35" s="130">
        <f t="shared" si="38"/>
        <v>3468944209</v>
      </c>
      <c r="AK35" s="9"/>
      <c r="AL35" s="128">
        <f>SUM(AL36:AL41)</f>
        <v>163900000</v>
      </c>
      <c r="AM35" s="130">
        <f>SUM(AM36:AM41)</f>
        <v>1250000000</v>
      </c>
      <c r="AN35" s="9"/>
      <c r="AO35" s="349"/>
      <c r="AP35" s="450"/>
      <c r="AQ35" s="292"/>
      <c r="AR35" s="451"/>
      <c r="AS35" s="451"/>
      <c r="AT35" s="451"/>
      <c r="AU35" s="452">
        <f>AR17-AR32</f>
        <v>21899347413</v>
      </c>
      <c r="AV35" s="453">
        <f>AS17-AR32</f>
        <v>-745133697</v>
      </c>
      <c r="AW35" s="453" t="s">
        <v>153</v>
      </c>
      <c r="AX35" s="454"/>
      <c r="AY35" s="453">
        <f>AY17+AY32</f>
        <v>-6542013704.375</v>
      </c>
      <c r="AZ35" s="455">
        <f>AZ17+AY32</f>
        <v>-40868004047.375</v>
      </c>
      <c r="BB35" s="422"/>
      <c r="BC35" s="422"/>
      <c r="BD35" s="422"/>
      <c r="BE35" s="422"/>
      <c r="BF35" s="422"/>
    </row>
    <row r="36" spans="1:70" s="382" customFormat="1" ht="24.95" customHeight="1" thickBot="1">
      <c r="A36" s="611" t="str">
        <f>+IF(JULIO!A36=0,"",JULIO!A36)</f>
        <v>1130103-3-1</v>
      </c>
      <c r="B36" s="646" t="str">
        <f>+CONCATENATE("Vigencia ",INSTRUCCIONES!$F$3)</f>
        <v>Vigencia 2017</v>
      </c>
      <c r="C36" s="671">
        <f>+ENERO!C36</f>
        <v>0</v>
      </c>
      <c r="D36" s="373">
        <f>JULIO!D36+AGOSTO!P36</f>
        <v>0</v>
      </c>
      <c r="E36" s="373">
        <f>JULIO!E36+AGOSTO!Q36</f>
        <v>0</v>
      </c>
      <c r="F36" s="373">
        <f>SUM(C36:E36)</f>
        <v>0</v>
      </c>
      <c r="G36" s="373">
        <f>JULIO!I36</f>
        <v>0</v>
      </c>
      <c r="H36" s="374">
        <v>0</v>
      </c>
      <c r="I36" s="373">
        <f>SUM(G36:H36)</f>
        <v>0</v>
      </c>
      <c r="J36" s="373">
        <f>JULIO!L36</f>
        <v>0</v>
      </c>
      <c r="K36" s="374">
        <v>0</v>
      </c>
      <c r="L36" s="373">
        <f>SUM(J36:K36)</f>
        <v>0</v>
      </c>
      <c r="M36" s="373">
        <f>F36-I36</f>
        <v>0</v>
      </c>
      <c r="N36" s="143">
        <f>F36-L36</f>
        <v>0</v>
      </c>
      <c r="O36" s="9"/>
      <c r="P36" s="372">
        <v>0</v>
      </c>
      <c r="Q36" s="375">
        <v>0</v>
      </c>
      <c r="R36" s="9"/>
      <c r="S36" s="705" t="str">
        <f>+IF(JULIO!S36=0,"",JULIO!S36)</f>
        <v>1010200-1</v>
      </c>
      <c r="T36" s="681" t="str">
        <f>+IF(JULIO!T36=0,"",JULIO!T36)</f>
        <v>Remuneración y Honorarios por Servicios Técnicos y Profesionales</v>
      </c>
      <c r="U36" s="27">
        <f>+ENERO!U36</f>
        <v>999690000</v>
      </c>
      <c r="V36" s="15">
        <f>JULIO!V36+AGOSTO!AL36</f>
        <v>369300000</v>
      </c>
      <c r="W36" s="15">
        <f>JULIO!W36+AGOSTO!AM36</f>
        <v>420000000</v>
      </c>
      <c r="X36" s="18">
        <f t="shared" ref="X36:X41" si="39">SUM(U36:W36)</f>
        <v>1788990000</v>
      </c>
      <c r="Y36" s="19">
        <f>JULIO!AA36</f>
        <v>1389784778</v>
      </c>
      <c r="Z36" s="374">
        <v>155054056</v>
      </c>
      <c r="AA36" s="18">
        <f t="shared" ref="AA36:AA41" si="40">SUM(Y36:Z36)</f>
        <v>1544838834</v>
      </c>
      <c r="AB36" s="19">
        <f>JULIO!AD36</f>
        <v>1062917842</v>
      </c>
      <c r="AC36" s="374">
        <v>155703906</v>
      </c>
      <c r="AD36" s="18">
        <f t="shared" ref="AD36:AD41" si="41">SUM(AB36:AC36)</f>
        <v>1218621748</v>
      </c>
      <c r="AE36" s="19">
        <f>JULIO!AG36</f>
        <v>884327485</v>
      </c>
      <c r="AF36" s="374">
        <v>130049998</v>
      </c>
      <c r="AG36" s="18">
        <f t="shared" ref="AG36:AG41" si="42">SUM(AE36:AF36)</f>
        <v>1014377483</v>
      </c>
      <c r="AH36" s="19">
        <f t="shared" ref="AH36:AH41" si="43">X36-AA36</f>
        <v>244151166</v>
      </c>
      <c r="AI36" s="15">
        <f t="shared" ref="AI36:AI41" si="44">X36-AD36</f>
        <v>570368252</v>
      </c>
      <c r="AJ36" s="16">
        <f t="shared" ref="AJ36:AJ41" si="45">X36-AG36</f>
        <v>774612517</v>
      </c>
      <c r="AK36" s="9"/>
      <c r="AL36" s="372">
        <v>0</v>
      </c>
      <c r="AM36" s="375">
        <v>350000000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+IF(JULIO!A37=0,"",JULIO!A37)</f>
        <v>1130103-3-2</v>
      </c>
      <c r="B37" s="646" t="str">
        <f>+IF(JULIO!B37=0,"",JULIO!B37)</f>
        <v>Vigencia Anterior</v>
      </c>
      <c r="C37" s="671">
        <f>+ENERO!C37</f>
        <v>0</v>
      </c>
      <c r="D37" s="373">
        <f>JULIO!D37+AGOSTO!P37</f>
        <v>0</v>
      </c>
      <c r="E37" s="373">
        <f>JULIO!E37+AGOSTO!Q37</f>
        <v>0</v>
      </c>
      <c r="F37" s="373">
        <f>SUM(C37:E37)</f>
        <v>0</v>
      </c>
      <c r="G37" s="373">
        <f>JULIO!I37</f>
        <v>0</v>
      </c>
      <c r="H37" s="374">
        <v>0</v>
      </c>
      <c r="I37" s="373">
        <f>SUM(G37:H37)</f>
        <v>0</v>
      </c>
      <c r="J37" s="373">
        <f>JULIO!L37</f>
        <v>0</v>
      </c>
      <c r="K37" s="374">
        <v>0</v>
      </c>
      <c r="L37" s="373">
        <f>SUM(J37:K37)</f>
        <v>0</v>
      </c>
      <c r="M37" s="373">
        <f>F37-I37</f>
        <v>0</v>
      </c>
      <c r="N37" s="143">
        <f>F37-L37</f>
        <v>0</v>
      </c>
      <c r="P37" s="372">
        <v>0</v>
      </c>
      <c r="Q37" s="375">
        <v>0</v>
      </c>
      <c r="R37" s="9"/>
      <c r="S37" s="705" t="str">
        <f>+IF(JULIO!S37=0,"",JULIO!S37)</f>
        <v>1010200-2</v>
      </c>
      <c r="T37" s="681" t="str">
        <f>+IF(JULIO!T37=0,"",JULIO!T37)</f>
        <v>Personal Supernumerario</v>
      </c>
      <c r="U37" s="27">
        <f>+ENERO!U37</f>
        <v>0</v>
      </c>
      <c r="V37" s="15">
        <f>JULIO!V37+AGOSTO!AL37</f>
        <v>0</v>
      </c>
      <c r="W37" s="15">
        <f>JULIO!W37+AGOSTO!AM37</f>
        <v>0</v>
      </c>
      <c r="X37" s="18">
        <f t="shared" si="39"/>
        <v>0</v>
      </c>
      <c r="Y37" s="19">
        <f>JULIO!AA37</f>
        <v>0</v>
      </c>
      <c r="Z37" s="374">
        <v>0</v>
      </c>
      <c r="AA37" s="18">
        <f t="shared" si="40"/>
        <v>0</v>
      </c>
      <c r="AB37" s="19">
        <f>JULIO!AD37</f>
        <v>0</v>
      </c>
      <c r="AC37" s="374">
        <v>0</v>
      </c>
      <c r="AD37" s="18">
        <f t="shared" si="41"/>
        <v>0</v>
      </c>
      <c r="AE37" s="19">
        <f>JULIO!AG37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5" t="str">
        <f>+IF(JULIO!A38=0,"",JULIO!A38)</f>
        <v>1130103-4</v>
      </c>
      <c r="B38" s="648" t="str">
        <f>+IF(JULIO!B38=0,"",JULIO!B38)</f>
        <v xml:space="preserve"> Aportes Patronales  1o. Nivel</v>
      </c>
      <c r="C38" s="671">
        <f>+ENERO!C38</f>
        <v>0</v>
      </c>
      <c r="D38" s="373">
        <f>JULIO!D38+AGOSTO!P38</f>
        <v>0</v>
      </c>
      <c r="E38" s="373">
        <f>JULIO!E38+AGOSTO!Q38</f>
        <v>0</v>
      </c>
      <c r="F38" s="373">
        <f t="shared" ref="F38:F41" si="46">SUM(C38:E38)</f>
        <v>0</v>
      </c>
      <c r="G38" s="373">
        <f>JULIO!I38</f>
        <v>0</v>
      </c>
      <c r="H38" s="374">
        <v>0</v>
      </c>
      <c r="I38" s="373">
        <f t="shared" ref="I38:I41" si="47">SUM(G38:H38)</f>
        <v>0</v>
      </c>
      <c r="J38" s="373">
        <f>JULIO!L38</f>
        <v>0</v>
      </c>
      <c r="K38" s="374">
        <v>0</v>
      </c>
      <c r="L38" s="373">
        <f t="shared" ref="L38:L41" si="48">SUM(J38:K38)</f>
        <v>0</v>
      </c>
      <c r="M38" s="373">
        <f t="shared" ref="M38:M41" si="49">F38-I38</f>
        <v>0</v>
      </c>
      <c r="N38" s="143">
        <f t="shared" ref="N38:N41" si="50">F38-L38</f>
        <v>0</v>
      </c>
      <c r="O38" s="525"/>
      <c r="P38" s="372">
        <v>0</v>
      </c>
      <c r="Q38" s="375">
        <v>0</v>
      </c>
      <c r="R38" s="9"/>
      <c r="S38" s="705" t="str">
        <f>+IF(JULIO!S38=0,"",JULIO!S38)</f>
        <v>1010200-3</v>
      </c>
      <c r="T38" s="681" t="str">
        <f>+IF(JULIO!T38=0,"",JULIO!T38)</f>
        <v>Honorarios de la Junta Directiva</v>
      </c>
      <c r="U38" s="27">
        <f>+ENERO!U38</f>
        <v>5000000</v>
      </c>
      <c r="V38" s="15">
        <f>JULIO!V38+AGOSTO!AL38</f>
        <v>0</v>
      </c>
      <c r="W38" s="15">
        <f>JULIO!W38+AGOSTO!AM38</f>
        <v>5000000</v>
      </c>
      <c r="X38" s="18">
        <f t="shared" si="39"/>
        <v>10000000</v>
      </c>
      <c r="Y38" s="19">
        <f>JULIO!AA38</f>
        <v>2509616</v>
      </c>
      <c r="Z38" s="374">
        <v>1082443</v>
      </c>
      <c r="AA38" s="18">
        <f t="shared" si="40"/>
        <v>3592059</v>
      </c>
      <c r="AB38" s="19">
        <f>JULIO!AD38</f>
        <v>2509616</v>
      </c>
      <c r="AC38" s="374">
        <v>1082443</v>
      </c>
      <c r="AD38" s="18">
        <f t="shared" si="41"/>
        <v>3592059</v>
      </c>
      <c r="AE38" s="19">
        <f>JULIO!AG38</f>
        <v>2164889</v>
      </c>
      <c r="AF38" s="374">
        <v>0</v>
      </c>
      <c r="AG38" s="18">
        <f t="shared" si="42"/>
        <v>2164889</v>
      </c>
      <c r="AH38" s="19">
        <f t="shared" si="43"/>
        <v>6407941</v>
      </c>
      <c r="AI38" s="15">
        <f t="shared" si="44"/>
        <v>6407941</v>
      </c>
      <c r="AJ38" s="16">
        <f t="shared" si="45"/>
        <v>7835111</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5" t="str">
        <f>+IF(JULIO!A39=0,"",JULIO!A39)</f>
        <v>1130103-5</v>
      </c>
      <c r="B39" s="648" t="str">
        <f>+IF(JULIO!B39=0,"",JULIO!B39)</f>
        <v xml:space="preserve"> Aportes Patronales  2o. Nivel</v>
      </c>
      <c r="C39" s="671">
        <f>+ENERO!C39</f>
        <v>0</v>
      </c>
      <c r="D39" s="373">
        <f>JULIO!D39+AGOSTO!P39</f>
        <v>0</v>
      </c>
      <c r="E39" s="373">
        <f>JULIO!E39+AGOSTO!Q39</f>
        <v>258077000</v>
      </c>
      <c r="F39" s="373">
        <f t="shared" si="46"/>
        <v>258077000</v>
      </c>
      <c r="G39" s="373">
        <f>JULIO!I39</f>
        <v>107532080</v>
      </c>
      <c r="H39" s="374">
        <v>0</v>
      </c>
      <c r="I39" s="373">
        <f t="shared" si="47"/>
        <v>107532080</v>
      </c>
      <c r="J39" s="373">
        <f>JULIO!L39</f>
        <v>107532080</v>
      </c>
      <c r="K39" s="374">
        <v>0</v>
      </c>
      <c r="L39" s="373">
        <f t="shared" si="48"/>
        <v>107532080</v>
      </c>
      <c r="M39" s="373">
        <f t="shared" si="49"/>
        <v>150544920</v>
      </c>
      <c r="N39" s="143">
        <f t="shared" si="50"/>
        <v>150544920</v>
      </c>
      <c r="O39" s="525"/>
      <c r="P39" s="372">
        <v>0</v>
      </c>
      <c r="Q39" s="375">
        <v>0</v>
      </c>
      <c r="R39" s="9"/>
      <c r="S39" s="705" t="str">
        <f>+IF(JULIO!S39=0,"",JULIO!S39)</f>
        <v>1010200-4</v>
      </c>
      <c r="T39" s="681" t="str">
        <f>+IF(JULIO!T39=0,"",JULIO!T39)</f>
        <v>Otros Honorarios</v>
      </c>
      <c r="U39" s="27">
        <f>+ENERO!U39</f>
        <v>2030210183</v>
      </c>
      <c r="V39" s="15">
        <f>JULIO!V39+AGOSTO!AL39</f>
        <v>280100000</v>
      </c>
      <c r="W39" s="15">
        <f>JULIO!W39+AGOSTO!AM39</f>
        <v>1450000000</v>
      </c>
      <c r="X39" s="18">
        <f t="shared" si="39"/>
        <v>3760310183</v>
      </c>
      <c r="Y39" s="19">
        <f>JULIO!AA39</f>
        <v>2145914440</v>
      </c>
      <c r="Z39" s="374">
        <v>658768100</v>
      </c>
      <c r="AA39" s="18">
        <f t="shared" si="40"/>
        <v>2804682540</v>
      </c>
      <c r="AB39" s="19">
        <f>JULIO!AD39</f>
        <v>1962645648</v>
      </c>
      <c r="AC39" s="374">
        <v>305740704</v>
      </c>
      <c r="AD39" s="18">
        <f t="shared" si="41"/>
        <v>2268386352</v>
      </c>
      <c r="AE39" s="19">
        <f>JULIO!AG39</f>
        <v>796999754</v>
      </c>
      <c r="AF39" s="374">
        <v>276813848</v>
      </c>
      <c r="AG39" s="18">
        <f t="shared" si="42"/>
        <v>1073813602</v>
      </c>
      <c r="AH39" s="19">
        <f t="shared" si="43"/>
        <v>955627643</v>
      </c>
      <c r="AI39" s="15">
        <f t="shared" si="44"/>
        <v>1491923831</v>
      </c>
      <c r="AJ39" s="16">
        <f t="shared" si="45"/>
        <v>2686496581</v>
      </c>
      <c r="AK39" s="9"/>
      <c r="AL39" s="372">
        <v>150100000</v>
      </c>
      <c r="AM39" s="375">
        <v>900000000</v>
      </c>
      <c r="AN39" s="9"/>
      <c r="AO39" s="294"/>
      <c r="AP39" s="294"/>
      <c r="AQ39" s="294"/>
      <c r="AR39" s="294"/>
      <c r="AS39" s="294"/>
      <c r="AT39" s="294"/>
      <c r="AU39" s="294"/>
      <c r="AV39" s="294"/>
      <c r="AW39" s="294"/>
      <c r="AX39" s="294"/>
      <c r="AY39" s="294"/>
      <c r="AZ39" s="294"/>
    </row>
    <row r="40" spans="1:70" s="422" customFormat="1" ht="24.95" customHeight="1">
      <c r="A40" s="735" t="str">
        <f>+IF(JULIO!A40=0,"",JULIO!A40)</f>
        <v>1130103-6</v>
      </c>
      <c r="B40" s="648" t="str">
        <f>+IF(JULIO!B40=0,"",JULIO!B40)</f>
        <v xml:space="preserve"> Aportes Patronales  3er. Nivel</v>
      </c>
      <c r="C40" s="671">
        <f>+ENERO!C40</f>
        <v>0</v>
      </c>
      <c r="D40" s="373">
        <f>JULIO!D40+AGOSTO!P40</f>
        <v>0</v>
      </c>
      <c r="E40" s="373">
        <f>JULIO!E40+AGOSTO!Q40</f>
        <v>0</v>
      </c>
      <c r="F40" s="373">
        <f t="shared" si="46"/>
        <v>0</v>
      </c>
      <c r="G40" s="373">
        <f>JULIO!I40</f>
        <v>0</v>
      </c>
      <c r="H40" s="374">
        <v>0</v>
      </c>
      <c r="I40" s="373">
        <f t="shared" si="47"/>
        <v>0</v>
      </c>
      <c r="J40" s="373">
        <f>JULIO!L40</f>
        <v>0</v>
      </c>
      <c r="K40" s="374">
        <v>0</v>
      </c>
      <c r="L40" s="373">
        <f t="shared" si="48"/>
        <v>0</v>
      </c>
      <c r="M40" s="373">
        <f t="shared" si="49"/>
        <v>0</v>
      </c>
      <c r="N40" s="143">
        <f t="shared" si="50"/>
        <v>0</v>
      </c>
      <c r="O40" s="525"/>
      <c r="P40" s="372">
        <v>0</v>
      </c>
      <c r="Q40" s="375">
        <v>0</v>
      </c>
      <c r="R40" s="9"/>
      <c r="S40" s="705" t="str">
        <f>+IF(JULIO!S40=0,"",JULIO!S40)</f>
        <v>1010200-6</v>
      </c>
      <c r="T40" s="681" t="str">
        <f>+IF(JULIO!T40=0,"",JULIO!T40)</f>
        <v>Certificación, Habilitación y Acreditación</v>
      </c>
      <c r="U40" s="27">
        <f>+ENERO!U40</f>
        <v>0</v>
      </c>
      <c r="V40" s="15">
        <f>JULIO!V40+AGOSTO!AL40</f>
        <v>0</v>
      </c>
      <c r="W40" s="15">
        <f>JULIO!W40+AGOSTO!AM40</f>
        <v>0</v>
      </c>
      <c r="X40" s="18">
        <f t="shared" si="39"/>
        <v>0</v>
      </c>
      <c r="Y40" s="19">
        <f>JULIO!AA40</f>
        <v>0</v>
      </c>
      <c r="Z40" s="374">
        <v>0</v>
      </c>
      <c r="AA40" s="18">
        <f t="shared" si="40"/>
        <v>0</v>
      </c>
      <c r="AB40" s="19">
        <f>JULIO!AD40</f>
        <v>0</v>
      </c>
      <c r="AC40" s="374">
        <v>0</v>
      </c>
      <c r="AD40" s="18">
        <f t="shared" si="41"/>
        <v>0</v>
      </c>
      <c r="AE40" s="19">
        <f>JULIO!AG40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3">
        <f>+IF(JULIO!A41=0,"",JULIO!A41)</f>
        <v>1130104</v>
      </c>
      <c r="B41" s="645" t="str">
        <f>+IF(JULIO!B41=0,"",JULIO!B41)</f>
        <v>SUBSIDIO A LA OFERTA- ACTIVIDADES NO POS-S</v>
      </c>
      <c r="C41" s="671">
        <f>+ENERO!C41</f>
        <v>0</v>
      </c>
      <c r="D41" s="122">
        <f>JULIO!D41+AGOSTO!P41</f>
        <v>0</v>
      </c>
      <c r="E41" s="122">
        <f>JULIO!E41+AGOSTO!Q41</f>
        <v>0</v>
      </c>
      <c r="F41" s="122">
        <f t="shared" si="46"/>
        <v>0</v>
      </c>
      <c r="G41" s="122">
        <f>JULIO!I41</f>
        <v>0</v>
      </c>
      <c r="H41" s="374">
        <v>0</v>
      </c>
      <c r="I41" s="122">
        <f t="shared" si="47"/>
        <v>0</v>
      </c>
      <c r="J41" s="122">
        <f>JULIO!L41</f>
        <v>0</v>
      </c>
      <c r="K41" s="374">
        <v>0</v>
      </c>
      <c r="L41" s="122">
        <f t="shared" si="48"/>
        <v>0</v>
      </c>
      <c r="M41" s="122">
        <f t="shared" si="49"/>
        <v>0</v>
      </c>
      <c r="N41" s="130">
        <f t="shared" si="50"/>
        <v>0</v>
      </c>
      <c r="O41" s="382"/>
      <c r="P41" s="374">
        <v>0</v>
      </c>
      <c r="Q41" s="375">
        <v>0</v>
      </c>
      <c r="R41" s="9"/>
      <c r="S41" s="705">
        <f>+IF(JULIO!S41=0,"",JULIO!S41)</f>
        <v>1010299</v>
      </c>
      <c r="T41" s="681" t="str">
        <f>+IF(JULIO!T41=0,"",JULIO!T41)</f>
        <v>Vigencias Anteriores</v>
      </c>
      <c r="U41" s="27">
        <f>+ENERO!U41</f>
        <v>0</v>
      </c>
      <c r="V41" s="15">
        <f>JULIO!V41+AGOSTO!AL41</f>
        <v>115796180</v>
      </c>
      <c r="W41" s="15">
        <f>JULIO!W41+AGOSTO!AM41</f>
        <v>700000000</v>
      </c>
      <c r="X41" s="18">
        <f t="shared" si="39"/>
        <v>815796180</v>
      </c>
      <c r="Y41" s="19">
        <f>JULIO!AA41</f>
        <v>801996180</v>
      </c>
      <c r="Z41" s="374">
        <v>13800000</v>
      </c>
      <c r="AA41" s="18">
        <f t="shared" si="40"/>
        <v>815796180</v>
      </c>
      <c r="AB41" s="19">
        <f>JULIO!AD41</f>
        <v>801996180</v>
      </c>
      <c r="AC41" s="374">
        <v>13800000</v>
      </c>
      <c r="AD41" s="18">
        <f t="shared" si="41"/>
        <v>815796180</v>
      </c>
      <c r="AE41" s="19">
        <f>JULIO!AG41</f>
        <v>801996180</v>
      </c>
      <c r="AF41" s="374">
        <v>13800000</v>
      </c>
      <c r="AG41" s="18">
        <f t="shared" si="42"/>
        <v>815796180</v>
      </c>
      <c r="AH41" s="19">
        <f t="shared" si="43"/>
        <v>0</v>
      </c>
      <c r="AI41" s="15">
        <f t="shared" si="44"/>
        <v>0</v>
      </c>
      <c r="AJ41" s="16">
        <f t="shared" si="45"/>
        <v>0</v>
      </c>
      <c r="AK41" s="9"/>
      <c r="AL41" s="372">
        <v>13800000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3">
        <f>+IF(JULIO!A42=0,"",JULIO!A42)</f>
        <v>1130106</v>
      </c>
      <c r="B42" s="645" t="str">
        <f>+IF(JULIO!B42=0,"",JULIO!B42)</f>
        <v>SALUD PUBLICA - PLAN DE INTERVENCIONES COLECTIVAS</v>
      </c>
      <c r="C42" s="43">
        <f t="shared" ref="C42:N42" si="51">SUM(C43:C44)</f>
        <v>0</v>
      </c>
      <c r="D42" s="44">
        <f t="shared" si="51"/>
        <v>0</v>
      </c>
      <c r="E42" s="44">
        <f t="shared" si="51"/>
        <v>0</v>
      </c>
      <c r="F42" s="44">
        <f t="shared" si="51"/>
        <v>0</v>
      </c>
      <c r="G42" s="44">
        <f t="shared" si="51"/>
        <v>0</v>
      </c>
      <c r="H42" s="44">
        <f t="shared" si="51"/>
        <v>0</v>
      </c>
      <c r="I42" s="44">
        <f t="shared" si="51"/>
        <v>0</v>
      </c>
      <c r="J42" s="44">
        <f t="shared" si="51"/>
        <v>0</v>
      </c>
      <c r="K42" s="44">
        <f t="shared" si="51"/>
        <v>0</v>
      </c>
      <c r="L42" s="44">
        <f t="shared" si="51"/>
        <v>0</v>
      </c>
      <c r="M42" s="44">
        <f t="shared" si="51"/>
        <v>0</v>
      </c>
      <c r="N42" s="45">
        <f t="shared" si="51"/>
        <v>0</v>
      </c>
      <c r="P42" s="43">
        <f>SUM(P43:P44)</f>
        <v>0</v>
      </c>
      <c r="Q42" s="45">
        <f>SUM(Q43:Q44)</f>
        <v>0</v>
      </c>
      <c r="R42" s="9"/>
      <c r="S42" s="366" t="str">
        <f>+IF(JULIO!S42=0,"",JULIO!S42)</f>
        <v/>
      </c>
      <c r="T42" s="695"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+IF(JULIO!A43=0,"",JULIO!A43)</f>
        <v>1130106-1</v>
      </c>
      <c r="B43" s="646" t="str">
        <f>+CONCATENATE("Vigencia ",INSTRUCCIONES!$F$3)</f>
        <v>Vigencia 2017</v>
      </c>
      <c r="C43" s="671">
        <f>+ENERO!C43</f>
        <v>0</v>
      </c>
      <c r="D43" s="373">
        <f>JULIO!D43+AGOSTO!P43</f>
        <v>0</v>
      </c>
      <c r="E43" s="373">
        <f>JULIO!E43+AGOSTO!Q43</f>
        <v>0</v>
      </c>
      <c r="F43" s="373">
        <f>SUM(C43:E43)</f>
        <v>0</v>
      </c>
      <c r="G43" s="373">
        <f>JULIO!I43</f>
        <v>0</v>
      </c>
      <c r="H43" s="374">
        <v>0</v>
      </c>
      <c r="I43" s="373">
        <f>SUM(G43:H43)</f>
        <v>0</v>
      </c>
      <c r="J43" s="373">
        <f>JULIO!L43</f>
        <v>0</v>
      </c>
      <c r="K43" s="374">
        <v>0</v>
      </c>
      <c r="L43" s="373">
        <f>SUM(J43:K43)</f>
        <v>0</v>
      </c>
      <c r="M43" s="373">
        <f>F43-I43</f>
        <v>0</v>
      </c>
      <c r="N43" s="143">
        <f>F43-L43</f>
        <v>0</v>
      </c>
      <c r="O43" s="382"/>
      <c r="P43" s="372">
        <v>0</v>
      </c>
      <c r="Q43" s="375">
        <v>0</v>
      </c>
      <c r="R43" s="9"/>
      <c r="S43" s="704">
        <f>+IF(JULIO!S43=0,"",JULIO!S43)</f>
        <v>1010300</v>
      </c>
      <c r="T43" s="680" t="str">
        <f>+IF(JULIO!T43=0,"",JULIO!T43)</f>
        <v>Contribuciones Inherentes nómina al Sector Privado</v>
      </c>
      <c r="U43" s="132">
        <f t="shared" ref="U43:AJ43" si="52">U44+U49+U55</f>
        <v>182861553</v>
      </c>
      <c r="V43" s="122">
        <f t="shared" si="52"/>
        <v>-30802080</v>
      </c>
      <c r="W43" s="122">
        <f t="shared" si="52"/>
        <v>97321330</v>
      </c>
      <c r="X43" s="129">
        <f t="shared" si="52"/>
        <v>249380803</v>
      </c>
      <c r="Y43" s="128">
        <f t="shared" si="52"/>
        <v>68466973</v>
      </c>
      <c r="Z43" s="122">
        <f t="shared" si="52"/>
        <v>9564502</v>
      </c>
      <c r="AA43" s="129">
        <f t="shared" si="52"/>
        <v>78031475</v>
      </c>
      <c r="AB43" s="128">
        <f t="shared" si="52"/>
        <v>68466973</v>
      </c>
      <c r="AC43" s="122">
        <f t="shared" si="52"/>
        <v>9564502</v>
      </c>
      <c r="AD43" s="129">
        <f t="shared" si="52"/>
        <v>78031475</v>
      </c>
      <c r="AE43" s="128">
        <f t="shared" si="52"/>
        <v>68466973</v>
      </c>
      <c r="AF43" s="122">
        <f t="shared" si="52"/>
        <v>9564502</v>
      </c>
      <c r="AG43" s="129">
        <f t="shared" si="52"/>
        <v>78031475</v>
      </c>
      <c r="AH43" s="128">
        <f t="shared" si="52"/>
        <v>171349328</v>
      </c>
      <c r="AI43" s="122">
        <f t="shared" si="52"/>
        <v>171349328</v>
      </c>
      <c r="AJ43" s="130">
        <f t="shared" si="52"/>
        <v>171349328</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+IF(JULIO!A44=0,"",JULIO!A44)</f>
        <v>1130106-2</v>
      </c>
      <c r="B44" s="646" t="str">
        <f>+IF(JULIO!B44=0,"",JULIO!B44)</f>
        <v>Vigencia Anterior</v>
      </c>
      <c r="C44" s="671">
        <f>+ENERO!C44</f>
        <v>0</v>
      </c>
      <c r="D44" s="373">
        <f>JULIO!D44+AGOSTO!P44</f>
        <v>0</v>
      </c>
      <c r="E44" s="373">
        <f>JULIO!E44+AGOSTO!Q44</f>
        <v>0</v>
      </c>
      <c r="F44" s="373">
        <f>SUM(C44:E44)</f>
        <v>0</v>
      </c>
      <c r="G44" s="373">
        <f>JULIO!I44</f>
        <v>0</v>
      </c>
      <c r="H44" s="374">
        <v>0</v>
      </c>
      <c r="I44" s="373">
        <f>SUM(G44:H44)</f>
        <v>0</v>
      </c>
      <c r="J44" s="373">
        <f>JULIO!L44</f>
        <v>0</v>
      </c>
      <c r="K44" s="374">
        <v>0</v>
      </c>
      <c r="L44" s="373">
        <f>SUM(J44:K44)</f>
        <v>0</v>
      </c>
      <c r="M44" s="373">
        <f>F44-I44</f>
        <v>0</v>
      </c>
      <c r="N44" s="143">
        <f>F44-L44</f>
        <v>0</v>
      </c>
      <c r="O44" s="382"/>
      <c r="P44" s="372">
        <v>0</v>
      </c>
      <c r="Q44" s="375">
        <v>0</v>
      </c>
      <c r="R44" s="9"/>
      <c r="S44" s="705">
        <f>+IF(JULIO!S44=0,"",JULIO!S44)</f>
        <v>1010301</v>
      </c>
      <c r="T44" s="681" t="str">
        <f>+IF(JULIO!T44=0,"",JULIO!T44)</f>
        <v>Contribuciones - SGP - Aportes Patronales - Cuentas Maestras</v>
      </c>
      <c r="U44" s="27">
        <f t="shared" ref="U44:AJ44" si="53">SUM(U45:U48)</f>
        <v>0</v>
      </c>
      <c r="V44" s="15">
        <f t="shared" si="53"/>
        <v>0</v>
      </c>
      <c r="W44" s="15">
        <f t="shared" si="53"/>
        <v>64519250</v>
      </c>
      <c r="X44" s="18">
        <f t="shared" si="53"/>
        <v>64519250</v>
      </c>
      <c r="Y44" s="19">
        <f t="shared" si="53"/>
        <v>8034595</v>
      </c>
      <c r="Z44" s="142">
        <f t="shared" si="53"/>
        <v>8051047</v>
      </c>
      <c r="AA44" s="18">
        <f t="shared" si="53"/>
        <v>16085642</v>
      </c>
      <c r="AB44" s="19">
        <f t="shared" si="53"/>
        <v>8034595</v>
      </c>
      <c r="AC44" s="142">
        <f t="shared" si="53"/>
        <v>8051047</v>
      </c>
      <c r="AD44" s="18">
        <f t="shared" si="53"/>
        <v>16085642</v>
      </c>
      <c r="AE44" s="19">
        <f t="shared" si="53"/>
        <v>8034595</v>
      </c>
      <c r="AF44" s="142">
        <f t="shared" si="53"/>
        <v>8051047</v>
      </c>
      <c r="AG44" s="18">
        <f t="shared" si="53"/>
        <v>16085642</v>
      </c>
      <c r="AH44" s="19">
        <f t="shared" si="53"/>
        <v>48433608</v>
      </c>
      <c r="AI44" s="15">
        <f t="shared" si="53"/>
        <v>48433608</v>
      </c>
      <c r="AJ44" s="16">
        <f t="shared" si="53"/>
        <v>48433608</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3">
        <f>+IF(JULIO!A45=0,"",JULIO!A45)</f>
        <v>1130107</v>
      </c>
      <c r="B45" s="645" t="str">
        <f>+IF(JULIO!B45=0,"",JULIO!B45)</f>
        <v>MINSALUD-FOSYGA-RECLAMACIONES ECAT</v>
      </c>
      <c r="C45" s="43">
        <f t="shared" ref="C45:N45" si="54">SUM(C46:C47)</f>
        <v>375197511</v>
      </c>
      <c r="D45" s="44">
        <f t="shared" si="54"/>
        <v>0</v>
      </c>
      <c r="E45" s="44">
        <f t="shared" si="54"/>
        <v>79487</v>
      </c>
      <c r="F45" s="44">
        <f t="shared" si="54"/>
        <v>375276998</v>
      </c>
      <c r="G45" s="44">
        <f t="shared" si="54"/>
        <v>161350826</v>
      </c>
      <c r="H45" s="44">
        <f t="shared" si="54"/>
        <v>84873481</v>
      </c>
      <c r="I45" s="44">
        <f t="shared" si="54"/>
        <v>246224307</v>
      </c>
      <c r="J45" s="44">
        <f t="shared" si="54"/>
        <v>79487</v>
      </c>
      <c r="K45" s="44">
        <f t="shared" si="54"/>
        <v>0</v>
      </c>
      <c r="L45" s="44">
        <f t="shared" si="54"/>
        <v>79487</v>
      </c>
      <c r="M45" s="44">
        <f t="shared" si="54"/>
        <v>129052691</v>
      </c>
      <c r="N45" s="45">
        <f t="shared" si="54"/>
        <v>375197511</v>
      </c>
      <c r="P45" s="43">
        <f>SUM(P46:P47)</f>
        <v>0</v>
      </c>
      <c r="Q45" s="45">
        <f>SUM(Q46:Q47)</f>
        <v>0</v>
      </c>
      <c r="R45" s="9"/>
      <c r="S45" s="706" t="str">
        <f>+IF(JULIO!S45=0,"",JULIO!S45)</f>
        <v>1010301-1</v>
      </c>
      <c r="T45" s="682" t="str">
        <f>+IF(JULIO!T45=0,"",JULIO!T45)</f>
        <v>E.P.S. - Aportes cuentas maestras</v>
      </c>
      <c r="U45" s="27">
        <f>+ENERO!U45</f>
        <v>0</v>
      </c>
      <c r="V45" s="15">
        <f>JULIO!V45+AGOSTO!AL45</f>
        <v>0</v>
      </c>
      <c r="W45" s="15">
        <f>JULIO!W45+AGOSTO!AM45</f>
        <v>13633482</v>
      </c>
      <c r="X45" s="18">
        <f>SUM(U45:W45)</f>
        <v>13633482</v>
      </c>
      <c r="Y45" s="19">
        <f>JULIO!AA45</f>
        <v>3261974</v>
      </c>
      <c r="Z45" s="374">
        <v>3256479</v>
      </c>
      <c r="AA45" s="18">
        <f>SUM(Y45:Z45)</f>
        <v>6518453</v>
      </c>
      <c r="AB45" s="19">
        <f>JULIO!AD45</f>
        <v>3261974</v>
      </c>
      <c r="AC45" s="374">
        <v>3256479</v>
      </c>
      <c r="AD45" s="18">
        <f>SUM(AB45:AC45)</f>
        <v>6518453</v>
      </c>
      <c r="AE45" s="19">
        <f>JULIO!AG45</f>
        <v>3261974</v>
      </c>
      <c r="AF45" s="374">
        <v>3256479</v>
      </c>
      <c r="AG45" s="18">
        <f>SUM(AE45:AF45)</f>
        <v>6518453</v>
      </c>
      <c r="AH45" s="19">
        <f>X45-AA45</f>
        <v>7115029</v>
      </c>
      <c r="AI45" s="15">
        <f>X45-AD45</f>
        <v>7115029</v>
      </c>
      <c r="AJ45" s="16">
        <f>X45-AG45</f>
        <v>7115029</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+IF(JULIO!A46=0,"",JULIO!A46)</f>
        <v>1130107-1</v>
      </c>
      <c r="B46" s="646" t="str">
        <f>+CONCATENATE("Vigencia ",INSTRUCCIONES!$F$3)</f>
        <v>Vigencia 2017</v>
      </c>
      <c r="C46" s="671">
        <f>+ENERO!C46</f>
        <v>375197511</v>
      </c>
      <c r="D46" s="373">
        <f>JULIO!D46+AGOSTO!P46</f>
        <v>0</v>
      </c>
      <c r="E46" s="373">
        <f>JULIO!E46+AGOSTO!Q46</f>
        <v>0</v>
      </c>
      <c r="F46" s="373">
        <f>SUM(C46:E46)</f>
        <v>375197511</v>
      </c>
      <c r="G46" s="373">
        <f>JULIO!I46</f>
        <v>161271339</v>
      </c>
      <c r="H46" s="374">
        <v>84873481</v>
      </c>
      <c r="I46" s="373">
        <f>SUM(G46:H46)</f>
        <v>246144820</v>
      </c>
      <c r="J46" s="373">
        <f>JULIO!L46</f>
        <v>0</v>
      </c>
      <c r="K46" s="374">
        <v>0</v>
      </c>
      <c r="L46" s="373">
        <f>SUM(J46:K46)</f>
        <v>0</v>
      </c>
      <c r="M46" s="373">
        <f>F46-I46</f>
        <v>129052691</v>
      </c>
      <c r="N46" s="143">
        <f>F46-L46</f>
        <v>375197511</v>
      </c>
      <c r="O46" s="382"/>
      <c r="P46" s="372">
        <v>0</v>
      </c>
      <c r="Q46" s="375">
        <v>0</v>
      </c>
      <c r="R46" s="9"/>
      <c r="S46" s="706" t="str">
        <f>+IF(JULIO!S46=0,"",JULIO!S46)</f>
        <v>1010301-2</v>
      </c>
      <c r="T46" s="682" t="str">
        <f>+IF(JULIO!T46=0,"",JULIO!T46)</f>
        <v>Fondos pensionales - Aportes cuentas maestras</v>
      </c>
      <c r="U46" s="27">
        <f>+ENERO!U46</f>
        <v>0</v>
      </c>
      <c r="V46" s="15">
        <f>JULIO!V46+AGOSTO!AL46</f>
        <v>0</v>
      </c>
      <c r="W46" s="15">
        <f>JULIO!W46+AGOSTO!AM46</f>
        <v>38239500</v>
      </c>
      <c r="X46" s="18">
        <f>SUM(U46:W46)</f>
        <v>38239500</v>
      </c>
      <c r="Y46" s="19">
        <f>JULIO!AA46</f>
        <v>4577328</v>
      </c>
      <c r="Z46" s="374">
        <v>4597382</v>
      </c>
      <c r="AA46" s="18">
        <f>SUM(Y46:Z46)</f>
        <v>9174710</v>
      </c>
      <c r="AB46" s="19">
        <f>JULIO!AD46</f>
        <v>4577328</v>
      </c>
      <c r="AC46" s="374">
        <v>4597382</v>
      </c>
      <c r="AD46" s="18">
        <f>SUM(AB46:AC46)</f>
        <v>9174710</v>
      </c>
      <c r="AE46" s="19">
        <f>JULIO!AG46</f>
        <v>4577328</v>
      </c>
      <c r="AF46" s="374">
        <v>4597382</v>
      </c>
      <c r="AG46" s="18">
        <f>SUM(AE46:AF46)</f>
        <v>9174710</v>
      </c>
      <c r="AH46" s="19">
        <f>X46-AA46</f>
        <v>29064790</v>
      </c>
      <c r="AI46" s="15">
        <f>X46-AD46</f>
        <v>29064790</v>
      </c>
      <c r="AJ46" s="16">
        <f>X46-AG46</f>
        <v>29064790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+IF(JULIO!A47=0,"",JULIO!A47)</f>
        <v>1130107-2</v>
      </c>
      <c r="B47" s="646" t="str">
        <f>+IF(JULIO!B47=0,"",JULIO!B47)</f>
        <v>Vigencia Anterior</v>
      </c>
      <c r="C47" s="671">
        <f>+ENERO!C47</f>
        <v>0</v>
      </c>
      <c r="D47" s="373">
        <f>JULIO!D47+AGOSTO!P47</f>
        <v>0</v>
      </c>
      <c r="E47" s="373">
        <f>JULIO!E47+AGOSTO!Q47</f>
        <v>79487</v>
      </c>
      <c r="F47" s="373">
        <f>SUM(C47:E47)</f>
        <v>79487</v>
      </c>
      <c r="G47" s="373">
        <f>JULIO!I47</f>
        <v>79487</v>
      </c>
      <c r="H47" s="374">
        <v>0</v>
      </c>
      <c r="I47" s="373">
        <f>SUM(G47:H47)</f>
        <v>79487</v>
      </c>
      <c r="J47" s="373">
        <f>JULIO!L47</f>
        <v>79487</v>
      </c>
      <c r="K47" s="374">
        <v>0</v>
      </c>
      <c r="L47" s="373">
        <f>SUM(J47:K47)</f>
        <v>79487</v>
      </c>
      <c r="M47" s="373">
        <f>F47-I47</f>
        <v>0</v>
      </c>
      <c r="N47" s="143">
        <f>F47-L47</f>
        <v>0</v>
      </c>
      <c r="O47" s="382"/>
      <c r="P47" s="372">
        <v>0</v>
      </c>
      <c r="Q47" s="375">
        <v>0</v>
      </c>
      <c r="R47" s="9"/>
      <c r="S47" s="706" t="str">
        <f>+IF(JULIO!S47=0,"",JULIO!S47)</f>
        <v>1010301-3</v>
      </c>
      <c r="T47" s="682" t="str">
        <f>+IF(JULIO!T47=0,"",JULIO!T47)</f>
        <v>Fondos de cesantías - Aportes cuentas maestras</v>
      </c>
      <c r="U47" s="27">
        <f>+ENERO!U47</f>
        <v>0</v>
      </c>
      <c r="V47" s="15">
        <f>JULIO!V47+AGOSTO!AL47</f>
        <v>0</v>
      </c>
      <c r="W47" s="15">
        <f>JULIO!W47+AGOSTO!AM47</f>
        <v>9400000</v>
      </c>
      <c r="X47" s="18">
        <f>SUM(U47:W47)</f>
        <v>9400000</v>
      </c>
      <c r="Y47" s="19">
        <f>JULIO!AA47</f>
        <v>0</v>
      </c>
      <c r="Z47" s="374">
        <v>0</v>
      </c>
      <c r="AA47" s="18">
        <f>SUM(Y47:Z47)</f>
        <v>0</v>
      </c>
      <c r="AB47" s="19">
        <f>JULIO!AD47</f>
        <v>0</v>
      </c>
      <c r="AC47" s="374">
        <v>0</v>
      </c>
      <c r="AD47" s="18">
        <f>SUM(AB47:AC47)</f>
        <v>0</v>
      </c>
      <c r="AE47" s="19">
        <f>JULIO!AG47</f>
        <v>0</v>
      </c>
      <c r="AF47" s="374">
        <v>0</v>
      </c>
      <c r="AG47" s="18">
        <f>SUM(AE47:AF47)</f>
        <v>0</v>
      </c>
      <c r="AH47" s="19">
        <f>X47-AA47</f>
        <v>9400000</v>
      </c>
      <c r="AI47" s="15">
        <f>X47-AD47</f>
        <v>9400000</v>
      </c>
      <c r="AJ47" s="16">
        <f>X47-AG47</f>
        <v>9400000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3">
        <f>+IF(JULIO!A48=0,"",JULIO!A48)</f>
        <v>1130108</v>
      </c>
      <c r="B48" s="645"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6" t="str">
        <f>+IF(JULIO!S48=0,"",JULIO!S48)</f>
        <v>1010301-4</v>
      </c>
      <c r="T48" s="682" t="str">
        <f>+IF(JULIO!T48=0,"",JULIO!T48)</f>
        <v>Riesgos laborales - Aportes cuentas maestras</v>
      </c>
      <c r="U48" s="27">
        <f>+ENERO!U48</f>
        <v>0</v>
      </c>
      <c r="V48" s="15">
        <f>JULIO!V48+AGOSTO!AL48</f>
        <v>0</v>
      </c>
      <c r="W48" s="15">
        <f>JULIO!W48+AGOSTO!AM48</f>
        <v>3246268</v>
      </c>
      <c r="X48" s="18">
        <f>SUM(U48:W48)</f>
        <v>3246268</v>
      </c>
      <c r="Y48" s="19">
        <f>JULIO!AA48</f>
        <v>195293</v>
      </c>
      <c r="Z48" s="374">
        <v>197186</v>
      </c>
      <c r="AA48" s="18">
        <f>SUM(Y48:Z48)</f>
        <v>392479</v>
      </c>
      <c r="AB48" s="19">
        <f>JULIO!AD48</f>
        <v>195293</v>
      </c>
      <c r="AC48" s="374">
        <v>197186</v>
      </c>
      <c r="AD48" s="18">
        <f>SUM(AB48:AC48)</f>
        <v>392479</v>
      </c>
      <c r="AE48" s="19">
        <f>JULIO!AG48</f>
        <v>195293</v>
      </c>
      <c r="AF48" s="374">
        <v>197186</v>
      </c>
      <c r="AG48" s="18">
        <f>SUM(AE48:AF48)</f>
        <v>392479</v>
      </c>
      <c r="AH48" s="19">
        <f>X48-AA48</f>
        <v>2853789</v>
      </c>
      <c r="AI48" s="15">
        <f>X48-AD48</f>
        <v>2853789</v>
      </c>
      <c r="AJ48" s="16">
        <f>X48-AG48</f>
        <v>2853789</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+IF(JULIO!A49=0,"",JULIO!A49)</f>
        <v>1130108-1</v>
      </c>
      <c r="B49" s="646" t="str">
        <f>+CONCATENATE("Vigencia ",INSTRUCCIONES!$F$3)</f>
        <v>Vigencia 2017</v>
      </c>
      <c r="C49" s="671">
        <f>+ENERO!C49</f>
        <v>0</v>
      </c>
      <c r="D49" s="373">
        <f>JULIO!D49+AGOSTO!P49</f>
        <v>0</v>
      </c>
      <c r="E49" s="373">
        <f>JULIO!E49+AGOSTO!Q49</f>
        <v>0</v>
      </c>
      <c r="F49" s="373">
        <f>SUM(C49:E49)</f>
        <v>0</v>
      </c>
      <c r="G49" s="373">
        <f>JULIO!I49</f>
        <v>0</v>
      </c>
      <c r="H49" s="374">
        <v>0</v>
      </c>
      <c r="I49" s="373">
        <f>SUM(G49:H49)</f>
        <v>0</v>
      </c>
      <c r="J49" s="373">
        <f>JULIO!L49</f>
        <v>0</v>
      </c>
      <c r="K49" s="374">
        <v>0</v>
      </c>
      <c r="L49" s="373">
        <f>SUM(J49:K49)</f>
        <v>0</v>
      </c>
      <c r="M49" s="373">
        <f>F49-I49</f>
        <v>0</v>
      </c>
      <c r="N49" s="143">
        <f>F49-L49</f>
        <v>0</v>
      </c>
      <c r="O49" s="382"/>
      <c r="P49" s="372">
        <v>0</v>
      </c>
      <c r="Q49" s="375">
        <v>0</v>
      </c>
      <c r="R49" s="9"/>
      <c r="S49" s="705">
        <f>+IF(JULIO!S49=0,"",JULIO!S49)</f>
        <v>1010302</v>
      </c>
      <c r="T49" s="681" t="str">
        <f>+IF(JULIO!T49=0,"",JULIO!T49)</f>
        <v>Contribuciones - Otros</v>
      </c>
      <c r="U49" s="27">
        <f t="shared" ref="U49:AJ49" si="56">SUM(U50:U54)</f>
        <v>182861553</v>
      </c>
      <c r="V49" s="15">
        <f t="shared" si="56"/>
        <v>-6000000</v>
      </c>
      <c r="W49" s="15">
        <f t="shared" si="56"/>
        <v>8000000</v>
      </c>
      <c r="X49" s="18">
        <f t="shared" si="56"/>
        <v>184861553</v>
      </c>
      <c r="Y49" s="19">
        <f t="shared" si="56"/>
        <v>60432378</v>
      </c>
      <c r="Z49" s="142">
        <f t="shared" si="56"/>
        <v>1513455</v>
      </c>
      <c r="AA49" s="18">
        <f t="shared" si="56"/>
        <v>61945833</v>
      </c>
      <c r="AB49" s="19">
        <f t="shared" si="56"/>
        <v>60432378</v>
      </c>
      <c r="AC49" s="142">
        <f t="shared" si="56"/>
        <v>1513455</v>
      </c>
      <c r="AD49" s="18">
        <f t="shared" si="56"/>
        <v>61945833</v>
      </c>
      <c r="AE49" s="19">
        <f t="shared" si="56"/>
        <v>60432378</v>
      </c>
      <c r="AF49" s="142">
        <f t="shared" si="56"/>
        <v>1513455</v>
      </c>
      <c r="AG49" s="18">
        <f t="shared" si="56"/>
        <v>61945833</v>
      </c>
      <c r="AH49" s="19">
        <f t="shared" si="56"/>
        <v>122915720</v>
      </c>
      <c r="AI49" s="15">
        <f t="shared" si="56"/>
        <v>122915720</v>
      </c>
      <c r="AJ49" s="16">
        <f t="shared" si="56"/>
        <v>122915720</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+IF(JULIO!A50=0,"",JULIO!A50)</f>
        <v>1130108-2</v>
      </c>
      <c r="B50" s="646" t="str">
        <f>+IF(JULIO!B50=0,"",JULIO!B50)</f>
        <v>Vigencia Anterior</v>
      </c>
      <c r="C50" s="671">
        <f>+ENERO!C50</f>
        <v>0</v>
      </c>
      <c r="D50" s="373">
        <f>JULIO!D50+AGOSTO!P50</f>
        <v>0</v>
      </c>
      <c r="E50" s="373">
        <f>JULIO!E50+AGOSTO!Q50</f>
        <v>0</v>
      </c>
      <c r="F50" s="373">
        <f>SUM(C50:E50)</f>
        <v>0</v>
      </c>
      <c r="G50" s="373">
        <f>JULIO!I50</f>
        <v>0</v>
      </c>
      <c r="H50" s="374">
        <v>0</v>
      </c>
      <c r="I50" s="373">
        <f>SUM(G50:H50)</f>
        <v>0</v>
      </c>
      <c r="J50" s="373">
        <f>JULIO!L50</f>
        <v>0</v>
      </c>
      <c r="K50" s="374">
        <v>0</v>
      </c>
      <c r="L50" s="373">
        <f>SUM(J50:K50)</f>
        <v>0</v>
      </c>
      <c r="M50" s="373">
        <f>F50-I50</f>
        <v>0</v>
      </c>
      <c r="N50" s="143">
        <f>F50-L50</f>
        <v>0</v>
      </c>
      <c r="O50" s="382"/>
      <c r="P50" s="372">
        <v>0</v>
      </c>
      <c r="Q50" s="375">
        <v>0</v>
      </c>
      <c r="R50" s="9"/>
      <c r="S50" s="706" t="str">
        <f>+IF(JULIO!S50=0,"",JULIO!S50)</f>
        <v>1010302-1</v>
      </c>
      <c r="T50" s="682" t="str">
        <f>+IF(JULIO!T50=0,"",JULIO!T50)</f>
        <v>Aportes a E.P.S.- Con sit. Fondos</v>
      </c>
      <c r="U50" s="27">
        <f>+ENERO!U50</f>
        <v>72876516</v>
      </c>
      <c r="V50" s="15">
        <f>JULIO!V50+AGOSTO!AL50</f>
        <v>-9500000</v>
      </c>
      <c r="W50" s="15">
        <f>JULIO!W50+AGOSTO!AM50</f>
        <v>0</v>
      </c>
      <c r="X50" s="18">
        <f t="shared" ref="X50:X55" si="57">SUM(U50:W50)</f>
        <v>63376516</v>
      </c>
      <c r="Y50" s="19">
        <f>JULIO!AA50</f>
        <v>19832896</v>
      </c>
      <c r="Z50" s="374">
        <v>0</v>
      </c>
      <c r="AA50" s="18">
        <f t="shared" ref="AA50:AA55" si="58">SUM(Y50:Z50)</f>
        <v>19832896</v>
      </c>
      <c r="AB50" s="19">
        <f>JULIO!AD50</f>
        <v>19832896</v>
      </c>
      <c r="AC50" s="374">
        <v>0</v>
      </c>
      <c r="AD50" s="18">
        <f t="shared" ref="AD50:AD55" si="59">SUM(AB50:AC50)</f>
        <v>19832896</v>
      </c>
      <c r="AE50" s="19">
        <f>JULIO!AG50</f>
        <v>19832896</v>
      </c>
      <c r="AF50" s="374">
        <v>0</v>
      </c>
      <c r="AG50" s="18">
        <f t="shared" ref="AG50:AG55" si="60">SUM(AE50:AF50)</f>
        <v>19832896</v>
      </c>
      <c r="AH50" s="19">
        <f t="shared" ref="AH50:AH55" si="61">X50-AA50</f>
        <v>43543620</v>
      </c>
      <c r="AI50" s="15">
        <f t="shared" ref="AI50:AI55" si="62">X50-AD50</f>
        <v>43543620</v>
      </c>
      <c r="AJ50" s="16">
        <f t="shared" ref="AJ50:AJ55" si="63">X50-AG50</f>
        <v>43543620</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3">
        <f>+IF(JULIO!A51=0,"",JULIO!A51)</f>
        <v>1130109</v>
      </c>
      <c r="B51" s="645"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6" t="str">
        <f>+IF(JULIO!S51=0,"",JULIO!S51)</f>
        <v>1010302-2</v>
      </c>
      <c r="T51" s="682" t="str">
        <f>+IF(JULIO!T51=0,"",JULIO!T51)</f>
        <v>Aportes Fondos Pensionales - Con Sit. Fondos</v>
      </c>
      <c r="U51" s="27">
        <f>+ENERO!U51</f>
        <v>75101971</v>
      </c>
      <c r="V51" s="15">
        <f>JULIO!V51+AGOSTO!AL51</f>
        <v>0</v>
      </c>
      <c r="W51" s="15">
        <f>JULIO!W51+AGOSTO!AM51</f>
        <v>0</v>
      </c>
      <c r="X51" s="18">
        <f t="shared" si="57"/>
        <v>75101971</v>
      </c>
      <c r="Y51" s="19">
        <f>JULIO!AA51</f>
        <v>27539061</v>
      </c>
      <c r="Z51" s="374">
        <v>0</v>
      </c>
      <c r="AA51" s="18">
        <f t="shared" si="58"/>
        <v>27539061</v>
      </c>
      <c r="AB51" s="19">
        <f>JULIO!AD51</f>
        <v>27539061</v>
      </c>
      <c r="AC51" s="374">
        <v>0</v>
      </c>
      <c r="AD51" s="18">
        <f t="shared" si="59"/>
        <v>27539061</v>
      </c>
      <c r="AE51" s="19">
        <f>JULIO!AG51</f>
        <v>27539061</v>
      </c>
      <c r="AF51" s="374">
        <v>0</v>
      </c>
      <c r="AG51" s="18">
        <f t="shared" si="60"/>
        <v>27539061</v>
      </c>
      <c r="AH51" s="19">
        <f t="shared" si="61"/>
        <v>47562910</v>
      </c>
      <c r="AI51" s="15">
        <f t="shared" si="62"/>
        <v>47562910</v>
      </c>
      <c r="AJ51" s="16">
        <f t="shared" si="63"/>
        <v>47562910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+IF(JULIO!A52=0,"",JULIO!A52)</f>
        <v>1130109-1</v>
      </c>
      <c r="B52" s="646" t="str">
        <f>+CONCATENATE("Vigencia ",INSTRUCCIONES!$F$3)</f>
        <v>Vigencia 2017</v>
      </c>
      <c r="C52" s="671">
        <f>+ENERO!C52</f>
        <v>0</v>
      </c>
      <c r="D52" s="373">
        <f>JULIO!D52+AGOSTO!P52</f>
        <v>0</v>
      </c>
      <c r="E52" s="373">
        <f>JULIO!E52+AGOSTO!Q52</f>
        <v>0</v>
      </c>
      <c r="F52" s="373">
        <f>SUM(C52:E52)</f>
        <v>0</v>
      </c>
      <c r="G52" s="373">
        <f>JULIO!I52</f>
        <v>0</v>
      </c>
      <c r="H52" s="374">
        <v>0</v>
      </c>
      <c r="I52" s="373">
        <f>SUM(G52:H52)</f>
        <v>0</v>
      </c>
      <c r="J52" s="373">
        <f>JULIO!L52</f>
        <v>0</v>
      </c>
      <c r="K52" s="374">
        <v>0</v>
      </c>
      <c r="L52" s="373">
        <f>SUM(J52:K52)</f>
        <v>0</v>
      </c>
      <c r="M52" s="373">
        <f>F52-I52</f>
        <v>0</v>
      </c>
      <c r="N52" s="143">
        <f>F52-L52</f>
        <v>0</v>
      </c>
      <c r="O52" s="382"/>
      <c r="P52" s="372">
        <v>0</v>
      </c>
      <c r="Q52" s="375">
        <v>0</v>
      </c>
      <c r="R52" s="9"/>
      <c r="S52" s="706" t="str">
        <f>+IF(JULIO!S52=0,"",JULIO!S52)</f>
        <v>1010302-3</v>
      </c>
      <c r="T52" s="682" t="str">
        <f>+IF(JULIO!T52=0,"",JULIO!T52)</f>
        <v xml:space="preserve">Aportes a Fondos de Cesantia - Con Sit. de Fondos </v>
      </c>
      <c r="U52" s="27">
        <f>+ENERO!U52</f>
        <v>12471386</v>
      </c>
      <c r="V52" s="15">
        <f>JULIO!V52+AGOSTO!AL52</f>
        <v>0</v>
      </c>
      <c r="W52" s="15">
        <f>JULIO!W52+AGOSTO!AM52</f>
        <v>0</v>
      </c>
      <c r="X52" s="18">
        <f t="shared" si="57"/>
        <v>12471386</v>
      </c>
      <c r="Y52" s="19">
        <f>JULIO!AA52</f>
        <v>0</v>
      </c>
      <c r="Z52" s="374">
        <v>0</v>
      </c>
      <c r="AA52" s="18">
        <f t="shared" si="58"/>
        <v>0</v>
      </c>
      <c r="AB52" s="19">
        <f>JULIO!AD52</f>
        <v>0</v>
      </c>
      <c r="AC52" s="374">
        <v>0</v>
      </c>
      <c r="AD52" s="18">
        <f t="shared" si="59"/>
        <v>0</v>
      </c>
      <c r="AE52" s="19">
        <f>JULIO!AG52</f>
        <v>0</v>
      </c>
      <c r="AF52" s="374">
        <v>0</v>
      </c>
      <c r="AG52" s="18">
        <f t="shared" si="60"/>
        <v>0</v>
      </c>
      <c r="AH52" s="19">
        <f t="shared" si="61"/>
        <v>12471386</v>
      </c>
      <c r="AI52" s="15">
        <f t="shared" si="62"/>
        <v>12471386</v>
      </c>
      <c r="AJ52" s="16">
        <f t="shared" si="63"/>
        <v>12471386</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+IF(JULIO!A53=0,"",JULIO!A53)</f>
        <v>1130109-2</v>
      </c>
      <c r="B53" s="646" t="str">
        <f>+IF(JULIO!B53=0,"",JULIO!B53)</f>
        <v>Vigencia Anterior</v>
      </c>
      <c r="C53" s="671">
        <f>+ENERO!C53</f>
        <v>0</v>
      </c>
      <c r="D53" s="373">
        <f>JULIO!D53+AGOSTO!P53</f>
        <v>0</v>
      </c>
      <c r="E53" s="373">
        <f>JULIO!E53+AGOSTO!Q53</f>
        <v>0</v>
      </c>
      <c r="F53" s="373">
        <f>SUM(C53:E53)</f>
        <v>0</v>
      </c>
      <c r="G53" s="373">
        <f>JULIO!I53</f>
        <v>0</v>
      </c>
      <c r="H53" s="374">
        <v>0</v>
      </c>
      <c r="I53" s="373">
        <f>SUM(G53:H53)</f>
        <v>0</v>
      </c>
      <c r="J53" s="373">
        <f>JULIO!L53</f>
        <v>0</v>
      </c>
      <c r="K53" s="374">
        <v>0</v>
      </c>
      <c r="L53" s="373">
        <f>SUM(J53:K53)</f>
        <v>0</v>
      </c>
      <c r="M53" s="373">
        <f>F53-I53</f>
        <v>0</v>
      </c>
      <c r="N53" s="143">
        <f>F53-L53</f>
        <v>0</v>
      </c>
      <c r="O53" s="382"/>
      <c r="P53" s="372">
        <v>0</v>
      </c>
      <c r="Q53" s="375">
        <v>0</v>
      </c>
      <c r="R53" s="9"/>
      <c r="S53" s="706" t="str">
        <f>+IF(JULIO!S53=0,"",JULIO!S53)</f>
        <v>1010302-4</v>
      </c>
      <c r="T53" s="682" t="str">
        <f>+IF(JULIO!T53=0,"",JULIO!T53)</f>
        <v>Aporte a ARL. - Con Sit. de Fondos</v>
      </c>
      <c r="U53" s="27">
        <f>+ENERO!U53</f>
        <v>15124020</v>
      </c>
      <c r="V53" s="15">
        <f>JULIO!V53+AGOSTO!AL53</f>
        <v>0</v>
      </c>
      <c r="W53" s="15">
        <f>JULIO!W53+AGOSTO!AM53</f>
        <v>0</v>
      </c>
      <c r="X53" s="18">
        <f t="shared" si="57"/>
        <v>15124020</v>
      </c>
      <c r="Y53" s="19">
        <f>JULIO!AA53</f>
        <v>1188615</v>
      </c>
      <c r="Z53" s="374">
        <v>0</v>
      </c>
      <c r="AA53" s="18">
        <f t="shared" si="58"/>
        <v>1188615</v>
      </c>
      <c r="AB53" s="19">
        <f>JULIO!AD53</f>
        <v>1188615</v>
      </c>
      <c r="AC53" s="374">
        <v>0</v>
      </c>
      <c r="AD53" s="18">
        <f t="shared" si="59"/>
        <v>1188615</v>
      </c>
      <c r="AE53" s="19">
        <f>JULIO!AG53</f>
        <v>1188615</v>
      </c>
      <c r="AF53" s="374">
        <v>0</v>
      </c>
      <c r="AG53" s="18">
        <f t="shared" si="60"/>
        <v>1188615</v>
      </c>
      <c r="AH53" s="19">
        <f t="shared" si="61"/>
        <v>13935405</v>
      </c>
      <c r="AI53" s="15">
        <f t="shared" si="62"/>
        <v>13935405</v>
      </c>
      <c r="AJ53" s="16">
        <f t="shared" si="63"/>
        <v>13935405</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3">
        <f>+IF(JULIO!A54=0,"",JULIO!A54)</f>
        <v>1130110</v>
      </c>
      <c r="B54" s="645" t="str">
        <f>+IF(JULIO!B54=0,"",JULIO!B54)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6" t="str">
        <f>+IF(JULIO!S54=0,"",JULIO!S54)</f>
        <v>1010302-5</v>
      </c>
      <c r="T54" s="682" t="str">
        <f>+IF(JULIO!T54=0,"",JULIO!T54)</f>
        <v>Aporte a Caja Compensación Familiar</v>
      </c>
      <c r="U54" s="27">
        <f>+ENERO!U54</f>
        <v>7287660</v>
      </c>
      <c r="V54" s="15">
        <f>JULIO!V54+AGOSTO!AL54</f>
        <v>3500000</v>
      </c>
      <c r="W54" s="15">
        <f>JULIO!W54+AGOSTO!AM54</f>
        <v>8000000</v>
      </c>
      <c r="X54" s="18">
        <f t="shared" si="57"/>
        <v>18787660</v>
      </c>
      <c r="Y54" s="19">
        <f>JULIO!AA54</f>
        <v>11871806</v>
      </c>
      <c r="Z54" s="374">
        <v>1513455</v>
      </c>
      <c r="AA54" s="18">
        <f t="shared" si="58"/>
        <v>13385261</v>
      </c>
      <c r="AB54" s="19">
        <f>JULIO!AD54</f>
        <v>11871806</v>
      </c>
      <c r="AC54" s="374">
        <v>1513455</v>
      </c>
      <c r="AD54" s="18">
        <f t="shared" si="59"/>
        <v>13385261</v>
      </c>
      <c r="AE54" s="19">
        <f>JULIO!AG54</f>
        <v>11871806</v>
      </c>
      <c r="AF54" s="374">
        <v>1513455</v>
      </c>
      <c r="AG54" s="18">
        <f t="shared" si="60"/>
        <v>13385261</v>
      </c>
      <c r="AH54" s="19">
        <f t="shared" si="61"/>
        <v>5402399</v>
      </c>
      <c r="AI54" s="15">
        <f t="shared" si="62"/>
        <v>5402399</v>
      </c>
      <c r="AJ54" s="16">
        <f t="shared" si="63"/>
        <v>5402399</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+IF(JULIO!A55=0,"",JULIO!A55)</f>
        <v>1130110-1</v>
      </c>
      <c r="B55" s="646" t="str">
        <f>+CONCATENATE("Vigencia ",INSTRUCCIONES!$F$3)</f>
        <v>Vigencia 2017</v>
      </c>
      <c r="C55" s="671">
        <f>+ENERO!C55</f>
        <v>0</v>
      </c>
      <c r="D55" s="373">
        <f>JULIO!D55+AGOSTO!P55</f>
        <v>0</v>
      </c>
      <c r="E55" s="373">
        <f>JULIO!E55+AGOSTO!Q55</f>
        <v>0</v>
      </c>
      <c r="F55" s="373">
        <f>SUM(C55:E55)</f>
        <v>0</v>
      </c>
      <c r="G55" s="373">
        <f>JULIO!I55</f>
        <v>0</v>
      </c>
      <c r="H55" s="374">
        <v>0</v>
      </c>
      <c r="I55" s="373">
        <f>SUM(G55:H55)</f>
        <v>0</v>
      </c>
      <c r="J55" s="373">
        <f>JULIO!L55</f>
        <v>0</v>
      </c>
      <c r="K55" s="374">
        <v>0</v>
      </c>
      <c r="L55" s="373">
        <f>SUM(J55:K55)</f>
        <v>0</v>
      </c>
      <c r="M55" s="373">
        <f>F55-I55</f>
        <v>0</v>
      </c>
      <c r="N55" s="143">
        <f>F55-L55</f>
        <v>0</v>
      </c>
      <c r="O55" s="382"/>
      <c r="P55" s="372">
        <v>0</v>
      </c>
      <c r="Q55" s="375">
        <v>0</v>
      </c>
      <c r="R55" s="9"/>
      <c r="S55" s="705">
        <f>+IF(JULIO!S55=0,"",JULIO!S55)</f>
        <v>1010399</v>
      </c>
      <c r="T55" s="681" t="str">
        <f>+IF(JULIO!T55=0,"",JULIO!T55)</f>
        <v>Vigencias Anteriores</v>
      </c>
      <c r="U55" s="27">
        <f>+ENERO!U55</f>
        <v>0</v>
      </c>
      <c r="V55" s="15">
        <f>JULIO!V55+AGOSTO!AL55</f>
        <v>-24802080</v>
      </c>
      <c r="W55" s="15">
        <f>JULIO!W55+AGOSTO!AM55</f>
        <v>24802080</v>
      </c>
      <c r="X55" s="18">
        <f t="shared" si="57"/>
        <v>0</v>
      </c>
      <c r="Y55" s="19">
        <f>JULIO!AA55</f>
        <v>0</v>
      </c>
      <c r="Z55" s="374">
        <v>0</v>
      </c>
      <c r="AA55" s="18">
        <f t="shared" si="58"/>
        <v>0</v>
      </c>
      <c r="AB55" s="19">
        <f>JULIO!AD55</f>
        <v>0</v>
      </c>
      <c r="AC55" s="374">
        <v>0</v>
      </c>
      <c r="AD55" s="18">
        <f t="shared" si="59"/>
        <v>0</v>
      </c>
      <c r="AE55" s="19">
        <f>JULIO!AG55</f>
        <v>0</v>
      </c>
      <c r="AF55" s="374">
        <v>0</v>
      </c>
      <c r="AG55" s="18">
        <f t="shared" si="60"/>
        <v>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+IF(JULIO!A56=0,"",JULIO!A56)</f>
        <v>1130110-2</v>
      </c>
      <c r="B56" s="646" t="str">
        <f>+IF(JULIO!B56=0,"",JULIO!B56)</f>
        <v>Vigencia Anterior</v>
      </c>
      <c r="C56" s="671">
        <f>+ENERO!C56</f>
        <v>0</v>
      </c>
      <c r="D56" s="373">
        <f>JULIO!D56+AGOSTO!P56</f>
        <v>0</v>
      </c>
      <c r="E56" s="373">
        <f>JULIO!E56+AGOSTO!Q56</f>
        <v>0</v>
      </c>
      <c r="F56" s="373">
        <f>SUM(C56:E56)</f>
        <v>0</v>
      </c>
      <c r="G56" s="373">
        <f>JULIO!I56</f>
        <v>0</v>
      </c>
      <c r="H56" s="374">
        <v>0</v>
      </c>
      <c r="I56" s="373">
        <f>SUM(G56:H56)</f>
        <v>0</v>
      </c>
      <c r="J56" s="373">
        <f>JULIO!L56</f>
        <v>0</v>
      </c>
      <c r="K56" s="374">
        <v>0</v>
      </c>
      <c r="L56" s="373">
        <f>SUM(J56:K56)</f>
        <v>0</v>
      </c>
      <c r="M56" s="373">
        <f>F56-I56</f>
        <v>0</v>
      </c>
      <c r="N56" s="143">
        <f>F56-L56</f>
        <v>0</v>
      </c>
      <c r="O56" s="382"/>
      <c r="P56" s="372">
        <v>0</v>
      </c>
      <c r="Q56" s="375">
        <v>0</v>
      </c>
      <c r="R56" s="9"/>
      <c r="S56" s="366" t="str">
        <f>+IF(JULIO!S56=0,"",JULIO!S56)</f>
        <v/>
      </c>
      <c r="T56" s="695"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3">
        <f>+IF(JULIO!A57=0,"",JULIO!A57)</f>
        <v>1130111</v>
      </c>
      <c r="B57" s="645" t="str">
        <f>+IF(JULIO!B57=0,"",JULIO!B57)</f>
        <v>IPS PRIVADAS</v>
      </c>
      <c r="C57" s="43">
        <f t="shared" ref="C57:N57" si="66">SUM(C58:C59)</f>
        <v>133639169</v>
      </c>
      <c r="D57" s="44">
        <f t="shared" si="66"/>
        <v>0</v>
      </c>
      <c r="E57" s="44">
        <f t="shared" si="66"/>
        <v>176960</v>
      </c>
      <c r="F57" s="44">
        <f t="shared" si="66"/>
        <v>133816129</v>
      </c>
      <c r="G57" s="44">
        <f t="shared" si="66"/>
        <v>195132</v>
      </c>
      <c r="H57" s="44">
        <f t="shared" si="66"/>
        <v>0</v>
      </c>
      <c r="I57" s="44">
        <f t="shared" si="66"/>
        <v>195132</v>
      </c>
      <c r="J57" s="44">
        <f t="shared" si="66"/>
        <v>176960</v>
      </c>
      <c r="K57" s="44">
        <f t="shared" si="66"/>
        <v>0</v>
      </c>
      <c r="L57" s="44">
        <f t="shared" si="66"/>
        <v>176960</v>
      </c>
      <c r="M57" s="44">
        <f t="shared" si="66"/>
        <v>133620997</v>
      </c>
      <c r="N57" s="45">
        <f t="shared" si="66"/>
        <v>133639169</v>
      </c>
      <c r="P57" s="43">
        <f>SUM(P58:P59)</f>
        <v>0</v>
      </c>
      <c r="Q57" s="45">
        <f>SUM(Q58:Q59)</f>
        <v>0</v>
      </c>
      <c r="R57" s="9"/>
      <c r="S57" s="704">
        <f>+IF(JULIO!S57=0,"",JULIO!S57)</f>
        <v>1010400</v>
      </c>
      <c r="T57" s="680" t="str">
        <f>+IF(JULIO!T57=0,"",JULIO!T57)</f>
        <v>Contribuciones Inherentes nómina del Sector Publico</v>
      </c>
      <c r="U57" s="132">
        <f t="shared" ref="U57:AJ57" si="67">U58+U61</f>
        <v>31192586</v>
      </c>
      <c r="V57" s="122">
        <f t="shared" si="67"/>
        <v>0</v>
      </c>
      <c r="W57" s="122">
        <f t="shared" si="67"/>
        <v>0</v>
      </c>
      <c r="X57" s="129">
        <f t="shared" si="67"/>
        <v>31192586</v>
      </c>
      <c r="Y57" s="128">
        <f t="shared" si="67"/>
        <v>13430022</v>
      </c>
      <c r="Z57" s="122">
        <f t="shared" si="67"/>
        <v>1891818</v>
      </c>
      <c r="AA57" s="129">
        <f t="shared" si="67"/>
        <v>15321840</v>
      </c>
      <c r="AB57" s="128">
        <f t="shared" si="67"/>
        <v>13430022</v>
      </c>
      <c r="AC57" s="122">
        <f t="shared" si="67"/>
        <v>1891818</v>
      </c>
      <c r="AD57" s="129">
        <f t="shared" si="67"/>
        <v>15321840</v>
      </c>
      <c r="AE57" s="128">
        <f t="shared" si="67"/>
        <v>13430022</v>
      </c>
      <c r="AF57" s="122">
        <f t="shared" si="67"/>
        <v>1891818</v>
      </c>
      <c r="AG57" s="129">
        <f t="shared" si="67"/>
        <v>15321840</v>
      </c>
      <c r="AH57" s="128">
        <f t="shared" si="67"/>
        <v>15870746</v>
      </c>
      <c r="AI57" s="122">
        <f t="shared" si="67"/>
        <v>15870746</v>
      </c>
      <c r="AJ57" s="130">
        <f t="shared" si="67"/>
        <v>15870746</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+IF(JULIO!A58=0,"",JULIO!A58)</f>
        <v>1130111-1</v>
      </c>
      <c r="B58" s="646" t="str">
        <f>+CONCATENATE("Vigencia ",INSTRUCCIONES!$F$3)</f>
        <v>Vigencia 2017</v>
      </c>
      <c r="C58" s="671">
        <f>+ENERO!C58</f>
        <v>133639169</v>
      </c>
      <c r="D58" s="373">
        <f>JULIO!D58+AGOSTO!P58</f>
        <v>0</v>
      </c>
      <c r="E58" s="373">
        <f>JULIO!E58+AGOSTO!Q58</f>
        <v>0</v>
      </c>
      <c r="F58" s="373">
        <f>SUM(C58:E58)</f>
        <v>133639169</v>
      </c>
      <c r="G58" s="373">
        <f>JULIO!I58</f>
        <v>18172</v>
      </c>
      <c r="H58" s="374">
        <v>0</v>
      </c>
      <c r="I58" s="373">
        <f>SUM(G58:H58)</f>
        <v>18172</v>
      </c>
      <c r="J58" s="373">
        <f>JULIO!L58</f>
        <v>0</v>
      </c>
      <c r="K58" s="374">
        <v>0</v>
      </c>
      <c r="L58" s="373">
        <f>SUM(J58:K58)</f>
        <v>0</v>
      </c>
      <c r="M58" s="373">
        <f>F58-I58</f>
        <v>133620997</v>
      </c>
      <c r="N58" s="143">
        <f>F58-L58</f>
        <v>133639169</v>
      </c>
      <c r="O58" s="382"/>
      <c r="P58" s="372">
        <v>0</v>
      </c>
      <c r="Q58" s="375">
        <v>0</v>
      </c>
      <c r="R58" s="9"/>
      <c r="S58" s="705">
        <f>+IF(JULIO!S58=0,"",JULIO!S58)</f>
        <v>1010402</v>
      </c>
      <c r="T58" s="681" t="str">
        <f>+IF(JULIO!T58=0,"",JULIO!T58)</f>
        <v>Contribuciones - Otros</v>
      </c>
      <c r="U58" s="27">
        <f t="shared" ref="U58:AJ58" si="68">SUM(U59:U60)</f>
        <v>31192586</v>
      </c>
      <c r="V58" s="15">
        <f t="shared" si="68"/>
        <v>0</v>
      </c>
      <c r="W58" s="15">
        <f t="shared" si="68"/>
        <v>0</v>
      </c>
      <c r="X58" s="18">
        <f t="shared" si="68"/>
        <v>31192586</v>
      </c>
      <c r="Y58" s="19">
        <f t="shared" si="68"/>
        <v>13430022</v>
      </c>
      <c r="Z58" s="142">
        <f t="shared" si="68"/>
        <v>1891818</v>
      </c>
      <c r="AA58" s="18">
        <f t="shared" si="68"/>
        <v>15321840</v>
      </c>
      <c r="AB58" s="19">
        <f t="shared" si="68"/>
        <v>13430022</v>
      </c>
      <c r="AC58" s="142">
        <f t="shared" si="68"/>
        <v>1891818</v>
      </c>
      <c r="AD58" s="18">
        <f t="shared" si="68"/>
        <v>15321840</v>
      </c>
      <c r="AE58" s="19">
        <f t="shared" si="68"/>
        <v>13430022</v>
      </c>
      <c r="AF58" s="142">
        <f t="shared" si="68"/>
        <v>1891818</v>
      </c>
      <c r="AG58" s="18">
        <f t="shared" si="68"/>
        <v>15321840</v>
      </c>
      <c r="AH58" s="19">
        <f t="shared" si="68"/>
        <v>15870746</v>
      </c>
      <c r="AI58" s="15">
        <f t="shared" si="68"/>
        <v>15870746</v>
      </c>
      <c r="AJ58" s="16">
        <f t="shared" si="68"/>
        <v>15870746</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+IF(JULIO!A59=0,"",JULIO!A59)</f>
        <v>1130111-2</v>
      </c>
      <c r="B59" s="646" t="str">
        <f>+IF(JULIO!B59=0,"",JULIO!B59)</f>
        <v>Vigencia Anterior</v>
      </c>
      <c r="C59" s="671">
        <f>+ENERO!C59</f>
        <v>0</v>
      </c>
      <c r="D59" s="373">
        <f>JULIO!D59+AGOSTO!P59</f>
        <v>0</v>
      </c>
      <c r="E59" s="373">
        <f>JULIO!E59+AGOSTO!Q59</f>
        <v>176960</v>
      </c>
      <c r="F59" s="373">
        <f>SUM(C59:E59)</f>
        <v>176960</v>
      </c>
      <c r="G59" s="373">
        <f>JULIO!I59</f>
        <v>176960</v>
      </c>
      <c r="H59" s="374">
        <v>0</v>
      </c>
      <c r="I59" s="373">
        <f>SUM(G59:H59)</f>
        <v>176960</v>
      </c>
      <c r="J59" s="373">
        <f>JULIO!L59</f>
        <v>176960</v>
      </c>
      <c r="K59" s="374">
        <v>0</v>
      </c>
      <c r="L59" s="373">
        <f>SUM(J59:K59)</f>
        <v>176960</v>
      </c>
      <c r="M59" s="373">
        <f>F59-I59</f>
        <v>0</v>
      </c>
      <c r="N59" s="143">
        <f>F59-L59</f>
        <v>0</v>
      </c>
      <c r="O59" s="382"/>
      <c r="P59" s="372">
        <v>0</v>
      </c>
      <c r="Q59" s="375">
        <v>0</v>
      </c>
      <c r="R59" s="9"/>
      <c r="S59" s="706" t="str">
        <f>+IF(JULIO!S59=0,"",JULIO!S59)</f>
        <v>1010402-1</v>
      </c>
      <c r="T59" s="681" t="str">
        <f>+IF(JULIO!T59=0,"",JULIO!T59)</f>
        <v>S.E.N.A.</v>
      </c>
      <c r="U59" s="27">
        <f>+ENERO!U59</f>
        <v>18775492</v>
      </c>
      <c r="V59" s="15">
        <f>JULIO!V59+AGOSTO!AL59</f>
        <v>0</v>
      </c>
      <c r="W59" s="15">
        <f>JULIO!W59+AGOSTO!AM59</f>
        <v>0</v>
      </c>
      <c r="X59" s="18">
        <f>SUM(U59:W59)</f>
        <v>18775492</v>
      </c>
      <c r="Y59" s="19">
        <f>JULIO!AA59</f>
        <v>5371832</v>
      </c>
      <c r="Z59" s="374">
        <v>756727</v>
      </c>
      <c r="AA59" s="18">
        <f>SUM(Y59:Z59)</f>
        <v>6128559</v>
      </c>
      <c r="AB59" s="19">
        <f>JULIO!AD59</f>
        <v>5371832</v>
      </c>
      <c r="AC59" s="374">
        <v>756727</v>
      </c>
      <c r="AD59" s="18">
        <f>SUM(AB59:AC59)</f>
        <v>6128559</v>
      </c>
      <c r="AE59" s="19">
        <f>JULIO!AG59</f>
        <v>5371832</v>
      </c>
      <c r="AF59" s="374">
        <v>756727</v>
      </c>
      <c r="AG59" s="18">
        <f>SUM(AE59:AF59)</f>
        <v>6128559</v>
      </c>
      <c r="AH59" s="19">
        <f>X59-AA59</f>
        <v>12646933</v>
      </c>
      <c r="AI59" s="15">
        <f>X59-AD59</f>
        <v>12646933</v>
      </c>
      <c r="AJ59" s="16">
        <f>X59-AG59</f>
        <v>12646933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3">
        <f>+IF(JULIO!A60=0,"",JULIO!A60)</f>
        <v>1130112</v>
      </c>
      <c r="B60" s="645" t="str">
        <f>+IF(JULIO!B60=0,"",JULIO!B60)</f>
        <v>IPS PUBLICAS</v>
      </c>
      <c r="C60" s="43">
        <f t="shared" ref="C60:N60" si="69">SUM(C61:C62)</f>
        <v>45194994</v>
      </c>
      <c r="D60" s="44">
        <f t="shared" si="69"/>
        <v>0</v>
      </c>
      <c r="E60" s="44">
        <f t="shared" si="69"/>
        <v>1907315</v>
      </c>
      <c r="F60" s="44">
        <f t="shared" si="69"/>
        <v>47102309</v>
      </c>
      <c r="G60" s="44">
        <f t="shared" si="69"/>
        <v>255901636</v>
      </c>
      <c r="H60" s="44">
        <f t="shared" si="69"/>
        <v>30131573</v>
      </c>
      <c r="I60" s="44">
        <f t="shared" si="69"/>
        <v>286033209</v>
      </c>
      <c r="J60" s="44">
        <f t="shared" si="69"/>
        <v>5844315</v>
      </c>
      <c r="K60" s="44">
        <f t="shared" si="69"/>
        <v>7907323</v>
      </c>
      <c r="L60" s="44">
        <f t="shared" si="69"/>
        <v>13751638</v>
      </c>
      <c r="M60" s="44">
        <f t="shared" si="69"/>
        <v>-238930900</v>
      </c>
      <c r="N60" s="45">
        <f t="shared" si="69"/>
        <v>33350671</v>
      </c>
      <c r="P60" s="43">
        <f>SUM(P61:P62)</f>
        <v>0</v>
      </c>
      <c r="Q60" s="45">
        <f>SUM(Q61:Q62)</f>
        <v>1702103</v>
      </c>
      <c r="R60" s="9"/>
      <c r="S60" s="706" t="str">
        <f>+IF(JULIO!S60=0,"",JULIO!S60)</f>
        <v>1010402-2</v>
      </c>
      <c r="T60" s="681" t="str">
        <f>+IF(JULIO!T60=0,"",JULIO!T60)</f>
        <v>I.C.B.F.</v>
      </c>
      <c r="U60" s="27">
        <f>+ENERO!U60</f>
        <v>12417094</v>
      </c>
      <c r="V60" s="15">
        <f>JULIO!V60+AGOSTO!AL60</f>
        <v>0</v>
      </c>
      <c r="W60" s="15">
        <f>JULIO!W60+AGOSTO!AM60</f>
        <v>0</v>
      </c>
      <c r="X60" s="18">
        <f>SUM(U60:W60)</f>
        <v>12417094</v>
      </c>
      <c r="Y60" s="19">
        <f>JULIO!AA60</f>
        <v>8058190</v>
      </c>
      <c r="Z60" s="374">
        <v>1135091</v>
      </c>
      <c r="AA60" s="18">
        <f>SUM(Y60:Z60)</f>
        <v>9193281</v>
      </c>
      <c r="AB60" s="19">
        <f>JULIO!AD60</f>
        <v>8058190</v>
      </c>
      <c r="AC60" s="374">
        <v>1135091</v>
      </c>
      <c r="AD60" s="18">
        <f>SUM(AB60:AC60)</f>
        <v>9193281</v>
      </c>
      <c r="AE60" s="19">
        <f>JULIO!AG60</f>
        <v>8058190</v>
      </c>
      <c r="AF60" s="374">
        <v>1135091</v>
      </c>
      <c r="AG60" s="18">
        <f>SUM(AE60:AF60)</f>
        <v>9193281</v>
      </c>
      <c r="AH60" s="19">
        <f>X60-AA60</f>
        <v>3223813</v>
      </c>
      <c r="AI60" s="15">
        <f>X60-AD60</f>
        <v>3223813</v>
      </c>
      <c r="AJ60" s="16">
        <f>X60-AG60</f>
        <v>3223813</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+IF(JULIO!A61=0,"",JULIO!A61)</f>
        <v>1130112-1</v>
      </c>
      <c r="B61" s="646" t="str">
        <f>+CONCATENATE("Vigencia ",INSTRUCCIONES!$F$3)</f>
        <v>Vigencia 2017</v>
      </c>
      <c r="C61" s="671">
        <f>+ENERO!C61</f>
        <v>45194994</v>
      </c>
      <c r="D61" s="373">
        <f>JULIO!D61+AGOSTO!P61</f>
        <v>0</v>
      </c>
      <c r="E61" s="373">
        <f>JULIO!E61+AGOSTO!Q61</f>
        <v>0</v>
      </c>
      <c r="F61" s="373">
        <f>SUM(C61:E61)</f>
        <v>45194994</v>
      </c>
      <c r="G61" s="373">
        <f>JULIO!I61</f>
        <v>253994321</v>
      </c>
      <c r="H61" s="374">
        <v>29853124</v>
      </c>
      <c r="I61" s="373">
        <f>SUM(G61:H61)</f>
        <v>283847445</v>
      </c>
      <c r="J61" s="373">
        <f>JULIO!L61</f>
        <v>3937000</v>
      </c>
      <c r="K61" s="374">
        <v>7628874</v>
      </c>
      <c r="L61" s="373">
        <f>SUM(J61:K61)</f>
        <v>11565874</v>
      </c>
      <c r="M61" s="373">
        <f>F61-I61</f>
        <v>-238652451</v>
      </c>
      <c r="N61" s="143">
        <f>F61-L61</f>
        <v>33629120</v>
      </c>
      <c r="O61" s="382"/>
      <c r="P61" s="372">
        <v>0</v>
      </c>
      <c r="Q61" s="375">
        <v>0</v>
      </c>
      <c r="R61" s="9"/>
      <c r="S61" s="705">
        <f>+IF(JULIO!S61=0,"",JULIO!S61)</f>
        <v>1010499</v>
      </c>
      <c r="T61" s="681" t="str">
        <f>+IF(JULIO!T61=0,"",JULIO!T61)</f>
        <v>Vigencias Anteriores</v>
      </c>
      <c r="U61" s="27">
        <f>+ENERO!U61</f>
        <v>0</v>
      </c>
      <c r="V61" s="15">
        <f>JULIO!V61+AGOSTO!AL61</f>
        <v>0</v>
      </c>
      <c r="W61" s="15">
        <f>JULIO!W61+AGOSTO!AM61</f>
        <v>0</v>
      </c>
      <c r="X61" s="18">
        <f>SUM(U61:W61)</f>
        <v>0</v>
      </c>
      <c r="Y61" s="19">
        <f>JULIO!AA61</f>
        <v>0</v>
      </c>
      <c r="Z61" s="374">
        <v>0</v>
      </c>
      <c r="AA61" s="18">
        <f>SUM(Y61:Z61)</f>
        <v>0</v>
      </c>
      <c r="AB61" s="19">
        <f>JULIO!AD61</f>
        <v>0</v>
      </c>
      <c r="AC61" s="374">
        <v>0</v>
      </c>
      <c r="AD61" s="18">
        <f>SUM(AB61:AC61)</f>
        <v>0</v>
      </c>
      <c r="AE61" s="19">
        <f>JULIO!AG61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+IF(JULIO!A62=0,"",JULIO!A62)</f>
        <v>1130112-2</v>
      </c>
      <c r="B62" s="646" t="str">
        <f>+IF(JULIO!B62=0,"",JULIO!B62)</f>
        <v>Vigencia Anterior</v>
      </c>
      <c r="C62" s="671">
        <f>+ENERO!C62</f>
        <v>0</v>
      </c>
      <c r="D62" s="373">
        <f>JULIO!D62+AGOSTO!P62</f>
        <v>0</v>
      </c>
      <c r="E62" s="373">
        <f>JULIO!E62+AGOSTO!Q62</f>
        <v>1907315</v>
      </c>
      <c r="F62" s="373">
        <f>SUM(C62:E62)</f>
        <v>1907315</v>
      </c>
      <c r="G62" s="373">
        <f>JULIO!I62</f>
        <v>1907315</v>
      </c>
      <c r="H62" s="374">
        <v>278449</v>
      </c>
      <c r="I62" s="373">
        <f>SUM(G62:H62)</f>
        <v>2185764</v>
      </c>
      <c r="J62" s="373">
        <f>JULIO!L62</f>
        <v>1907315</v>
      </c>
      <c r="K62" s="374">
        <v>278449</v>
      </c>
      <c r="L62" s="373">
        <f>SUM(J62:K62)</f>
        <v>2185764</v>
      </c>
      <c r="M62" s="373">
        <f>F62-I62</f>
        <v>-278449</v>
      </c>
      <c r="N62" s="143">
        <f>F62-L62</f>
        <v>-278449</v>
      </c>
      <c r="O62" s="382"/>
      <c r="P62" s="372">
        <v>0</v>
      </c>
      <c r="Q62" s="375">
        <v>1702103</v>
      </c>
      <c r="R62" s="9"/>
      <c r="S62" s="366" t="str">
        <f>+IF(JULIO!S62=0,"",JULIO!S62)</f>
        <v/>
      </c>
      <c r="T62" s="695"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3">
        <f>+IF(JULIO!A63=0,"",JULIO!A63)</f>
        <v>1130113</v>
      </c>
      <c r="B63" s="645" t="str">
        <f>+IF(JULIO!B63=0,"",JULIO!B63)</f>
        <v>COMPAÑIAS DE SEGUROS  - ACCIDENTES DE TRANSITO (SOAT)</v>
      </c>
      <c r="C63" s="43">
        <f t="shared" ref="C63:N63" si="70">SUM(C64:C65)</f>
        <v>5110724757</v>
      </c>
      <c r="D63" s="44">
        <f t="shared" si="70"/>
        <v>0</v>
      </c>
      <c r="E63" s="44">
        <f t="shared" si="70"/>
        <v>807551501</v>
      </c>
      <c r="F63" s="44">
        <f t="shared" si="70"/>
        <v>5918276258</v>
      </c>
      <c r="G63" s="44">
        <f t="shared" si="70"/>
        <v>2305651394</v>
      </c>
      <c r="H63" s="44">
        <f t="shared" si="70"/>
        <v>106389304</v>
      </c>
      <c r="I63" s="44">
        <f t="shared" si="70"/>
        <v>2412040698</v>
      </c>
      <c r="J63" s="44">
        <f t="shared" si="70"/>
        <v>1039367931</v>
      </c>
      <c r="K63" s="44">
        <f t="shared" si="70"/>
        <v>153187243</v>
      </c>
      <c r="L63" s="44">
        <f t="shared" si="70"/>
        <v>1192555174</v>
      </c>
      <c r="M63" s="44">
        <f t="shared" si="70"/>
        <v>3506235560</v>
      </c>
      <c r="N63" s="45">
        <f t="shared" si="70"/>
        <v>4725721084</v>
      </c>
      <c r="P63" s="43">
        <f>SUM(P64:P65)</f>
        <v>0</v>
      </c>
      <c r="Q63" s="45">
        <f>SUM(Q64:Q65)</f>
        <v>164544206</v>
      </c>
      <c r="R63" s="9"/>
      <c r="S63" s="703">
        <f>+IF(JULIO!S63=0,"",JULIO!S63)</f>
        <v>1020010</v>
      </c>
      <c r="T63" s="679" t="str">
        <f>+IF(JULIO!T63=0,"",JULIO!T63)</f>
        <v>Gastos de Operación</v>
      </c>
      <c r="U63" s="132">
        <f t="shared" ref="U63:AJ63" si="71">U65+U83+U90+U104</f>
        <v>23745928633</v>
      </c>
      <c r="V63" s="122">
        <f t="shared" si="71"/>
        <v>268995904</v>
      </c>
      <c r="W63" s="122">
        <f t="shared" si="71"/>
        <v>6894158607</v>
      </c>
      <c r="X63" s="129">
        <f t="shared" si="71"/>
        <v>30909083144</v>
      </c>
      <c r="Y63" s="128">
        <f t="shared" si="71"/>
        <v>24178836567</v>
      </c>
      <c r="Z63" s="122">
        <f t="shared" si="71"/>
        <v>4265672906</v>
      </c>
      <c r="AA63" s="129">
        <f t="shared" si="71"/>
        <v>28444509473</v>
      </c>
      <c r="AB63" s="128">
        <f t="shared" si="71"/>
        <v>19715868489</v>
      </c>
      <c r="AC63" s="122">
        <f t="shared" si="71"/>
        <v>1972201707</v>
      </c>
      <c r="AD63" s="129">
        <f t="shared" si="71"/>
        <v>21688070196</v>
      </c>
      <c r="AE63" s="128">
        <f t="shared" si="71"/>
        <v>12024019215</v>
      </c>
      <c r="AF63" s="122">
        <f t="shared" si="71"/>
        <v>1573740638</v>
      </c>
      <c r="AG63" s="129">
        <f t="shared" si="71"/>
        <v>13597759853</v>
      </c>
      <c r="AH63" s="128">
        <f t="shared" si="71"/>
        <v>2464573671</v>
      </c>
      <c r="AI63" s="122">
        <f t="shared" si="71"/>
        <v>9221012948</v>
      </c>
      <c r="AJ63" s="130">
        <f t="shared" si="71"/>
        <v>17311323291</v>
      </c>
      <c r="AK63" s="9"/>
      <c r="AL63" s="128">
        <f>AL65+AL83+AL90+AL104</f>
        <v>-127000000</v>
      </c>
      <c r="AM63" s="130">
        <f>AM65+AM83+AM90+AM104</f>
        <v>2033605163</v>
      </c>
      <c r="AN63" s="9"/>
      <c r="AO63" s="294"/>
      <c r="AP63" s="294"/>
      <c r="AQ63" s="294"/>
      <c r="AR63" s="294"/>
      <c r="AS63" s="294"/>
      <c r="AT63" s="294"/>
      <c r="AU63" s="294"/>
      <c r="AV63" s="294"/>
      <c r="AW63" s="294"/>
      <c r="AX63" s="294"/>
      <c r="AY63" s="294"/>
      <c r="AZ63" s="294"/>
    </row>
    <row r="64" spans="1:70" s="422" customFormat="1" ht="24.95" customHeight="1">
      <c r="A64" s="611" t="str">
        <f>+IF(JULIO!A64=0,"",JULIO!A64)</f>
        <v>1130113-1</v>
      </c>
      <c r="B64" s="646" t="str">
        <f>+CONCATENATE("Vigencia ",INSTRUCCIONES!$F$3)</f>
        <v>Vigencia 2017</v>
      </c>
      <c r="C64" s="671">
        <f>+ENERO!C64</f>
        <v>5110724757</v>
      </c>
      <c r="D64" s="373">
        <f>JULIO!D64+AGOSTO!P64</f>
        <v>0</v>
      </c>
      <c r="E64" s="373">
        <f>JULIO!E64+AGOSTO!Q64</f>
        <v>0</v>
      </c>
      <c r="F64" s="373">
        <f>SUM(C64:E64)</f>
        <v>5110724757</v>
      </c>
      <c r="G64" s="373">
        <f>JULIO!I64</f>
        <v>1340257118</v>
      </c>
      <c r="H64" s="374">
        <v>105113035</v>
      </c>
      <c r="I64" s="373">
        <f>SUM(G64:H64)</f>
        <v>1445370153</v>
      </c>
      <c r="J64" s="373">
        <f>JULIO!L64</f>
        <v>73973655</v>
      </c>
      <c r="K64" s="374">
        <v>151910974</v>
      </c>
      <c r="L64" s="373">
        <f>SUM(J64:K64)</f>
        <v>225884629</v>
      </c>
      <c r="M64" s="373">
        <f>F64-I64</f>
        <v>3665354604</v>
      </c>
      <c r="N64" s="143">
        <f>F64-L64</f>
        <v>4884840128</v>
      </c>
      <c r="O64" s="382"/>
      <c r="P64" s="372">
        <v>0</v>
      </c>
      <c r="Q64" s="375">
        <v>0</v>
      </c>
      <c r="R64" s="9"/>
      <c r="S64" s="366" t="str">
        <f>+IF(JULIO!S64=0,"",JULIO!S64)</f>
        <v/>
      </c>
      <c r="T64" s="695"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+IF(JULIO!A65=0,"",JULIO!A65)</f>
        <v>1130113-2</v>
      </c>
      <c r="B65" s="646" t="str">
        <f>+IF(JULIO!B65=0,"",JULIO!B65)</f>
        <v>Vigencia Anterior</v>
      </c>
      <c r="C65" s="671">
        <f>+ENERO!C65</f>
        <v>0</v>
      </c>
      <c r="D65" s="373">
        <f>JULIO!D65+AGOSTO!P65</f>
        <v>0</v>
      </c>
      <c r="E65" s="373">
        <f>JULIO!E65+AGOSTO!Q65</f>
        <v>807551501</v>
      </c>
      <c r="F65" s="373">
        <f>SUM(C65:E65)</f>
        <v>807551501</v>
      </c>
      <c r="G65" s="373">
        <f>JULIO!I65</f>
        <v>965394276</v>
      </c>
      <c r="H65" s="374">
        <v>1276269</v>
      </c>
      <c r="I65" s="373">
        <f>SUM(G65:H65)</f>
        <v>966670545</v>
      </c>
      <c r="J65" s="373">
        <f>JULIO!L65</f>
        <v>965394276</v>
      </c>
      <c r="K65" s="374">
        <v>1276269</v>
      </c>
      <c r="L65" s="373">
        <f>SUM(J65:K65)</f>
        <v>966670545</v>
      </c>
      <c r="M65" s="373">
        <f>F65-I65</f>
        <v>-159119044</v>
      </c>
      <c r="N65" s="143">
        <f>F65-L65</f>
        <v>-159119044</v>
      </c>
      <c r="O65" s="382"/>
      <c r="P65" s="372">
        <v>0</v>
      </c>
      <c r="Q65" s="375">
        <v>164544206</v>
      </c>
      <c r="R65" s="9"/>
      <c r="S65" s="704">
        <f>+IF(JULIO!S65=0,"",JULIO!S65)</f>
        <v>1020100</v>
      </c>
      <c r="T65" s="680" t="str">
        <f>+IF(JULIO!T65=0,"",JULIO!T65)</f>
        <v>Servicios Personales Asociados a Nómina</v>
      </c>
      <c r="U65" s="132">
        <f t="shared" ref="U65:AJ65" si="72">SUM(U66:U69)+U81</f>
        <v>1210753694</v>
      </c>
      <c r="V65" s="122">
        <f t="shared" si="72"/>
        <v>30000000</v>
      </c>
      <c r="W65" s="122">
        <f t="shared" si="72"/>
        <v>68455774</v>
      </c>
      <c r="X65" s="129">
        <f t="shared" si="72"/>
        <v>1309209468</v>
      </c>
      <c r="Y65" s="128">
        <f t="shared" si="72"/>
        <v>642828051</v>
      </c>
      <c r="Z65" s="122">
        <f t="shared" si="72"/>
        <v>119006965</v>
      </c>
      <c r="AA65" s="129">
        <f t="shared" si="72"/>
        <v>761835016</v>
      </c>
      <c r="AB65" s="128">
        <f t="shared" si="72"/>
        <v>642828051</v>
      </c>
      <c r="AC65" s="122">
        <f t="shared" si="72"/>
        <v>119006965</v>
      </c>
      <c r="AD65" s="129">
        <f t="shared" si="72"/>
        <v>761835016</v>
      </c>
      <c r="AE65" s="128">
        <f t="shared" si="72"/>
        <v>642828051</v>
      </c>
      <c r="AF65" s="122">
        <f t="shared" si="72"/>
        <v>119006965</v>
      </c>
      <c r="AG65" s="129">
        <f t="shared" si="72"/>
        <v>761835016</v>
      </c>
      <c r="AH65" s="128">
        <f t="shared" si="72"/>
        <v>547374452</v>
      </c>
      <c r="AI65" s="122">
        <f t="shared" si="72"/>
        <v>547374452</v>
      </c>
      <c r="AJ65" s="130">
        <f t="shared" si="72"/>
        <v>547374452</v>
      </c>
      <c r="AK65" s="9"/>
      <c r="AL65" s="128">
        <f>SUM(AL66:AL69)+AL81</f>
        <v>30000000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3">
        <f>+IF(JULIO!A66=0,"",JULIO!A66)</f>
        <v>1130114</v>
      </c>
      <c r="B66" s="645" t="str">
        <f>+IF(JULIO!B66=0,"",JULIO!B66)</f>
        <v xml:space="preserve">COMPAÑIAS DE SEGUROS  - PLANES DE SALUD  </v>
      </c>
      <c r="C66" s="43">
        <f t="shared" ref="C66:N66" si="73">SUM(C67:C68)</f>
        <v>0</v>
      </c>
      <c r="D66" s="44">
        <f t="shared" si="73"/>
        <v>0</v>
      </c>
      <c r="E66" s="44">
        <f t="shared" si="73"/>
        <v>23280608</v>
      </c>
      <c r="F66" s="44">
        <f t="shared" si="73"/>
        <v>23280608</v>
      </c>
      <c r="G66" s="44">
        <f t="shared" si="73"/>
        <v>347063097</v>
      </c>
      <c r="H66" s="44">
        <f t="shared" si="73"/>
        <v>64659690</v>
      </c>
      <c r="I66" s="44">
        <f t="shared" si="73"/>
        <v>411722787</v>
      </c>
      <c r="J66" s="44">
        <f t="shared" si="73"/>
        <v>57698538</v>
      </c>
      <c r="K66" s="44">
        <f t="shared" si="73"/>
        <v>40690688</v>
      </c>
      <c r="L66" s="44">
        <f t="shared" si="73"/>
        <v>98389226</v>
      </c>
      <c r="M66" s="44">
        <f t="shared" si="73"/>
        <v>-388442179</v>
      </c>
      <c r="N66" s="45">
        <f t="shared" si="73"/>
        <v>-75108618</v>
      </c>
      <c r="P66" s="43">
        <f>SUM(P67:P68)</f>
        <v>0</v>
      </c>
      <c r="Q66" s="45">
        <f>SUM(Q67:Q68)</f>
        <v>8230702</v>
      </c>
      <c r="R66" s="9"/>
      <c r="S66" s="705">
        <f>+IF(JULIO!S66=0,"",JULIO!S66)</f>
        <v>1020101</v>
      </c>
      <c r="T66" s="681" t="str">
        <f>+IF(JULIO!T66=0,"",JULIO!T66)</f>
        <v>Sueldos del Personal de nómina</v>
      </c>
      <c r="U66" s="27">
        <f>+ENERO!U66</f>
        <v>893219355</v>
      </c>
      <c r="V66" s="15">
        <f>JULIO!V66+AGOSTO!AL66</f>
        <v>0</v>
      </c>
      <c r="W66" s="15">
        <f>JULIO!W66+AGOSTO!AM66</f>
        <v>0</v>
      </c>
      <c r="X66" s="18">
        <f>SUM(U66:W66)</f>
        <v>893219355</v>
      </c>
      <c r="Y66" s="19">
        <f>JULIO!AA66</f>
        <v>452744199</v>
      </c>
      <c r="Z66" s="374">
        <v>69000788</v>
      </c>
      <c r="AA66" s="18">
        <f>SUM(Y66:Z66)</f>
        <v>521744987</v>
      </c>
      <c r="AB66" s="19">
        <f>JULIO!AD66</f>
        <v>452744199</v>
      </c>
      <c r="AC66" s="374">
        <v>69000788</v>
      </c>
      <c r="AD66" s="18">
        <f>SUM(AB66:AC66)</f>
        <v>521744987</v>
      </c>
      <c r="AE66" s="19">
        <f>JULIO!AG66</f>
        <v>452744199</v>
      </c>
      <c r="AF66" s="374">
        <v>69000788</v>
      </c>
      <c r="AG66" s="18">
        <f>SUM(AE66:AF66)</f>
        <v>521744987</v>
      </c>
      <c r="AH66" s="19">
        <f>X66-AA66</f>
        <v>371474368</v>
      </c>
      <c r="AI66" s="15">
        <f>X66-AD66</f>
        <v>371474368</v>
      </c>
      <c r="AJ66" s="16">
        <f>X66-AG66</f>
        <v>371474368</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+IF(JULIO!A67=0,"",JULIO!A67)</f>
        <v>1130114-1</v>
      </c>
      <c r="B67" s="646" t="str">
        <f>+CONCATENATE("Vigencia ",INSTRUCCIONES!$F$3)</f>
        <v>Vigencia 2017</v>
      </c>
      <c r="C67" s="671">
        <f>+ENERO!C67</f>
        <v>0</v>
      </c>
      <c r="D67" s="373">
        <f>JULIO!D67+AGOSTO!P67</f>
        <v>0</v>
      </c>
      <c r="E67" s="373">
        <f>JULIO!E67+AGOSTO!Q67</f>
        <v>2055774</v>
      </c>
      <c r="F67" s="373">
        <f>SUM(C67:E67)</f>
        <v>2055774</v>
      </c>
      <c r="G67" s="373">
        <f>JULIO!I67</f>
        <v>293254506</v>
      </c>
      <c r="H67" s="374">
        <v>64659690</v>
      </c>
      <c r="I67" s="373">
        <f>SUM(G67:H67)</f>
        <v>357914196</v>
      </c>
      <c r="J67" s="373">
        <f>JULIO!L67</f>
        <v>3889947</v>
      </c>
      <c r="K67" s="374">
        <v>40690688</v>
      </c>
      <c r="L67" s="373">
        <f>SUM(J67:K67)</f>
        <v>44580635</v>
      </c>
      <c r="M67" s="373">
        <f>F67-I67</f>
        <v>-355858422</v>
      </c>
      <c r="N67" s="143">
        <f>F67-L67</f>
        <v>-42524861</v>
      </c>
      <c r="O67" s="382"/>
      <c r="P67" s="372">
        <v>0</v>
      </c>
      <c r="Q67" s="375">
        <v>2055774</v>
      </c>
      <c r="R67" s="9"/>
      <c r="S67" s="705">
        <f>+IF(JULIO!S67=0,"",JULIO!S67)</f>
        <v>1020102</v>
      </c>
      <c r="T67" s="681" t="str">
        <f>+IF(JULIO!T67=0,"",JULIO!T67)</f>
        <v>Horas Extras,Dominic.,Festivos y Rec. Nocturnos</v>
      </c>
      <c r="U67" s="27">
        <f>+ENERO!U67</f>
        <v>36988810</v>
      </c>
      <c r="V67" s="15">
        <f>JULIO!V67+AGOSTO!AL67</f>
        <v>0</v>
      </c>
      <c r="W67" s="15">
        <f>JULIO!W67+AGOSTO!AM67</f>
        <v>36000000</v>
      </c>
      <c r="X67" s="18">
        <f>SUM(U67:W67)</f>
        <v>72988810</v>
      </c>
      <c r="Y67" s="19">
        <f>JULIO!AA67</f>
        <v>48745924</v>
      </c>
      <c r="Z67" s="374">
        <v>7886934</v>
      </c>
      <c r="AA67" s="18">
        <f>SUM(Y67:Z67)</f>
        <v>56632858</v>
      </c>
      <c r="AB67" s="19">
        <f>JULIO!AD67</f>
        <v>48745924</v>
      </c>
      <c r="AC67" s="374">
        <v>7886934</v>
      </c>
      <c r="AD67" s="18">
        <f>SUM(AB67:AC67)</f>
        <v>56632858</v>
      </c>
      <c r="AE67" s="19">
        <f>JULIO!AG67</f>
        <v>48745924</v>
      </c>
      <c r="AF67" s="374">
        <v>7886934</v>
      </c>
      <c r="AG67" s="18">
        <f>SUM(AE67:AF67)</f>
        <v>56632858</v>
      </c>
      <c r="AH67" s="19">
        <f>X67-AA67</f>
        <v>16355952</v>
      </c>
      <c r="AI67" s="15">
        <f>X67-AD67</f>
        <v>16355952</v>
      </c>
      <c r="AJ67" s="16">
        <f>X67-AG67</f>
        <v>16355952</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+IF(JULIO!A68=0,"",JULIO!A68)</f>
        <v>1130114-2</v>
      </c>
      <c r="B68" s="646" t="str">
        <f>+IF(JULIO!B68=0,"",JULIO!B68)</f>
        <v>Vigencia Anterior</v>
      </c>
      <c r="C68" s="671">
        <f>+ENERO!C68</f>
        <v>0</v>
      </c>
      <c r="D68" s="373">
        <f>JULIO!D68+AGOSTO!P68</f>
        <v>0</v>
      </c>
      <c r="E68" s="373">
        <f>JULIO!E68+AGOSTO!Q68</f>
        <v>21224834</v>
      </c>
      <c r="F68" s="373">
        <f>SUM(C68:E68)</f>
        <v>21224834</v>
      </c>
      <c r="G68" s="373">
        <f>JULIO!I68</f>
        <v>53808591</v>
      </c>
      <c r="H68" s="374">
        <v>0</v>
      </c>
      <c r="I68" s="373">
        <f>SUM(G68:H68)</f>
        <v>53808591</v>
      </c>
      <c r="J68" s="373">
        <f>JULIO!L68</f>
        <v>53808591</v>
      </c>
      <c r="K68" s="374">
        <v>0</v>
      </c>
      <c r="L68" s="373">
        <f>SUM(J68:K68)</f>
        <v>53808591</v>
      </c>
      <c r="M68" s="373">
        <f>F68-I68</f>
        <v>-32583757</v>
      </c>
      <c r="N68" s="143">
        <f>F68-L68</f>
        <v>-32583757</v>
      </c>
      <c r="O68" s="382"/>
      <c r="P68" s="372">
        <v>0</v>
      </c>
      <c r="Q68" s="375">
        <v>6174928</v>
      </c>
      <c r="R68" s="9"/>
      <c r="S68" s="705">
        <f>+IF(JULIO!S68=0,"",JULIO!S68)</f>
        <v>1020103</v>
      </c>
      <c r="T68" s="681" t="str">
        <f>+IF(JULIO!T68=0,"",JULIO!T68)</f>
        <v>Prima Técnica</v>
      </c>
      <c r="U68" s="27">
        <f>+ENERO!U68</f>
        <v>0</v>
      </c>
      <c r="V68" s="15">
        <f>JULIO!V68+AGOSTO!AL68</f>
        <v>0</v>
      </c>
      <c r="W68" s="15">
        <f>JULIO!W68+AGOSTO!AM68</f>
        <v>0</v>
      </c>
      <c r="X68" s="18">
        <f>SUM(U68:W68)</f>
        <v>0</v>
      </c>
      <c r="Y68" s="19">
        <f>JULIO!AA68</f>
        <v>0</v>
      </c>
      <c r="Z68" s="374">
        <v>0</v>
      </c>
      <c r="AA68" s="18">
        <f>SUM(Y68:Z68)</f>
        <v>0</v>
      </c>
      <c r="AB68" s="19">
        <f>JULIO!AD68</f>
        <v>0</v>
      </c>
      <c r="AC68" s="374">
        <v>0</v>
      </c>
      <c r="AD68" s="18">
        <f>SUM(AB68:AC68)</f>
        <v>0</v>
      </c>
      <c r="AE68" s="19">
        <f>JULIO!AG68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3">
        <f>+IF(JULIO!A69=0,"",JULIO!A69)</f>
        <v>1130115</v>
      </c>
      <c r="B69" s="645" t="str">
        <f>+IF(JULIO!B69=0,"",JULIO!B69)</f>
        <v>ENTIDADES DE REGIMEN ESPECIAL (Magisterio, Fuerza Pca.)</v>
      </c>
      <c r="C69" s="43">
        <f t="shared" ref="C69:N69" si="74">SUM(C70:C71)</f>
        <v>1373481412</v>
      </c>
      <c r="D69" s="44">
        <f t="shared" si="74"/>
        <v>0</v>
      </c>
      <c r="E69" s="44">
        <f t="shared" si="74"/>
        <v>2102620336</v>
      </c>
      <c r="F69" s="44">
        <f t="shared" si="74"/>
        <v>3476101748</v>
      </c>
      <c r="G69" s="44">
        <f t="shared" si="74"/>
        <v>4501277849</v>
      </c>
      <c r="H69" s="44">
        <f t="shared" si="74"/>
        <v>98003347</v>
      </c>
      <c r="I69" s="44">
        <f t="shared" si="74"/>
        <v>4599281196</v>
      </c>
      <c r="J69" s="44">
        <f t="shared" si="74"/>
        <v>2404948696</v>
      </c>
      <c r="K69" s="44">
        <f t="shared" si="74"/>
        <v>202505518</v>
      </c>
      <c r="L69" s="44">
        <f t="shared" si="74"/>
        <v>2607454214</v>
      </c>
      <c r="M69" s="44">
        <f t="shared" si="74"/>
        <v>-1123179448</v>
      </c>
      <c r="N69" s="45">
        <f t="shared" si="74"/>
        <v>868647534</v>
      </c>
      <c r="P69" s="43">
        <f>SUM(P70:P71)</f>
        <v>0</v>
      </c>
      <c r="Q69" s="45">
        <f>SUM(Q70:Q71)</f>
        <v>705022717</v>
      </c>
      <c r="R69" s="9"/>
      <c r="S69" s="705">
        <f>+IF(JULIO!S69=0,"",JULIO!S69)</f>
        <v>1020104</v>
      </c>
      <c r="T69" s="681" t="str">
        <f>+IF(JULIO!T69=0,"",JULIO!T69)</f>
        <v>Otros</v>
      </c>
      <c r="U69" s="27">
        <f t="shared" ref="U69:AJ69" si="75">SUM(U70:U80)</f>
        <v>280545529</v>
      </c>
      <c r="V69" s="15">
        <f t="shared" si="75"/>
        <v>30000000</v>
      </c>
      <c r="W69" s="15">
        <f t="shared" si="75"/>
        <v>32455774</v>
      </c>
      <c r="X69" s="18">
        <f t="shared" si="75"/>
        <v>343001303</v>
      </c>
      <c r="Y69" s="19">
        <f t="shared" si="75"/>
        <v>141337928</v>
      </c>
      <c r="Z69" s="142">
        <f t="shared" si="75"/>
        <v>42119243</v>
      </c>
      <c r="AA69" s="18">
        <f t="shared" si="75"/>
        <v>183457171</v>
      </c>
      <c r="AB69" s="19">
        <f t="shared" si="75"/>
        <v>141337928</v>
      </c>
      <c r="AC69" s="142">
        <f t="shared" si="75"/>
        <v>42119243</v>
      </c>
      <c r="AD69" s="18">
        <f t="shared" si="75"/>
        <v>183457171</v>
      </c>
      <c r="AE69" s="19">
        <f t="shared" si="75"/>
        <v>141337928</v>
      </c>
      <c r="AF69" s="142">
        <f t="shared" si="75"/>
        <v>42119243</v>
      </c>
      <c r="AG69" s="18">
        <f t="shared" si="75"/>
        <v>183457171</v>
      </c>
      <c r="AH69" s="19">
        <f t="shared" si="75"/>
        <v>159544132</v>
      </c>
      <c r="AI69" s="15">
        <f t="shared" si="75"/>
        <v>159544132</v>
      </c>
      <c r="AJ69" s="16">
        <f t="shared" si="75"/>
        <v>159544132</v>
      </c>
      <c r="AK69" s="9"/>
      <c r="AL69" s="29">
        <f>SUM(AL70:AL80)</f>
        <v>30000000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+IF(JULIO!A70=0,"",JULIO!A70)</f>
        <v>1130115-1</v>
      </c>
      <c r="B70" s="646" t="str">
        <f>+CONCATENATE("Vigencia ",INSTRUCCIONES!$F$3)</f>
        <v>Vigencia 2017</v>
      </c>
      <c r="C70" s="671">
        <f>+ENERO!C70</f>
        <v>1373481412</v>
      </c>
      <c r="D70" s="373">
        <f>JULIO!D70+AGOSTO!P70</f>
        <v>0</v>
      </c>
      <c r="E70" s="373">
        <f>JULIO!E70+AGOSTO!Q70</f>
        <v>0</v>
      </c>
      <c r="F70" s="373">
        <f>SUM(C70:E70)</f>
        <v>1373481412</v>
      </c>
      <c r="G70" s="373">
        <f>JULIO!I70</f>
        <v>2397522282</v>
      </c>
      <c r="H70" s="374">
        <v>95758352</v>
      </c>
      <c r="I70" s="373">
        <f>SUM(G70:H70)</f>
        <v>2493280634</v>
      </c>
      <c r="J70" s="373">
        <f>JULIO!L70</f>
        <v>301193129</v>
      </c>
      <c r="K70" s="374">
        <v>200260523</v>
      </c>
      <c r="L70" s="373">
        <f>SUM(J70:K70)</f>
        <v>501453652</v>
      </c>
      <c r="M70" s="373">
        <f>F70-I70</f>
        <v>-1119799222</v>
      </c>
      <c r="N70" s="143">
        <f>F70-L70</f>
        <v>872027760</v>
      </c>
      <c r="O70" s="382"/>
      <c r="P70" s="372">
        <v>0</v>
      </c>
      <c r="Q70" s="375">
        <v>0</v>
      </c>
      <c r="R70" s="9"/>
      <c r="S70" s="706" t="str">
        <f>+IF(JULIO!S70=0,"",JULIO!S70)</f>
        <v>1020104-1</v>
      </c>
      <c r="T70" s="682" t="str">
        <f>+IF(JULIO!T70=0,"",JULIO!T70)</f>
        <v xml:space="preserve">Prima de Navidad </v>
      </c>
      <c r="U70" s="27">
        <f>+ENERO!U70</f>
        <v>72165521</v>
      </c>
      <c r="V70" s="15">
        <f>JULIO!V70+AGOSTO!AL70</f>
        <v>0</v>
      </c>
      <c r="W70" s="15">
        <f>JULIO!W70+AGOSTO!AM70</f>
        <v>0</v>
      </c>
      <c r="X70" s="18">
        <f t="shared" ref="X70:X81" si="76">SUM(U70:W70)</f>
        <v>72165521</v>
      </c>
      <c r="Y70" s="19">
        <f>JULIO!AA70</f>
        <v>0</v>
      </c>
      <c r="Z70" s="374">
        <v>0</v>
      </c>
      <c r="AA70" s="18">
        <f t="shared" ref="AA70:AA81" si="77">SUM(Y70:Z70)</f>
        <v>0</v>
      </c>
      <c r="AB70" s="19">
        <f>JULIO!AD70</f>
        <v>0</v>
      </c>
      <c r="AC70" s="374">
        <v>0</v>
      </c>
      <c r="AD70" s="18">
        <f t="shared" ref="AD70:AD81" si="78">SUM(AB70:AC70)</f>
        <v>0</v>
      </c>
      <c r="AE70" s="19">
        <f>JULIO!AG70</f>
        <v>0</v>
      </c>
      <c r="AF70" s="374">
        <v>0</v>
      </c>
      <c r="AG70" s="18">
        <f t="shared" ref="AG70:AG81" si="79">SUM(AE70:AF70)</f>
        <v>0</v>
      </c>
      <c r="AH70" s="19">
        <f t="shared" ref="AH70:AH81" si="80">X70-AA70</f>
        <v>72165521</v>
      </c>
      <c r="AI70" s="15">
        <f t="shared" ref="AI70:AI81" si="81">X70-AD70</f>
        <v>72165521</v>
      </c>
      <c r="AJ70" s="16">
        <f t="shared" ref="AJ70:AJ81" si="82">X70-AG70</f>
        <v>72165521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+IF(JULIO!A71=0,"",JULIO!A71)</f>
        <v>1130115-2</v>
      </c>
      <c r="B71" s="646" t="str">
        <f>+IF(JULIO!B71=0,"",JULIO!B71)</f>
        <v>Vigencia Anterior</v>
      </c>
      <c r="C71" s="671">
        <f>+ENERO!C71</f>
        <v>0</v>
      </c>
      <c r="D71" s="373">
        <f>JULIO!D71+AGOSTO!P71</f>
        <v>0</v>
      </c>
      <c r="E71" s="373">
        <f>JULIO!E71+AGOSTO!Q71</f>
        <v>2102620336</v>
      </c>
      <c r="F71" s="373">
        <f>SUM(C71:E71)</f>
        <v>2102620336</v>
      </c>
      <c r="G71" s="373">
        <f>JULIO!I71</f>
        <v>2103755567</v>
      </c>
      <c r="H71" s="374">
        <v>2244995</v>
      </c>
      <c r="I71" s="373">
        <f>SUM(G71:H71)</f>
        <v>2106000562</v>
      </c>
      <c r="J71" s="373">
        <f>JULIO!L71</f>
        <v>2103755567</v>
      </c>
      <c r="K71" s="374">
        <v>2244995</v>
      </c>
      <c r="L71" s="373">
        <f>SUM(J71:K71)</f>
        <v>2106000562</v>
      </c>
      <c r="M71" s="373">
        <f>F71-I71</f>
        <v>-3380226</v>
      </c>
      <c r="N71" s="143">
        <f>F71-L71</f>
        <v>-3380226</v>
      </c>
      <c r="O71" s="382"/>
      <c r="P71" s="372">
        <v>0</v>
      </c>
      <c r="Q71" s="375">
        <v>705022717</v>
      </c>
      <c r="R71" s="9"/>
      <c r="S71" s="706" t="str">
        <f>+IF(JULIO!S71=0,"",JULIO!S71)</f>
        <v>1020104-2</v>
      </c>
      <c r="T71" s="682" t="str">
        <f>+IF(JULIO!T71=0,"",JULIO!T71)</f>
        <v>Prima Vida Cara</v>
      </c>
      <c r="U71" s="27">
        <f>+ENERO!U71</f>
        <v>65329386</v>
      </c>
      <c r="V71" s="15">
        <f>JULIO!V71+AGOSTO!AL71</f>
        <v>0</v>
      </c>
      <c r="W71" s="15">
        <f>JULIO!W71+AGOSTO!AM71</f>
        <v>32455774</v>
      </c>
      <c r="X71" s="18">
        <f t="shared" si="76"/>
        <v>97785160</v>
      </c>
      <c r="Y71" s="19">
        <f>JULIO!AA71</f>
        <v>32455774</v>
      </c>
      <c r="Z71" s="374">
        <v>34781186</v>
      </c>
      <c r="AA71" s="18">
        <f t="shared" si="77"/>
        <v>67236960</v>
      </c>
      <c r="AB71" s="19">
        <f>JULIO!AD71</f>
        <v>32455774</v>
      </c>
      <c r="AC71" s="374">
        <v>34781186</v>
      </c>
      <c r="AD71" s="18">
        <f t="shared" si="78"/>
        <v>67236960</v>
      </c>
      <c r="AE71" s="19">
        <f>JULIO!AG71</f>
        <v>32455774</v>
      </c>
      <c r="AF71" s="374">
        <v>34781186</v>
      </c>
      <c r="AG71" s="18">
        <f t="shared" si="79"/>
        <v>67236960</v>
      </c>
      <c r="AH71" s="19">
        <f t="shared" si="80"/>
        <v>30548200</v>
      </c>
      <c r="AI71" s="15">
        <f t="shared" si="81"/>
        <v>30548200</v>
      </c>
      <c r="AJ71" s="16">
        <f t="shared" si="82"/>
        <v>30548200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3">
        <f>+IF(JULIO!A72=0,"",JULIO!A72)</f>
        <v>1130116</v>
      </c>
      <c r="B72" s="645" t="str">
        <f>+IF(JULIO!B72=0,"",JULIO!B72)</f>
        <v>ADMINISTRADORAS DE RIESGOS PROFESIONALES</v>
      </c>
      <c r="C72" s="43">
        <f t="shared" ref="C72:N72" si="83">SUM(C73:C74)</f>
        <v>474083630</v>
      </c>
      <c r="D72" s="44">
        <f t="shared" si="83"/>
        <v>0</v>
      </c>
      <c r="E72" s="44">
        <f t="shared" si="83"/>
        <v>204340974</v>
      </c>
      <c r="F72" s="44">
        <f t="shared" si="83"/>
        <v>678424604</v>
      </c>
      <c r="G72" s="44">
        <f t="shared" si="83"/>
        <v>339434571</v>
      </c>
      <c r="H72" s="44">
        <f t="shared" si="83"/>
        <v>14955760</v>
      </c>
      <c r="I72" s="44">
        <f t="shared" si="83"/>
        <v>354390331</v>
      </c>
      <c r="J72" s="44">
        <f t="shared" si="83"/>
        <v>211574521</v>
      </c>
      <c r="K72" s="44">
        <f t="shared" si="83"/>
        <v>12350213</v>
      </c>
      <c r="L72" s="44">
        <f t="shared" si="83"/>
        <v>223924734</v>
      </c>
      <c r="M72" s="44">
        <f t="shared" si="83"/>
        <v>324034273</v>
      </c>
      <c r="N72" s="45">
        <f t="shared" si="83"/>
        <v>454499870</v>
      </c>
      <c r="P72" s="43">
        <f>SUM(P73:P74)</f>
        <v>0</v>
      </c>
      <c r="Q72" s="45">
        <f>SUM(Q73:Q74)</f>
        <v>108791187</v>
      </c>
      <c r="R72" s="9"/>
      <c r="S72" s="706" t="str">
        <f>+IF(JULIO!S72=0,"",JULIO!S72)</f>
        <v>1020104-3</v>
      </c>
      <c r="T72" s="682" t="str">
        <f>+IF(JULIO!T72=0,"",JULIO!T72)</f>
        <v>Prima de Vacaciones</v>
      </c>
      <c r="U72" s="27">
        <f>+ENERO!U72</f>
        <v>34829886</v>
      </c>
      <c r="V72" s="15">
        <f>JULIO!V72+AGOSTO!AL72</f>
        <v>0</v>
      </c>
      <c r="W72" s="15">
        <f>JULIO!W72+AGOSTO!AM72</f>
        <v>0</v>
      </c>
      <c r="X72" s="18">
        <f t="shared" si="76"/>
        <v>34829886</v>
      </c>
      <c r="Y72" s="19">
        <f>JULIO!AA72</f>
        <v>13783851</v>
      </c>
      <c r="Z72" s="374">
        <v>0</v>
      </c>
      <c r="AA72" s="18">
        <f t="shared" si="77"/>
        <v>13783851</v>
      </c>
      <c r="AB72" s="19">
        <f>JULIO!AD72</f>
        <v>13783851</v>
      </c>
      <c r="AC72" s="374">
        <v>0</v>
      </c>
      <c r="AD72" s="18">
        <f t="shared" si="78"/>
        <v>13783851</v>
      </c>
      <c r="AE72" s="19">
        <f>JULIO!AG72</f>
        <v>13783851</v>
      </c>
      <c r="AF72" s="374">
        <v>0</v>
      </c>
      <c r="AG72" s="18">
        <f t="shared" si="79"/>
        <v>13783851</v>
      </c>
      <c r="AH72" s="19">
        <f t="shared" si="80"/>
        <v>21046035</v>
      </c>
      <c r="AI72" s="15">
        <f t="shared" si="81"/>
        <v>21046035</v>
      </c>
      <c r="AJ72" s="16">
        <f t="shared" si="82"/>
        <v>21046035</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+IF(JULIO!A73=0,"",JULIO!A73)</f>
        <v>1130116-1</v>
      </c>
      <c r="B73" s="646" t="str">
        <f>+CONCATENATE("Vigencia ",INSTRUCCIONES!$F$3)</f>
        <v>Vigencia 2017</v>
      </c>
      <c r="C73" s="671">
        <f>+ENERO!C73</f>
        <v>474083630</v>
      </c>
      <c r="D73" s="373">
        <f>JULIO!D73+AGOSTO!P73</f>
        <v>0</v>
      </c>
      <c r="E73" s="373">
        <f>JULIO!E73+AGOSTO!Q73</f>
        <v>0</v>
      </c>
      <c r="F73" s="373">
        <f>SUM(C73:E73)</f>
        <v>474083630</v>
      </c>
      <c r="G73" s="373">
        <f>JULIO!I73</f>
        <v>132819944</v>
      </c>
      <c r="H73" s="374">
        <v>14955760</v>
      </c>
      <c r="I73" s="373">
        <f>SUM(G73:H73)</f>
        <v>147775704</v>
      </c>
      <c r="J73" s="373">
        <f>JULIO!L73</f>
        <v>4959894</v>
      </c>
      <c r="K73" s="374">
        <v>12350213</v>
      </c>
      <c r="L73" s="373">
        <f>SUM(J73:K73)</f>
        <v>17310107</v>
      </c>
      <c r="M73" s="373">
        <f>F73-I73</f>
        <v>326307926</v>
      </c>
      <c r="N73" s="143">
        <f>F73-L73</f>
        <v>456773523</v>
      </c>
      <c r="O73" s="382"/>
      <c r="P73" s="372">
        <v>0</v>
      </c>
      <c r="Q73" s="375">
        <v>0</v>
      </c>
      <c r="R73" s="9"/>
      <c r="S73" s="706" t="str">
        <f>+IF(JULIO!S73=0,"",JULIO!S73)</f>
        <v>1020104-4</v>
      </c>
      <c r="T73" s="682" t="str">
        <f>+IF(JULIO!T73=0,"",JULIO!T73)</f>
        <v>Prima Clima</v>
      </c>
      <c r="U73" s="27">
        <f>+ENERO!U73</f>
        <v>0</v>
      </c>
      <c r="V73" s="15">
        <f>JULIO!V73+AGOSTO!AL73</f>
        <v>0</v>
      </c>
      <c r="W73" s="15">
        <f>JULIO!W73+AGOSTO!AM73</f>
        <v>0</v>
      </c>
      <c r="X73" s="18">
        <f t="shared" si="76"/>
        <v>0</v>
      </c>
      <c r="Y73" s="19">
        <f>JULIO!AA73</f>
        <v>0</v>
      </c>
      <c r="Z73" s="374">
        <v>0</v>
      </c>
      <c r="AA73" s="18">
        <f t="shared" si="77"/>
        <v>0</v>
      </c>
      <c r="AB73" s="19">
        <f>JULIO!AD73</f>
        <v>0</v>
      </c>
      <c r="AC73" s="374">
        <v>0</v>
      </c>
      <c r="AD73" s="18">
        <f t="shared" si="78"/>
        <v>0</v>
      </c>
      <c r="AE73" s="19">
        <f>JULIO!AG73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+IF(JULIO!A74=0,"",JULIO!A74)</f>
        <v>1130116-2</v>
      </c>
      <c r="B74" s="646" t="str">
        <f>+IF(JULIO!B74=0,"",JULIO!B74)</f>
        <v>Vigencia Anterior</v>
      </c>
      <c r="C74" s="671">
        <f>+ENERO!C74</f>
        <v>0</v>
      </c>
      <c r="D74" s="373">
        <f>JULIO!D74+AGOSTO!P74</f>
        <v>0</v>
      </c>
      <c r="E74" s="373">
        <f>JULIO!E74+AGOSTO!Q74</f>
        <v>204340974</v>
      </c>
      <c r="F74" s="373">
        <f>SUM(C74:E74)</f>
        <v>204340974</v>
      </c>
      <c r="G74" s="373">
        <f>JULIO!I74</f>
        <v>206614627</v>
      </c>
      <c r="H74" s="374">
        <v>0</v>
      </c>
      <c r="I74" s="373">
        <f>SUM(G74:H74)</f>
        <v>206614627</v>
      </c>
      <c r="J74" s="373">
        <f>JULIO!L74</f>
        <v>206614627</v>
      </c>
      <c r="K74" s="374">
        <v>0</v>
      </c>
      <c r="L74" s="373">
        <f>SUM(J74:K74)</f>
        <v>206614627</v>
      </c>
      <c r="M74" s="373">
        <f>F74-I74</f>
        <v>-2273653</v>
      </c>
      <c r="N74" s="143">
        <f>F74-L74</f>
        <v>-2273653</v>
      </c>
      <c r="O74" s="382"/>
      <c r="P74" s="372">
        <v>0</v>
      </c>
      <c r="Q74" s="375">
        <v>108791187</v>
      </c>
      <c r="R74" s="9"/>
      <c r="S74" s="706" t="str">
        <f>+IF(JULIO!S74=0,"",JULIO!S74)</f>
        <v>1020104-5</v>
      </c>
      <c r="T74" s="682" t="str">
        <f>+IF(JULIO!T74=0,"",JULIO!T74)</f>
        <v>Prima de Servicios</v>
      </c>
      <c r="U74" s="27">
        <f>+ENERO!U74</f>
        <v>36082760</v>
      </c>
      <c r="V74" s="15">
        <f>JULIO!V74+AGOSTO!AL74</f>
        <v>0</v>
      </c>
      <c r="W74" s="15">
        <f>JULIO!W74+AGOSTO!AM74</f>
        <v>0</v>
      </c>
      <c r="X74" s="18">
        <f t="shared" si="76"/>
        <v>36082760</v>
      </c>
      <c r="Y74" s="19">
        <f>JULIO!AA74</f>
        <v>32456139</v>
      </c>
      <c r="Z74" s="374">
        <v>0</v>
      </c>
      <c r="AA74" s="18">
        <f t="shared" si="77"/>
        <v>32456139</v>
      </c>
      <c r="AB74" s="19">
        <f>JULIO!AD74</f>
        <v>32456139</v>
      </c>
      <c r="AC74" s="374">
        <v>0</v>
      </c>
      <c r="AD74" s="18">
        <f t="shared" si="78"/>
        <v>32456139</v>
      </c>
      <c r="AE74" s="19">
        <f>JULIO!AG74</f>
        <v>32456139</v>
      </c>
      <c r="AF74" s="374">
        <v>0</v>
      </c>
      <c r="AG74" s="18">
        <f t="shared" si="79"/>
        <v>32456139</v>
      </c>
      <c r="AH74" s="19">
        <f t="shared" si="80"/>
        <v>3626621</v>
      </c>
      <c r="AI74" s="15">
        <f t="shared" si="81"/>
        <v>3626621</v>
      </c>
      <c r="AJ74" s="16">
        <f t="shared" si="82"/>
        <v>3626621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3">
        <f>+IF(JULIO!A75=0,"",JULIO!A75)</f>
        <v>1130117</v>
      </c>
      <c r="B75" s="645" t="str">
        <f>+IF(JULIO!B75=0,"",JULIO!B75)</f>
        <v>CUOTAS DE RECUPERACION</v>
      </c>
      <c r="C75" s="43">
        <f t="shared" ref="C75:N75" si="84">SUM(C76:C77)</f>
        <v>52000000</v>
      </c>
      <c r="D75" s="44">
        <f t="shared" si="84"/>
        <v>0</v>
      </c>
      <c r="E75" s="44">
        <f t="shared" si="84"/>
        <v>602749</v>
      </c>
      <c r="F75" s="44">
        <f t="shared" si="84"/>
        <v>52602749</v>
      </c>
      <c r="G75" s="44">
        <f t="shared" si="84"/>
        <v>31367263</v>
      </c>
      <c r="H75" s="44">
        <f t="shared" si="84"/>
        <v>0</v>
      </c>
      <c r="I75" s="44">
        <f t="shared" si="84"/>
        <v>31367263</v>
      </c>
      <c r="J75" s="44">
        <f t="shared" si="84"/>
        <v>1509049</v>
      </c>
      <c r="K75" s="44">
        <f t="shared" si="84"/>
        <v>0</v>
      </c>
      <c r="L75" s="44">
        <f t="shared" si="84"/>
        <v>1509049</v>
      </c>
      <c r="M75" s="44">
        <f t="shared" si="84"/>
        <v>21235486</v>
      </c>
      <c r="N75" s="45">
        <f t="shared" si="84"/>
        <v>51093700</v>
      </c>
      <c r="P75" s="43">
        <f>SUM(P76:P77)</f>
        <v>0</v>
      </c>
      <c r="Q75" s="45">
        <f>SUM(Q76:Q77)</f>
        <v>0</v>
      </c>
      <c r="R75" s="9"/>
      <c r="S75" s="706" t="str">
        <f>+IF(JULIO!S75=0,"",JULIO!S75)</f>
        <v>1020104-8</v>
      </c>
      <c r="T75" s="682" t="str">
        <f>+IF(JULIO!T75=0,"",JULIO!T75)</f>
        <v>Bonific. por Servicios Prestados</v>
      </c>
      <c r="U75" s="27">
        <f>+ENERO!U75</f>
        <v>17770724</v>
      </c>
      <c r="V75" s="15">
        <f>JULIO!V75+AGOSTO!AL75</f>
        <v>0</v>
      </c>
      <c r="W75" s="15">
        <f>JULIO!W75+AGOSTO!AM75</f>
        <v>0</v>
      </c>
      <c r="X75" s="18">
        <f t="shared" si="76"/>
        <v>17770724</v>
      </c>
      <c r="Y75" s="19">
        <f>JULIO!AA75</f>
        <v>11525700</v>
      </c>
      <c r="Z75" s="374">
        <v>705884</v>
      </c>
      <c r="AA75" s="18">
        <f t="shared" si="77"/>
        <v>12231584</v>
      </c>
      <c r="AB75" s="19">
        <f>JULIO!AD75</f>
        <v>11525700</v>
      </c>
      <c r="AC75" s="374">
        <v>705884</v>
      </c>
      <c r="AD75" s="18">
        <f t="shared" si="78"/>
        <v>12231584</v>
      </c>
      <c r="AE75" s="19">
        <f>JULIO!AG75</f>
        <v>11525700</v>
      </c>
      <c r="AF75" s="374">
        <v>705884</v>
      </c>
      <c r="AG75" s="18">
        <f t="shared" si="79"/>
        <v>12231584</v>
      </c>
      <c r="AH75" s="19">
        <f t="shared" si="80"/>
        <v>5539140</v>
      </c>
      <c r="AI75" s="15">
        <f t="shared" si="81"/>
        <v>5539140</v>
      </c>
      <c r="AJ75" s="16">
        <f t="shared" si="82"/>
        <v>5539140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+IF(JULIO!A76=0,"",JULIO!A76)</f>
        <v>1130117-1</v>
      </c>
      <c r="B76" s="646" t="str">
        <f>+CONCATENATE("Vigencia ",INSTRUCCIONES!$F$3)</f>
        <v>Vigencia 2017</v>
      </c>
      <c r="C76" s="671">
        <f>+ENERO!C76</f>
        <v>52000000</v>
      </c>
      <c r="D76" s="373">
        <f>JULIO!D76+AGOSTO!P76</f>
        <v>0</v>
      </c>
      <c r="E76" s="373">
        <f>JULIO!E76+AGOSTO!Q76</f>
        <v>0</v>
      </c>
      <c r="F76" s="373">
        <f t="shared" ref="F76:F83" si="85">SUM(C76:E76)</f>
        <v>52000000</v>
      </c>
      <c r="G76" s="373">
        <f>JULIO!I76</f>
        <v>30764514</v>
      </c>
      <c r="H76" s="374">
        <v>0</v>
      </c>
      <c r="I76" s="373">
        <f t="shared" ref="I76:I83" si="86">SUM(G76:H76)</f>
        <v>30764514</v>
      </c>
      <c r="J76" s="373">
        <f>JULIO!L76</f>
        <v>906300</v>
      </c>
      <c r="K76" s="374">
        <v>0</v>
      </c>
      <c r="L76" s="373">
        <f t="shared" ref="L76:L83" si="87">SUM(J76:K76)</f>
        <v>906300</v>
      </c>
      <c r="M76" s="373">
        <f t="shared" ref="M76:M83" si="88">F76-I76</f>
        <v>21235486</v>
      </c>
      <c r="N76" s="143">
        <f t="shared" ref="N76:N83" si="89">F76-L76</f>
        <v>51093700</v>
      </c>
      <c r="O76" s="382"/>
      <c r="P76" s="372">
        <v>0</v>
      </c>
      <c r="Q76" s="375">
        <v>0</v>
      </c>
      <c r="R76" s="9"/>
      <c r="S76" s="706" t="str">
        <f>+IF(JULIO!S76=0,"",JULIO!S76)</f>
        <v>1020104-9</v>
      </c>
      <c r="T76" s="682" t="str">
        <f>+IF(JULIO!T76=0,"",JULIO!T76)</f>
        <v>Auxilio de Transporte</v>
      </c>
      <c r="U76" s="27">
        <f>+ENERO!U76</f>
        <v>1703268</v>
      </c>
      <c r="V76" s="15">
        <f>JULIO!V76+AGOSTO!AL76</f>
        <v>0</v>
      </c>
      <c r="W76" s="15">
        <f>JULIO!W76+AGOSTO!AM76</f>
        <v>0</v>
      </c>
      <c r="X76" s="18">
        <f t="shared" si="76"/>
        <v>1703268</v>
      </c>
      <c r="Y76" s="19">
        <f>JULIO!AA76</f>
        <v>1371780</v>
      </c>
      <c r="Z76" s="374">
        <v>166280</v>
      </c>
      <c r="AA76" s="18">
        <f t="shared" si="77"/>
        <v>1538060</v>
      </c>
      <c r="AB76" s="19">
        <f>JULIO!AD76</f>
        <v>1371780</v>
      </c>
      <c r="AC76" s="374">
        <v>166280</v>
      </c>
      <c r="AD76" s="18">
        <f t="shared" si="78"/>
        <v>1538060</v>
      </c>
      <c r="AE76" s="19">
        <f>JULIO!AG76</f>
        <v>1371780</v>
      </c>
      <c r="AF76" s="374">
        <v>166280</v>
      </c>
      <c r="AG76" s="18">
        <f t="shared" si="79"/>
        <v>1538060</v>
      </c>
      <c r="AH76" s="19">
        <f t="shared" si="80"/>
        <v>165208</v>
      </c>
      <c r="AI76" s="15">
        <f t="shared" si="81"/>
        <v>165208</v>
      </c>
      <c r="AJ76" s="16">
        <f t="shared" si="82"/>
        <v>165208</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+IF(JULIO!A77=0,"",JULIO!A77)</f>
        <v>1130117-2</v>
      </c>
      <c r="B77" s="646" t="str">
        <f>+IF(JULIO!B77=0,"",JULIO!B77)</f>
        <v>Vigencia Anterior</v>
      </c>
      <c r="C77" s="671">
        <f>+ENERO!C77</f>
        <v>0</v>
      </c>
      <c r="D77" s="373">
        <f>JULIO!D77+AGOSTO!P77</f>
        <v>0</v>
      </c>
      <c r="E77" s="373">
        <f>JULIO!E77+AGOSTO!Q77</f>
        <v>602749</v>
      </c>
      <c r="F77" s="373">
        <f t="shared" si="85"/>
        <v>602749</v>
      </c>
      <c r="G77" s="373">
        <f>JULIO!I77</f>
        <v>602749</v>
      </c>
      <c r="H77" s="374">
        <v>0</v>
      </c>
      <c r="I77" s="373">
        <f t="shared" si="86"/>
        <v>602749</v>
      </c>
      <c r="J77" s="373">
        <f>JULIO!L77</f>
        <v>602749</v>
      </c>
      <c r="K77" s="374">
        <v>0</v>
      </c>
      <c r="L77" s="373">
        <f t="shared" si="87"/>
        <v>602749</v>
      </c>
      <c r="M77" s="373">
        <f t="shared" si="88"/>
        <v>0</v>
      </c>
      <c r="N77" s="143">
        <f t="shared" si="89"/>
        <v>0</v>
      </c>
      <c r="O77" s="382"/>
      <c r="P77" s="372">
        <v>0</v>
      </c>
      <c r="Q77" s="375">
        <v>0</v>
      </c>
      <c r="R77" s="9"/>
      <c r="S77" s="706" t="str">
        <f>+IF(JULIO!S77=0,"",JULIO!S77)</f>
        <v>1020104-10</v>
      </c>
      <c r="T77" s="682" t="str">
        <f>+IF(JULIO!T77=0,"",JULIO!T77)</f>
        <v>Subsidio de Alimentación</v>
      </c>
      <c r="U77" s="27">
        <f>+ENERO!U77</f>
        <v>1200000</v>
      </c>
      <c r="V77" s="15">
        <f>JULIO!V77+AGOSTO!AL77</f>
        <v>0</v>
      </c>
      <c r="W77" s="15">
        <f>JULIO!W77+AGOSTO!AM77</f>
        <v>0</v>
      </c>
      <c r="X77" s="18">
        <f t="shared" si="76"/>
        <v>1200000</v>
      </c>
      <c r="Y77" s="19">
        <f>JULIO!AA77</f>
        <v>716913</v>
      </c>
      <c r="Z77" s="374">
        <v>114512</v>
      </c>
      <c r="AA77" s="18">
        <f t="shared" si="77"/>
        <v>831425</v>
      </c>
      <c r="AB77" s="19">
        <f>JULIO!AD77</f>
        <v>716913</v>
      </c>
      <c r="AC77" s="374">
        <v>114512</v>
      </c>
      <c r="AD77" s="18">
        <f t="shared" si="78"/>
        <v>831425</v>
      </c>
      <c r="AE77" s="19">
        <f>JULIO!AG77</f>
        <v>716913</v>
      </c>
      <c r="AF77" s="374">
        <v>114512</v>
      </c>
      <c r="AG77" s="18">
        <f t="shared" si="79"/>
        <v>831425</v>
      </c>
      <c r="AH77" s="19">
        <f t="shared" si="80"/>
        <v>368575</v>
      </c>
      <c r="AI77" s="15">
        <f t="shared" si="81"/>
        <v>368575</v>
      </c>
      <c r="AJ77" s="16">
        <f t="shared" si="82"/>
        <v>368575</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3">
        <f>+IF(JULIO!A78=0,"",JULIO!A78)</f>
        <v>1130118</v>
      </c>
      <c r="B78" s="645" t="str">
        <f>+IF(JULIO!B78=0,"",JULIO!B78)</f>
        <v>PARTICULARES   (Venta de Contado)</v>
      </c>
      <c r="C78" s="43">
        <f>SUM(C79:C80)</f>
        <v>435000000</v>
      </c>
      <c r="D78" s="44">
        <f>SUM(D79:D80)</f>
        <v>0</v>
      </c>
      <c r="E78" s="44">
        <f>SUM(E79:E80)</f>
        <v>1833000</v>
      </c>
      <c r="F78" s="44">
        <f t="shared" si="85"/>
        <v>436833000</v>
      </c>
      <c r="G78" s="44">
        <f>SUM(G79:G80)</f>
        <v>318592729</v>
      </c>
      <c r="H78" s="44">
        <f>SUM(H79:H80)</f>
        <v>20315107</v>
      </c>
      <c r="I78" s="44">
        <f t="shared" si="86"/>
        <v>338907836</v>
      </c>
      <c r="J78" s="44">
        <f>SUM(J79:J80)</f>
        <v>318592729</v>
      </c>
      <c r="K78" s="44">
        <f>SUM(K79:K80)</f>
        <v>20315107</v>
      </c>
      <c r="L78" s="44">
        <f t="shared" si="87"/>
        <v>338907836</v>
      </c>
      <c r="M78" s="44">
        <f t="shared" si="88"/>
        <v>97925164</v>
      </c>
      <c r="N78" s="45">
        <f t="shared" si="89"/>
        <v>97925164</v>
      </c>
      <c r="O78" s="382"/>
      <c r="P78" s="43">
        <f>SUM(P79:P80)</f>
        <v>0</v>
      </c>
      <c r="Q78" s="45">
        <f>SUM(Q79:Q80)</f>
        <v>59600</v>
      </c>
      <c r="R78" s="9"/>
      <c r="S78" s="706" t="str">
        <f>+IF(JULIO!S78=0,"",JULIO!S78)</f>
        <v>1020104-12</v>
      </c>
      <c r="T78" s="682" t="str">
        <f>+IF(JULIO!T78=0,"",JULIO!T78)</f>
        <v>Indemnizaciones por Vacaciones o Supresión de Cargos por Reestructuración</v>
      </c>
      <c r="U78" s="27">
        <f>+ENERO!U78</f>
        <v>0</v>
      </c>
      <c r="V78" s="15">
        <f>JULIO!V78+AGOSTO!AL78</f>
        <v>0</v>
      </c>
      <c r="W78" s="15">
        <f>JULIO!W78+AGOSTO!AM78</f>
        <v>0</v>
      </c>
      <c r="X78" s="18">
        <f t="shared" si="76"/>
        <v>0</v>
      </c>
      <c r="Y78" s="19">
        <f>JULIO!AA78</f>
        <v>0</v>
      </c>
      <c r="Z78" s="374">
        <v>0</v>
      </c>
      <c r="AA78" s="18">
        <f t="shared" si="77"/>
        <v>0</v>
      </c>
      <c r="AB78" s="19">
        <f>JULIO!AD78</f>
        <v>0</v>
      </c>
      <c r="AC78" s="374">
        <v>0</v>
      </c>
      <c r="AD78" s="18">
        <f t="shared" si="78"/>
        <v>0</v>
      </c>
      <c r="AE78" s="19">
        <f>JULIO!AG78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+IF(JULIO!A79=0,"",JULIO!A79)</f>
        <v>1130118-1</v>
      </c>
      <c r="B79" s="646" t="str">
        <f>+CONCATENATE("Vigencia ",INSTRUCCIONES!$F$3)</f>
        <v>Vigencia 2017</v>
      </c>
      <c r="C79" s="671">
        <f>+ENERO!C79</f>
        <v>435000000</v>
      </c>
      <c r="D79" s="373">
        <f>JULIO!D79+AGOSTO!P79</f>
        <v>0</v>
      </c>
      <c r="E79" s="373">
        <f>JULIO!E79+AGOSTO!Q79</f>
        <v>0</v>
      </c>
      <c r="F79" s="373">
        <f t="shared" si="85"/>
        <v>435000000</v>
      </c>
      <c r="G79" s="373">
        <f>JULIO!I79</f>
        <v>316635218</v>
      </c>
      <c r="H79" s="374">
        <v>19524364</v>
      </c>
      <c r="I79" s="373">
        <f t="shared" si="86"/>
        <v>336159582</v>
      </c>
      <c r="J79" s="373">
        <f>JULIO!L79</f>
        <v>316635218</v>
      </c>
      <c r="K79" s="374">
        <v>19524364</v>
      </c>
      <c r="L79" s="373">
        <f t="shared" si="87"/>
        <v>336159582</v>
      </c>
      <c r="M79" s="373">
        <f t="shared" si="88"/>
        <v>98840418</v>
      </c>
      <c r="N79" s="143">
        <f t="shared" si="89"/>
        <v>98840418</v>
      </c>
      <c r="P79" s="372">
        <v>0</v>
      </c>
      <c r="Q79" s="375">
        <v>0</v>
      </c>
      <c r="R79" s="9"/>
      <c r="S79" s="706" t="str">
        <f>+IF(JULIO!S79=0,"",JULIO!S79)</f>
        <v>1020104-13</v>
      </c>
      <c r="T79" s="682" t="str">
        <f>+IF(JULIO!T79=0,"",JULIO!T79)</f>
        <v>Bonificación Especial por Recreación</v>
      </c>
      <c r="U79" s="27">
        <f>+ENERO!U79</f>
        <v>2582164</v>
      </c>
      <c r="V79" s="15">
        <f>JULIO!V79+AGOSTO!AL79</f>
        <v>0</v>
      </c>
      <c r="W79" s="15">
        <f>JULIO!W79+AGOSTO!AM79</f>
        <v>0</v>
      </c>
      <c r="X79" s="18">
        <f t="shared" si="76"/>
        <v>2582164</v>
      </c>
      <c r="Y79" s="19">
        <f>JULIO!AA79</f>
        <v>2003711</v>
      </c>
      <c r="Z79" s="374">
        <v>0</v>
      </c>
      <c r="AA79" s="18">
        <f t="shared" si="77"/>
        <v>2003711</v>
      </c>
      <c r="AB79" s="19">
        <f>JULIO!AD79</f>
        <v>2003711</v>
      </c>
      <c r="AC79" s="374">
        <v>0</v>
      </c>
      <c r="AD79" s="18">
        <f t="shared" si="78"/>
        <v>2003711</v>
      </c>
      <c r="AE79" s="19">
        <f>JULIO!AG79</f>
        <v>2003711</v>
      </c>
      <c r="AF79" s="374">
        <v>0</v>
      </c>
      <c r="AG79" s="18">
        <f t="shared" si="79"/>
        <v>2003711</v>
      </c>
      <c r="AH79" s="19">
        <f t="shared" si="80"/>
        <v>578453</v>
      </c>
      <c r="AI79" s="15">
        <f t="shared" si="81"/>
        <v>578453</v>
      </c>
      <c r="AJ79" s="16">
        <f t="shared" si="82"/>
        <v>578453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+IF(JULIO!A80=0,"",JULIO!A80)</f>
        <v>1130118-2</v>
      </c>
      <c r="B80" s="646" t="str">
        <f>+IF(JULIO!B80=0,"",JULIO!B80)</f>
        <v>Vigencia Anterior</v>
      </c>
      <c r="C80" s="671">
        <f>+ENERO!C80</f>
        <v>0</v>
      </c>
      <c r="D80" s="373">
        <f>JULIO!D80+AGOSTO!P80</f>
        <v>0</v>
      </c>
      <c r="E80" s="373">
        <f>JULIO!E80+AGOSTO!Q80</f>
        <v>1833000</v>
      </c>
      <c r="F80" s="373">
        <f t="shared" si="85"/>
        <v>1833000</v>
      </c>
      <c r="G80" s="373">
        <f>JULIO!I80</f>
        <v>1957511</v>
      </c>
      <c r="H80" s="374">
        <v>790743</v>
      </c>
      <c r="I80" s="373">
        <f t="shared" si="86"/>
        <v>2748254</v>
      </c>
      <c r="J80" s="373">
        <f>JULIO!L80</f>
        <v>1957511</v>
      </c>
      <c r="K80" s="374">
        <v>790743</v>
      </c>
      <c r="L80" s="373">
        <f t="shared" si="87"/>
        <v>2748254</v>
      </c>
      <c r="M80" s="373">
        <f t="shared" si="88"/>
        <v>-915254</v>
      </c>
      <c r="N80" s="143">
        <f t="shared" si="89"/>
        <v>-915254</v>
      </c>
      <c r="O80" s="382"/>
      <c r="P80" s="372">
        <v>0</v>
      </c>
      <c r="Q80" s="375">
        <v>59600</v>
      </c>
      <c r="S80" s="706" t="str">
        <f>+IF(JULIO!S80=0,"",JULIO!S80)</f>
        <v>1020104-14</v>
      </c>
      <c r="T80" s="682" t="str">
        <f>+IF(JULIO!T80=0,"",JULIO!T80)</f>
        <v/>
      </c>
      <c r="U80" s="27">
        <f>+ENERO!U80</f>
        <v>48881820</v>
      </c>
      <c r="V80" s="15">
        <f>JULIO!V80+AGOSTO!AL80</f>
        <v>30000000</v>
      </c>
      <c r="W80" s="15">
        <f>JULIO!W80+AGOSTO!AM80</f>
        <v>0</v>
      </c>
      <c r="X80" s="18">
        <f t="shared" si="76"/>
        <v>78881820</v>
      </c>
      <c r="Y80" s="19">
        <f>JULIO!AA80</f>
        <v>47024060</v>
      </c>
      <c r="Z80" s="374">
        <v>6351381</v>
      </c>
      <c r="AA80" s="18">
        <f t="shared" si="77"/>
        <v>53375441</v>
      </c>
      <c r="AB80" s="19">
        <f>JULIO!AD80</f>
        <v>47024060</v>
      </c>
      <c r="AC80" s="374">
        <v>6351381</v>
      </c>
      <c r="AD80" s="18">
        <f t="shared" si="78"/>
        <v>53375441</v>
      </c>
      <c r="AE80" s="19">
        <f>JULIO!AG80</f>
        <v>47024060</v>
      </c>
      <c r="AF80" s="374">
        <v>6351381</v>
      </c>
      <c r="AG80" s="18">
        <f t="shared" si="79"/>
        <v>53375441</v>
      </c>
      <c r="AH80" s="19">
        <f t="shared" si="80"/>
        <v>25506379</v>
      </c>
      <c r="AI80" s="15">
        <f t="shared" si="81"/>
        <v>25506379</v>
      </c>
      <c r="AJ80" s="16">
        <f t="shared" si="82"/>
        <v>25506379</v>
      </c>
      <c r="AL80" s="372">
        <v>30000000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3">
        <f>+IF(JULIO!A81=0,"",JULIO!A81)</f>
        <v>1130119</v>
      </c>
      <c r="B81" s="649"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5">
        <f>+IF(JULIO!S81=0,"",JULIO!S81)</f>
        <v>1020199</v>
      </c>
      <c r="T81" s="681" t="str">
        <f>+IF(JULIO!T81=0,"",JULIO!T81)</f>
        <v>Vigencias Anteriores</v>
      </c>
      <c r="U81" s="27">
        <f>+ENERO!U81</f>
        <v>0</v>
      </c>
      <c r="V81" s="15">
        <f>JULIO!V81+AGOSTO!AL81</f>
        <v>0</v>
      </c>
      <c r="W81" s="15">
        <f>JULIO!W81+AGOSTO!AM81</f>
        <v>0</v>
      </c>
      <c r="X81" s="18">
        <f t="shared" si="76"/>
        <v>0</v>
      </c>
      <c r="Y81" s="19">
        <f>JULIO!AA81</f>
        <v>0</v>
      </c>
      <c r="Z81" s="374">
        <v>0</v>
      </c>
      <c r="AA81" s="18">
        <f t="shared" si="77"/>
        <v>0</v>
      </c>
      <c r="AB81" s="19">
        <f>JULIO!AD81</f>
        <v>0</v>
      </c>
      <c r="AC81" s="374">
        <v>0</v>
      </c>
      <c r="AD81" s="18">
        <f t="shared" si="78"/>
        <v>0</v>
      </c>
      <c r="AE81" s="19">
        <f>JULIO!AG81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+IF(JULIO!A82=0,"",JULIO!A82)</f>
        <v>1130119-1</v>
      </c>
      <c r="B82" s="646" t="str">
        <f>+CONCATENATE("Vigencia ",INSTRUCCIONES!$F$3)</f>
        <v>Vigencia 2017</v>
      </c>
      <c r="C82" s="671">
        <f>+ENERO!C82</f>
        <v>0</v>
      </c>
      <c r="D82" s="373">
        <f>JULIO!D82+AGOSTO!P82</f>
        <v>0</v>
      </c>
      <c r="E82" s="373">
        <f>JULIO!E82+AGOSTO!Q82</f>
        <v>0</v>
      </c>
      <c r="F82" s="373">
        <f t="shared" si="85"/>
        <v>0</v>
      </c>
      <c r="G82" s="373">
        <f>JULIO!I82</f>
        <v>0</v>
      </c>
      <c r="H82" s="374">
        <v>0</v>
      </c>
      <c r="I82" s="373">
        <f t="shared" si="86"/>
        <v>0</v>
      </c>
      <c r="J82" s="373">
        <f>JULIO!L82</f>
        <v>0</v>
      </c>
      <c r="K82" s="374">
        <v>0</v>
      </c>
      <c r="L82" s="373">
        <f t="shared" si="87"/>
        <v>0</v>
      </c>
      <c r="M82" s="373">
        <f t="shared" si="88"/>
        <v>0</v>
      </c>
      <c r="N82" s="143">
        <f t="shared" si="89"/>
        <v>0</v>
      </c>
      <c r="P82" s="372">
        <v>0</v>
      </c>
      <c r="Q82" s="375">
        <v>0</v>
      </c>
      <c r="R82" s="9"/>
      <c r="S82" s="366" t="str">
        <f>+IF(JULIO!S82=0,"",JULIO!S82)</f>
        <v/>
      </c>
      <c r="T82" s="695"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+IF(JULIO!A83=0,"",JULIO!A83)</f>
        <v>1130119-2</v>
      </c>
      <c r="B83" s="650" t="str">
        <f>+IF(JULIO!B83=0,"",JULIO!B83)</f>
        <v>Vigencia Anterior</v>
      </c>
      <c r="C83" s="769">
        <f>+ENERO!C83</f>
        <v>0</v>
      </c>
      <c r="D83" s="385">
        <f>JULIO!D83+AGOSTO!P83</f>
        <v>0</v>
      </c>
      <c r="E83" s="385">
        <f>JULIO!E83+AGOSTO!Q83</f>
        <v>0</v>
      </c>
      <c r="F83" s="385">
        <f t="shared" si="85"/>
        <v>0</v>
      </c>
      <c r="G83" s="385">
        <f>JULIO!I83</f>
        <v>0</v>
      </c>
      <c r="H83" s="388">
        <v>0</v>
      </c>
      <c r="I83" s="385">
        <f t="shared" si="86"/>
        <v>0</v>
      </c>
      <c r="J83" s="385">
        <f>JULIO!L83</f>
        <v>0</v>
      </c>
      <c r="K83" s="388">
        <v>0</v>
      </c>
      <c r="L83" s="385">
        <f t="shared" si="87"/>
        <v>0</v>
      </c>
      <c r="M83" s="385">
        <f t="shared" si="88"/>
        <v>0</v>
      </c>
      <c r="N83" s="386">
        <f t="shared" si="89"/>
        <v>0</v>
      </c>
      <c r="P83" s="372">
        <v>0</v>
      </c>
      <c r="Q83" s="375">
        <v>0</v>
      </c>
      <c r="R83" s="9"/>
      <c r="S83" s="704">
        <f>+IF(JULIO!S83=0,"",JULIO!S83)</f>
        <v>1020200</v>
      </c>
      <c r="T83" s="680" t="str">
        <f>+IF(JULIO!T83=0,"",JULIO!T83)</f>
        <v>Servicios Personales Indirectos</v>
      </c>
      <c r="U83" s="132">
        <f t="shared" ref="U83:AJ83" si="91">SUM(U84:U88)</f>
        <v>22232471701</v>
      </c>
      <c r="V83" s="122">
        <f t="shared" si="91"/>
        <v>311535824</v>
      </c>
      <c r="W83" s="122">
        <f t="shared" si="91"/>
        <v>6533605163</v>
      </c>
      <c r="X83" s="129">
        <f t="shared" si="91"/>
        <v>29077612688</v>
      </c>
      <c r="Y83" s="128">
        <f t="shared" si="91"/>
        <v>23379508747</v>
      </c>
      <c r="Z83" s="122">
        <f t="shared" si="91"/>
        <v>4124942763</v>
      </c>
      <c r="AA83" s="129">
        <f t="shared" si="91"/>
        <v>27504451510</v>
      </c>
      <c r="AB83" s="128">
        <f t="shared" si="91"/>
        <v>18916540669</v>
      </c>
      <c r="AC83" s="122">
        <f t="shared" si="91"/>
        <v>1831471564</v>
      </c>
      <c r="AD83" s="129">
        <f t="shared" si="91"/>
        <v>20748012233</v>
      </c>
      <c r="AE83" s="128">
        <f t="shared" si="91"/>
        <v>11224691395</v>
      </c>
      <c r="AF83" s="122">
        <f t="shared" si="91"/>
        <v>1433010495</v>
      </c>
      <c r="AG83" s="129">
        <f t="shared" si="91"/>
        <v>12657701890</v>
      </c>
      <c r="AH83" s="128">
        <f t="shared" si="91"/>
        <v>1573161178</v>
      </c>
      <c r="AI83" s="122">
        <f t="shared" si="91"/>
        <v>8329600455</v>
      </c>
      <c r="AJ83" s="130">
        <f t="shared" si="91"/>
        <v>16419910798</v>
      </c>
      <c r="AK83" s="9"/>
      <c r="AL83" s="128">
        <f>SUM(AL84:AL88)</f>
        <v>-157000000</v>
      </c>
      <c r="AM83" s="130">
        <f>SUM(AM84:AM88)</f>
        <v>2033605163</v>
      </c>
      <c r="AN83" s="9"/>
      <c r="AO83" s="294"/>
      <c r="AP83" s="294"/>
      <c r="AQ83" s="294"/>
      <c r="AR83" s="294"/>
      <c r="AS83" s="294"/>
      <c r="AT83" s="294"/>
      <c r="AU83" s="294"/>
      <c r="AV83" s="294"/>
      <c r="AW83" s="294"/>
      <c r="AX83" s="294"/>
      <c r="AY83" s="294"/>
      <c r="AZ83" s="294"/>
      <c r="BM83" s="9"/>
    </row>
    <row r="84" spans="1:70" s="382" customFormat="1" ht="24.95" customHeight="1" thickBot="1">
      <c r="A84" s="736" t="str">
        <f>+IF(JULIO!A84=0,"",JULIO!A84)</f>
        <v/>
      </c>
      <c r="B84" s="651" t="str">
        <f>+IF(JULIO!B84=0,"",JULIO!B84)</f>
        <v/>
      </c>
      <c r="C84" s="294"/>
      <c r="D84" s="294"/>
      <c r="E84" s="294"/>
      <c r="F84" s="294"/>
      <c r="G84" s="294"/>
      <c r="H84" s="294"/>
      <c r="I84" s="294"/>
      <c r="J84" s="294"/>
      <c r="K84" s="294"/>
      <c r="L84" s="294"/>
      <c r="M84" s="294"/>
      <c r="N84" s="463"/>
      <c r="O84" s="461"/>
      <c r="P84" s="467"/>
      <c r="Q84" s="391"/>
      <c r="R84" s="9"/>
      <c r="S84" s="705" t="str">
        <f>+IF(JULIO!S84=0,"",JULIO!S84)</f>
        <v>1020200-1</v>
      </c>
      <c r="T84" s="681" t="str">
        <f>+IF(JULIO!T84=0,"",JULIO!T84)</f>
        <v>Remuneración y Honorarios por Servicios Técnicos y Profesionales</v>
      </c>
      <c r="U84" s="27">
        <f>+ENERO!U84</f>
        <v>1000000000</v>
      </c>
      <c r="V84" s="15">
        <f>JULIO!V84+AGOSTO!AL84</f>
        <v>2377000000</v>
      </c>
      <c r="W84" s="15">
        <f>JULIO!W84+AGOSTO!AM84</f>
        <v>1300000000</v>
      </c>
      <c r="X84" s="18">
        <f>SUM(U84:W84)</f>
        <v>4677000000</v>
      </c>
      <c r="Y84" s="19">
        <f>JULIO!AA84</f>
        <v>3623340058</v>
      </c>
      <c r="Z84" s="374">
        <v>293360000</v>
      </c>
      <c r="AA84" s="18">
        <f>SUM(Y84:Z84)</f>
        <v>3916700058</v>
      </c>
      <c r="AB84" s="19">
        <f>JULIO!AD84</f>
        <v>2130615223</v>
      </c>
      <c r="AC84" s="374">
        <v>458119997</v>
      </c>
      <c r="AD84" s="18">
        <f>SUM(AB84:AC84)</f>
        <v>2588735220</v>
      </c>
      <c r="AE84" s="19">
        <f>JULIO!AG84</f>
        <v>1531387513</v>
      </c>
      <c r="AF84" s="374">
        <v>453808632</v>
      </c>
      <c r="AG84" s="18">
        <f>SUM(AE84:AF84)</f>
        <v>1985196145</v>
      </c>
      <c r="AH84" s="19">
        <f>X84-AA84</f>
        <v>760299942</v>
      </c>
      <c r="AI84" s="15">
        <f>X84-AD84</f>
        <v>2088264780</v>
      </c>
      <c r="AJ84" s="16">
        <f>X84-AG84</f>
        <v>2691803855</v>
      </c>
      <c r="AK84" s="9"/>
      <c r="AL84" s="372">
        <v>222000000</v>
      </c>
      <c r="AM84" s="375">
        <v>800000000</v>
      </c>
      <c r="AN84" s="9"/>
      <c r="AO84" s="294"/>
      <c r="AP84" s="294"/>
      <c r="AQ84" s="294"/>
      <c r="AR84" s="294"/>
      <c r="AS84" s="294"/>
      <c r="AT84" s="294"/>
      <c r="AU84" s="294"/>
      <c r="AV84" s="294"/>
      <c r="AW84" s="294"/>
      <c r="AX84" s="294"/>
      <c r="AY84" s="294"/>
      <c r="AZ84" s="294"/>
    </row>
    <row r="85" spans="1:70" s="382" customFormat="1" ht="24.95" customHeight="1">
      <c r="A85" s="737">
        <f>+IF(JULIO!A85=0,"",JULIO!A85)</f>
        <v>11302</v>
      </c>
      <c r="B85" s="652" t="str">
        <f>+IF(JULIO!B85=0,"",JULIO!B85)</f>
        <v>Otras Ventas de Servicios de Salud</v>
      </c>
      <c r="C85" s="617">
        <f t="shared" ref="C85:N85" si="92">SUM(C86:C92)</f>
        <v>0</v>
      </c>
      <c r="D85" s="615">
        <f t="shared" si="92"/>
        <v>0</v>
      </c>
      <c r="E85" s="615">
        <f t="shared" si="92"/>
        <v>0</v>
      </c>
      <c r="F85" s="615">
        <f t="shared" si="92"/>
        <v>0</v>
      </c>
      <c r="G85" s="615">
        <f t="shared" si="92"/>
        <v>0</v>
      </c>
      <c r="H85" s="615">
        <f t="shared" si="92"/>
        <v>0</v>
      </c>
      <c r="I85" s="615">
        <f t="shared" si="92"/>
        <v>0</v>
      </c>
      <c r="J85" s="615">
        <f t="shared" si="92"/>
        <v>0</v>
      </c>
      <c r="K85" s="615">
        <f t="shared" si="92"/>
        <v>0</v>
      </c>
      <c r="L85" s="615">
        <f t="shared" si="92"/>
        <v>0</v>
      </c>
      <c r="M85" s="615">
        <f t="shared" si="92"/>
        <v>0</v>
      </c>
      <c r="N85" s="616">
        <f t="shared" si="92"/>
        <v>0</v>
      </c>
      <c r="P85" s="43">
        <f>SUM(P86:P92)</f>
        <v>0</v>
      </c>
      <c r="Q85" s="45">
        <f>SUM(Q86:Q92)</f>
        <v>0</v>
      </c>
      <c r="R85" s="9"/>
      <c r="S85" s="705" t="str">
        <f>+IF(JULIO!S85=0,"",JULIO!S85)</f>
        <v>1020200-2</v>
      </c>
      <c r="T85" s="681" t="str">
        <f>+IF(JULIO!T85=0,"",JULIO!T85)</f>
        <v>Personal Supernumerario</v>
      </c>
      <c r="U85" s="27">
        <f>+ENERO!U85</f>
        <v>0</v>
      </c>
      <c r="V85" s="15">
        <f>JULIO!V85+AGOSTO!AL85</f>
        <v>0</v>
      </c>
      <c r="W85" s="15">
        <f>JULIO!W85+AGOSTO!AM85</f>
        <v>0</v>
      </c>
      <c r="X85" s="18">
        <f>SUM(U85:W85)</f>
        <v>0</v>
      </c>
      <c r="Y85" s="19">
        <f>JULIO!AA85</f>
        <v>0</v>
      </c>
      <c r="Z85" s="374">
        <v>0</v>
      </c>
      <c r="AA85" s="18">
        <f>SUM(Y85:Z85)</f>
        <v>0</v>
      </c>
      <c r="AB85" s="19">
        <f>JULIO!AD85</f>
        <v>0</v>
      </c>
      <c r="AC85" s="374">
        <v>0</v>
      </c>
      <c r="AD85" s="18">
        <f>SUM(AB85:AC85)</f>
        <v>0</v>
      </c>
      <c r="AE85" s="19">
        <f>JULIO!AG85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8">
        <f>+IF(JULIO!A86=0,"",JULIO!A86)</f>
        <v>1130201</v>
      </c>
      <c r="B86" s="626" t="str">
        <f>+IF(JULIO!B86=0,"",JULIO!B86)</f>
        <v/>
      </c>
      <c r="C86" s="669">
        <f>+ENERO!C86</f>
        <v>0</v>
      </c>
      <c r="D86" s="373">
        <f>JULIO!D86+AGOSTO!P86</f>
        <v>0</v>
      </c>
      <c r="E86" s="373">
        <f>JULIO!E86+AGOSTO!Q86</f>
        <v>0</v>
      </c>
      <c r="F86" s="373">
        <f t="shared" ref="F86:F92" si="93">SUM(C86:E86)</f>
        <v>0</v>
      </c>
      <c r="G86" s="373">
        <f>JULIO!I86</f>
        <v>0</v>
      </c>
      <c r="H86" s="374">
        <v>0</v>
      </c>
      <c r="I86" s="373">
        <f t="shared" ref="I86:I92" si="94">SUM(G86:H86)</f>
        <v>0</v>
      </c>
      <c r="J86" s="373">
        <f>JULIO!L86</f>
        <v>0</v>
      </c>
      <c r="K86" s="374">
        <v>0</v>
      </c>
      <c r="L86" s="373">
        <f t="shared" ref="L86:L92" si="95">SUM(J86:K86)</f>
        <v>0</v>
      </c>
      <c r="M86" s="373">
        <f t="shared" ref="M86:M92" si="96">F86-I86</f>
        <v>0</v>
      </c>
      <c r="N86" s="143">
        <f t="shared" ref="N86:N92" si="97">F86-L86</f>
        <v>0</v>
      </c>
      <c r="O86" s="382"/>
      <c r="P86" s="372">
        <v>0</v>
      </c>
      <c r="Q86" s="375">
        <v>0</v>
      </c>
      <c r="S86" s="705" t="str">
        <f>+IF(JULIO!S86=0,"",JULIO!S86)</f>
        <v>1020200-4</v>
      </c>
      <c r="T86" s="681" t="str">
        <f>+IF(JULIO!T86=0,"",JULIO!T86)</f>
        <v>Otros Honorarios</v>
      </c>
      <c r="U86" s="27">
        <f>+ENERO!U86</f>
        <v>19000000000</v>
      </c>
      <c r="V86" s="15">
        <f>JULIO!V86+AGOSTO!AL86</f>
        <v>-3925446678</v>
      </c>
      <c r="W86" s="15">
        <f>JULIO!W86+AGOSTO!AM86</f>
        <v>2850000000</v>
      </c>
      <c r="X86" s="18">
        <f>SUM(U86:W86)</f>
        <v>17924553322</v>
      </c>
      <c r="Y86" s="19">
        <f>JULIO!AA86</f>
        <v>13663714486</v>
      </c>
      <c r="Z86" s="374">
        <v>3621266171</v>
      </c>
      <c r="AA86" s="18">
        <f>SUM(Y86:Z86)</f>
        <v>17284980657</v>
      </c>
      <c r="AB86" s="19">
        <f>JULIO!AD86</f>
        <v>10693471243</v>
      </c>
      <c r="AC86" s="374">
        <v>1163034975</v>
      </c>
      <c r="AD86" s="18">
        <f>SUM(AB86:AC86)</f>
        <v>11856506218</v>
      </c>
      <c r="AE86" s="19">
        <f>JULIO!AG86</f>
        <v>3600849679</v>
      </c>
      <c r="AF86" s="374">
        <v>768885271</v>
      </c>
      <c r="AG86" s="18">
        <f>SUM(AE86:AF86)</f>
        <v>4369734950</v>
      </c>
      <c r="AH86" s="19">
        <f>X86-AA86</f>
        <v>639572665</v>
      </c>
      <c r="AI86" s="15">
        <f>X86-AD86</f>
        <v>6068047104</v>
      </c>
      <c r="AJ86" s="16">
        <f>X86-AG86</f>
        <v>13554818372</v>
      </c>
      <c r="AL86" s="372">
        <v>-379000000</v>
      </c>
      <c r="AM86" s="375">
        <v>850000000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8">
        <f>+IF(JULIO!A87=0,"",JULIO!A87)</f>
        <v>1130202</v>
      </c>
      <c r="B87" s="626" t="str">
        <f>+IF(JULIO!B87=0,"",JULIO!B87)</f>
        <v/>
      </c>
      <c r="C87" s="669">
        <f>+ENERO!C87</f>
        <v>0</v>
      </c>
      <c r="D87" s="373">
        <f>JULIO!D87+AGOSTO!P87</f>
        <v>0</v>
      </c>
      <c r="E87" s="373">
        <f>JULIO!E87+AGOSTO!Q87</f>
        <v>0</v>
      </c>
      <c r="F87" s="373">
        <f t="shared" si="93"/>
        <v>0</v>
      </c>
      <c r="G87" s="373">
        <f>JULIO!I87</f>
        <v>0</v>
      </c>
      <c r="H87" s="374">
        <v>0</v>
      </c>
      <c r="I87" s="373">
        <f t="shared" si="94"/>
        <v>0</v>
      </c>
      <c r="J87" s="373">
        <f>JULIO!L87</f>
        <v>0</v>
      </c>
      <c r="K87" s="374">
        <v>0</v>
      </c>
      <c r="L87" s="373">
        <f t="shared" si="95"/>
        <v>0</v>
      </c>
      <c r="M87" s="373">
        <f t="shared" si="96"/>
        <v>0</v>
      </c>
      <c r="N87" s="143">
        <f t="shared" si="97"/>
        <v>0</v>
      </c>
      <c r="P87" s="372">
        <v>0</v>
      </c>
      <c r="Q87" s="375">
        <v>0</v>
      </c>
      <c r="R87" s="9"/>
      <c r="S87" s="705" t="str">
        <f>+IF(JULIO!S87=0,"",JULIO!S87)</f>
        <v/>
      </c>
      <c r="T87" s="681" t="str">
        <f>+IF(JULIO!T87=0,"",JULIO!T87)</f>
        <v/>
      </c>
      <c r="U87" s="27">
        <f>+ENERO!U87</f>
        <v>0</v>
      </c>
      <c r="V87" s="15">
        <f>JULIO!V87+AGOSTO!AL87</f>
        <v>0</v>
      </c>
      <c r="W87" s="15">
        <f>JULIO!W87+AGOSTO!AM87</f>
        <v>0</v>
      </c>
      <c r="X87" s="18">
        <f>SUM(U87:W87)</f>
        <v>0</v>
      </c>
      <c r="Y87" s="19">
        <f>JULIO!AA87</f>
        <v>0</v>
      </c>
      <c r="Z87" s="374">
        <v>0</v>
      </c>
      <c r="AA87" s="18">
        <f>SUM(Y87:Z87)</f>
        <v>0</v>
      </c>
      <c r="AB87" s="19">
        <f>JULIO!AD87</f>
        <v>0</v>
      </c>
      <c r="AC87" s="374">
        <v>0</v>
      </c>
      <c r="AD87" s="18">
        <f>SUM(AB87:AC87)</f>
        <v>0</v>
      </c>
      <c r="AE87" s="19">
        <f>JULIO!AG87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8">
        <f>+IF(JULIO!A88=0,"",JULIO!A88)</f>
        <v>1130203</v>
      </c>
      <c r="B88" s="627" t="str">
        <f>+IF(JULIO!B88=0,"",JULIO!B88)</f>
        <v>CONVENIOS CON LA NACION LIGADOS A LA VENTA DE SERVICIOS</v>
      </c>
      <c r="C88" s="669">
        <f>+ENERO!C88</f>
        <v>0</v>
      </c>
      <c r="D88" s="373">
        <f>JULIO!D88+AGOSTO!P88</f>
        <v>0</v>
      </c>
      <c r="E88" s="373">
        <f>JULIO!E88+AGOSTO!Q88</f>
        <v>0</v>
      </c>
      <c r="F88" s="373">
        <f t="shared" si="93"/>
        <v>0</v>
      </c>
      <c r="G88" s="373">
        <f>JULIO!I88</f>
        <v>0</v>
      </c>
      <c r="H88" s="374">
        <v>0</v>
      </c>
      <c r="I88" s="373">
        <f t="shared" si="94"/>
        <v>0</v>
      </c>
      <c r="J88" s="373">
        <f>JULIO!L88</f>
        <v>0</v>
      </c>
      <c r="K88" s="374">
        <v>0</v>
      </c>
      <c r="L88" s="373">
        <f t="shared" si="95"/>
        <v>0</v>
      </c>
      <c r="M88" s="373">
        <f t="shared" si="96"/>
        <v>0</v>
      </c>
      <c r="N88" s="143">
        <f t="shared" si="97"/>
        <v>0</v>
      </c>
      <c r="P88" s="372">
        <v>0</v>
      </c>
      <c r="Q88" s="375">
        <v>0</v>
      </c>
      <c r="R88" s="9"/>
      <c r="S88" s="705">
        <f>+IF(JULIO!S88=0,"",JULIO!S88)</f>
        <v>1020299</v>
      </c>
      <c r="T88" s="681" t="str">
        <f>+IF(JULIO!T88=0,"",JULIO!T88)</f>
        <v>Vigencias Anteriores</v>
      </c>
      <c r="U88" s="27">
        <f>+ENERO!U88</f>
        <v>2232471701</v>
      </c>
      <c r="V88" s="15">
        <f>JULIO!V88+AGOSTO!AL88</f>
        <v>1859982502</v>
      </c>
      <c r="W88" s="15">
        <f>JULIO!W88+AGOSTO!AM88</f>
        <v>2383605163</v>
      </c>
      <c r="X88" s="18">
        <f>SUM(U88:W88)</f>
        <v>6476059366</v>
      </c>
      <c r="Y88" s="19">
        <f>JULIO!AA88</f>
        <v>6092454203</v>
      </c>
      <c r="Z88" s="374">
        <v>210316592</v>
      </c>
      <c r="AA88" s="18">
        <f>SUM(Y88:Z88)</f>
        <v>6302770795</v>
      </c>
      <c r="AB88" s="19">
        <f>JULIO!AD88</f>
        <v>6092454203</v>
      </c>
      <c r="AC88" s="374">
        <v>210316592</v>
      </c>
      <c r="AD88" s="18">
        <f>SUM(AB88:AC88)</f>
        <v>6302770795</v>
      </c>
      <c r="AE88" s="19">
        <f>JULIO!AG88</f>
        <v>6092454203</v>
      </c>
      <c r="AF88" s="374">
        <v>210316592</v>
      </c>
      <c r="AG88" s="18">
        <f>SUM(AE88:AF88)</f>
        <v>6302770795</v>
      </c>
      <c r="AH88" s="19">
        <f>X88-AA88</f>
        <v>173288571</v>
      </c>
      <c r="AI88" s="15">
        <f>X88-AD88</f>
        <v>173288571</v>
      </c>
      <c r="AJ88" s="16">
        <f>X88-AG88</f>
        <v>173288571</v>
      </c>
      <c r="AK88" s="9"/>
      <c r="AL88" s="372">
        <v>0</v>
      </c>
      <c r="AM88" s="375">
        <v>383605163</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8">
        <f>+IF(JULIO!A89=0,"",JULIO!A89)</f>
        <v>1130204</v>
      </c>
      <c r="B89" s="627" t="str">
        <f>+IF(JULIO!B89=0,"",JULIO!B89)</f>
        <v>CONVENIOS CON EL DEPARTAMENTO LIGADOS A LA VENTA SERVICIOS</v>
      </c>
      <c r="C89" s="669">
        <f>+ENERO!C89</f>
        <v>0</v>
      </c>
      <c r="D89" s="373">
        <f>JULIO!D89+AGOSTO!P89</f>
        <v>0</v>
      </c>
      <c r="E89" s="373">
        <f>JULIO!E89+AGOSTO!Q89</f>
        <v>0</v>
      </c>
      <c r="F89" s="373">
        <f t="shared" si="93"/>
        <v>0</v>
      </c>
      <c r="G89" s="373">
        <f>JULIO!I89</f>
        <v>0</v>
      </c>
      <c r="H89" s="374">
        <v>0</v>
      </c>
      <c r="I89" s="373">
        <f t="shared" si="94"/>
        <v>0</v>
      </c>
      <c r="J89" s="373">
        <f>JULIO!L89</f>
        <v>0</v>
      </c>
      <c r="K89" s="374">
        <v>0</v>
      </c>
      <c r="L89" s="373">
        <f t="shared" si="95"/>
        <v>0</v>
      </c>
      <c r="M89" s="373">
        <f t="shared" si="96"/>
        <v>0</v>
      </c>
      <c r="N89" s="143">
        <f t="shared" si="97"/>
        <v>0</v>
      </c>
      <c r="P89" s="372">
        <v>0</v>
      </c>
      <c r="Q89" s="375">
        <v>0</v>
      </c>
      <c r="R89" s="9"/>
      <c r="S89" s="366" t="str">
        <f>+IF(JULIO!S89=0,"",JULIO!S89)</f>
        <v/>
      </c>
      <c r="T89" s="695"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8">
        <f>+IF(JULIO!A90=0,"",JULIO!A90)</f>
        <v>1130205</v>
      </c>
      <c r="B90" s="627" t="str">
        <f>+IF(JULIO!B90=0,"",JULIO!B90)</f>
        <v>CONVENIOS CON EL MUNICIPIO LIGADOS A LA VENTA DE SERVICIOS</v>
      </c>
      <c r="C90" s="669">
        <f>+ENERO!C90</f>
        <v>0</v>
      </c>
      <c r="D90" s="373">
        <f>JULIO!D90+AGOSTO!P90</f>
        <v>0</v>
      </c>
      <c r="E90" s="373">
        <f>JULIO!E90+AGOSTO!Q90</f>
        <v>0</v>
      </c>
      <c r="F90" s="373">
        <f t="shared" si="93"/>
        <v>0</v>
      </c>
      <c r="G90" s="373">
        <f>JULIO!I90</f>
        <v>0</v>
      </c>
      <c r="H90" s="374">
        <v>0</v>
      </c>
      <c r="I90" s="373">
        <f t="shared" si="94"/>
        <v>0</v>
      </c>
      <c r="J90" s="373">
        <f>JULIO!L90</f>
        <v>0</v>
      </c>
      <c r="K90" s="374">
        <v>0</v>
      </c>
      <c r="L90" s="373">
        <f t="shared" si="95"/>
        <v>0</v>
      </c>
      <c r="M90" s="373">
        <f t="shared" si="96"/>
        <v>0</v>
      </c>
      <c r="N90" s="143">
        <f t="shared" si="97"/>
        <v>0</v>
      </c>
      <c r="O90" s="382"/>
      <c r="P90" s="372">
        <v>0</v>
      </c>
      <c r="Q90" s="375">
        <v>0</v>
      </c>
      <c r="R90" s="30"/>
      <c r="S90" s="704">
        <f>+IF(JULIO!S90=0,"",JULIO!S90)</f>
        <v>1020300</v>
      </c>
      <c r="T90" s="680" t="str">
        <f>+IF(JULIO!T90=0,"",JULIO!T90)</f>
        <v>Contribuciones Inherentes nómina al Sector Privado</v>
      </c>
      <c r="U90" s="132">
        <f t="shared" ref="U90:AJ90" si="98">U91+U96+U102</f>
        <v>259627762</v>
      </c>
      <c r="V90" s="122">
        <f t="shared" si="98"/>
        <v>-72539920</v>
      </c>
      <c r="W90" s="122">
        <f t="shared" si="98"/>
        <v>292097670</v>
      </c>
      <c r="X90" s="129">
        <f t="shared" si="98"/>
        <v>479185512</v>
      </c>
      <c r="Y90" s="128">
        <f t="shared" si="98"/>
        <v>131192108</v>
      </c>
      <c r="Z90" s="122">
        <f t="shared" si="98"/>
        <v>18241648</v>
      </c>
      <c r="AA90" s="129">
        <f t="shared" si="98"/>
        <v>149433756</v>
      </c>
      <c r="AB90" s="128">
        <f t="shared" si="98"/>
        <v>131192108</v>
      </c>
      <c r="AC90" s="122">
        <f t="shared" si="98"/>
        <v>18241648</v>
      </c>
      <c r="AD90" s="129">
        <f t="shared" si="98"/>
        <v>149433756</v>
      </c>
      <c r="AE90" s="128">
        <f t="shared" si="98"/>
        <v>131192108</v>
      </c>
      <c r="AF90" s="122">
        <f t="shared" si="98"/>
        <v>18241648</v>
      </c>
      <c r="AG90" s="129">
        <f t="shared" si="98"/>
        <v>149433756</v>
      </c>
      <c r="AH90" s="128">
        <f t="shared" si="98"/>
        <v>329751756</v>
      </c>
      <c r="AI90" s="122">
        <f t="shared" si="98"/>
        <v>329751756</v>
      </c>
      <c r="AJ90" s="130">
        <f t="shared" si="98"/>
        <v>329751756</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8">
        <f>+IF(JULIO!A91=0,"",JULIO!A91)</f>
        <v>1130206</v>
      </c>
      <c r="B91" s="627" t="str">
        <f>+IF(JULIO!B91=0,"",JULIO!B91)</f>
        <v>OTROS CONVENIOS LIGADOS A LA VENTA DE SERVICIOS</v>
      </c>
      <c r="C91" s="669">
        <f>+ENERO!C91</f>
        <v>0</v>
      </c>
      <c r="D91" s="373">
        <f>JULIO!D91+AGOSTO!P91</f>
        <v>0</v>
      </c>
      <c r="E91" s="373">
        <f>JULIO!E91+AGOSTO!Q91</f>
        <v>0</v>
      </c>
      <c r="F91" s="373">
        <f t="shared" si="93"/>
        <v>0</v>
      </c>
      <c r="G91" s="373">
        <f>JULIO!I91</f>
        <v>0</v>
      </c>
      <c r="H91" s="374">
        <v>0</v>
      </c>
      <c r="I91" s="373">
        <f t="shared" si="94"/>
        <v>0</v>
      </c>
      <c r="J91" s="373">
        <f>JULIO!L91</f>
        <v>0</v>
      </c>
      <c r="K91" s="374">
        <v>0</v>
      </c>
      <c r="L91" s="373">
        <f t="shared" si="95"/>
        <v>0</v>
      </c>
      <c r="M91" s="373">
        <f t="shared" si="96"/>
        <v>0</v>
      </c>
      <c r="N91" s="143">
        <f t="shared" si="97"/>
        <v>0</v>
      </c>
      <c r="O91" s="382"/>
      <c r="P91" s="372">
        <v>0</v>
      </c>
      <c r="Q91" s="375">
        <v>0</v>
      </c>
      <c r="R91" s="30"/>
      <c r="S91" s="705">
        <f>+IF(JULIO!S91=0,"",JULIO!S91)</f>
        <v>1020301</v>
      </c>
      <c r="T91" s="681" t="str">
        <f>+IF(JULIO!T91=0,"",JULIO!T91)</f>
        <v>Contribuciones - SGP - Aportes Patronales - Cuentas Maestras</v>
      </c>
      <c r="U91" s="27">
        <f t="shared" ref="U91:AJ91" si="99">SUM(U92:U95)</f>
        <v>0</v>
      </c>
      <c r="V91" s="15">
        <f t="shared" si="99"/>
        <v>0</v>
      </c>
      <c r="W91" s="15">
        <f t="shared" si="99"/>
        <v>193557750</v>
      </c>
      <c r="X91" s="18">
        <f t="shared" si="99"/>
        <v>193557750</v>
      </c>
      <c r="Y91" s="19">
        <f t="shared" si="99"/>
        <v>15625382</v>
      </c>
      <c r="Z91" s="142">
        <f t="shared" si="99"/>
        <v>15456424</v>
      </c>
      <c r="AA91" s="18">
        <f t="shared" si="99"/>
        <v>31081806</v>
      </c>
      <c r="AB91" s="19">
        <f t="shared" si="99"/>
        <v>15625382</v>
      </c>
      <c r="AC91" s="142">
        <f t="shared" si="99"/>
        <v>15456424</v>
      </c>
      <c r="AD91" s="18">
        <f t="shared" si="99"/>
        <v>31081806</v>
      </c>
      <c r="AE91" s="19">
        <f t="shared" si="99"/>
        <v>15625382</v>
      </c>
      <c r="AF91" s="142">
        <f t="shared" si="99"/>
        <v>15456424</v>
      </c>
      <c r="AG91" s="18">
        <f t="shared" si="99"/>
        <v>31081806</v>
      </c>
      <c r="AH91" s="19">
        <f t="shared" si="99"/>
        <v>162475944</v>
      </c>
      <c r="AI91" s="15">
        <f t="shared" si="99"/>
        <v>162475944</v>
      </c>
      <c r="AJ91" s="16">
        <f t="shared" si="99"/>
        <v>162475944</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8">
        <f>+IF(JULIO!A92=0,"",JULIO!A92)</f>
        <v>1130207</v>
      </c>
      <c r="B92" s="628" t="str">
        <f>+IF(JULIO!B92=0,"",JULIO!B92)</f>
        <v>Vigencia Anterior</v>
      </c>
      <c r="C92" s="770">
        <f>+ENERO!C92</f>
        <v>0</v>
      </c>
      <c r="D92" s="385">
        <f>JULIO!D92+AGOSTO!P92</f>
        <v>0</v>
      </c>
      <c r="E92" s="385">
        <f>JULIO!E92+AGOSTO!Q92</f>
        <v>0</v>
      </c>
      <c r="F92" s="385">
        <f t="shared" si="93"/>
        <v>0</v>
      </c>
      <c r="G92" s="385">
        <f>JULIO!I92</f>
        <v>0</v>
      </c>
      <c r="H92" s="388">
        <v>0</v>
      </c>
      <c r="I92" s="385">
        <f t="shared" si="94"/>
        <v>0</v>
      </c>
      <c r="J92" s="385">
        <f>JULIO!L92</f>
        <v>0</v>
      </c>
      <c r="K92" s="388">
        <v>0</v>
      </c>
      <c r="L92" s="385">
        <f t="shared" si="95"/>
        <v>0</v>
      </c>
      <c r="M92" s="385">
        <f t="shared" si="96"/>
        <v>0</v>
      </c>
      <c r="N92" s="386">
        <f t="shared" si="97"/>
        <v>0</v>
      </c>
      <c r="O92" s="382"/>
      <c r="P92" s="372">
        <v>0</v>
      </c>
      <c r="Q92" s="375">
        <v>0</v>
      </c>
      <c r="R92" s="30"/>
      <c r="S92" s="706" t="str">
        <f>+IF(JULIO!S92=0,"",JULIO!S92)</f>
        <v>1020301-1</v>
      </c>
      <c r="T92" s="682" t="str">
        <f>+IF(JULIO!T92=0,"",JULIO!T92)</f>
        <v>E.P.S. - Aportes cuentas maestras</v>
      </c>
      <c r="U92" s="27">
        <f>+ENERO!U92</f>
        <v>0</v>
      </c>
      <c r="V92" s="15">
        <f>JULIO!V92+AGOSTO!AL92</f>
        <v>0</v>
      </c>
      <c r="W92" s="15">
        <f>JULIO!W92+AGOSTO!AM92</f>
        <v>40900445</v>
      </c>
      <c r="X92" s="18">
        <f>SUM(U92:W92)</f>
        <v>40900445</v>
      </c>
      <c r="Y92" s="19">
        <f>JULIO!AA92</f>
        <v>6141714</v>
      </c>
      <c r="Z92" s="374">
        <v>5907970</v>
      </c>
      <c r="AA92" s="18">
        <f>SUM(Y92:Z92)</f>
        <v>12049684</v>
      </c>
      <c r="AB92" s="19">
        <f>JULIO!AD92</f>
        <v>6141714</v>
      </c>
      <c r="AC92" s="374">
        <v>5907970</v>
      </c>
      <c r="AD92" s="18">
        <f>SUM(AB92:AC92)</f>
        <v>12049684</v>
      </c>
      <c r="AE92" s="19">
        <f>JULIO!AG92</f>
        <v>6141714</v>
      </c>
      <c r="AF92" s="374">
        <v>5907970</v>
      </c>
      <c r="AG92" s="18">
        <f>SUM(AE92:AF92)</f>
        <v>12049684</v>
      </c>
      <c r="AH92" s="19">
        <f>X92-AA92</f>
        <v>28850761</v>
      </c>
      <c r="AI92" s="15">
        <f>X92-AD92</f>
        <v>28850761</v>
      </c>
      <c r="AJ92" s="16">
        <f>X92-AG92</f>
        <v>28850761</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6" t="str">
        <f>+IF(JULIO!A93=0,"",JULIO!A93)</f>
        <v/>
      </c>
      <c r="B93" s="651" t="str">
        <f>+IF(JULIO!B93=0,"",JULIO!B93)</f>
        <v/>
      </c>
      <c r="C93" s="294"/>
      <c r="D93" s="294"/>
      <c r="E93" s="294"/>
      <c r="F93" s="294"/>
      <c r="G93" s="294"/>
      <c r="H93" s="294"/>
      <c r="I93" s="294"/>
      <c r="J93" s="294"/>
      <c r="K93" s="294"/>
      <c r="L93" s="294"/>
      <c r="M93" s="294"/>
      <c r="N93" s="463"/>
      <c r="P93" s="467"/>
      <c r="Q93" s="391"/>
      <c r="R93" s="30"/>
      <c r="S93" s="706" t="str">
        <f>+IF(JULIO!S93=0,"",JULIO!S93)</f>
        <v>1020301-2</v>
      </c>
      <c r="T93" s="682" t="str">
        <f>+IF(JULIO!T93=0,"",JULIO!T93)</f>
        <v>Fondos pensionales - Aportes cuentas maestras</v>
      </c>
      <c r="U93" s="27">
        <f>+ENERO!U93</f>
        <v>0</v>
      </c>
      <c r="V93" s="15">
        <f>JULIO!V93+AGOSTO!AL93</f>
        <v>0</v>
      </c>
      <c r="W93" s="15">
        <f>JULIO!W93+AGOSTO!AM93</f>
        <v>114718500</v>
      </c>
      <c r="X93" s="18">
        <f>SUM(U93:W93)</f>
        <v>114718500</v>
      </c>
      <c r="Y93" s="19">
        <f>JULIO!AA93</f>
        <v>7964218</v>
      </c>
      <c r="Z93" s="374">
        <v>7934877</v>
      </c>
      <c r="AA93" s="18">
        <f>SUM(Y93:Z93)</f>
        <v>15899095</v>
      </c>
      <c r="AB93" s="19">
        <f>JULIO!AD93</f>
        <v>7964218</v>
      </c>
      <c r="AC93" s="374">
        <v>7934877</v>
      </c>
      <c r="AD93" s="18">
        <f>SUM(AB93:AC93)</f>
        <v>15899095</v>
      </c>
      <c r="AE93" s="19">
        <f>JULIO!AG93</f>
        <v>7964218</v>
      </c>
      <c r="AF93" s="374">
        <v>7934877</v>
      </c>
      <c r="AG93" s="18">
        <f>SUM(AE93:AF93)</f>
        <v>15899095</v>
      </c>
      <c r="AH93" s="19">
        <f>X93-AA93</f>
        <v>98819405</v>
      </c>
      <c r="AI93" s="15">
        <f>X93-AD93</f>
        <v>98819405</v>
      </c>
      <c r="AJ93" s="16">
        <f>X93-AG93</f>
        <v>98819405</v>
      </c>
      <c r="AK93" s="9"/>
      <c r="AL93" s="372">
        <v>0</v>
      </c>
      <c r="AM93" s="375">
        <v>0</v>
      </c>
      <c r="AN93" s="30"/>
      <c r="AO93" s="460"/>
      <c r="AP93" s="460"/>
      <c r="AQ93" s="460"/>
      <c r="AR93" s="460"/>
      <c r="AS93" s="460"/>
      <c r="AT93" s="460"/>
      <c r="AU93" s="460"/>
      <c r="AV93" s="460"/>
      <c r="AW93" s="460"/>
      <c r="AX93" s="460"/>
      <c r="AY93" s="460"/>
      <c r="AZ93" s="460"/>
      <c r="BL93" s="30"/>
    </row>
    <row r="94" spans="1:70" s="461" customFormat="1" ht="36.75" customHeight="1">
      <c r="A94" s="739">
        <f>+IF(JULIO!A94=0,"",JULIO!A94)</f>
        <v>11303</v>
      </c>
      <c r="B94" s="618" t="str">
        <f>+IF(JULIO!B94=0,"",JULIO!B94)</f>
        <v>Aportes (No ligados a la venta de servicios de salud)</v>
      </c>
      <c r="C94" s="617">
        <f>SUM(C95:C102)</f>
        <v>0</v>
      </c>
      <c r="D94" s="615">
        <f t="shared" ref="D94:N94" si="100">SUM(D95:D102)</f>
        <v>0</v>
      </c>
      <c r="E94" s="615">
        <f t="shared" si="100"/>
        <v>176903055</v>
      </c>
      <c r="F94" s="615">
        <f t="shared" si="100"/>
        <v>176903055</v>
      </c>
      <c r="G94" s="615">
        <f t="shared" si="100"/>
        <v>176903055</v>
      </c>
      <c r="H94" s="615">
        <f t="shared" si="100"/>
        <v>55317004</v>
      </c>
      <c r="I94" s="615">
        <f t="shared" si="100"/>
        <v>232220059</v>
      </c>
      <c r="J94" s="615">
        <f t="shared" si="100"/>
        <v>176903055</v>
      </c>
      <c r="K94" s="615">
        <f t="shared" si="100"/>
        <v>55317004</v>
      </c>
      <c r="L94" s="615">
        <f t="shared" si="100"/>
        <v>232220059</v>
      </c>
      <c r="M94" s="615">
        <f t="shared" si="100"/>
        <v>-55317004</v>
      </c>
      <c r="N94" s="616">
        <f t="shared" si="100"/>
        <v>-55317004</v>
      </c>
      <c r="O94" s="382"/>
      <c r="P94" s="43">
        <f>SUM(P95:P102)</f>
        <v>0</v>
      </c>
      <c r="Q94" s="45">
        <f>SUM(Q95:Q102)</f>
        <v>0</v>
      </c>
      <c r="R94" s="30"/>
      <c r="S94" s="706" t="str">
        <f>+IF(JULIO!S94=0,"",JULIO!S94)</f>
        <v>1020301-3</v>
      </c>
      <c r="T94" s="682" t="str">
        <f>+IF(JULIO!T94=0,"",JULIO!T94)</f>
        <v>Fondos de cesantías - Aportes cuentas maestras</v>
      </c>
      <c r="U94" s="27">
        <f>+ENERO!U94</f>
        <v>0</v>
      </c>
      <c r="V94" s="15">
        <f>JULIO!V94+AGOSTO!AL94</f>
        <v>0</v>
      </c>
      <c r="W94" s="15">
        <f>JULIO!W94+AGOSTO!AM94</f>
        <v>28200000</v>
      </c>
      <c r="X94" s="18">
        <f>SUM(U94:W94)</f>
        <v>28200000</v>
      </c>
      <c r="Y94" s="19">
        <f>JULIO!AA94</f>
        <v>0</v>
      </c>
      <c r="Z94" s="374">
        <v>0</v>
      </c>
      <c r="AA94" s="18">
        <f>SUM(Y94:Z94)</f>
        <v>0</v>
      </c>
      <c r="AB94" s="19">
        <f>JULIO!AD94</f>
        <v>0</v>
      </c>
      <c r="AC94" s="374">
        <v>0</v>
      </c>
      <c r="AD94" s="18">
        <f>SUM(AB94:AC94)</f>
        <v>0</v>
      </c>
      <c r="AE94" s="19">
        <f>JULIO!AG94</f>
        <v>0</v>
      </c>
      <c r="AF94" s="374">
        <v>0</v>
      </c>
      <c r="AG94" s="18">
        <f>SUM(AE94:AF94)</f>
        <v>0</v>
      </c>
      <c r="AH94" s="19">
        <f>X94-AA94</f>
        <v>28200000</v>
      </c>
      <c r="AI94" s="15">
        <f>X94-AD94</f>
        <v>28200000</v>
      </c>
      <c r="AJ94" s="16">
        <f>X94-AG94</f>
        <v>28200000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0" t="str">
        <f>+IF(JULIO!A95=0,"",JULIO!A95)</f>
        <v>11303-1</v>
      </c>
      <c r="B95" s="619" t="str">
        <f>+IF(JULIO!B95=0,"",JULIO!B95)</f>
        <v>CONVENIOS CON LA NACION NO LIGADOS A LA VENTA DE SERVICIOS</v>
      </c>
      <c r="C95" s="669">
        <f>+ENERO!C95</f>
        <v>0</v>
      </c>
      <c r="D95" s="373">
        <f>JULIO!D95+AGOSTO!P95</f>
        <v>0</v>
      </c>
      <c r="E95" s="373">
        <f>JULIO!E95+AGOSTO!Q95</f>
        <v>0</v>
      </c>
      <c r="F95" s="373">
        <f t="shared" ref="F95:F102" si="101">SUM(C95:E95)</f>
        <v>0</v>
      </c>
      <c r="G95" s="373">
        <f>JULIO!I95</f>
        <v>0</v>
      </c>
      <c r="H95" s="374">
        <v>0</v>
      </c>
      <c r="I95" s="373">
        <f t="shared" ref="I95:I102" si="102">SUM(G95:H95)</f>
        <v>0</v>
      </c>
      <c r="J95" s="373">
        <f>JULIO!L95</f>
        <v>0</v>
      </c>
      <c r="K95" s="374">
        <v>0</v>
      </c>
      <c r="L95" s="373">
        <f t="shared" ref="L95:L102" si="103">SUM(J95:K95)</f>
        <v>0</v>
      </c>
      <c r="M95" s="373">
        <f t="shared" ref="M95:M102" si="104">F95-I95</f>
        <v>0</v>
      </c>
      <c r="N95" s="143">
        <f t="shared" ref="N95:N102" si="105">F95-L95</f>
        <v>0</v>
      </c>
      <c r="O95" s="382"/>
      <c r="P95" s="372">
        <v>0</v>
      </c>
      <c r="Q95" s="375">
        <v>0</v>
      </c>
      <c r="R95" s="30"/>
      <c r="S95" s="706" t="str">
        <f>+IF(JULIO!S95=0,"",JULIO!S95)</f>
        <v>1020301-4</v>
      </c>
      <c r="T95" s="682" t="str">
        <f>+IF(JULIO!T95=0,"",JULIO!T95)</f>
        <v>Riesgos laborales - Aportes cuentas maestras</v>
      </c>
      <c r="U95" s="27">
        <f>+ENERO!U95</f>
        <v>0</v>
      </c>
      <c r="V95" s="15">
        <f>JULIO!V95+AGOSTO!AL95</f>
        <v>0</v>
      </c>
      <c r="W95" s="15">
        <f>JULIO!W95+AGOSTO!AM95</f>
        <v>9738805</v>
      </c>
      <c r="X95" s="18">
        <f>SUM(U95:W95)</f>
        <v>9738805</v>
      </c>
      <c r="Y95" s="19">
        <f>JULIO!AA95</f>
        <v>1519450</v>
      </c>
      <c r="Z95" s="374">
        <v>1613577</v>
      </c>
      <c r="AA95" s="18">
        <f>SUM(Y95:Z95)</f>
        <v>3133027</v>
      </c>
      <c r="AB95" s="19">
        <f>JULIO!AD95</f>
        <v>1519450</v>
      </c>
      <c r="AC95" s="374">
        <v>1613577</v>
      </c>
      <c r="AD95" s="18">
        <f>SUM(AB95:AC95)</f>
        <v>3133027</v>
      </c>
      <c r="AE95" s="19">
        <f>JULIO!AG95</f>
        <v>1519450</v>
      </c>
      <c r="AF95" s="374">
        <v>1613577</v>
      </c>
      <c r="AG95" s="18">
        <f>SUM(AE95:AF95)</f>
        <v>3133027</v>
      </c>
      <c r="AH95" s="19">
        <f>X95-AA95</f>
        <v>6605778</v>
      </c>
      <c r="AI95" s="15">
        <f>X95-AD95</f>
        <v>6605778</v>
      </c>
      <c r="AJ95" s="16">
        <f>X95-AG95</f>
        <v>6605778</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0" t="str">
        <f>+IF(JULIO!A96=0,"",JULIO!A96)</f>
        <v>11303-2</v>
      </c>
      <c r="B96" s="619" t="str">
        <f>+IF(JULIO!B96=0,"",JULIO!B96)</f>
        <v>CONVENIOS CON EL DEPARTAMENTO NO LIGADOS A LA VENTA SERVICIOS</v>
      </c>
      <c r="C96" s="669">
        <f>+ENERO!C96</f>
        <v>0</v>
      </c>
      <c r="D96" s="373">
        <f>JULIO!D96+AGOSTO!P96</f>
        <v>0</v>
      </c>
      <c r="E96" s="373">
        <f>JULIO!E96+AGOSTO!Q96</f>
        <v>125236928</v>
      </c>
      <c r="F96" s="373">
        <f t="shared" si="101"/>
        <v>125236928</v>
      </c>
      <c r="G96" s="373">
        <f>JULIO!I96</f>
        <v>125236928</v>
      </c>
      <c r="H96" s="374">
        <v>0</v>
      </c>
      <c r="I96" s="373">
        <f t="shared" si="102"/>
        <v>125236928</v>
      </c>
      <c r="J96" s="373">
        <f>JULIO!L96</f>
        <v>125236928</v>
      </c>
      <c r="K96" s="374">
        <v>0</v>
      </c>
      <c r="L96" s="373">
        <f t="shared" si="103"/>
        <v>125236928</v>
      </c>
      <c r="M96" s="373">
        <f t="shared" si="104"/>
        <v>0</v>
      </c>
      <c r="N96" s="143">
        <f t="shared" si="105"/>
        <v>0</v>
      </c>
      <c r="O96" s="382"/>
      <c r="P96" s="372">
        <v>0</v>
      </c>
      <c r="Q96" s="375">
        <v>0</v>
      </c>
      <c r="S96" s="705">
        <f>+IF(JULIO!S96=0,"",JULIO!S96)</f>
        <v>1020302</v>
      </c>
      <c r="T96" s="681" t="str">
        <f>+IF(JULIO!T96=0,"",JULIO!T96)</f>
        <v>Contribuciones - Otros</v>
      </c>
      <c r="U96" s="27">
        <f t="shared" ref="U96:AJ96" si="106">SUM(U97:U101)</f>
        <v>259627762</v>
      </c>
      <c r="V96" s="15">
        <f t="shared" si="106"/>
        <v>6000000</v>
      </c>
      <c r="W96" s="15">
        <f t="shared" si="106"/>
        <v>20000000</v>
      </c>
      <c r="X96" s="18">
        <f t="shared" si="106"/>
        <v>285627762</v>
      </c>
      <c r="Y96" s="19">
        <f t="shared" si="106"/>
        <v>115566726</v>
      </c>
      <c r="Z96" s="142">
        <f t="shared" si="106"/>
        <v>2785224</v>
      </c>
      <c r="AA96" s="18">
        <f t="shared" si="106"/>
        <v>118351950</v>
      </c>
      <c r="AB96" s="19">
        <f t="shared" si="106"/>
        <v>115566726</v>
      </c>
      <c r="AC96" s="142">
        <f t="shared" si="106"/>
        <v>2785224</v>
      </c>
      <c r="AD96" s="18">
        <f t="shared" si="106"/>
        <v>118351950</v>
      </c>
      <c r="AE96" s="19">
        <f t="shared" si="106"/>
        <v>115566726</v>
      </c>
      <c r="AF96" s="142">
        <f t="shared" si="106"/>
        <v>2785224</v>
      </c>
      <c r="AG96" s="18">
        <f t="shared" si="106"/>
        <v>118351950</v>
      </c>
      <c r="AH96" s="19">
        <f t="shared" si="106"/>
        <v>167275812</v>
      </c>
      <c r="AI96" s="15">
        <f t="shared" si="106"/>
        <v>167275812</v>
      </c>
      <c r="AJ96" s="16">
        <f t="shared" si="106"/>
        <v>167275812</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0" t="str">
        <f>+IF(JULIO!A97=0,"",JULIO!A97)</f>
        <v>11303-3</v>
      </c>
      <c r="B97" s="619" t="str">
        <f>+IF(JULIO!B97=0,"",JULIO!B97)</f>
        <v>CONVENIOS CON EL MUNICIPIO NO LIGADOS A LA VENTA DE SERVICIOS</v>
      </c>
      <c r="C97" s="669">
        <f>+ENERO!C97</f>
        <v>0</v>
      </c>
      <c r="D97" s="373">
        <f>JULIO!D97+AGOSTO!P97</f>
        <v>0</v>
      </c>
      <c r="E97" s="373">
        <f>JULIO!E97+AGOSTO!Q97</f>
        <v>0</v>
      </c>
      <c r="F97" s="373">
        <f t="shared" si="101"/>
        <v>0</v>
      </c>
      <c r="G97" s="373">
        <f>JULIO!I97</f>
        <v>0</v>
      </c>
      <c r="H97" s="374">
        <v>0</v>
      </c>
      <c r="I97" s="373">
        <f t="shared" si="102"/>
        <v>0</v>
      </c>
      <c r="J97" s="373">
        <f>JULIO!L97</f>
        <v>0</v>
      </c>
      <c r="K97" s="374">
        <v>0</v>
      </c>
      <c r="L97" s="373">
        <f t="shared" si="103"/>
        <v>0</v>
      </c>
      <c r="M97" s="373">
        <f t="shared" si="104"/>
        <v>0</v>
      </c>
      <c r="N97" s="143">
        <f t="shared" si="105"/>
        <v>0</v>
      </c>
      <c r="O97" s="382"/>
      <c r="P97" s="372">
        <v>0</v>
      </c>
      <c r="Q97" s="375">
        <v>0</v>
      </c>
      <c r="R97" s="30"/>
      <c r="S97" s="706" t="str">
        <f>+IF(JULIO!S97=0,"",JULIO!S97)</f>
        <v>1020302-1</v>
      </c>
      <c r="T97" s="682" t="str">
        <f>+IF(JULIO!T97=0,"",JULIO!T97)</f>
        <v>Aportes a E.P.S.- Con sit. Fondos</v>
      </c>
      <c r="U97" s="27">
        <f>+ENERO!U97</f>
        <v>52772649</v>
      </c>
      <c r="V97" s="15">
        <f>JULIO!V97+AGOSTO!AL97</f>
        <v>0</v>
      </c>
      <c r="W97" s="15">
        <f>JULIO!W97+AGOSTO!AM97</f>
        <v>0</v>
      </c>
      <c r="X97" s="18">
        <f t="shared" ref="X97:X102" si="107">SUM(U97:W97)</f>
        <v>52772649</v>
      </c>
      <c r="Y97" s="19">
        <f>JULIO!AA97</f>
        <v>37010174</v>
      </c>
      <c r="Z97" s="374">
        <v>0</v>
      </c>
      <c r="AA97" s="18">
        <f t="shared" ref="AA97:AA102" si="108">SUM(Y97:Z97)</f>
        <v>37010174</v>
      </c>
      <c r="AB97" s="19">
        <f>JULIO!AD97</f>
        <v>37010174</v>
      </c>
      <c r="AC97" s="374">
        <v>0</v>
      </c>
      <c r="AD97" s="18">
        <f t="shared" ref="AD97:AD102" si="109">SUM(AB97:AC97)</f>
        <v>37010174</v>
      </c>
      <c r="AE97" s="19">
        <f>JULIO!AG97</f>
        <v>37010174</v>
      </c>
      <c r="AF97" s="374">
        <v>0</v>
      </c>
      <c r="AG97" s="18">
        <f t="shared" ref="AG97:AG102" si="110">SUM(AE97:AF97)</f>
        <v>37010174</v>
      </c>
      <c r="AH97" s="19">
        <f t="shared" ref="AH97:AH102" si="111">X97-AA97</f>
        <v>15762475</v>
      </c>
      <c r="AI97" s="15">
        <f t="shared" ref="AI97:AI102" si="112">X97-AD97</f>
        <v>15762475</v>
      </c>
      <c r="AJ97" s="16">
        <f t="shared" ref="AJ97:AJ102" si="113">X97-AG97</f>
        <v>15762475</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0" t="str">
        <f>+IF(JULIO!A98=0,"",JULIO!A98)</f>
        <v>11303-4</v>
      </c>
      <c r="B98" s="619" t="str">
        <f>+IF(JULIO!B98=0,"",JULIO!B98)</f>
        <v>OTROS CONVENIOS NO LIGADOS A LA VENTA DE SERVICIOS</v>
      </c>
      <c r="C98" s="669">
        <f>+ENERO!C98</f>
        <v>0</v>
      </c>
      <c r="D98" s="373">
        <f>JULIO!D98+AGOSTO!P98</f>
        <v>0</v>
      </c>
      <c r="E98" s="373">
        <f>JULIO!E98+AGOSTO!Q98</f>
        <v>0</v>
      </c>
      <c r="F98" s="373">
        <f t="shared" si="101"/>
        <v>0</v>
      </c>
      <c r="G98" s="373">
        <f>JULIO!I98</f>
        <v>0</v>
      </c>
      <c r="H98" s="374">
        <v>0</v>
      </c>
      <c r="I98" s="373">
        <f t="shared" si="102"/>
        <v>0</v>
      </c>
      <c r="J98" s="373">
        <f>JULIO!L98</f>
        <v>0</v>
      </c>
      <c r="K98" s="374">
        <v>0</v>
      </c>
      <c r="L98" s="373">
        <f t="shared" si="103"/>
        <v>0</v>
      </c>
      <c r="M98" s="373">
        <f t="shared" si="104"/>
        <v>0</v>
      </c>
      <c r="N98" s="143">
        <f t="shared" si="105"/>
        <v>0</v>
      </c>
      <c r="O98" s="382"/>
      <c r="P98" s="372">
        <v>0</v>
      </c>
      <c r="Q98" s="375">
        <v>0</v>
      </c>
      <c r="R98" s="30"/>
      <c r="S98" s="706" t="str">
        <f>+IF(JULIO!S98=0,"",JULIO!S98)</f>
        <v>1020302-2</v>
      </c>
      <c r="T98" s="682" t="str">
        <f>+IF(JULIO!T98=0,"",JULIO!T98)</f>
        <v>Aportes Fondos Pensionales - Con Sit. Fondos</v>
      </c>
      <c r="U98" s="27">
        <f>+ENERO!U98</f>
        <v>103712246</v>
      </c>
      <c r="V98" s="15">
        <f>JULIO!V98+AGOSTO!AL98</f>
        <v>0</v>
      </c>
      <c r="W98" s="15">
        <f>JULIO!W98+AGOSTO!AM98</f>
        <v>0</v>
      </c>
      <c r="X98" s="18">
        <f t="shared" si="107"/>
        <v>103712246</v>
      </c>
      <c r="Y98" s="19">
        <f>JULIO!AA98</f>
        <v>50124903</v>
      </c>
      <c r="Z98" s="374">
        <v>0</v>
      </c>
      <c r="AA98" s="18">
        <f t="shared" si="108"/>
        <v>50124903</v>
      </c>
      <c r="AB98" s="19">
        <f>JULIO!AD98</f>
        <v>50124903</v>
      </c>
      <c r="AC98" s="374">
        <v>0</v>
      </c>
      <c r="AD98" s="18">
        <f t="shared" si="109"/>
        <v>50124903</v>
      </c>
      <c r="AE98" s="19">
        <f>JULIO!AG98</f>
        <v>50124903</v>
      </c>
      <c r="AF98" s="374">
        <v>0</v>
      </c>
      <c r="AG98" s="18">
        <f t="shared" si="110"/>
        <v>50124903</v>
      </c>
      <c r="AH98" s="19">
        <f t="shared" si="111"/>
        <v>53587343</v>
      </c>
      <c r="AI98" s="15">
        <f t="shared" si="112"/>
        <v>53587343</v>
      </c>
      <c r="AJ98" s="16">
        <f t="shared" si="113"/>
        <v>53587343</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0" t="str">
        <f>+IF(JULIO!A99=0,"",JULIO!A99)</f>
        <v>11303-5</v>
      </c>
      <c r="B99" s="619" t="str">
        <f>+IF(JULIO!B99=0,"",JULIO!B99)</f>
        <v>APORTES PATRONALES - MUNICIPIO / DEPARTAMENTO</v>
      </c>
      <c r="C99" s="669">
        <f>+ENERO!C99</f>
        <v>0</v>
      </c>
      <c r="D99" s="373">
        <f>JULIO!D99+AGOSTO!P99</f>
        <v>0</v>
      </c>
      <c r="E99" s="373">
        <f>JULIO!E99+AGOSTO!Q99</f>
        <v>0</v>
      </c>
      <c r="F99" s="373">
        <f t="shared" si="101"/>
        <v>0</v>
      </c>
      <c r="G99" s="373">
        <f>JULIO!I99</f>
        <v>0</v>
      </c>
      <c r="H99" s="670">
        <v>0</v>
      </c>
      <c r="I99" s="373">
        <f t="shared" si="102"/>
        <v>0</v>
      </c>
      <c r="J99" s="373">
        <f>JULIO!L99</f>
        <v>0</v>
      </c>
      <c r="K99" s="670">
        <v>0</v>
      </c>
      <c r="L99" s="373">
        <f t="shared" si="103"/>
        <v>0</v>
      </c>
      <c r="M99" s="373">
        <f t="shared" si="104"/>
        <v>0</v>
      </c>
      <c r="N99" s="143">
        <f t="shared" si="105"/>
        <v>0</v>
      </c>
      <c r="O99" s="382"/>
      <c r="P99" s="671">
        <v>0</v>
      </c>
      <c r="Q99" s="672">
        <v>0</v>
      </c>
      <c r="R99" s="30"/>
      <c r="S99" s="706" t="str">
        <f>+IF(JULIO!S99=0,"",JULIO!S99)</f>
        <v>1020302-3</v>
      </c>
      <c r="T99" s="682" t="str">
        <f>+IF(JULIO!T99=0,"",JULIO!T99)</f>
        <v xml:space="preserve">Aportes a Fondos de Cesantia - Con Sit. de Fondos </v>
      </c>
      <c r="U99" s="27">
        <f>+ENERO!U99</f>
        <v>72193404</v>
      </c>
      <c r="V99" s="15">
        <f>JULIO!V99+AGOSTO!AL99</f>
        <v>0</v>
      </c>
      <c r="W99" s="15">
        <f>JULIO!W99+AGOSTO!AM99</f>
        <v>0</v>
      </c>
      <c r="X99" s="18">
        <f t="shared" si="107"/>
        <v>72193404</v>
      </c>
      <c r="Y99" s="19">
        <f>JULIO!AA99</f>
        <v>0</v>
      </c>
      <c r="Z99" s="374">
        <v>0</v>
      </c>
      <c r="AA99" s="18">
        <f t="shared" si="108"/>
        <v>0</v>
      </c>
      <c r="AB99" s="19">
        <f>JULIO!AD99</f>
        <v>0</v>
      </c>
      <c r="AC99" s="374">
        <v>0</v>
      </c>
      <c r="AD99" s="18">
        <f t="shared" si="109"/>
        <v>0</v>
      </c>
      <c r="AE99" s="19">
        <f>JULIO!AG99</f>
        <v>0</v>
      </c>
      <c r="AF99" s="374">
        <v>0</v>
      </c>
      <c r="AG99" s="18">
        <f t="shared" si="110"/>
        <v>0</v>
      </c>
      <c r="AH99" s="19">
        <f t="shared" si="111"/>
        <v>72193404</v>
      </c>
      <c r="AI99" s="15">
        <f t="shared" si="112"/>
        <v>72193404</v>
      </c>
      <c r="AJ99" s="16">
        <f t="shared" si="113"/>
        <v>72193404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0" t="str">
        <f>+IF(JULIO!A100=0,"",JULIO!A100)</f>
        <v>11303-6</v>
      </c>
      <c r="B100" s="619" t="str">
        <f>+IF(JULIO!B100=0,"",JULIO!B100)</f>
        <v>RECURSOS PARA PROGRAMA DE SANEAMIENTO FINANCIERO</v>
      </c>
      <c r="C100" s="669">
        <f>+ENERO!C100</f>
        <v>0</v>
      </c>
      <c r="D100" s="373">
        <f>JULIO!D100+AGOSTO!P100</f>
        <v>0</v>
      </c>
      <c r="E100" s="373">
        <f>JULIO!E100+AGOSTO!Q100</f>
        <v>0</v>
      </c>
      <c r="F100" s="373">
        <f t="shared" si="101"/>
        <v>0</v>
      </c>
      <c r="G100" s="373">
        <f>JULIO!I100</f>
        <v>0</v>
      </c>
      <c r="H100" s="374">
        <v>0</v>
      </c>
      <c r="I100" s="373">
        <f t="shared" si="102"/>
        <v>0</v>
      </c>
      <c r="J100" s="373">
        <f>JULIO!L100</f>
        <v>0</v>
      </c>
      <c r="K100" s="374">
        <v>0</v>
      </c>
      <c r="L100" s="373">
        <f t="shared" si="103"/>
        <v>0</v>
      </c>
      <c r="M100" s="373">
        <f t="shared" si="104"/>
        <v>0</v>
      </c>
      <c r="N100" s="143">
        <f t="shared" si="105"/>
        <v>0</v>
      </c>
      <c r="P100" s="372">
        <v>0</v>
      </c>
      <c r="Q100" s="375">
        <v>0</v>
      </c>
      <c r="R100" s="9"/>
      <c r="S100" s="706" t="str">
        <f>+IF(JULIO!S100=0,"",JULIO!S100)</f>
        <v>1020302-4</v>
      </c>
      <c r="T100" s="682" t="str">
        <f>+IF(JULIO!T100=0,"",JULIO!T100)</f>
        <v>Aporte a ARL. - Con Sit. de Fondos</v>
      </c>
      <c r="U100" s="27">
        <f>+ENERO!U100</f>
        <v>20885552</v>
      </c>
      <c r="V100" s="15">
        <f>JULIO!V100+AGOSTO!AL100</f>
        <v>0</v>
      </c>
      <c r="W100" s="15">
        <f>JULIO!W100+AGOSTO!AM100</f>
        <v>0</v>
      </c>
      <c r="X100" s="18">
        <f t="shared" si="107"/>
        <v>20885552</v>
      </c>
      <c r="Y100" s="19">
        <f>JULIO!AA100</f>
        <v>9831767</v>
      </c>
      <c r="Z100" s="374">
        <v>0</v>
      </c>
      <c r="AA100" s="18">
        <f t="shared" si="108"/>
        <v>9831767</v>
      </c>
      <c r="AB100" s="19">
        <f>JULIO!AD100</f>
        <v>9831767</v>
      </c>
      <c r="AC100" s="374">
        <v>0</v>
      </c>
      <c r="AD100" s="18">
        <f t="shared" si="109"/>
        <v>9831767</v>
      </c>
      <c r="AE100" s="19">
        <f>JULIO!AG100</f>
        <v>9831767</v>
      </c>
      <c r="AF100" s="374">
        <v>0</v>
      </c>
      <c r="AG100" s="18">
        <f t="shared" si="110"/>
        <v>9831767</v>
      </c>
      <c r="AH100" s="19">
        <f t="shared" si="111"/>
        <v>11053785</v>
      </c>
      <c r="AI100" s="15">
        <f t="shared" si="112"/>
        <v>11053785</v>
      </c>
      <c r="AJ100" s="16">
        <f t="shared" si="113"/>
        <v>11053785</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0" t="str">
        <f>+IF(JULIO!A101=0,"",JULIO!A101)</f>
        <v>11303-7</v>
      </c>
      <c r="B101" s="619" t="str">
        <f>+IF(JULIO!B101=0,"",JULIO!B101)</f>
        <v/>
      </c>
      <c r="C101" s="669">
        <f>+ENERO!C101</f>
        <v>0</v>
      </c>
      <c r="D101" s="373">
        <f>JULIO!D101+AGOSTO!P101</f>
        <v>0</v>
      </c>
      <c r="E101" s="373">
        <f>JULIO!E101+AGOSTO!Q101</f>
        <v>0</v>
      </c>
      <c r="F101" s="373">
        <f t="shared" si="101"/>
        <v>0</v>
      </c>
      <c r="G101" s="373">
        <f>JULIO!I101</f>
        <v>0</v>
      </c>
      <c r="H101" s="374">
        <v>0</v>
      </c>
      <c r="I101" s="373">
        <f t="shared" si="102"/>
        <v>0</v>
      </c>
      <c r="J101" s="373">
        <f>JULIO!L101</f>
        <v>0</v>
      </c>
      <c r="K101" s="374">
        <v>0</v>
      </c>
      <c r="L101" s="373">
        <f t="shared" si="103"/>
        <v>0</v>
      </c>
      <c r="M101" s="373">
        <f t="shared" si="104"/>
        <v>0</v>
      </c>
      <c r="N101" s="143">
        <f t="shared" si="105"/>
        <v>0</v>
      </c>
      <c r="P101" s="372">
        <v>0</v>
      </c>
      <c r="Q101" s="375">
        <v>0</v>
      </c>
      <c r="R101" s="9"/>
      <c r="S101" s="706" t="str">
        <f>+IF(JULIO!S101=0,"",JULIO!S101)</f>
        <v>1020302-5</v>
      </c>
      <c r="T101" s="682" t="str">
        <f>+IF(JULIO!T101=0,"",JULIO!T101)</f>
        <v>Aporte a Caja Compensación Familiar</v>
      </c>
      <c r="U101" s="27">
        <f>+ENERO!U101</f>
        <v>10063911</v>
      </c>
      <c r="V101" s="15">
        <f>JULIO!V101+AGOSTO!AL101</f>
        <v>6000000</v>
      </c>
      <c r="W101" s="15">
        <f>JULIO!W101+AGOSTO!AM101</f>
        <v>20000000</v>
      </c>
      <c r="X101" s="18">
        <f t="shared" si="107"/>
        <v>36063911</v>
      </c>
      <c r="Y101" s="19">
        <f>JULIO!AA101</f>
        <v>18599882</v>
      </c>
      <c r="Z101" s="374">
        <v>2785224</v>
      </c>
      <c r="AA101" s="18">
        <f t="shared" si="108"/>
        <v>21385106</v>
      </c>
      <c r="AB101" s="19">
        <f>JULIO!AD101</f>
        <v>18599882</v>
      </c>
      <c r="AC101" s="374">
        <v>2785224</v>
      </c>
      <c r="AD101" s="18">
        <f t="shared" si="109"/>
        <v>21385106</v>
      </c>
      <c r="AE101" s="19">
        <f>JULIO!AG101</f>
        <v>18599882</v>
      </c>
      <c r="AF101" s="374">
        <v>2785224</v>
      </c>
      <c r="AG101" s="18">
        <f t="shared" si="110"/>
        <v>21385106</v>
      </c>
      <c r="AH101" s="19">
        <f t="shared" si="111"/>
        <v>14678805</v>
      </c>
      <c r="AI101" s="15">
        <f t="shared" si="112"/>
        <v>14678805</v>
      </c>
      <c r="AJ101" s="16">
        <f t="shared" si="113"/>
        <v>14678805</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0" t="str">
        <f>+IF(JULIO!A102=0,"",JULIO!A102)</f>
        <v>11303-8</v>
      </c>
      <c r="B102" s="628" t="str">
        <f>+IF(JULIO!B102=0,"",JULIO!B102)</f>
        <v>Vigencia Anterior</v>
      </c>
      <c r="C102" s="770">
        <f>+ENERO!C102</f>
        <v>0</v>
      </c>
      <c r="D102" s="385">
        <f>JULIO!D102+AGOSTO!P102</f>
        <v>0</v>
      </c>
      <c r="E102" s="385">
        <f>JULIO!E102+AGOSTO!Q102</f>
        <v>51666127</v>
      </c>
      <c r="F102" s="385">
        <f t="shared" si="101"/>
        <v>51666127</v>
      </c>
      <c r="G102" s="385">
        <f>JULIO!I102</f>
        <v>51666127</v>
      </c>
      <c r="H102" s="388">
        <v>55317004</v>
      </c>
      <c r="I102" s="385">
        <f t="shared" si="102"/>
        <v>106983131</v>
      </c>
      <c r="J102" s="385">
        <f>JULIO!L102</f>
        <v>51666127</v>
      </c>
      <c r="K102" s="388">
        <v>55317004</v>
      </c>
      <c r="L102" s="385">
        <f t="shared" si="103"/>
        <v>106983131</v>
      </c>
      <c r="M102" s="385">
        <f t="shared" si="104"/>
        <v>-55317004</v>
      </c>
      <c r="N102" s="386">
        <f t="shared" si="105"/>
        <v>-55317004</v>
      </c>
      <c r="P102" s="372">
        <v>0</v>
      </c>
      <c r="Q102" s="375">
        <v>0</v>
      </c>
      <c r="R102" s="9"/>
      <c r="S102" s="705">
        <f>+IF(JULIO!S102=0,"",JULIO!S102)</f>
        <v>1020399</v>
      </c>
      <c r="T102" s="681" t="str">
        <f>+IF(JULIO!T102=0,"",JULIO!T102)</f>
        <v>Vigencias Anteriores</v>
      </c>
      <c r="U102" s="27">
        <f>+ENERO!U102</f>
        <v>0</v>
      </c>
      <c r="V102" s="15">
        <f>JULIO!V102+AGOSTO!AL102</f>
        <v>-78539920</v>
      </c>
      <c r="W102" s="15">
        <f>JULIO!W102+AGOSTO!AM102</f>
        <v>78539920</v>
      </c>
      <c r="X102" s="18">
        <f t="shared" si="107"/>
        <v>0</v>
      </c>
      <c r="Y102" s="19">
        <f>JULIO!AA102</f>
        <v>0</v>
      </c>
      <c r="Z102" s="374">
        <v>0</v>
      </c>
      <c r="AA102" s="18">
        <f t="shared" si="108"/>
        <v>0</v>
      </c>
      <c r="AB102" s="19">
        <f>JULIO!AD102</f>
        <v>0</v>
      </c>
      <c r="AC102" s="374">
        <v>0</v>
      </c>
      <c r="AD102" s="18">
        <f t="shared" si="109"/>
        <v>0</v>
      </c>
      <c r="AE102" s="19">
        <f>JULIO!AG102</f>
        <v>0</v>
      </c>
      <c r="AF102" s="374">
        <v>0</v>
      </c>
      <c r="AG102" s="18">
        <f t="shared" si="110"/>
        <v>0</v>
      </c>
      <c r="AH102" s="19">
        <f t="shared" si="111"/>
        <v>0</v>
      </c>
      <c r="AI102" s="15">
        <f t="shared" si="112"/>
        <v>0</v>
      </c>
      <c r="AJ102" s="16">
        <f t="shared" si="113"/>
        <v>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1" t="str">
        <f>+IF(JULIO!A103=0,"",JULIO!A103)</f>
        <v/>
      </c>
      <c r="B103" s="653" t="str">
        <f>+IF(JULIO!B103=0,"",JULIO!B103)</f>
        <v/>
      </c>
      <c r="C103" s="480"/>
      <c r="D103" s="480"/>
      <c r="E103" s="480"/>
      <c r="F103" s="480"/>
      <c r="G103" s="480"/>
      <c r="H103" s="480"/>
      <c r="I103" s="480"/>
      <c r="J103" s="480"/>
      <c r="K103" s="480"/>
      <c r="L103" s="480"/>
      <c r="M103" s="480"/>
      <c r="N103" s="481"/>
      <c r="P103" s="482"/>
      <c r="Q103" s="481"/>
      <c r="R103" s="9"/>
      <c r="S103" s="366" t="str">
        <f>+IF(JULIO!S103=0,"",JULIO!S103)</f>
        <v/>
      </c>
      <c r="T103" s="695"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39">
        <f>+IF(JULIO!A104=0,"",JULIO!A104)</f>
        <v>11304</v>
      </c>
      <c r="B104" s="618" t="str">
        <f>+IF(JULIO!B104=0,"",JULIO!B104)</f>
        <v>Otros ingresos corrientes</v>
      </c>
      <c r="C104" s="617">
        <f>SUM(C105:C111)</f>
        <v>667440000</v>
      </c>
      <c r="D104" s="615">
        <f t="shared" ref="D104:N104" si="114">SUM(D105:D111)</f>
        <v>0</v>
      </c>
      <c r="E104" s="615">
        <f t="shared" si="114"/>
        <v>80764441</v>
      </c>
      <c r="F104" s="615">
        <f t="shared" si="114"/>
        <v>748204441</v>
      </c>
      <c r="G104" s="615">
        <f t="shared" si="114"/>
        <v>683036532</v>
      </c>
      <c r="H104" s="615">
        <f t="shared" si="114"/>
        <v>69389558</v>
      </c>
      <c r="I104" s="615">
        <f t="shared" si="114"/>
        <v>752426090</v>
      </c>
      <c r="J104" s="615">
        <f t="shared" si="114"/>
        <v>398639866</v>
      </c>
      <c r="K104" s="615">
        <f t="shared" si="114"/>
        <v>114273772</v>
      </c>
      <c r="L104" s="615">
        <f t="shared" si="114"/>
        <v>512913638</v>
      </c>
      <c r="M104" s="615">
        <f t="shared" si="114"/>
        <v>-4221649</v>
      </c>
      <c r="N104" s="616">
        <f t="shared" si="114"/>
        <v>235290803</v>
      </c>
      <c r="P104" s="43">
        <f>SUM(P105:P111)</f>
        <v>0</v>
      </c>
      <c r="Q104" s="45">
        <f>SUM(Q105:Q111)</f>
        <v>14257646</v>
      </c>
      <c r="R104" s="9"/>
      <c r="S104" s="704">
        <f>+IF(JULIO!S104=0,"",JULIO!S104)</f>
        <v>1020400</v>
      </c>
      <c r="T104" s="680" t="str">
        <f>+IF(JULIO!T104=0,"",JULIO!T104)</f>
        <v>Contribuciones Inherentes nómina del Sector Publico</v>
      </c>
      <c r="U104" s="132">
        <f t="shared" ref="U104:AJ104" si="115">U105+U108</f>
        <v>43075476</v>
      </c>
      <c r="V104" s="122">
        <f t="shared" si="115"/>
        <v>0</v>
      </c>
      <c r="W104" s="122">
        <f t="shared" si="115"/>
        <v>0</v>
      </c>
      <c r="X104" s="129">
        <f t="shared" si="115"/>
        <v>43075476</v>
      </c>
      <c r="Y104" s="128">
        <f t="shared" si="115"/>
        <v>25307661</v>
      </c>
      <c r="Z104" s="122">
        <f t="shared" si="115"/>
        <v>3481530</v>
      </c>
      <c r="AA104" s="129">
        <f t="shared" si="115"/>
        <v>28789191</v>
      </c>
      <c r="AB104" s="128">
        <f t="shared" si="115"/>
        <v>25307661</v>
      </c>
      <c r="AC104" s="122">
        <f t="shared" si="115"/>
        <v>3481530</v>
      </c>
      <c r="AD104" s="129">
        <f t="shared" si="115"/>
        <v>28789191</v>
      </c>
      <c r="AE104" s="128">
        <f t="shared" si="115"/>
        <v>25307661</v>
      </c>
      <c r="AF104" s="122">
        <f t="shared" si="115"/>
        <v>3481530</v>
      </c>
      <c r="AG104" s="129">
        <f t="shared" si="115"/>
        <v>28789191</v>
      </c>
      <c r="AH104" s="128">
        <f t="shared" si="115"/>
        <v>14286285</v>
      </c>
      <c r="AI104" s="122">
        <f t="shared" si="115"/>
        <v>14286285</v>
      </c>
      <c r="AJ104" s="130">
        <f t="shared" si="115"/>
        <v>14286285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0" t="str">
        <f>+IF(JULIO!A105=0,"",JULIO!A105)</f>
        <v>11304-1</v>
      </c>
      <c r="B105" s="619" t="str">
        <f>+IF(JULIO!B105=0,"",JULIO!B105)</f>
        <v>ARRENDAMIENTO Y ALQUILER DE BIENES MUEBLES E INMUEBLES</v>
      </c>
      <c r="C105" s="669">
        <f>+ENERO!C105</f>
        <v>667440000</v>
      </c>
      <c r="D105" s="373">
        <f>JULIO!D105+AGOSTO!P105</f>
        <v>0</v>
      </c>
      <c r="E105" s="373">
        <f>JULIO!E105+AGOSTO!Q105</f>
        <v>0</v>
      </c>
      <c r="F105" s="373">
        <f t="shared" ref="F105:F111" si="116">SUM(C105:E105)</f>
        <v>667440000</v>
      </c>
      <c r="G105" s="373">
        <f>JULIO!I105</f>
        <v>537051022</v>
      </c>
      <c r="H105" s="374">
        <v>56840160</v>
      </c>
      <c r="I105" s="373">
        <f t="shared" ref="I105:I111" si="117">SUM(G105:H105)</f>
        <v>593891182</v>
      </c>
      <c r="J105" s="373">
        <f>JULIO!L105</f>
        <v>294697000</v>
      </c>
      <c r="K105" s="374">
        <v>104965948</v>
      </c>
      <c r="L105" s="373">
        <f t="shared" ref="L105:L111" si="118">SUM(J105:K105)</f>
        <v>399662948</v>
      </c>
      <c r="M105" s="373">
        <f t="shared" ref="M105:M111" si="119">F105-I105</f>
        <v>73548818</v>
      </c>
      <c r="N105" s="143">
        <f t="shared" ref="N105:N111" si="120">F105-L105</f>
        <v>267777052</v>
      </c>
      <c r="P105" s="372">
        <v>0</v>
      </c>
      <c r="Q105" s="375">
        <v>0</v>
      </c>
      <c r="R105" s="9"/>
      <c r="S105" s="705">
        <f>+IF(JULIO!S105=0,"",JULIO!S105)</f>
        <v>1020402</v>
      </c>
      <c r="T105" s="681" t="str">
        <f>+IF(JULIO!T105=0,"",JULIO!T105)</f>
        <v>Contribuciones - Otros</v>
      </c>
      <c r="U105" s="27">
        <f t="shared" ref="U105:AJ105" si="121">SUM(U106:U107)</f>
        <v>43075476</v>
      </c>
      <c r="V105" s="15">
        <f t="shared" si="121"/>
        <v>0</v>
      </c>
      <c r="W105" s="15">
        <f t="shared" si="121"/>
        <v>0</v>
      </c>
      <c r="X105" s="18">
        <f t="shared" si="121"/>
        <v>43075476</v>
      </c>
      <c r="Y105" s="19">
        <f t="shared" si="121"/>
        <v>25307661</v>
      </c>
      <c r="Z105" s="142">
        <f t="shared" si="121"/>
        <v>3481530</v>
      </c>
      <c r="AA105" s="18">
        <f t="shared" si="121"/>
        <v>28789191</v>
      </c>
      <c r="AB105" s="19">
        <f t="shared" si="121"/>
        <v>25307661</v>
      </c>
      <c r="AC105" s="142">
        <f t="shared" si="121"/>
        <v>3481530</v>
      </c>
      <c r="AD105" s="18">
        <f t="shared" si="121"/>
        <v>28789191</v>
      </c>
      <c r="AE105" s="19">
        <f t="shared" si="121"/>
        <v>25307661</v>
      </c>
      <c r="AF105" s="142">
        <f t="shared" si="121"/>
        <v>3481530</v>
      </c>
      <c r="AG105" s="18">
        <f t="shared" si="121"/>
        <v>28789191</v>
      </c>
      <c r="AH105" s="19">
        <f t="shared" si="121"/>
        <v>14286285</v>
      </c>
      <c r="AI105" s="15">
        <f t="shared" si="121"/>
        <v>14286285</v>
      </c>
      <c r="AJ105" s="16">
        <f t="shared" si="121"/>
        <v>14286285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0" t="str">
        <f>+IF(JULIO!A106=0,"",JULIO!A106)</f>
        <v>11304-2</v>
      </c>
      <c r="B106" s="620" t="str">
        <f>+IF(JULIO!B106=0,"",JULIO!B106)</f>
        <v>COMERCIALIZACIÓN DE MERCANCÍAS</v>
      </c>
      <c r="C106" s="669">
        <f>+ENERO!C106</f>
        <v>0</v>
      </c>
      <c r="D106" s="373">
        <f>JULIO!D106+AGOSTO!P106</f>
        <v>0</v>
      </c>
      <c r="E106" s="373">
        <f>JULIO!E106+AGOSTO!Q106</f>
        <v>0</v>
      </c>
      <c r="F106" s="373">
        <f t="shared" si="116"/>
        <v>0</v>
      </c>
      <c r="G106" s="373">
        <f>JULIO!I106</f>
        <v>0</v>
      </c>
      <c r="H106" s="374"/>
      <c r="I106" s="373">
        <f t="shared" si="117"/>
        <v>0</v>
      </c>
      <c r="J106" s="373">
        <f>JULIO!L106</f>
        <v>0</v>
      </c>
      <c r="K106" s="374">
        <v>0</v>
      </c>
      <c r="L106" s="373">
        <f t="shared" si="118"/>
        <v>0</v>
      </c>
      <c r="M106" s="373">
        <f t="shared" si="119"/>
        <v>0</v>
      </c>
      <c r="N106" s="143">
        <f t="shared" si="120"/>
        <v>0</v>
      </c>
      <c r="P106" s="372">
        <v>0</v>
      </c>
      <c r="Q106" s="375">
        <v>0</v>
      </c>
      <c r="R106" s="9"/>
      <c r="S106" s="706" t="str">
        <f>+IF(JULIO!S106=0,"",JULIO!S106)</f>
        <v>1020402-1</v>
      </c>
      <c r="T106" s="681" t="str">
        <f>+IF(JULIO!T106=0,"",JULIO!T106)</f>
        <v>S.E.N.A.</v>
      </c>
      <c r="U106" s="27">
        <f>+ENERO!U106</f>
        <v>25928061</v>
      </c>
      <c r="V106" s="15">
        <f>JULIO!V106+AGOSTO!AL106</f>
        <v>0</v>
      </c>
      <c r="W106" s="15">
        <f>JULIO!W106+AGOSTO!AM106</f>
        <v>0</v>
      </c>
      <c r="X106" s="18">
        <f>SUM(U106:W106)</f>
        <v>25928061</v>
      </c>
      <c r="Y106" s="19">
        <f>JULIO!AA106</f>
        <v>10291850</v>
      </c>
      <c r="Z106" s="374">
        <v>1392612</v>
      </c>
      <c r="AA106" s="18">
        <f>SUM(Y106:Z106)</f>
        <v>11684462</v>
      </c>
      <c r="AB106" s="19">
        <f>JULIO!AD106</f>
        <v>10291850</v>
      </c>
      <c r="AC106" s="374">
        <v>1392612</v>
      </c>
      <c r="AD106" s="18">
        <f>SUM(AB106:AC106)</f>
        <v>11684462</v>
      </c>
      <c r="AE106" s="19">
        <f>JULIO!AG106</f>
        <v>10291850</v>
      </c>
      <c r="AF106" s="374">
        <v>1392612</v>
      </c>
      <c r="AG106" s="18">
        <f>SUM(AE106:AF106)</f>
        <v>11684462</v>
      </c>
      <c r="AH106" s="19">
        <f>X106-AA106</f>
        <v>14243599</v>
      </c>
      <c r="AI106" s="15">
        <f>X106-AD106</f>
        <v>14243599</v>
      </c>
      <c r="AJ106" s="16">
        <f>X106-AG106</f>
        <v>14243599</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0" t="str">
        <f>+IF(JULIO!A107=0,"",JULIO!A107)</f>
        <v>11304-3</v>
      </c>
      <c r="B107" s="619" t="str">
        <f>+IF(JULIO!B107=0,"",JULIO!B107)</f>
        <v>Bienestar Social</v>
      </c>
      <c r="C107" s="669">
        <f>+ENERO!C107</f>
        <v>0</v>
      </c>
      <c r="D107" s="373">
        <f>JULIO!D107+AGOSTO!P107</f>
        <v>0</v>
      </c>
      <c r="E107" s="373">
        <f>JULIO!E107+AGOSTO!Q107</f>
        <v>0</v>
      </c>
      <c r="F107" s="373">
        <f t="shared" si="116"/>
        <v>0</v>
      </c>
      <c r="G107" s="373">
        <f>JULIO!I107</f>
        <v>445983</v>
      </c>
      <c r="H107" s="374">
        <v>0</v>
      </c>
      <c r="I107" s="373">
        <f t="shared" si="117"/>
        <v>445983</v>
      </c>
      <c r="J107" s="373">
        <f>JULIO!L107</f>
        <v>445983</v>
      </c>
      <c r="K107" s="374">
        <v>0</v>
      </c>
      <c r="L107" s="373">
        <f t="shared" si="118"/>
        <v>445983</v>
      </c>
      <c r="M107" s="373">
        <f t="shared" si="119"/>
        <v>-445983</v>
      </c>
      <c r="N107" s="143">
        <f t="shared" si="120"/>
        <v>-445983</v>
      </c>
      <c r="P107" s="372">
        <v>0</v>
      </c>
      <c r="Q107" s="375">
        <v>0</v>
      </c>
      <c r="R107" s="9"/>
      <c r="S107" s="706" t="str">
        <f>+IF(JULIO!S107=0,"",JULIO!S107)</f>
        <v>1020402-2</v>
      </c>
      <c r="T107" s="681" t="str">
        <f>+IF(JULIO!T107=0,"",JULIO!T107)</f>
        <v>I.C.B.F.</v>
      </c>
      <c r="U107" s="27">
        <f>+ENERO!U107</f>
        <v>17147415</v>
      </c>
      <c r="V107" s="15">
        <f>JULIO!V107+AGOSTO!AL107</f>
        <v>0</v>
      </c>
      <c r="W107" s="15">
        <f>JULIO!W107+AGOSTO!AM107</f>
        <v>0</v>
      </c>
      <c r="X107" s="18">
        <f>SUM(U107:W107)</f>
        <v>17147415</v>
      </c>
      <c r="Y107" s="19">
        <f>JULIO!AA107</f>
        <v>15015811</v>
      </c>
      <c r="Z107" s="374">
        <v>2088918</v>
      </c>
      <c r="AA107" s="18">
        <f>SUM(Y107:Z107)</f>
        <v>17104729</v>
      </c>
      <c r="AB107" s="19">
        <f>JULIO!AD107</f>
        <v>15015811</v>
      </c>
      <c r="AC107" s="374">
        <v>2088918</v>
      </c>
      <c r="AD107" s="18">
        <f>SUM(AB107:AC107)</f>
        <v>17104729</v>
      </c>
      <c r="AE107" s="19">
        <f>JULIO!AG107</f>
        <v>15015811</v>
      </c>
      <c r="AF107" s="374">
        <v>2088918</v>
      </c>
      <c r="AG107" s="18">
        <f>SUM(AE107:AF107)</f>
        <v>17104729</v>
      </c>
      <c r="AH107" s="19">
        <f>X107-AA107</f>
        <v>42686</v>
      </c>
      <c r="AI107" s="15">
        <f>X107-AD107</f>
        <v>42686</v>
      </c>
      <c r="AJ107" s="16">
        <f>X107-AG107</f>
        <v>42686</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0" t="str">
        <f>+IF(JULIO!A108=0,"",JULIO!A108)</f>
        <v>11304-4</v>
      </c>
      <c r="B108" s="619" t="str">
        <f>+IF(JULIO!B108=0,"",JULIO!B108)</f>
        <v>Fondo de la Vivienda</v>
      </c>
      <c r="C108" s="669">
        <f>+ENERO!C108</f>
        <v>0</v>
      </c>
      <c r="D108" s="373">
        <f>JULIO!D108+AGOSTO!P108</f>
        <v>0</v>
      </c>
      <c r="E108" s="373">
        <f>JULIO!E108+AGOSTO!Q108</f>
        <v>0</v>
      </c>
      <c r="F108" s="373">
        <f t="shared" si="116"/>
        <v>0</v>
      </c>
      <c r="G108" s="373">
        <f>JULIO!I108</f>
        <v>20617797</v>
      </c>
      <c r="H108" s="374">
        <v>1474115</v>
      </c>
      <c r="I108" s="373">
        <f t="shared" si="117"/>
        <v>22091912</v>
      </c>
      <c r="J108" s="373">
        <f>JULIO!L108</f>
        <v>20617797</v>
      </c>
      <c r="K108" s="374">
        <v>1474115</v>
      </c>
      <c r="L108" s="373">
        <f t="shared" si="118"/>
        <v>22091912</v>
      </c>
      <c r="M108" s="373">
        <f t="shared" si="119"/>
        <v>-22091912</v>
      </c>
      <c r="N108" s="143">
        <f t="shared" si="120"/>
        <v>-22091912</v>
      </c>
      <c r="P108" s="372">
        <v>0</v>
      </c>
      <c r="Q108" s="375">
        <v>0</v>
      </c>
      <c r="R108" s="9"/>
      <c r="S108" s="705">
        <f>+IF(JULIO!S108=0,"",JULIO!S108)</f>
        <v>1020499</v>
      </c>
      <c r="T108" s="681" t="str">
        <f>+IF(JULIO!T108=0,"",JULIO!T108)</f>
        <v>Vigencias Anteriores</v>
      </c>
      <c r="U108" s="27">
        <f>+ENERO!U108</f>
        <v>0</v>
      </c>
      <c r="V108" s="15">
        <f>JULIO!V108+AGOSTO!AL108</f>
        <v>0</v>
      </c>
      <c r="W108" s="15">
        <f>JULIO!W108+AGOSTO!AM108</f>
        <v>0</v>
      </c>
      <c r="X108" s="18">
        <f>SUM(U108:W108)</f>
        <v>0</v>
      </c>
      <c r="Y108" s="19">
        <f>JULIO!AA108</f>
        <v>0</v>
      </c>
      <c r="Z108" s="374">
        <v>0</v>
      </c>
      <c r="AA108" s="18">
        <f>SUM(Y108:Z108)</f>
        <v>0</v>
      </c>
      <c r="AB108" s="19">
        <f>JULIO!AD108</f>
        <v>0</v>
      </c>
      <c r="AC108" s="374">
        <v>0</v>
      </c>
      <c r="AD108" s="18">
        <f>SUM(AB108:AC108)</f>
        <v>0</v>
      </c>
      <c r="AE108" s="19">
        <f>JULIO!AG108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0" t="str">
        <f>+IF(JULIO!A109=0,"",JULIO!A109)</f>
        <v>11304-5</v>
      </c>
      <c r="B109" s="619" t="str">
        <f>+IF(JULIO!B109=0,"",JULIO!B109)</f>
        <v xml:space="preserve">Aprovechamientos </v>
      </c>
      <c r="C109" s="669">
        <f>+ENERO!C109</f>
        <v>0</v>
      </c>
      <c r="D109" s="373">
        <f>JULIO!D109+AGOSTO!P109</f>
        <v>0</v>
      </c>
      <c r="E109" s="373">
        <f>JULIO!E109+AGOSTO!Q109</f>
        <v>0</v>
      </c>
      <c r="F109" s="373">
        <f t="shared" si="116"/>
        <v>0</v>
      </c>
      <c r="G109" s="373">
        <f>JULIO!I109</f>
        <v>0</v>
      </c>
      <c r="H109" s="374">
        <v>0</v>
      </c>
      <c r="I109" s="373">
        <f t="shared" si="117"/>
        <v>0</v>
      </c>
      <c r="J109" s="373">
        <f>JULIO!L109</f>
        <v>0</v>
      </c>
      <c r="K109" s="374">
        <v>0</v>
      </c>
      <c r="L109" s="373">
        <f t="shared" si="118"/>
        <v>0</v>
      </c>
      <c r="M109" s="373">
        <f t="shared" si="119"/>
        <v>0</v>
      </c>
      <c r="N109" s="143">
        <f t="shared" si="120"/>
        <v>0</v>
      </c>
      <c r="P109" s="372">
        <v>0</v>
      </c>
      <c r="Q109" s="375">
        <v>0</v>
      </c>
      <c r="R109" s="9"/>
      <c r="S109" s="366" t="str">
        <f>+IF(JULIO!S109=0,"",JULIO!S109)</f>
        <v/>
      </c>
      <c r="T109" s="695"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0" t="str">
        <f>+IF(JULIO!A110=0,"",JULIO!A110)</f>
        <v>11304-6</v>
      </c>
      <c r="B110" s="619" t="str">
        <f>+IF(JULIO!B110=0,"",JULIO!B110)</f>
        <v>Otros</v>
      </c>
      <c r="C110" s="669">
        <f>+ENERO!C110</f>
        <v>0</v>
      </c>
      <c r="D110" s="373">
        <f>JULIO!D110+AGOSTO!P110</f>
        <v>0</v>
      </c>
      <c r="E110" s="373">
        <f>JULIO!E110+AGOSTO!Q110</f>
        <v>80764441</v>
      </c>
      <c r="F110" s="373">
        <f t="shared" si="116"/>
        <v>80764441</v>
      </c>
      <c r="G110" s="373">
        <f>JULIO!I110</f>
        <v>124921730</v>
      </c>
      <c r="H110" s="374">
        <v>11075283</v>
      </c>
      <c r="I110" s="373">
        <f t="shared" si="117"/>
        <v>135997013</v>
      </c>
      <c r="J110" s="373">
        <f>JULIO!L110</f>
        <v>82879086</v>
      </c>
      <c r="K110" s="374">
        <v>7833709</v>
      </c>
      <c r="L110" s="373">
        <f t="shared" si="118"/>
        <v>90712795</v>
      </c>
      <c r="M110" s="373">
        <f t="shared" si="119"/>
        <v>-55232572</v>
      </c>
      <c r="N110" s="143">
        <f t="shared" si="120"/>
        <v>-9948354</v>
      </c>
      <c r="P110" s="372">
        <v>0</v>
      </c>
      <c r="Q110" s="375">
        <v>14257646</v>
      </c>
      <c r="R110" s="9"/>
      <c r="S110" s="703">
        <f>+IF(JULIO!S110=0,"",JULIO!S110)</f>
        <v>2000000</v>
      </c>
      <c r="T110" s="685" t="str">
        <f>+IF(JULIO!T110=0,"",JULIO!T110)</f>
        <v>GASTOS GENERALES</v>
      </c>
      <c r="U110" s="470">
        <f t="shared" ref="U110:AJ110" si="122">U112+U145</f>
        <v>7574161274</v>
      </c>
      <c r="V110" s="471">
        <f t="shared" si="122"/>
        <v>-1293344800</v>
      </c>
      <c r="W110" s="471">
        <f t="shared" si="122"/>
        <v>3478156707</v>
      </c>
      <c r="X110" s="472">
        <f t="shared" si="122"/>
        <v>9758973181</v>
      </c>
      <c r="Y110" s="379">
        <f t="shared" si="122"/>
        <v>7830464945</v>
      </c>
      <c r="Z110" s="471">
        <f t="shared" si="122"/>
        <v>140836707</v>
      </c>
      <c r="AA110" s="472">
        <f t="shared" si="122"/>
        <v>7971301652</v>
      </c>
      <c r="AB110" s="379">
        <f t="shared" si="122"/>
        <v>5668672395</v>
      </c>
      <c r="AC110" s="471">
        <f t="shared" si="122"/>
        <v>624231825</v>
      </c>
      <c r="AD110" s="472">
        <f t="shared" si="122"/>
        <v>6292904220</v>
      </c>
      <c r="AE110" s="379">
        <f t="shared" si="122"/>
        <v>3587604544</v>
      </c>
      <c r="AF110" s="471">
        <f t="shared" si="122"/>
        <v>242660938</v>
      </c>
      <c r="AG110" s="472">
        <f t="shared" si="122"/>
        <v>3830265482</v>
      </c>
      <c r="AH110" s="379">
        <f t="shared" si="122"/>
        <v>1787671529</v>
      </c>
      <c r="AI110" s="471">
        <f t="shared" si="122"/>
        <v>3466068961</v>
      </c>
      <c r="AJ110" s="380">
        <f t="shared" si="122"/>
        <v>5928707699</v>
      </c>
      <c r="AK110" s="10"/>
      <c r="AL110" s="128">
        <f>AL112+AL145</f>
        <v>5000000</v>
      </c>
      <c r="AM110" s="130">
        <f>AM112+AM145</f>
        <v>70000000</v>
      </c>
      <c r="AN110" s="9"/>
      <c r="AO110" s="294"/>
      <c r="AP110" s="294"/>
      <c r="AQ110" s="294"/>
      <c r="AR110" s="294"/>
      <c r="AS110" s="294"/>
      <c r="AT110" s="294"/>
      <c r="AU110" s="294"/>
      <c r="AV110" s="294"/>
      <c r="AW110" s="294"/>
      <c r="AX110" s="294"/>
      <c r="AY110" s="294"/>
      <c r="AZ110" s="294"/>
    </row>
    <row r="111" spans="1:70" s="382" customFormat="1" ht="24.95" customHeight="1" thickBot="1">
      <c r="A111" s="740" t="str">
        <f>+IF(JULIO!A111=0,"",JULIO!A111)</f>
        <v>11304-7</v>
      </c>
      <c r="B111" s="654" t="str">
        <f>+IF(JULIO!B111=0,"",JULIO!B111)</f>
        <v>Vigencia Anterior</v>
      </c>
      <c r="C111" s="770">
        <f>+ENERO!C111</f>
        <v>0</v>
      </c>
      <c r="D111" s="385">
        <f>JULIO!D111+AGOSTO!P111</f>
        <v>0</v>
      </c>
      <c r="E111" s="385">
        <f>JULIO!E111+AGOSTO!Q111</f>
        <v>0</v>
      </c>
      <c r="F111" s="385">
        <f t="shared" si="116"/>
        <v>0</v>
      </c>
      <c r="G111" s="385">
        <f>JULIO!I111</f>
        <v>0</v>
      </c>
      <c r="H111" s="388">
        <v>0</v>
      </c>
      <c r="I111" s="385">
        <f t="shared" si="117"/>
        <v>0</v>
      </c>
      <c r="J111" s="385">
        <f>JULIO!L111</f>
        <v>0</v>
      </c>
      <c r="K111" s="388">
        <v>0</v>
      </c>
      <c r="L111" s="385">
        <f t="shared" si="118"/>
        <v>0</v>
      </c>
      <c r="M111" s="385">
        <f t="shared" si="119"/>
        <v>0</v>
      </c>
      <c r="N111" s="386">
        <f t="shared" si="120"/>
        <v>0</v>
      </c>
      <c r="P111" s="372">
        <v>0</v>
      </c>
      <c r="Q111" s="375">
        <v>0</v>
      </c>
      <c r="R111" s="9"/>
      <c r="S111" s="366" t="str">
        <f>+IF(JULIO!S111=0,"",JULIO!S111)</f>
        <v/>
      </c>
      <c r="T111" s="695" t="str">
        <f>+IF(JULIO!T111=0,"",JULIO!T111)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1" t="str">
        <f>+IF(JULIO!A112=0,"",JULIO!A112)</f>
        <v/>
      </c>
      <c r="B112" s="653" t="str">
        <f>+IF(JULIO!B112=0,"",JULIO!B112)</f>
        <v/>
      </c>
      <c r="C112" s="480"/>
      <c r="D112" s="480"/>
      <c r="E112" s="480"/>
      <c r="F112" s="480"/>
      <c r="G112" s="480"/>
      <c r="H112" s="480"/>
      <c r="I112" s="480"/>
      <c r="J112" s="480"/>
      <c r="K112" s="480"/>
      <c r="L112" s="480"/>
      <c r="M112" s="480"/>
      <c r="N112" s="481"/>
      <c r="P112" s="482"/>
      <c r="Q112" s="481"/>
      <c r="R112" s="9"/>
      <c r="S112" s="703">
        <f>+IF(JULIO!S112=0,"",JULIO!S112)</f>
        <v>2010000</v>
      </c>
      <c r="T112" s="679" t="str">
        <f>+IF(JULIO!T112=0,"",JULIO!T112)</f>
        <v>Gastos de Administración</v>
      </c>
      <c r="U112" s="132">
        <f t="shared" ref="U112:AJ112" si="123">U114+U123+U141</f>
        <v>4915028612</v>
      </c>
      <c r="V112" s="122">
        <f t="shared" si="123"/>
        <v>-193487406</v>
      </c>
      <c r="W112" s="122">
        <f t="shared" si="123"/>
        <v>1828156707</v>
      </c>
      <c r="X112" s="129">
        <f t="shared" si="123"/>
        <v>6549697913</v>
      </c>
      <c r="Y112" s="128">
        <f t="shared" si="123"/>
        <v>5765892521</v>
      </c>
      <c r="Z112" s="122">
        <f t="shared" si="123"/>
        <v>61809605</v>
      </c>
      <c r="AA112" s="129">
        <f t="shared" si="123"/>
        <v>5827702126</v>
      </c>
      <c r="AB112" s="128">
        <f t="shared" si="123"/>
        <v>4132070096</v>
      </c>
      <c r="AC112" s="122">
        <f t="shared" si="123"/>
        <v>455291629</v>
      </c>
      <c r="AD112" s="129">
        <f t="shared" si="123"/>
        <v>4587361725</v>
      </c>
      <c r="AE112" s="128">
        <f t="shared" si="123"/>
        <v>2820161898</v>
      </c>
      <c r="AF112" s="122">
        <f t="shared" si="123"/>
        <v>209224520</v>
      </c>
      <c r="AG112" s="129">
        <f t="shared" si="123"/>
        <v>3029386418</v>
      </c>
      <c r="AH112" s="128">
        <f t="shared" si="123"/>
        <v>721995787</v>
      </c>
      <c r="AI112" s="122">
        <f t="shared" si="123"/>
        <v>1962336188</v>
      </c>
      <c r="AJ112" s="130">
        <f t="shared" si="123"/>
        <v>3520311495</v>
      </c>
      <c r="AK112" s="9"/>
      <c r="AL112" s="128">
        <f>AL114+AL123+AL141</f>
        <v>0</v>
      </c>
      <c r="AM112" s="130">
        <f>AM114+AM123+AM141</f>
        <v>70000000</v>
      </c>
      <c r="AN112" s="9"/>
      <c r="AO112" s="294"/>
      <c r="AP112" s="294"/>
      <c r="AQ112" s="294"/>
      <c r="AR112" s="294"/>
      <c r="AS112" s="294"/>
      <c r="AT112" s="294"/>
      <c r="AU112" s="294"/>
      <c r="AV112" s="294"/>
      <c r="AW112" s="294"/>
      <c r="AX112" s="294"/>
      <c r="AY112" s="294"/>
      <c r="AZ112" s="294"/>
    </row>
    <row r="113" spans="1:52" s="382" customFormat="1" ht="24.95" customHeight="1" thickBot="1">
      <c r="A113" s="730">
        <f>+IF(JULIO!A113=0,"",JULIO!A113)</f>
        <v>2000</v>
      </c>
      <c r="B113" s="640" t="str">
        <f>+IF(JULIO!B113=0,"",JULIO!B113)</f>
        <v>INGRESOS DE CAPITAL</v>
      </c>
      <c r="C113" s="623">
        <f>SUM(C115:C124)</f>
        <v>9052927194</v>
      </c>
      <c r="D113" s="624">
        <f>SUM(D115:D124)</f>
        <v>0</v>
      </c>
      <c r="E113" s="624">
        <f t="shared" ref="E113:N113" si="124">SUM(E115:E124)</f>
        <v>3516381</v>
      </c>
      <c r="F113" s="624">
        <f t="shared" si="124"/>
        <v>9056443575</v>
      </c>
      <c r="G113" s="624">
        <f t="shared" si="124"/>
        <v>3622825</v>
      </c>
      <c r="H113" s="624">
        <f t="shared" si="124"/>
        <v>22226856</v>
      </c>
      <c r="I113" s="624">
        <f t="shared" si="124"/>
        <v>25849681</v>
      </c>
      <c r="J113" s="624">
        <f t="shared" si="124"/>
        <v>3622825</v>
      </c>
      <c r="K113" s="624">
        <f t="shared" si="124"/>
        <v>22226856</v>
      </c>
      <c r="L113" s="624">
        <f t="shared" si="124"/>
        <v>25849681</v>
      </c>
      <c r="M113" s="624">
        <f t="shared" si="124"/>
        <v>9030593894</v>
      </c>
      <c r="N113" s="625">
        <f t="shared" si="124"/>
        <v>9030593894</v>
      </c>
      <c r="O113" s="461"/>
      <c r="P113" s="174">
        <f>SUM(P115:P124)</f>
        <v>0</v>
      </c>
      <c r="Q113" s="175">
        <f>SUM(Q115:Q124)</f>
        <v>1917307</v>
      </c>
      <c r="R113" s="9"/>
      <c r="S113" s="366" t="str">
        <f>+IF(JULIO!S113=0,"",JULIO!S113)</f>
        <v/>
      </c>
      <c r="T113" s="695" t="str">
        <f>+IF(JULIO!T113=0,"",JULIO!T113)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1" t="str">
        <f>+IF(JULIO!A114=0,"",JULIO!A114)</f>
        <v/>
      </c>
      <c r="B114" s="653" t="str">
        <f>+IF(JULIO!B114=0,"",JULIO!B114)</f>
        <v/>
      </c>
      <c r="C114" s="480"/>
      <c r="D114" s="480"/>
      <c r="E114" s="480"/>
      <c r="F114" s="480"/>
      <c r="G114" s="480"/>
      <c r="H114" s="480"/>
      <c r="I114" s="480"/>
      <c r="J114" s="480"/>
      <c r="K114" s="480"/>
      <c r="L114" s="480"/>
      <c r="M114" s="480"/>
      <c r="N114" s="481"/>
      <c r="P114" s="482"/>
      <c r="Q114" s="481"/>
      <c r="R114" s="9"/>
      <c r="S114" s="704">
        <f>+IF(JULIO!S114=0,"",JULIO!S114)</f>
        <v>2010100</v>
      </c>
      <c r="T114" s="680" t="str">
        <f>+IF(JULIO!T114=0,"",JULIO!T114)</f>
        <v>Adquisición de bienes</v>
      </c>
      <c r="U114" s="132">
        <f t="shared" ref="U114:AJ114" si="125">SUM(U115:U121)</f>
        <v>256200000</v>
      </c>
      <c r="V114" s="122">
        <f t="shared" si="125"/>
        <v>-89040581</v>
      </c>
      <c r="W114" s="122">
        <f t="shared" si="125"/>
        <v>330000000</v>
      </c>
      <c r="X114" s="129">
        <f t="shared" si="125"/>
        <v>497159419</v>
      </c>
      <c r="Y114" s="128">
        <f t="shared" si="125"/>
        <v>296348846</v>
      </c>
      <c r="Z114" s="122">
        <f t="shared" si="125"/>
        <v>-38577728</v>
      </c>
      <c r="AA114" s="129">
        <f t="shared" si="125"/>
        <v>257771118</v>
      </c>
      <c r="AB114" s="128">
        <f t="shared" si="125"/>
        <v>229669895</v>
      </c>
      <c r="AC114" s="122">
        <f t="shared" si="125"/>
        <v>15655453</v>
      </c>
      <c r="AD114" s="129">
        <f t="shared" si="125"/>
        <v>245325348</v>
      </c>
      <c r="AE114" s="128">
        <f t="shared" si="125"/>
        <v>200277879</v>
      </c>
      <c r="AF114" s="122">
        <f t="shared" si="125"/>
        <v>3462703</v>
      </c>
      <c r="AG114" s="129">
        <f t="shared" si="125"/>
        <v>203740582</v>
      </c>
      <c r="AH114" s="128">
        <f t="shared" si="125"/>
        <v>239388301</v>
      </c>
      <c r="AI114" s="122">
        <f t="shared" si="125"/>
        <v>251834071</v>
      </c>
      <c r="AJ114" s="130">
        <f t="shared" si="125"/>
        <v>293418837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2">
        <f>+IF(JULIO!A115=0,"",JULIO!A115)</f>
        <v>2100</v>
      </c>
      <c r="B115" s="626" t="str">
        <f>+IF(JULIO!B115=0,"",JULIO!B115)</f>
        <v>CREDITO INTERNO</v>
      </c>
      <c r="C115" s="671">
        <f>+ENERO!C115</f>
        <v>0</v>
      </c>
      <c r="D115" s="464">
        <f>JULIO!D115+AGOSTO!P115</f>
        <v>0</v>
      </c>
      <c r="E115" s="464">
        <f>JULIO!E115+AGOSTO!Q115</f>
        <v>0</v>
      </c>
      <c r="F115" s="468">
        <f t="shared" ref="F115:F124" si="126">SUM(C115:E115)</f>
        <v>0</v>
      </c>
      <c r="G115" s="466">
        <f>JULIO!I115</f>
        <v>0</v>
      </c>
      <c r="H115" s="374">
        <v>0</v>
      </c>
      <c r="I115" s="468">
        <f t="shared" ref="I115:I124" si="127">SUM(G115:H115)</f>
        <v>0</v>
      </c>
      <c r="J115" s="466">
        <f>JULIO!L115</f>
        <v>0</v>
      </c>
      <c r="K115" s="374">
        <v>0</v>
      </c>
      <c r="L115" s="465">
        <f t="shared" ref="L115:L124" si="128">SUM(J115:K115)</f>
        <v>0</v>
      </c>
      <c r="M115" s="469">
        <f t="shared" ref="M115:M124" si="129">F115-I115</f>
        <v>0</v>
      </c>
      <c r="N115" s="465">
        <f t="shared" ref="N115:N124" si="130">F115-L115</f>
        <v>0</v>
      </c>
      <c r="O115" s="461"/>
      <c r="P115" s="372">
        <v>0</v>
      </c>
      <c r="Q115" s="375">
        <v>0</v>
      </c>
      <c r="R115" s="9"/>
      <c r="S115" s="705" t="str">
        <f>+IF(JULIO!S115=0,"",JULIO!S115)</f>
        <v>2010100-1</v>
      </c>
      <c r="T115" s="681" t="str">
        <f>+IF(JULIO!T115=0,"",JULIO!T115)</f>
        <v>Compra de Equipos</v>
      </c>
      <c r="U115" s="27">
        <f>+ENERO!U115</f>
        <v>175000000</v>
      </c>
      <c r="V115" s="15">
        <f>JULIO!V115+AGOSTO!AL115</f>
        <v>0</v>
      </c>
      <c r="W115" s="15">
        <f>JULIO!W115+AGOSTO!AM115</f>
        <v>0</v>
      </c>
      <c r="X115" s="18">
        <f t="shared" ref="X115:X121" si="131">SUM(U115:W115)</f>
        <v>175000000</v>
      </c>
      <c r="Y115" s="19">
        <f>JULIO!AA115</f>
        <v>56801184</v>
      </c>
      <c r="Z115" s="374">
        <v>11992820</v>
      </c>
      <c r="AA115" s="18">
        <f t="shared" ref="AA115:AA121" si="132">SUM(Y115:Z115)</f>
        <v>68794004</v>
      </c>
      <c r="AB115" s="19">
        <f>JULIO!AD115</f>
        <v>52593998</v>
      </c>
      <c r="AC115" s="374">
        <v>13713507</v>
      </c>
      <c r="AD115" s="18">
        <f t="shared" ref="AD115:AD121" si="133">SUM(AB115:AC115)</f>
        <v>66307505</v>
      </c>
      <c r="AE115" s="19">
        <f>JULIO!AG115</f>
        <v>52363035</v>
      </c>
      <c r="AF115" s="374">
        <v>1720687</v>
      </c>
      <c r="AG115" s="18">
        <f t="shared" ref="AG115:AG121" si="134">SUM(AE115:AF115)</f>
        <v>54083722</v>
      </c>
      <c r="AH115" s="19">
        <f t="shared" ref="AH115:AH121" si="135">X115-AA115</f>
        <v>106205996</v>
      </c>
      <c r="AI115" s="15">
        <f t="shared" ref="AI115:AI121" si="136">X115-AD115</f>
        <v>108692495</v>
      </c>
      <c r="AJ115" s="16">
        <f t="shared" ref="AJ115:AJ121" si="137">X115-AG115</f>
        <v>120916278</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2" t="str">
        <f>+IF(JULIO!A116=0,"",JULIO!A116)</f>
        <v>2100-1</v>
      </c>
      <c r="B116" s="627" t="str">
        <f>+IF(JULIO!B116=0,"",JULIO!B116)</f>
        <v>Vigencia Anterior</v>
      </c>
      <c r="C116" s="671">
        <f>+ENERO!C116</f>
        <v>0</v>
      </c>
      <c r="D116" s="464">
        <f>JULIO!D116+AGOSTO!P116</f>
        <v>0</v>
      </c>
      <c r="E116" s="464">
        <f>JULIO!E116+AGOSTO!Q116</f>
        <v>0</v>
      </c>
      <c r="F116" s="468">
        <f t="shared" si="126"/>
        <v>0</v>
      </c>
      <c r="G116" s="466">
        <f>JULIO!I116</f>
        <v>0</v>
      </c>
      <c r="H116" s="374">
        <v>0</v>
      </c>
      <c r="I116" s="468">
        <f t="shared" si="127"/>
        <v>0</v>
      </c>
      <c r="J116" s="466">
        <f>JULIO!L116</f>
        <v>0</v>
      </c>
      <c r="K116" s="374">
        <v>0</v>
      </c>
      <c r="L116" s="465">
        <f t="shared" si="128"/>
        <v>0</v>
      </c>
      <c r="M116" s="469">
        <f t="shared" si="129"/>
        <v>0</v>
      </c>
      <c r="N116" s="465">
        <f t="shared" si="130"/>
        <v>0</v>
      </c>
      <c r="O116" s="461"/>
      <c r="P116" s="372">
        <v>0</v>
      </c>
      <c r="Q116" s="375">
        <v>0</v>
      </c>
      <c r="R116" s="9"/>
      <c r="S116" s="705" t="str">
        <f>+IF(JULIO!S116=0,"",JULIO!S116)</f>
        <v>2010100-2</v>
      </c>
      <c r="T116" s="681" t="str">
        <f>+IF(JULIO!T116=0,"",JULIO!T116)</f>
        <v>Materiales</v>
      </c>
      <c r="U116" s="27">
        <f>+ENERO!U116</f>
        <v>76200000</v>
      </c>
      <c r="V116" s="15">
        <f>JULIO!V116+AGOSTO!AL116</f>
        <v>0</v>
      </c>
      <c r="W116" s="15">
        <f>JULIO!W116+AGOSTO!AM116</f>
        <v>130000000</v>
      </c>
      <c r="X116" s="18">
        <f t="shared" si="131"/>
        <v>206200000</v>
      </c>
      <c r="Y116" s="19">
        <f>JULIO!AA116</f>
        <v>126357198</v>
      </c>
      <c r="Z116" s="374">
        <v>-50570548</v>
      </c>
      <c r="AA116" s="18">
        <f t="shared" si="132"/>
        <v>75786650</v>
      </c>
      <c r="AB116" s="19">
        <f>JULIO!AD116</f>
        <v>63885433</v>
      </c>
      <c r="AC116" s="374">
        <v>1941946</v>
      </c>
      <c r="AD116" s="18">
        <f t="shared" si="133"/>
        <v>65827379</v>
      </c>
      <c r="AE116" s="19">
        <f>JULIO!AG116</f>
        <v>36880280</v>
      </c>
      <c r="AF116" s="374">
        <v>1742016</v>
      </c>
      <c r="AG116" s="18">
        <f t="shared" si="134"/>
        <v>38622296</v>
      </c>
      <c r="AH116" s="19">
        <f t="shared" si="135"/>
        <v>130413350</v>
      </c>
      <c r="AI116" s="15">
        <f t="shared" si="136"/>
        <v>140372621</v>
      </c>
      <c r="AJ116" s="16">
        <f t="shared" si="137"/>
        <v>167577704</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2">
        <f>+IF(JULIO!A117=0,"",JULIO!A117)</f>
        <v>2200</v>
      </c>
      <c r="B117" s="626" t="str">
        <f>+IF(JULIO!B117=0,"",JULIO!B117)</f>
        <v>CREDITO EXTERNO</v>
      </c>
      <c r="C117" s="671">
        <f>+ENERO!C117</f>
        <v>0</v>
      </c>
      <c r="D117" s="464">
        <f>JULIO!D117+AGOSTO!P117</f>
        <v>0</v>
      </c>
      <c r="E117" s="464">
        <f>JULIO!E117+AGOSTO!Q117</f>
        <v>0</v>
      </c>
      <c r="F117" s="468">
        <f t="shared" si="126"/>
        <v>0</v>
      </c>
      <c r="G117" s="466">
        <f>JULIO!I117</f>
        <v>0</v>
      </c>
      <c r="H117" s="374">
        <v>0</v>
      </c>
      <c r="I117" s="468">
        <f t="shared" si="127"/>
        <v>0</v>
      </c>
      <c r="J117" s="466">
        <f>JULIO!L117</f>
        <v>0</v>
      </c>
      <c r="K117" s="374">
        <v>0</v>
      </c>
      <c r="L117" s="465">
        <f t="shared" si="128"/>
        <v>0</v>
      </c>
      <c r="M117" s="469">
        <f t="shared" si="129"/>
        <v>0</v>
      </c>
      <c r="N117" s="465">
        <f t="shared" si="130"/>
        <v>0</v>
      </c>
      <c r="O117" s="461"/>
      <c r="P117" s="372">
        <v>0</v>
      </c>
      <c r="Q117" s="375">
        <v>0</v>
      </c>
      <c r="R117" s="9"/>
      <c r="S117" s="705" t="str">
        <f>+IF(JULIO!S117=0,"",JULIO!S117)</f>
        <v>2010100-3</v>
      </c>
      <c r="T117" s="681" t="str">
        <f>+IF(JULIO!T117=0,"",JULIO!T117)</f>
        <v>Salud Ocupacional</v>
      </c>
      <c r="U117" s="27">
        <f>+ENERO!U117</f>
        <v>5000000</v>
      </c>
      <c r="V117" s="15">
        <f>JULIO!V117+AGOSTO!AL117</f>
        <v>0</v>
      </c>
      <c r="W117" s="15">
        <f>JULIO!W117+AGOSTO!AM117</f>
        <v>0</v>
      </c>
      <c r="X117" s="18">
        <f t="shared" si="131"/>
        <v>5000000</v>
      </c>
      <c r="Y117" s="19">
        <f>JULIO!AA117</f>
        <v>2231045</v>
      </c>
      <c r="Z117" s="374">
        <v>0</v>
      </c>
      <c r="AA117" s="18">
        <f t="shared" si="132"/>
        <v>2231045</v>
      </c>
      <c r="AB117" s="19">
        <f>JULIO!AD117</f>
        <v>2231045</v>
      </c>
      <c r="AC117" s="374">
        <v>0</v>
      </c>
      <c r="AD117" s="18">
        <f t="shared" si="133"/>
        <v>2231045</v>
      </c>
      <c r="AE117" s="19">
        <f>JULIO!AG117</f>
        <v>75145</v>
      </c>
      <c r="AF117" s="374">
        <v>0</v>
      </c>
      <c r="AG117" s="18">
        <f t="shared" si="134"/>
        <v>75145</v>
      </c>
      <c r="AH117" s="19">
        <f t="shared" si="135"/>
        <v>2768955</v>
      </c>
      <c r="AI117" s="15">
        <f t="shared" si="136"/>
        <v>2768955</v>
      </c>
      <c r="AJ117" s="16">
        <f t="shared" si="137"/>
        <v>4924855</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3" t="str">
        <f>+IF(JULIO!A118=0,"",JULIO!A118)</f>
        <v>2200-1</v>
      </c>
      <c r="B118" s="627" t="str">
        <f>+IF(JULIO!B118=0,"",JULIO!B118)</f>
        <v>Vigencia Anterior</v>
      </c>
      <c r="C118" s="671">
        <f>+ENERO!C118</f>
        <v>0</v>
      </c>
      <c r="D118" s="464">
        <f>JULIO!D118+AGOSTO!P118</f>
        <v>0</v>
      </c>
      <c r="E118" s="464">
        <f>JULIO!E118+AGOSTO!Q118</f>
        <v>0</v>
      </c>
      <c r="F118" s="468">
        <f t="shared" si="126"/>
        <v>0</v>
      </c>
      <c r="G118" s="466">
        <f>JULIO!I118</f>
        <v>0</v>
      </c>
      <c r="H118" s="374">
        <v>0</v>
      </c>
      <c r="I118" s="468">
        <f t="shared" si="127"/>
        <v>0</v>
      </c>
      <c r="J118" s="466">
        <f>JULIO!L118</f>
        <v>0</v>
      </c>
      <c r="K118" s="374">
        <v>0</v>
      </c>
      <c r="L118" s="465">
        <f t="shared" si="128"/>
        <v>0</v>
      </c>
      <c r="M118" s="469">
        <f t="shared" si="129"/>
        <v>0</v>
      </c>
      <c r="N118" s="465">
        <f t="shared" si="130"/>
        <v>0</v>
      </c>
      <c r="O118" s="461"/>
      <c r="P118" s="372">
        <v>0</v>
      </c>
      <c r="Q118" s="375">
        <v>0</v>
      </c>
      <c r="R118" s="9"/>
      <c r="S118" s="705" t="str">
        <f>+IF(JULIO!S118=0,"",JULIO!S118)</f>
        <v>2010100-4</v>
      </c>
      <c r="T118" s="681" t="str">
        <f>+IF(JULIO!T118=0,"",JULIO!T118)</f>
        <v/>
      </c>
      <c r="U118" s="27">
        <f>+ENERO!U118</f>
        <v>0</v>
      </c>
      <c r="V118" s="15">
        <f>JULIO!V118+AGOSTO!AL118</f>
        <v>0</v>
      </c>
      <c r="W118" s="15">
        <f>JULIO!W118+AGOSTO!AM118</f>
        <v>0</v>
      </c>
      <c r="X118" s="18">
        <f t="shared" si="131"/>
        <v>0</v>
      </c>
      <c r="Y118" s="19">
        <f>JULIO!AA118</f>
        <v>0</v>
      </c>
      <c r="Z118" s="374">
        <v>0</v>
      </c>
      <c r="AA118" s="18">
        <f t="shared" si="132"/>
        <v>0</v>
      </c>
      <c r="AB118" s="19">
        <f>JULIO!AD118</f>
        <v>0</v>
      </c>
      <c r="AC118" s="374">
        <v>0</v>
      </c>
      <c r="AD118" s="18">
        <f t="shared" si="133"/>
        <v>0</v>
      </c>
      <c r="AE118" s="19">
        <f>JULIO!AG118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2">
        <f>+IF(JULIO!A119=0,"",JULIO!A119)</f>
        <v>2300</v>
      </c>
      <c r="B119" s="626" t="str">
        <f>+IF(JULIO!B119=0,"",JULIO!B119)</f>
        <v>RENDIMIENTOS FINANCIEROS</v>
      </c>
      <c r="C119" s="671">
        <f>+ENERO!C119</f>
        <v>0</v>
      </c>
      <c r="D119" s="464">
        <f>JULIO!D119+AGOSTO!P119</f>
        <v>0</v>
      </c>
      <c r="E119" s="464">
        <f>JULIO!E119+AGOSTO!Q119</f>
        <v>3516381</v>
      </c>
      <c r="F119" s="468">
        <f t="shared" si="126"/>
        <v>3516381</v>
      </c>
      <c r="G119" s="219">
        <f>JULIO!I119</f>
        <v>3622825</v>
      </c>
      <c r="H119" s="374">
        <v>598976</v>
      </c>
      <c r="I119" s="473">
        <f t="shared" si="127"/>
        <v>4221801</v>
      </c>
      <c r="J119" s="219">
        <f>JULIO!L119</f>
        <v>3622825</v>
      </c>
      <c r="K119" s="374">
        <v>598976</v>
      </c>
      <c r="L119" s="143">
        <f t="shared" si="128"/>
        <v>4221801</v>
      </c>
      <c r="M119" s="438">
        <f t="shared" si="129"/>
        <v>-705420</v>
      </c>
      <c r="N119" s="143">
        <f t="shared" si="130"/>
        <v>-705420</v>
      </c>
      <c r="O119" s="461"/>
      <c r="P119" s="372">
        <v>0</v>
      </c>
      <c r="Q119" s="375">
        <v>1917307</v>
      </c>
      <c r="R119" s="9"/>
      <c r="S119" s="705" t="str">
        <f>+IF(JULIO!S119=0,"",JULIO!S119)</f>
        <v>2010100-5</v>
      </c>
      <c r="T119" s="681" t="str">
        <f>+IF(JULIO!T119=0,"",JULIO!T119)</f>
        <v/>
      </c>
      <c r="U119" s="27">
        <f>+ENERO!U119</f>
        <v>0</v>
      </c>
      <c r="V119" s="15">
        <f>JULIO!V119+AGOSTO!AL119</f>
        <v>0</v>
      </c>
      <c r="W119" s="15">
        <f>JULIO!W119+AGOSTO!AM119</f>
        <v>0</v>
      </c>
      <c r="X119" s="18">
        <f t="shared" si="131"/>
        <v>0</v>
      </c>
      <c r="Y119" s="19">
        <f>JULIO!AA119</f>
        <v>0</v>
      </c>
      <c r="Z119" s="374">
        <v>0</v>
      </c>
      <c r="AA119" s="18">
        <f t="shared" si="132"/>
        <v>0</v>
      </c>
      <c r="AB119" s="19">
        <f>JULIO!AD119</f>
        <v>0</v>
      </c>
      <c r="AC119" s="374">
        <v>0</v>
      </c>
      <c r="AD119" s="18">
        <f t="shared" si="133"/>
        <v>0</v>
      </c>
      <c r="AE119" s="19">
        <f>JULIO!AG119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4">
        <f>+IF(JULIO!A120=0,"",JULIO!A120)</f>
        <v>2400</v>
      </c>
      <c r="B120" s="627" t="str">
        <f>+IF(JULIO!B120=0,"",JULIO!B120)</f>
        <v>VENTA DE ACTIVOS</v>
      </c>
      <c r="C120" s="671">
        <f>+ENERO!C120</f>
        <v>0</v>
      </c>
      <c r="D120" s="464">
        <f>JULIO!D120+AGOSTO!P120</f>
        <v>0</v>
      </c>
      <c r="E120" s="464">
        <f>JULIO!E120+AGOSTO!Q120</f>
        <v>0</v>
      </c>
      <c r="F120" s="468">
        <f t="shared" si="126"/>
        <v>0</v>
      </c>
      <c r="G120" s="219">
        <f>JULIO!I120</f>
        <v>0</v>
      </c>
      <c r="H120" s="374">
        <v>0</v>
      </c>
      <c r="I120" s="473">
        <f t="shared" si="127"/>
        <v>0</v>
      </c>
      <c r="J120" s="219">
        <f>JULIO!L120</f>
        <v>0</v>
      </c>
      <c r="K120" s="374">
        <v>0</v>
      </c>
      <c r="L120" s="143">
        <f t="shared" si="128"/>
        <v>0</v>
      </c>
      <c r="M120" s="438">
        <f t="shared" si="129"/>
        <v>0</v>
      </c>
      <c r="N120" s="143">
        <f t="shared" si="130"/>
        <v>0</v>
      </c>
      <c r="P120" s="372">
        <v>0</v>
      </c>
      <c r="Q120" s="375">
        <v>0</v>
      </c>
      <c r="R120" s="9"/>
      <c r="S120" s="705" t="str">
        <f>+IF(JULIO!S120=0,"",JULIO!S120)</f>
        <v>2010100-6</v>
      </c>
      <c r="T120" s="681" t="str">
        <f>+IF(JULIO!T120=0,"",JULIO!T120)</f>
        <v/>
      </c>
      <c r="U120" s="27">
        <f>+ENERO!U120</f>
        <v>0</v>
      </c>
      <c r="V120" s="15">
        <f>JULIO!V120+AGOSTO!AL120</f>
        <v>0</v>
      </c>
      <c r="W120" s="15">
        <f>JULIO!W120+AGOSTO!AM120</f>
        <v>0</v>
      </c>
      <c r="X120" s="18">
        <f t="shared" si="131"/>
        <v>0</v>
      </c>
      <c r="Y120" s="19">
        <f>JULIO!AA120</f>
        <v>0</v>
      </c>
      <c r="Z120" s="374">
        <v>0</v>
      </c>
      <c r="AA120" s="18">
        <f t="shared" si="132"/>
        <v>0</v>
      </c>
      <c r="AB120" s="19">
        <f>JULIO!AD120</f>
        <v>0</v>
      </c>
      <c r="AC120" s="374">
        <v>0</v>
      </c>
      <c r="AD120" s="18">
        <f t="shared" si="133"/>
        <v>0</v>
      </c>
      <c r="AE120" s="19">
        <f>JULIO!AG120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4">
        <f>+IF(JULIO!A121=0,"",JULIO!A121)</f>
        <v>2500</v>
      </c>
      <c r="B121" s="627" t="str">
        <f>+IF(JULIO!B121=0,"",JULIO!B121)</f>
        <v>DONACIONES</v>
      </c>
      <c r="C121" s="671">
        <f>+ENERO!C121</f>
        <v>0</v>
      </c>
      <c r="D121" s="464">
        <f>JULIO!D121+AGOSTO!P121</f>
        <v>0</v>
      </c>
      <c r="E121" s="464">
        <f>JULIO!E121+AGOSTO!Q121</f>
        <v>0</v>
      </c>
      <c r="F121" s="468">
        <f t="shared" si="126"/>
        <v>0</v>
      </c>
      <c r="G121" s="219">
        <f>JULIO!I121</f>
        <v>0</v>
      </c>
      <c r="H121" s="374">
        <v>0</v>
      </c>
      <c r="I121" s="473">
        <f t="shared" si="127"/>
        <v>0</v>
      </c>
      <c r="J121" s="219">
        <f>JULIO!L121</f>
        <v>0</v>
      </c>
      <c r="K121" s="374">
        <v>0</v>
      </c>
      <c r="L121" s="143">
        <f t="shared" si="128"/>
        <v>0</v>
      </c>
      <c r="M121" s="438">
        <f t="shared" si="129"/>
        <v>0</v>
      </c>
      <c r="N121" s="143">
        <f t="shared" si="130"/>
        <v>0</v>
      </c>
      <c r="P121" s="372">
        <v>0</v>
      </c>
      <c r="Q121" s="375">
        <v>0</v>
      </c>
      <c r="R121" s="9"/>
      <c r="S121" s="705">
        <f>+IF(JULIO!S121=0,"",JULIO!S121)</f>
        <v>2010199</v>
      </c>
      <c r="T121" s="681" t="str">
        <f>+IF(JULIO!T121=0,"",JULIO!T121)</f>
        <v>Vigencias Anteriores</v>
      </c>
      <c r="U121" s="27">
        <f>+ENERO!U121</f>
        <v>0</v>
      </c>
      <c r="V121" s="15">
        <f>JULIO!V121+AGOSTO!AL121</f>
        <v>-89040581</v>
      </c>
      <c r="W121" s="15">
        <f>JULIO!W121+AGOSTO!AM121</f>
        <v>200000000</v>
      </c>
      <c r="X121" s="18">
        <f t="shared" si="131"/>
        <v>110959419</v>
      </c>
      <c r="Y121" s="19">
        <f>JULIO!AA121</f>
        <v>110959419</v>
      </c>
      <c r="Z121" s="374">
        <v>0</v>
      </c>
      <c r="AA121" s="18">
        <f t="shared" si="132"/>
        <v>110959419</v>
      </c>
      <c r="AB121" s="19">
        <f>JULIO!AD121</f>
        <v>110959419</v>
      </c>
      <c r="AC121" s="374">
        <v>0</v>
      </c>
      <c r="AD121" s="18">
        <f t="shared" si="133"/>
        <v>110959419</v>
      </c>
      <c r="AE121" s="19">
        <f>JULIO!AG121</f>
        <v>110959419</v>
      </c>
      <c r="AF121" s="374">
        <v>0</v>
      </c>
      <c r="AG121" s="18">
        <f t="shared" si="134"/>
        <v>110959419</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4">
        <f>+IF(JULIO!A122=0,"",JULIO!A122)</f>
        <v>2600</v>
      </c>
      <c r="B122" s="627" t="str">
        <f>+IF(JULIO!B122=0,"",JULIO!B122)</f>
        <v>RECUPERACIÓN DE CARTERA (AÑO 2015 Y ANTERIORES)</v>
      </c>
      <c r="C122" s="671">
        <f>+ENERO!C122</f>
        <v>9052927194</v>
      </c>
      <c r="D122" s="464">
        <f>JULIO!D122+AGOSTO!P122</f>
        <v>0</v>
      </c>
      <c r="E122" s="464">
        <f>JULIO!E122+AGOSTO!Q122</f>
        <v>0</v>
      </c>
      <c r="F122" s="468">
        <f t="shared" si="126"/>
        <v>9052927194</v>
      </c>
      <c r="G122" s="219">
        <f>JULIO!I122</f>
        <v>0</v>
      </c>
      <c r="H122" s="374">
        <v>21627880</v>
      </c>
      <c r="I122" s="473">
        <f t="shared" si="127"/>
        <v>21627880</v>
      </c>
      <c r="J122" s="219">
        <f>JULIO!L122</f>
        <v>0</v>
      </c>
      <c r="K122" s="374">
        <v>21627880</v>
      </c>
      <c r="L122" s="143">
        <f t="shared" si="128"/>
        <v>21627880</v>
      </c>
      <c r="M122" s="438">
        <f t="shared" si="129"/>
        <v>9031299314</v>
      </c>
      <c r="N122" s="143">
        <f t="shared" si="130"/>
        <v>9031299314</v>
      </c>
      <c r="P122" s="372">
        <v>0</v>
      </c>
      <c r="Q122" s="375">
        <v>0</v>
      </c>
      <c r="R122" s="9"/>
      <c r="S122" s="366" t="str">
        <f>+IF(JULIO!S122=0,"",JULIO!S122)</f>
        <v/>
      </c>
      <c r="T122" s="695"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5">
        <f>+IF(JULIO!A123=0,"",JULIO!A123)</f>
        <v>2700</v>
      </c>
      <c r="B123" s="627" t="str">
        <f>+IF(JULIO!B123=0,"",JULIO!B123)</f>
        <v>OTROS INGRESOS DE CAPITAL</v>
      </c>
      <c r="C123" s="671">
        <f>+ENERO!C123</f>
        <v>0</v>
      </c>
      <c r="D123" s="464">
        <f>JULIO!D123+AGOSTO!P123</f>
        <v>0</v>
      </c>
      <c r="E123" s="464">
        <f>JULIO!E123+AGOSTO!Q123</f>
        <v>0</v>
      </c>
      <c r="F123" s="468">
        <f t="shared" si="126"/>
        <v>0</v>
      </c>
      <c r="G123" s="219">
        <f>JULIO!I123</f>
        <v>0</v>
      </c>
      <c r="H123" s="374">
        <v>0</v>
      </c>
      <c r="I123" s="473">
        <f t="shared" si="127"/>
        <v>0</v>
      </c>
      <c r="J123" s="219">
        <f>JULIO!L123</f>
        <v>0</v>
      </c>
      <c r="K123" s="374">
        <v>0</v>
      </c>
      <c r="L123" s="143">
        <f t="shared" si="128"/>
        <v>0</v>
      </c>
      <c r="M123" s="438">
        <f t="shared" si="129"/>
        <v>0</v>
      </c>
      <c r="N123" s="143">
        <f t="shared" si="130"/>
        <v>0</v>
      </c>
      <c r="P123" s="372">
        <v>0</v>
      </c>
      <c r="Q123" s="375">
        <v>0</v>
      </c>
      <c r="R123" s="9"/>
      <c r="S123" s="704">
        <f>+IF(JULIO!S123=0,"",JULIO!S123)</f>
        <v>2010200</v>
      </c>
      <c r="T123" s="680" t="str">
        <f>+IF(JULIO!T123=0,"",JULIO!T123)</f>
        <v>Adquisición de Servicios</v>
      </c>
      <c r="U123" s="132">
        <f t="shared" ref="U123:AJ123" si="138">SUM(U124:U139)</f>
        <v>4658828612</v>
      </c>
      <c r="V123" s="122">
        <f t="shared" si="138"/>
        <v>-107339003</v>
      </c>
      <c r="W123" s="122">
        <f t="shared" si="138"/>
        <v>1498156707</v>
      </c>
      <c r="X123" s="129">
        <f t="shared" si="138"/>
        <v>6049646316</v>
      </c>
      <c r="Y123" s="128">
        <f t="shared" si="138"/>
        <v>5469543675</v>
      </c>
      <c r="Z123" s="122">
        <f t="shared" si="138"/>
        <v>97495155</v>
      </c>
      <c r="AA123" s="129">
        <f t="shared" si="138"/>
        <v>5567038830</v>
      </c>
      <c r="AB123" s="128">
        <f t="shared" si="138"/>
        <v>3902400201</v>
      </c>
      <c r="AC123" s="122">
        <f t="shared" si="138"/>
        <v>436743998</v>
      </c>
      <c r="AD123" s="129">
        <f t="shared" si="138"/>
        <v>4339144199</v>
      </c>
      <c r="AE123" s="128">
        <f t="shared" si="138"/>
        <v>2619884019</v>
      </c>
      <c r="AF123" s="122">
        <f t="shared" si="138"/>
        <v>205761817</v>
      </c>
      <c r="AG123" s="129">
        <f t="shared" si="138"/>
        <v>2825645836</v>
      </c>
      <c r="AH123" s="128">
        <f t="shared" si="138"/>
        <v>482607486</v>
      </c>
      <c r="AI123" s="122">
        <f t="shared" si="138"/>
        <v>1710502117</v>
      </c>
      <c r="AJ123" s="130">
        <f t="shared" si="138"/>
        <v>3224000480</v>
      </c>
      <c r="AK123" s="9"/>
      <c r="AL123" s="128">
        <f>SUM(AL124:AL139)</f>
        <v>-2892178</v>
      </c>
      <c r="AM123" s="130">
        <f>SUM(AM124:AM139)</f>
        <v>70000000</v>
      </c>
      <c r="AN123" s="9"/>
      <c r="AO123" s="294"/>
      <c r="AP123" s="294"/>
      <c r="AQ123" s="294"/>
      <c r="AR123" s="294"/>
      <c r="AS123" s="294"/>
      <c r="AT123" s="294"/>
      <c r="AU123" s="294"/>
      <c r="AV123" s="294"/>
      <c r="AW123" s="294"/>
      <c r="AX123" s="294"/>
      <c r="AY123" s="294"/>
      <c r="AZ123" s="294"/>
    </row>
    <row r="124" spans="1:52" s="382" customFormat="1" ht="24.95" customHeight="1" thickBot="1">
      <c r="A124" s="746">
        <f>+IF(JULIO!A124=0,"",JULIO!A124)</f>
        <v>2800</v>
      </c>
      <c r="B124" s="655" t="str">
        <f>+IF(JULIO!B124=0,"",JULIO!B124)</f>
        <v/>
      </c>
      <c r="C124" s="769">
        <f>+ENERO!C124</f>
        <v>0</v>
      </c>
      <c r="D124" s="462">
        <f>JULIO!D124+AGOSTO!P124</f>
        <v>0</v>
      </c>
      <c r="E124" s="462">
        <f>JULIO!E124+AGOSTO!Q124</f>
        <v>0</v>
      </c>
      <c r="F124" s="474">
        <f t="shared" si="126"/>
        <v>0</v>
      </c>
      <c r="G124" s="387">
        <f>JULIO!I124</f>
        <v>0</v>
      </c>
      <c r="H124" s="388">
        <v>0</v>
      </c>
      <c r="I124" s="475">
        <f t="shared" si="127"/>
        <v>0</v>
      </c>
      <c r="J124" s="387">
        <f>JULIO!L124</f>
        <v>0</v>
      </c>
      <c r="K124" s="388">
        <v>0</v>
      </c>
      <c r="L124" s="386">
        <f t="shared" si="128"/>
        <v>0</v>
      </c>
      <c r="M124" s="476">
        <f t="shared" si="129"/>
        <v>0</v>
      </c>
      <c r="N124" s="386">
        <f t="shared" si="130"/>
        <v>0</v>
      </c>
      <c r="P124" s="384">
        <v>0</v>
      </c>
      <c r="Q124" s="389">
        <v>0</v>
      </c>
      <c r="R124" s="9"/>
      <c r="S124" s="705" t="str">
        <f>+IF(JULIO!S124=0,"",JULIO!S124)</f>
        <v>2010200-1</v>
      </c>
      <c r="T124" s="681" t="str">
        <f>+IF(JULIO!T124=0,"",JULIO!T124)</f>
        <v>Seguros</v>
      </c>
      <c r="U124" s="27">
        <f>+ENERO!U124</f>
        <v>350000000</v>
      </c>
      <c r="V124" s="15">
        <f>JULIO!V124+AGOSTO!AL124</f>
        <v>22168059</v>
      </c>
      <c r="W124" s="15">
        <f>JULIO!W124+AGOSTO!AM124</f>
        <v>0</v>
      </c>
      <c r="X124" s="18">
        <f t="shared" ref="X124:X139" si="139">SUM(U124:W124)</f>
        <v>372168059</v>
      </c>
      <c r="Y124" s="19">
        <f>JULIO!AA124</f>
        <v>371605737</v>
      </c>
      <c r="Z124" s="374">
        <v>0</v>
      </c>
      <c r="AA124" s="18">
        <f t="shared" ref="AA124:AA139" si="140">SUM(Y124:Z124)</f>
        <v>371605737</v>
      </c>
      <c r="AB124" s="19">
        <f>JULIO!AD124</f>
        <v>371570880</v>
      </c>
      <c r="AC124" s="374">
        <v>0</v>
      </c>
      <c r="AD124" s="18">
        <f t="shared" ref="AD124:AD139" si="141">SUM(AB124:AC124)</f>
        <v>371570880</v>
      </c>
      <c r="AE124" s="19">
        <f>JULIO!AG124</f>
        <v>368830743</v>
      </c>
      <c r="AF124" s="374">
        <v>0</v>
      </c>
      <c r="AG124" s="18">
        <f t="shared" ref="AG124:AG139" si="142">SUM(AE124:AF124)</f>
        <v>368830743</v>
      </c>
      <c r="AH124" s="19">
        <f t="shared" ref="AH124:AH139" si="143">X124-AA124</f>
        <v>562322</v>
      </c>
      <c r="AI124" s="15">
        <f t="shared" ref="AI124:AI139" si="144">X124-AD124</f>
        <v>597179</v>
      </c>
      <c r="AJ124" s="16">
        <f t="shared" ref="AJ124:AJ139" si="145">X124-AG124</f>
        <v>3337316</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1"/>
      <c r="B125" s="653"/>
      <c r="C125" s="480"/>
      <c r="D125" s="480"/>
      <c r="E125" s="480"/>
      <c r="F125" s="480"/>
      <c r="G125" s="480"/>
      <c r="H125" s="480"/>
      <c r="I125" s="480"/>
      <c r="J125" s="480"/>
      <c r="K125" s="480"/>
      <c r="L125" s="480"/>
      <c r="M125" s="480"/>
      <c r="N125" s="481"/>
      <c r="P125" s="482"/>
      <c r="Q125" s="481"/>
      <c r="R125" s="9"/>
      <c r="S125" s="705" t="str">
        <f>+IF(JULIO!S125=0,"",JULIO!S125)</f>
        <v>2010200-2</v>
      </c>
      <c r="T125" s="681" t="str">
        <f>+IF(JULIO!T125=0,"",JULIO!T125)</f>
        <v>Impresos y Publicaciones</v>
      </c>
      <c r="U125" s="27">
        <f>+ENERO!U125</f>
        <v>60000000</v>
      </c>
      <c r="V125" s="15">
        <f>JULIO!V125+AGOSTO!AL125</f>
        <v>29994312</v>
      </c>
      <c r="W125" s="15">
        <f>JULIO!W125+AGOSTO!AM125</f>
        <v>0</v>
      </c>
      <c r="X125" s="18">
        <f t="shared" si="139"/>
        <v>89994312</v>
      </c>
      <c r="Y125" s="19">
        <f>JULIO!AA125</f>
        <v>81295006</v>
      </c>
      <c r="Z125" s="374">
        <v>286771</v>
      </c>
      <c r="AA125" s="18">
        <f t="shared" si="140"/>
        <v>81581777</v>
      </c>
      <c r="AB125" s="19">
        <f>JULIO!AD125</f>
        <v>48295006</v>
      </c>
      <c r="AC125" s="374">
        <v>286771</v>
      </c>
      <c r="AD125" s="18">
        <f t="shared" si="141"/>
        <v>48581777</v>
      </c>
      <c r="AE125" s="19">
        <f>JULIO!AG125</f>
        <v>33710000</v>
      </c>
      <c r="AF125" s="374">
        <v>985000</v>
      </c>
      <c r="AG125" s="18">
        <f t="shared" si="142"/>
        <v>34695000</v>
      </c>
      <c r="AH125" s="19">
        <f t="shared" si="143"/>
        <v>8412535</v>
      </c>
      <c r="AI125" s="15">
        <f t="shared" si="144"/>
        <v>41412535</v>
      </c>
      <c r="AJ125" s="16">
        <f t="shared" si="145"/>
        <v>55299312</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5" t="s">
        <v>246</v>
      </c>
      <c r="B126" s="656"/>
      <c r="C126" s="477">
        <f t="shared" ref="C126:N126" si="146">C8-C128</f>
        <v>41169250887</v>
      </c>
      <c r="D126" s="477">
        <f t="shared" si="146"/>
        <v>0</v>
      </c>
      <c r="E126" s="477">
        <f t="shared" si="146"/>
        <v>1086980446</v>
      </c>
      <c r="F126" s="477">
        <f t="shared" si="146"/>
        <v>42256231333</v>
      </c>
      <c r="G126" s="477">
        <f t="shared" si="146"/>
        <v>28635674770</v>
      </c>
      <c r="H126" s="477">
        <f t="shared" si="146"/>
        <v>3503096847</v>
      </c>
      <c r="I126" s="477">
        <f t="shared" si="146"/>
        <v>32138771617</v>
      </c>
      <c r="J126" s="477">
        <f t="shared" si="146"/>
        <v>6103324735</v>
      </c>
      <c r="K126" s="477">
        <f t="shared" si="146"/>
        <v>3151453320</v>
      </c>
      <c r="L126" s="477">
        <f t="shared" si="146"/>
        <v>9254778055</v>
      </c>
      <c r="M126" s="477">
        <f t="shared" si="146"/>
        <v>19148759030</v>
      </c>
      <c r="N126" s="613">
        <f t="shared" si="146"/>
        <v>33001453278</v>
      </c>
      <c r="P126" s="478">
        <f>P8-P128</f>
        <v>0</v>
      </c>
      <c r="Q126" s="479">
        <f>Q8-Q128</f>
        <v>18230727</v>
      </c>
      <c r="R126" s="9"/>
      <c r="S126" s="705" t="str">
        <f>+IF(JULIO!S126=0,"",JULIO!S126)</f>
        <v>2010200-3</v>
      </c>
      <c r="T126" s="681" t="str">
        <f>+IF(JULIO!T126=0,"",JULIO!T126)</f>
        <v xml:space="preserve">Servicios Públicos </v>
      </c>
      <c r="U126" s="27">
        <f>+ENERO!U126</f>
        <v>904500000</v>
      </c>
      <c r="V126" s="15">
        <f>JULIO!V126+AGOSTO!AL126</f>
        <v>0</v>
      </c>
      <c r="W126" s="15">
        <f>JULIO!W126+AGOSTO!AM126</f>
        <v>0</v>
      </c>
      <c r="X126" s="18">
        <f t="shared" si="139"/>
        <v>904500000</v>
      </c>
      <c r="Y126" s="19">
        <f>JULIO!AA126</f>
        <v>646681350</v>
      </c>
      <c r="Z126" s="374">
        <v>85546866</v>
      </c>
      <c r="AA126" s="18">
        <f t="shared" si="140"/>
        <v>732228216</v>
      </c>
      <c r="AB126" s="19">
        <f>JULIO!AD126</f>
        <v>646613065</v>
      </c>
      <c r="AC126" s="374">
        <v>85546866</v>
      </c>
      <c r="AD126" s="18">
        <f t="shared" si="141"/>
        <v>732159931</v>
      </c>
      <c r="AE126" s="19">
        <f>JULIO!AG126</f>
        <v>608929830</v>
      </c>
      <c r="AF126" s="374">
        <v>84388450</v>
      </c>
      <c r="AG126" s="18">
        <f t="shared" si="142"/>
        <v>693318280</v>
      </c>
      <c r="AH126" s="19">
        <f t="shared" si="143"/>
        <v>172271784</v>
      </c>
      <c r="AI126" s="15">
        <f t="shared" si="144"/>
        <v>172340069</v>
      </c>
      <c r="AJ126" s="16">
        <f t="shared" si="145"/>
        <v>211181720</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68"/>
      <c r="B127" s="653"/>
      <c r="C127" s="480"/>
      <c r="D127" s="480"/>
      <c r="E127" s="480"/>
      <c r="F127" s="480"/>
      <c r="G127" s="480"/>
      <c r="H127" s="480"/>
      <c r="I127" s="480"/>
      <c r="J127" s="480"/>
      <c r="K127" s="480"/>
      <c r="L127" s="480"/>
      <c r="M127" s="480"/>
      <c r="N127" s="481"/>
      <c r="P127" s="482"/>
      <c r="Q127" s="481"/>
      <c r="R127" s="9"/>
      <c r="S127" s="705" t="str">
        <f>+IF(JULIO!S127=0,"",JULIO!S127)</f>
        <v>2010200-4</v>
      </c>
      <c r="T127" s="681" t="str">
        <f>+IF(JULIO!T127=0,"",JULIO!T127)</f>
        <v>Comunicaciones y Transportes</v>
      </c>
      <c r="U127" s="27">
        <f>+ENERO!U127</f>
        <v>35257108</v>
      </c>
      <c r="V127" s="15">
        <f>JULIO!V127+AGOSTO!AL127</f>
        <v>0</v>
      </c>
      <c r="W127" s="15">
        <f>JULIO!W127+AGOSTO!AM127</f>
        <v>0</v>
      </c>
      <c r="X127" s="18">
        <f t="shared" si="139"/>
        <v>35257108</v>
      </c>
      <c r="Y127" s="19">
        <f>JULIO!AA127</f>
        <v>32471031</v>
      </c>
      <c r="Z127" s="374">
        <v>1804938</v>
      </c>
      <c r="AA127" s="18">
        <f t="shared" si="140"/>
        <v>34275969</v>
      </c>
      <c r="AB127" s="19">
        <f>JULIO!AD127</f>
        <v>32471031</v>
      </c>
      <c r="AC127" s="374">
        <v>1804938</v>
      </c>
      <c r="AD127" s="18">
        <f t="shared" si="141"/>
        <v>34275969</v>
      </c>
      <c r="AE127" s="19">
        <f>JULIO!AG127</f>
        <v>17763555</v>
      </c>
      <c r="AF127" s="374">
        <v>3239688</v>
      </c>
      <c r="AG127" s="18">
        <f t="shared" si="142"/>
        <v>21003243</v>
      </c>
      <c r="AH127" s="19">
        <f t="shared" si="143"/>
        <v>981139</v>
      </c>
      <c r="AI127" s="15">
        <f t="shared" si="144"/>
        <v>981139</v>
      </c>
      <c r="AJ127" s="16">
        <f t="shared" si="145"/>
        <v>14253865</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6" t="s">
        <v>249</v>
      </c>
      <c r="B128" s="657"/>
      <c r="C128" s="483">
        <f>SUMIF($B8:$B$122,$B$24,C8:C122)+C122</f>
        <v>9052927194</v>
      </c>
      <c r="D128" s="483">
        <f>SUMIF($B8:$B$122,$B$24,D8:D122)+D122</f>
        <v>0</v>
      </c>
      <c r="E128" s="483">
        <f>SUMIF($B8:$B$122,$B$24,E8:E122)+E122</f>
        <v>15569175587</v>
      </c>
      <c r="F128" s="483">
        <f>SUMIF($B8:$B$122,$B$24,F8:F122)+F122</f>
        <v>24622102781</v>
      </c>
      <c r="G128" s="483">
        <f>SUMIF($B8:$B$122,$B$24,G8:G122)+G122</f>
        <v>17120702845</v>
      </c>
      <c r="H128" s="483">
        <f>SUMIF($B8:$B$122,$B$24,H8:H122)+H122</f>
        <v>366428975</v>
      </c>
      <c r="I128" s="483">
        <f>SUMIF($B8:$B$122,$B$24,I8:I122)+I122</f>
        <v>17487131820</v>
      </c>
      <c r="J128" s="483">
        <f>SUMIF($B8:$B$122,$B$24,J8:J122)+J1212</f>
        <v>17120702845</v>
      </c>
      <c r="K128" s="483">
        <f>SUMIF($B8:$B$122,$B$24,K8:K122)+K122</f>
        <v>366428975</v>
      </c>
      <c r="L128" s="483">
        <f>SUMIF($B8:$B$122,$B$24,L8:L122)+L122</f>
        <v>17487131820</v>
      </c>
      <c r="M128" s="483">
        <f>SUMIF($B8:$B$122,$B$24,M8:M122)+M12</f>
        <v>-1896328353</v>
      </c>
      <c r="N128" s="614">
        <f>SUMIF($B8:$B$122,$B$24,N8:N122)+N122</f>
        <v>7134970961</v>
      </c>
      <c r="O128" s="461"/>
      <c r="P128" s="483">
        <f>SUMIF($B8:$B$122,$B$24,P8:P122)+P122</f>
        <v>0</v>
      </c>
      <c r="Q128" s="484">
        <f>SUMIF($B8:$B$122,$B$24,Q8:Q122)+Q122</f>
        <v>3685374436</v>
      </c>
      <c r="R128" s="9"/>
      <c r="S128" s="705" t="str">
        <f>+IF(JULIO!S128=0,"",JULIO!S128)</f>
        <v>2010200-5</v>
      </c>
      <c r="T128" s="681" t="str">
        <f>+IF(JULIO!T128=0,"",JULIO!T128)</f>
        <v>Viáticos y Gastos de Viaje</v>
      </c>
      <c r="U128" s="27">
        <f>+ENERO!U128</f>
        <v>12609000</v>
      </c>
      <c r="V128" s="15">
        <f>JULIO!V128+AGOSTO!AL128</f>
        <v>0</v>
      </c>
      <c r="W128" s="15">
        <f>JULIO!W128+AGOSTO!AM128</f>
        <v>0</v>
      </c>
      <c r="X128" s="18">
        <f t="shared" si="139"/>
        <v>12609000</v>
      </c>
      <c r="Y128" s="19">
        <f>JULIO!AA128</f>
        <v>3169537</v>
      </c>
      <c r="Z128" s="374">
        <v>0</v>
      </c>
      <c r="AA128" s="18">
        <f t="shared" si="140"/>
        <v>3169537</v>
      </c>
      <c r="AB128" s="19">
        <f>JULIO!AD128</f>
        <v>3169537</v>
      </c>
      <c r="AC128" s="374">
        <v>0</v>
      </c>
      <c r="AD128" s="18">
        <f t="shared" si="141"/>
        <v>3169537</v>
      </c>
      <c r="AE128" s="19">
        <f>JULIO!AG128</f>
        <v>2851926</v>
      </c>
      <c r="AF128" s="374">
        <v>0</v>
      </c>
      <c r="AG128" s="18">
        <f t="shared" si="142"/>
        <v>2851926</v>
      </c>
      <c r="AH128" s="19">
        <f t="shared" si="143"/>
        <v>9439463</v>
      </c>
      <c r="AI128" s="15">
        <f t="shared" si="144"/>
        <v>9439463</v>
      </c>
      <c r="AJ128" s="16">
        <f t="shared" si="145"/>
        <v>9757074</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68"/>
      <c r="B129" s="653"/>
      <c r="C129" s="480"/>
      <c r="D129" s="480"/>
      <c r="E129" s="480"/>
      <c r="F129" s="480"/>
      <c r="G129" s="480"/>
      <c r="H129" s="480"/>
      <c r="I129" s="480"/>
      <c r="J129" s="480"/>
      <c r="K129" s="480"/>
      <c r="L129" s="480"/>
      <c r="M129" s="480"/>
      <c r="N129" s="481"/>
      <c r="P129" s="482"/>
      <c r="Q129" s="481"/>
      <c r="R129" s="9"/>
      <c r="S129" s="705" t="str">
        <f>+IF(JULIO!S129=0,"",JULIO!S129)</f>
        <v>2010200-6</v>
      </c>
      <c r="T129" s="681" t="str">
        <f>+IF(JULIO!T129=0,"",JULIO!T129)</f>
        <v>Arrendamientos</v>
      </c>
      <c r="U129" s="27">
        <f>+ENERO!U129</f>
        <v>1100000000</v>
      </c>
      <c r="V129" s="15">
        <f>JULIO!V129+AGOSTO!AL129</f>
        <v>1167817483</v>
      </c>
      <c r="W129" s="15">
        <f>JULIO!W129+AGOSTO!AM129</f>
        <v>110000000</v>
      </c>
      <c r="X129" s="18">
        <f t="shared" si="139"/>
        <v>2377817483</v>
      </c>
      <c r="Y129" s="19">
        <f>JULIO!AA129</f>
        <v>2327817100</v>
      </c>
      <c r="Z129" s="374">
        <v>7155876</v>
      </c>
      <c r="AA129" s="18">
        <f t="shared" si="140"/>
        <v>2334972976</v>
      </c>
      <c r="AB129" s="19">
        <f>JULIO!AD129</f>
        <v>1423149159</v>
      </c>
      <c r="AC129" s="374">
        <v>197895884</v>
      </c>
      <c r="AD129" s="18">
        <f t="shared" si="141"/>
        <v>1621045043</v>
      </c>
      <c r="AE129" s="19">
        <f>JULIO!AG129</f>
        <v>899735167</v>
      </c>
      <c r="AF129" s="374">
        <v>27314835</v>
      </c>
      <c r="AG129" s="18">
        <f t="shared" si="142"/>
        <v>927050002</v>
      </c>
      <c r="AH129" s="19">
        <f t="shared" si="143"/>
        <v>42844507</v>
      </c>
      <c r="AI129" s="15">
        <f t="shared" si="144"/>
        <v>756772440</v>
      </c>
      <c r="AJ129" s="16">
        <f t="shared" si="145"/>
        <v>1450767481</v>
      </c>
      <c r="AK129" s="9"/>
      <c r="AL129" s="372">
        <v>0</v>
      </c>
      <c r="AM129" s="375">
        <v>50000000</v>
      </c>
      <c r="AN129" s="9"/>
      <c r="AO129" s="294"/>
      <c r="AP129" s="294"/>
      <c r="AQ129" s="294"/>
      <c r="AR129" s="294"/>
      <c r="AS129" s="294"/>
      <c r="AT129" s="294"/>
      <c r="AU129" s="294"/>
      <c r="AV129" s="294"/>
      <c r="AW129" s="294"/>
      <c r="AX129" s="294"/>
      <c r="AY129" s="294"/>
      <c r="AZ129" s="294"/>
    </row>
    <row r="130" spans="1:52" s="382" customFormat="1" ht="24.95" customHeight="1" thickBot="1">
      <c r="A130" s="767" t="s">
        <v>252</v>
      </c>
      <c r="B130" s="658"/>
      <c r="C130" s="485">
        <f t="shared" ref="C130:N130" si="147">C128+C126</f>
        <v>50222178081</v>
      </c>
      <c r="D130" s="486">
        <f t="shared" si="147"/>
        <v>0</v>
      </c>
      <c r="E130" s="486">
        <f t="shared" si="147"/>
        <v>16656156033</v>
      </c>
      <c r="F130" s="487">
        <f t="shared" si="147"/>
        <v>66878334114</v>
      </c>
      <c r="G130" s="485">
        <f t="shared" si="147"/>
        <v>45756377615</v>
      </c>
      <c r="H130" s="486">
        <f t="shared" si="147"/>
        <v>3869525822</v>
      </c>
      <c r="I130" s="487">
        <f t="shared" si="147"/>
        <v>49625903437</v>
      </c>
      <c r="J130" s="485">
        <f t="shared" si="147"/>
        <v>23224027580</v>
      </c>
      <c r="K130" s="486">
        <f t="shared" si="147"/>
        <v>3517882295</v>
      </c>
      <c r="L130" s="487">
        <f t="shared" si="147"/>
        <v>26741909875</v>
      </c>
      <c r="M130" s="485">
        <f t="shared" si="147"/>
        <v>17252430677</v>
      </c>
      <c r="N130" s="487">
        <f t="shared" si="147"/>
        <v>40136424239</v>
      </c>
      <c r="P130" s="478">
        <f>P128+P126</f>
        <v>0</v>
      </c>
      <c r="Q130" s="479">
        <f>Q128+Q126</f>
        <v>3703605163</v>
      </c>
      <c r="R130" s="9"/>
      <c r="S130" s="705" t="str">
        <f>+IF(JULIO!S130=0,"",JULIO!S130)</f>
        <v>2010200-7</v>
      </c>
      <c r="T130" s="681" t="str">
        <f>+IF(JULIO!T130=0,"",JULIO!T130)</f>
        <v>Vigilancia y Aseo</v>
      </c>
      <c r="U130" s="27">
        <f>+ENERO!U130</f>
        <v>2121073970</v>
      </c>
      <c r="V130" s="15">
        <f>JULIO!V130+AGOSTO!AL130</f>
        <v>-552319027</v>
      </c>
      <c r="W130" s="15">
        <f>JULIO!W130+AGOSTO!AM130</f>
        <v>220000000</v>
      </c>
      <c r="X130" s="18">
        <f t="shared" si="139"/>
        <v>1788754943</v>
      </c>
      <c r="Y130" s="19">
        <f>JULIO!AA130</f>
        <v>1632786670</v>
      </c>
      <c r="Z130" s="374">
        <v>0</v>
      </c>
      <c r="AA130" s="18">
        <f t="shared" si="140"/>
        <v>1632786670</v>
      </c>
      <c r="AB130" s="19">
        <f>JULIO!AD130</f>
        <v>1004458602</v>
      </c>
      <c r="AC130" s="374">
        <v>148508835</v>
      </c>
      <c r="AD130" s="18">
        <f t="shared" si="141"/>
        <v>1152967437</v>
      </c>
      <c r="AE130" s="19">
        <f>JULIO!AG130</f>
        <v>316986255</v>
      </c>
      <c r="AF130" s="374">
        <v>87097640</v>
      </c>
      <c r="AG130" s="18">
        <f t="shared" si="142"/>
        <v>404083895</v>
      </c>
      <c r="AH130" s="19">
        <f t="shared" si="143"/>
        <v>155968273</v>
      </c>
      <c r="AI130" s="15">
        <f t="shared" si="144"/>
        <v>635787506</v>
      </c>
      <c r="AJ130" s="16">
        <f t="shared" si="145"/>
        <v>1384671048</v>
      </c>
      <c r="AK130" s="9"/>
      <c r="AL130" s="372">
        <v>-4892178</v>
      </c>
      <c r="AM130" s="375">
        <v>0</v>
      </c>
      <c r="AN130" s="9"/>
      <c r="AO130" s="294"/>
      <c r="AP130" s="294"/>
      <c r="AQ130" s="294"/>
      <c r="AR130" s="294"/>
      <c r="AS130" s="294"/>
      <c r="AT130" s="294"/>
      <c r="AU130" s="294"/>
      <c r="AV130" s="294"/>
      <c r="AW130" s="294"/>
      <c r="AX130" s="294"/>
      <c r="AY130" s="294"/>
      <c r="AZ130" s="294"/>
    </row>
    <row r="131" spans="1:52" s="382" customFormat="1" ht="24.95" customHeight="1">
      <c r="A131" s="752"/>
      <c r="B131" s="660"/>
      <c r="N131" s="9"/>
      <c r="R131" s="9"/>
      <c r="S131" s="705" t="str">
        <f>+IF(JULIO!S131=0,"",JULIO!S131)</f>
        <v>2010200-8</v>
      </c>
      <c r="T131" s="681" t="str">
        <f>+IF(JULIO!T131=0,"",JULIO!T131)</f>
        <v>Bienestar Social</v>
      </c>
      <c r="U131" s="27">
        <f>+ENERO!U131</f>
        <v>45388534</v>
      </c>
      <c r="V131" s="15">
        <f>JULIO!V131+AGOSTO!AL131</f>
        <v>0</v>
      </c>
      <c r="W131" s="15">
        <f>JULIO!W131+AGOSTO!AM131</f>
        <v>26156707</v>
      </c>
      <c r="X131" s="18">
        <f t="shared" si="139"/>
        <v>71545241</v>
      </c>
      <c r="Y131" s="19">
        <f>JULIO!AA131</f>
        <v>19077486</v>
      </c>
      <c r="Z131" s="374">
        <v>450000</v>
      </c>
      <c r="AA131" s="18">
        <f t="shared" si="140"/>
        <v>19527486</v>
      </c>
      <c r="AB131" s="19">
        <f>JULIO!AD131</f>
        <v>18033163</v>
      </c>
      <c r="AC131" s="374">
        <v>450000</v>
      </c>
      <c r="AD131" s="18">
        <f t="shared" si="141"/>
        <v>18483163</v>
      </c>
      <c r="AE131" s="19">
        <f>JULIO!AG131</f>
        <v>16907663</v>
      </c>
      <c r="AF131" s="374">
        <v>1125500</v>
      </c>
      <c r="AG131" s="18">
        <f t="shared" si="142"/>
        <v>18033163</v>
      </c>
      <c r="AH131" s="19">
        <f t="shared" si="143"/>
        <v>52017755</v>
      </c>
      <c r="AI131" s="15">
        <f t="shared" si="144"/>
        <v>53062078</v>
      </c>
      <c r="AJ131" s="16">
        <f t="shared" si="145"/>
        <v>53512078</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2"/>
      <c r="B132" s="660"/>
      <c r="N132" s="9"/>
      <c r="R132" s="9"/>
      <c r="S132" s="705" t="str">
        <f>+IF(JULIO!S132=0,"",JULIO!S132)</f>
        <v>2010200-9</v>
      </c>
      <c r="T132" s="681" t="str">
        <f>+IF(JULIO!T132=0,"",JULIO!T132)</f>
        <v>Capacitación, estimulos, incentivos, programa de calidad</v>
      </c>
      <c r="U132" s="27">
        <f>+ENERO!U132</f>
        <v>15000000</v>
      </c>
      <c r="V132" s="15">
        <f>JULIO!V132+AGOSTO!AL132</f>
        <v>0</v>
      </c>
      <c r="W132" s="15">
        <f>JULIO!W132+AGOSTO!AM132</f>
        <v>0</v>
      </c>
      <c r="X132" s="18">
        <f t="shared" si="139"/>
        <v>15000000</v>
      </c>
      <c r="Y132" s="19">
        <f>JULIO!AA132</f>
        <v>0</v>
      </c>
      <c r="Z132" s="374">
        <v>640000</v>
      </c>
      <c r="AA132" s="18">
        <f t="shared" si="140"/>
        <v>640000</v>
      </c>
      <c r="AB132" s="19">
        <f>JULIO!AD132</f>
        <v>0</v>
      </c>
      <c r="AC132" s="374">
        <v>640000</v>
      </c>
      <c r="AD132" s="18">
        <f t="shared" si="141"/>
        <v>640000</v>
      </c>
      <c r="AE132" s="19">
        <f>JULIO!AG132</f>
        <v>0</v>
      </c>
      <c r="AF132" s="374">
        <v>0</v>
      </c>
      <c r="AG132" s="18">
        <f t="shared" si="142"/>
        <v>0</v>
      </c>
      <c r="AH132" s="19">
        <f t="shared" si="143"/>
        <v>14360000</v>
      </c>
      <c r="AI132" s="15">
        <f t="shared" si="144"/>
        <v>14360000</v>
      </c>
      <c r="AJ132" s="16">
        <f t="shared" si="145"/>
        <v>15000000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2"/>
      <c r="B133" s="660"/>
      <c r="N133" s="9"/>
      <c r="R133" s="9"/>
      <c r="S133" s="705" t="str">
        <f>+IF(JULIO!S133=0,"",JULIO!S133)</f>
        <v>2010200-10</v>
      </c>
      <c r="T133" s="681" t="str">
        <f>+IF(JULIO!T133=0,"",JULIO!T133)</f>
        <v>Pagos otras IPS</v>
      </c>
      <c r="U133" s="27">
        <f>+ENERO!U133</f>
        <v>5000000</v>
      </c>
      <c r="V133" s="15">
        <f>JULIO!V133+AGOSTO!AL133</f>
        <v>0</v>
      </c>
      <c r="W133" s="15">
        <f>JULIO!W133+AGOSTO!AM133</f>
        <v>0</v>
      </c>
      <c r="X133" s="18">
        <f t="shared" si="139"/>
        <v>5000000</v>
      </c>
      <c r="Y133" s="19">
        <f>JULIO!AA133</f>
        <v>0</v>
      </c>
      <c r="Z133" s="374">
        <v>0</v>
      </c>
      <c r="AA133" s="18">
        <f t="shared" si="140"/>
        <v>0</v>
      </c>
      <c r="AB133" s="19">
        <f>JULIO!AD133</f>
        <v>0</v>
      </c>
      <c r="AC133" s="374">
        <v>0</v>
      </c>
      <c r="AD133" s="18">
        <f t="shared" si="141"/>
        <v>0</v>
      </c>
      <c r="AE133" s="19">
        <f>JULIO!AG133</f>
        <v>0</v>
      </c>
      <c r="AF133" s="374">
        <v>0</v>
      </c>
      <c r="AG133" s="18">
        <f t="shared" si="142"/>
        <v>0</v>
      </c>
      <c r="AH133" s="19">
        <f t="shared" si="143"/>
        <v>5000000</v>
      </c>
      <c r="AI133" s="15">
        <f t="shared" si="144"/>
        <v>5000000</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2"/>
      <c r="B134" s="660"/>
      <c r="N134" s="9"/>
      <c r="R134" s="9"/>
      <c r="S134" s="705" t="str">
        <f>+IF(JULIO!S134=0,"",JULIO!S134)</f>
        <v>2010200-11</v>
      </c>
      <c r="T134" s="681" t="str">
        <f>+IF(JULIO!T134=0,"",JULIO!T134)</f>
        <v>Gastos financieros</v>
      </c>
      <c r="U134" s="27">
        <f>+ENERO!U134</f>
        <v>10000000</v>
      </c>
      <c r="V134" s="15">
        <f>JULIO!V134+AGOSTO!AL134</f>
        <v>14000000</v>
      </c>
      <c r="W134" s="15">
        <f>JULIO!W134+AGOSTO!AM134</f>
        <v>22000000</v>
      </c>
      <c r="X134" s="18">
        <f t="shared" si="139"/>
        <v>46000000</v>
      </c>
      <c r="Y134" s="19">
        <f>JULIO!AA134</f>
        <v>23639588</v>
      </c>
      <c r="Z134" s="374">
        <v>1610704</v>
      </c>
      <c r="AA134" s="18">
        <f t="shared" si="140"/>
        <v>25250292</v>
      </c>
      <c r="AB134" s="19">
        <f>JULIO!AD134</f>
        <v>23639588</v>
      </c>
      <c r="AC134" s="374">
        <v>1610704</v>
      </c>
      <c r="AD134" s="18">
        <f t="shared" si="141"/>
        <v>25250292</v>
      </c>
      <c r="AE134" s="19">
        <f>JULIO!AG134</f>
        <v>23168710</v>
      </c>
      <c r="AF134" s="374">
        <v>1610704</v>
      </c>
      <c r="AG134" s="18">
        <f t="shared" si="142"/>
        <v>24779414</v>
      </c>
      <c r="AH134" s="19">
        <f t="shared" si="143"/>
        <v>20749708</v>
      </c>
      <c r="AI134" s="15">
        <f t="shared" si="144"/>
        <v>20749708</v>
      </c>
      <c r="AJ134" s="16">
        <f t="shared" si="145"/>
        <v>21220586</v>
      </c>
      <c r="AK134" s="9"/>
      <c r="AL134" s="372">
        <v>2000000</v>
      </c>
      <c r="AM134" s="375">
        <v>20000000</v>
      </c>
      <c r="AN134" s="9"/>
      <c r="AO134" s="294"/>
      <c r="AP134" s="294"/>
      <c r="AQ134" s="294"/>
      <c r="AR134" s="294"/>
      <c r="AS134" s="294"/>
      <c r="AT134" s="294"/>
      <c r="AU134" s="294"/>
      <c r="AV134" s="294"/>
      <c r="AW134" s="294"/>
      <c r="AX134" s="294"/>
      <c r="AY134" s="294"/>
      <c r="AZ134" s="294"/>
    </row>
    <row r="135" spans="1:52" s="382" customFormat="1" ht="24.95" customHeight="1">
      <c r="A135" s="752"/>
      <c r="B135" s="660"/>
      <c r="N135" s="9"/>
      <c r="R135" s="9"/>
      <c r="S135" s="705" t="str">
        <f>+IF(JULIO!S135=0,"",JULIO!S135)</f>
        <v>2010200-12</v>
      </c>
      <c r="T135" s="681" t="str">
        <f>+IF(JULIO!T135=0,"",JULIO!T135)</f>
        <v/>
      </c>
      <c r="U135" s="27">
        <f>+ENERO!U135</f>
        <v>0</v>
      </c>
      <c r="V135" s="15">
        <f>JULIO!V135+AGOSTO!AL135</f>
        <v>0</v>
      </c>
      <c r="W135" s="15">
        <f>JULIO!W135+AGOSTO!AM135</f>
        <v>0</v>
      </c>
      <c r="X135" s="18">
        <f t="shared" si="139"/>
        <v>0</v>
      </c>
      <c r="Y135" s="19">
        <f>JULIO!AA135</f>
        <v>0</v>
      </c>
      <c r="Z135" s="374">
        <v>0</v>
      </c>
      <c r="AA135" s="18">
        <f t="shared" si="140"/>
        <v>0</v>
      </c>
      <c r="AB135" s="19">
        <f>JULIO!AD135</f>
        <v>0</v>
      </c>
      <c r="AC135" s="374">
        <v>0</v>
      </c>
      <c r="AD135" s="18">
        <f t="shared" si="141"/>
        <v>0</v>
      </c>
      <c r="AE135" s="19">
        <f>JULIO!AG135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2"/>
      <c r="B136" s="660"/>
      <c r="N136" s="9"/>
      <c r="R136" s="9"/>
      <c r="S136" s="705" t="str">
        <f>+IF(JULIO!S136=0,"",JULIO!S136)</f>
        <v>2010200-13</v>
      </c>
      <c r="T136" s="681" t="str">
        <f>+IF(JULIO!T136=0,"",JULIO!T136)</f>
        <v/>
      </c>
      <c r="U136" s="27">
        <f>+ENERO!U136</f>
        <v>0</v>
      </c>
      <c r="V136" s="15">
        <f>JULIO!V136+AGOSTO!AL136</f>
        <v>0</v>
      </c>
      <c r="W136" s="15">
        <f>JULIO!W136+AGOSTO!AM136</f>
        <v>0</v>
      </c>
      <c r="X136" s="18">
        <f t="shared" si="139"/>
        <v>0</v>
      </c>
      <c r="Y136" s="19">
        <f>JULIO!AA136</f>
        <v>0</v>
      </c>
      <c r="Z136" s="374">
        <v>0</v>
      </c>
      <c r="AA136" s="18">
        <f t="shared" si="140"/>
        <v>0</v>
      </c>
      <c r="AB136" s="19">
        <f>JULIO!AD136</f>
        <v>0</v>
      </c>
      <c r="AC136" s="374">
        <v>0</v>
      </c>
      <c r="AD136" s="18">
        <f t="shared" si="141"/>
        <v>0</v>
      </c>
      <c r="AE136" s="19">
        <f>JULIO!AG136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2"/>
      <c r="B137" s="660"/>
      <c r="N137" s="9"/>
      <c r="R137" s="9"/>
      <c r="S137" s="705" t="str">
        <f>+IF(JULIO!S137=0,"",JULIO!S137)</f>
        <v>2010020-14</v>
      </c>
      <c r="T137" s="681" t="str">
        <f>+IF(JULIO!T137=0,"",JULIO!T137)</f>
        <v/>
      </c>
      <c r="U137" s="27">
        <f>+ENERO!U137</f>
        <v>0</v>
      </c>
      <c r="V137" s="15">
        <f>JULIO!V137+AGOSTO!AL137</f>
        <v>0</v>
      </c>
      <c r="W137" s="15">
        <f>JULIO!W137+AGOSTO!AM137</f>
        <v>0</v>
      </c>
      <c r="X137" s="18">
        <f t="shared" si="139"/>
        <v>0</v>
      </c>
      <c r="Y137" s="19">
        <f>JULIO!AA137</f>
        <v>0</v>
      </c>
      <c r="Z137" s="374">
        <v>0</v>
      </c>
      <c r="AA137" s="18">
        <f t="shared" si="140"/>
        <v>0</v>
      </c>
      <c r="AB137" s="19">
        <f>JULIO!AD137</f>
        <v>0</v>
      </c>
      <c r="AC137" s="374">
        <v>0</v>
      </c>
      <c r="AD137" s="18">
        <f t="shared" si="141"/>
        <v>0</v>
      </c>
      <c r="AE137" s="19">
        <f>JULIO!AG137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2"/>
      <c r="B138" s="660"/>
      <c r="N138" s="9"/>
      <c r="R138" s="9"/>
      <c r="S138" s="705" t="str">
        <f>+IF(JULIO!S138=0,"",JULIO!S138)</f>
        <v>2010200-15</v>
      </c>
      <c r="T138" s="681" t="str">
        <f>+IF(JULIO!T138=0,"",JULIO!T138)</f>
        <v/>
      </c>
      <c r="U138" s="27">
        <f>+ENERO!U138</f>
        <v>0</v>
      </c>
      <c r="V138" s="15">
        <f>JULIO!V138+AGOSTO!AL138</f>
        <v>0</v>
      </c>
      <c r="W138" s="15">
        <f>JULIO!W138+AGOSTO!AM138</f>
        <v>0</v>
      </c>
      <c r="X138" s="18">
        <f t="shared" si="139"/>
        <v>0</v>
      </c>
      <c r="Y138" s="19">
        <f>JULIO!AA138</f>
        <v>0</v>
      </c>
      <c r="Z138" s="374">
        <v>0</v>
      </c>
      <c r="AA138" s="18">
        <f t="shared" si="140"/>
        <v>0</v>
      </c>
      <c r="AB138" s="19">
        <f>JULIO!AD138</f>
        <v>0</v>
      </c>
      <c r="AC138" s="374">
        <v>0</v>
      </c>
      <c r="AD138" s="18">
        <f t="shared" si="141"/>
        <v>0</v>
      </c>
      <c r="AE138" s="19">
        <f>JULIO!AG138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2"/>
      <c r="B139" s="660"/>
      <c r="N139" s="9"/>
      <c r="R139" s="9"/>
      <c r="S139" s="705">
        <f>+IF(JULIO!S139=0,"",JULIO!S139)</f>
        <v>2010299</v>
      </c>
      <c r="T139" s="681" t="str">
        <f>+IF(JULIO!T139=0,"",JULIO!T139)</f>
        <v>Vigencias Anteriores</v>
      </c>
      <c r="U139" s="27">
        <f>+ENERO!U139</f>
        <v>0</v>
      </c>
      <c r="V139" s="15">
        <f>JULIO!V139+AGOSTO!AL139</f>
        <v>-788999830</v>
      </c>
      <c r="W139" s="15">
        <f>JULIO!W139+AGOSTO!AM139</f>
        <v>1120000000</v>
      </c>
      <c r="X139" s="18">
        <f t="shared" si="139"/>
        <v>331000170</v>
      </c>
      <c r="Y139" s="19">
        <f>JULIO!AA139</f>
        <v>331000170</v>
      </c>
      <c r="Z139" s="374">
        <v>0</v>
      </c>
      <c r="AA139" s="18">
        <f t="shared" si="140"/>
        <v>331000170</v>
      </c>
      <c r="AB139" s="19">
        <f>JULIO!AD139</f>
        <v>331000170</v>
      </c>
      <c r="AC139" s="374">
        <v>0</v>
      </c>
      <c r="AD139" s="18">
        <f t="shared" si="141"/>
        <v>331000170</v>
      </c>
      <c r="AE139" s="19">
        <f>JULIO!AG139</f>
        <v>331000170</v>
      </c>
      <c r="AF139" s="374">
        <v>0</v>
      </c>
      <c r="AG139" s="18">
        <f t="shared" si="142"/>
        <v>331000170</v>
      </c>
      <c r="AH139" s="19">
        <f t="shared" si="143"/>
        <v>0</v>
      </c>
      <c r="AI139" s="15">
        <f t="shared" si="144"/>
        <v>0</v>
      </c>
      <c r="AJ139" s="16">
        <f t="shared" si="145"/>
        <v>0</v>
      </c>
      <c r="AK139" s="9"/>
      <c r="AL139" s="372">
        <v>0</v>
      </c>
      <c r="AM139" s="375">
        <v>0</v>
      </c>
      <c r="AN139" s="9"/>
      <c r="AO139" s="294"/>
      <c r="AP139" s="294"/>
      <c r="AQ139" s="294"/>
    </row>
    <row r="140" spans="1:52" s="382" customFormat="1" ht="24.95" customHeight="1">
      <c r="A140" s="752"/>
      <c r="B140" s="660"/>
      <c r="N140" s="9"/>
      <c r="R140" s="9"/>
      <c r="S140" s="366" t="str">
        <f>+IF(JULIO!S140=0,"",JULIO!S140)</f>
        <v/>
      </c>
      <c r="T140" s="695"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2"/>
      <c r="B141" s="660"/>
      <c r="N141" s="9"/>
      <c r="R141" s="9"/>
      <c r="S141" s="704">
        <f>+IF(JULIO!S141=0,"",JULIO!S141)</f>
        <v>2010300</v>
      </c>
      <c r="T141" s="680" t="str">
        <f>+IF(JULIO!T141=0,"",JULIO!T141)</f>
        <v>Impuestos y Multas</v>
      </c>
      <c r="U141" s="132">
        <f t="shared" ref="U141:AJ141" si="148">U142+U143</f>
        <v>0</v>
      </c>
      <c r="V141" s="122">
        <f t="shared" si="148"/>
        <v>2892178</v>
      </c>
      <c r="W141" s="122">
        <f t="shared" si="148"/>
        <v>0</v>
      </c>
      <c r="X141" s="129">
        <f t="shared" si="148"/>
        <v>2892178</v>
      </c>
      <c r="Y141" s="128">
        <f t="shared" si="148"/>
        <v>0</v>
      </c>
      <c r="Z141" s="122">
        <f t="shared" si="148"/>
        <v>2892178</v>
      </c>
      <c r="AA141" s="129">
        <f t="shared" si="148"/>
        <v>2892178</v>
      </c>
      <c r="AB141" s="128">
        <f t="shared" si="148"/>
        <v>0</v>
      </c>
      <c r="AC141" s="122">
        <f t="shared" si="148"/>
        <v>2892178</v>
      </c>
      <c r="AD141" s="129">
        <f t="shared" si="148"/>
        <v>2892178</v>
      </c>
      <c r="AE141" s="128">
        <f t="shared" si="148"/>
        <v>0</v>
      </c>
      <c r="AF141" s="122">
        <f t="shared" si="148"/>
        <v>0</v>
      </c>
      <c r="AG141" s="129">
        <f t="shared" si="148"/>
        <v>0</v>
      </c>
      <c r="AH141" s="128">
        <f t="shared" si="148"/>
        <v>0</v>
      </c>
      <c r="AI141" s="122">
        <f t="shared" si="148"/>
        <v>0</v>
      </c>
      <c r="AJ141" s="130">
        <f t="shared" si="148"/>
        <v>2892178</v>
      </c>
      <c r="AK141" s="10"/>
      <c r="AL141" s="128">
        <f>AL142+AL143</f>
        <v>2892178</v>
      </c>
      <c r="AM141" s="130">
        <f>AM142+AM143</f>
        <v>0</v>
      </c>
      <c r="AN141" s="9"/>
    </row>
    <row r="142" spans="1:52" s="382" customFormat="1" ht="24.95" customHeight="1">
      <c r="A142" s="752"/>
      <c r="B142" s="660"/>
      <c r="N142" s="9"/>
      <c r="R142" s="9"/>
      <c r="S142" s="705" t="str">
        <f>+IF(JULIO!S142=0,"",JULIO!S142)</f>
        <v>2010300-1</v>
      </c>
      <c r="T142" s="681" t="str">
        <f>+IF(JULIO!T142=0,"",JULIO!T142)</f>
        <v>Impuestos (Predial, Vehiculos, Otros)</v>
      </c>
      <c r="U142" s="27">
        <f>+ENERO!U142</f>
        <v>0</v>
      </c>
      <c r="V142" s="15">
        <f>JULIO!V142+AGOSTO!AL142</f>
        <v>2892178</v>
      </c>
      <c r="W142" s="15">
        <f>JULIO!W142+AGOSTO!AM142</f>
        <v>0</v>
      </c>
      <c r="X142" s="18">
        <f>SUM(U142:W142)</f>
        <v>2892178</v>
      </c>
      <c r="Y142" s="19">
        <f>JULIO!AA142</f>
        <v>0</v>
      </c>
      <c r="Z142" s="374">
        <v>2892178</v>
      </c>
      <c r="AA142" s="18">
        <f>SUM(Y142:Z142)</f>
        <v>2892178</v>
      </c>
      <c r="AB142" s="19">
        <f>JULIO!AD142</f>
        <v>0</v>
      </c>
      <c r="AC142" s="374">
        <v>2892178</v>
      </c>
      <c r="AD142" s="18">
        <f>SUM(AB142:AC142)</f>
        <v>2892178</v>
      </c>
      <c r="AE142" s="19">
        <f>JULIO!AG142</f>
        <v>0</v>
      </c>
      <c r="AF142" s="374">
        <v>0</v>
      </c>
      <c r="AG142" s="18">
        <f>SUM(AE142:AF142)</f>
        <v>0</v>
      </c>
      <c r="AH142" s="19">
        <f>X142-AA142</f>
        <v>0</v>
      </c>
      <c r="AI142" s="15">
        <f>X142-AD142</f>
        <v>0</v>
      </c>
      <c r="AJ142" s="16">
        <f>X142-AG142</f>
        <v>2892178</v>
      </c>
      <c r="AK142" s="9"/>
      <c r="AL142" s="372">
        <v>2892178</v>
      </c>
      <c r="AM142" s="375">
        <v>0</v>
      </c>
      <c r="AN142" s="9"/>
    </row>
    <row r="143" spans="1:52" s="382" customFormat="1" ht="24.95" customHeight="1">
      <c r="A143" s="752"/>
      <c r="B143" s="660"/>
      <c r="N143" s="9"/>
      <c r="R143" s="9"/>
      <c r="S143" s="705">
        <f>+IF(JULIO!S143=0,"",JULIO!S143)</f>
        <v>2010399</v>
      </c>
      <c r="T143" s="681" t="str">
        <f>+IF(JULIO!T143=0,"",JULIO!T143)</f>
        <v>Vigencias Anteriores</v>
      </c>
      <c r="U143" s="27">
        <f>+ENERO!U143</f>
        <v>0</v>
      </c>
      <c r="V143" s="15">
        <f>JULIO!V143+AGOSTO!AL143</f>
        <v>0</v>
      </c>
      <c r="W143" s="15">
        <f>JULIO!W143+AGOSTO!AM143</f>
        <v>0</v>
      </c>
      <c r="X143" s="18">
        <f>SUM(U143:W143)</f>
        <v>0</v>
      </c>
      <c r="Y143" s="19">
        <f>JULIO!AA143</f>
        <v>0</v>
      </c>
      <c r="Z143" s="374">
        <v>0</v>
      </c>
      <c r="AA143" s="18">
        <f>SUM(Y143:Z143)</f>
        <v>0</v>
      </c>
      <c r="AB143" s="19">
        <f>JULIO!AD143</f>
        <v>0</v>
      </c>
      <c r="AC143" s="374">
        <v>0</v>
      </c>
      <c r="AD143" s="18">
        <f>SUM(AB143:AC143)</f>
        <v>0</v>
      </c>
      <c r="AE143" s="19">
        <f>JULIO!AG143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2"/>
      <c r="B144" s="660"/>
      <c r="N144" s="9"/>
      <c r="R144" s="9"/>
      <c r="S144" s="366" t="str">
        <f>+IF(JULIO!S144=0,"",JULIO!S144)</f>
        <v/>
      </c>
      <c r="T144" s="695"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2"/>
      <c r="B145" s="660"/>
      <c r="N145" s="9"/>
      <c r="R145" s="9"/>
      <c r="S145" s="703">
        <f>+IF(JULIO!S145=0,"",JULIO!S145)</f>
        <v>2020010</v>
      </c>
      <c r="T145" s="679" t="str">
        <f>+IF(JULIO!T145=0,"",JULIO!T145)</f>
        <v>Gastos de Operación</v>
      </c>
      <c r="U145" s="132">
        <f t="shared" ref="U145:AJ145" si="149">U147+U155</f>
        <v>2659132662</v>
      </c>
      <c r="V145" s="122">
        <f t="shared" si="149"/>
        <v>-1099857394</v>
      </c>
      <c r="W145" s="122">
        <f t="shared" si="149"/>
        <v>1650000000</v>
      </c>
      <c r="X145" s="129">
        <f t="shared" si="149"/>
        <v>3209275268</v>
      </c>
      <c r="Y145" s="128">
        <f t="shared" si="149"/>
        <v>2064572424</v>
      </c>
      <c r="Z145" s="122">
        <f t="shared" si="149"/>
        <v>79027102</v>
      </c>
      <c r="AA145" s="129">
        <f t="shared" si="149"/>
        <v>2143599526</v>
      </c>
      <c r="AB145" s="128">
        <f t="shared" si="149"/>
        <v>1536602299</v>
      </c>
      <c r="AC145" s="122">
        <f t="shared" si="149"/>
        <v>168940196</v>
      </c>
      <c r="AD145" s="129">
        <f t="shared" si="149"/>
        <v>1705542495</v>
      </c>
      <c r="AE145" s="128">
        <f t="shared" si="149"/>
        <v>767442646</v>
      </c>
      <c r="AF145" s="122">
        <f t="shared" si="149"/>
        <v>33436418</v>
      </c>
      <c r="AG145" s="129">
        <f t="shared" si="149"/>
        <v>800879064</v>
      </c>
      <c r="AH145" s="128">
        <f t="shared" si="149"/>
        <v>1065675742</v>
      </c>
      <c r="AI145" s="122">
        <f t="shared" si="149"/>
        <v>1503732773</v>
      </c>
      <c r="AJ145" s="130">
        <f t="shared" si="149"/>
        <v>2408396204</v>
      </c>
      <c r="AK145" s="10"/>
      <c r="AL145" s="128">
        <f>AL147+AL155</f>
        <v>5000000</v>
      </c>
      <c r="AM145" s="130">
        <f>AM147+AM155</f>
        <v>0</v>
      </c>
      <c r="AN145" s="9"/>
    </row>
    <row r="146" spans="1:40" s="382" customFormat="1" ht="24.95" customHeight="1">
      <c r="A146" s="752"/>
      <c r="B146" s="660"/>
      <c r="N146" s="9"/>
      <c r="R146" s="9"/>
      <c r="S146" s="706" t="str">
        <f>+IF(JULIO!S146=0,"",JULIO!S146)</f>
        <v/>
      </c>
      <c r="T146" s="682"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2"/>
      <c r="B147" s="660"/>
      <c r="N147" s="9"/>
      <c r="R147" s="9"/>
      <c r="S147" s="704">
        <f>+IF(JULIO!S147=0,"",JULIO!S147)</f>
        <v>2020100</v>
      </c>
      <c r="T147" s="680" t="str">
        <f>+IF(JULIO!T147=0,"",JULIO!T147)</f>
        <v>Adquisición de bienes</v>
      </c>
      <c r="U147" s="132">
        <f t="shared" ref="U147:AJ147" si="150">SUM(U148:U149)+U153</f>
        <v>1878602056</v>
      </c>
      <c r="V147" s="122">
        <f t="shared" si="150"/>
        <v>-485012077</v>
      </c>
      <c r="W147" s="122">
        <f t="shared" si="150"/>
        <v>550000000</v>
      </c>
      <c r="X147" s="129">
        <f t="shared" si="150"/>
        <v>1943589979</v>
      </c>
      <c r="Y147" s="128">
        <f t="shared" si="150"/>
        <v>1037053431</v>
      </c>
      <c r="Z147" s="122">
        <f t="shared" si="150"/>
        <v>77523100</v>
      </c>
      <c r="AA147" s="129">
        <f t="shared" si="150"/>
        <v>1114576531</v>
      </c>
      <c r="AB147" s="128">
        <f t="shared" si="150"/>
        <v>912951728</v>
      </c>
      <c r="AC147" s="122">
        <f t="shared" si="150"/>
        <v>51356013</v>
      </c>
      <c r="AD147" s="129">
        <f t="shared" si="150"/>
        <v>964307741</v>
      </c>
      <c r="AE147" s="128">
        <f t="shared" si="150"/>
        <v>503111144</v>
      </c>
      <c r="AF147" s="122">
        <f t="shared" si="150"/>
        <v>30048818</v>
      </c>
      <c r="AG147" s="129">
        <f t="shared" si="150"/>
        <v>533159962</v>
      </c>
      <c r="AH147" s="128">
        <f t="shared" si="150"/>
        <v>829013448</v>
      </c>
      <c r="AI147" s="122">
        <f t="shared" si="150"/>
        <v>979282238</v>
      </c>
      <c r="AJ147" s="130">
        <f t="shared" si="150"/>
        <v>1410430017</v>
      </c>
      <c r="AK147" s="9"/>
      <c r="AL147" s="128">
        <f>SUM(AL148:AL149)+AL153</f>
        <v>5000000</v>
      </c>
      <c r="AM147" s="130">
        <f>SUM(AM148:AM149)+AM153</f>
        <v>0</v>
      </c>
      <c r="AN147" s="9"/>
    </row>
    <row r="148" spans="1:40" s="382" customFormat="1" ht="24.95" customHeight="1">
      <c r="A148" s="752"/>
      <c r="B148" s="660"/>
      <c r="N148" s="9"/>
      <c r="R148" s="9"/>
      <c r="S148" s="705">
        <f>+IF(JULIO!S148=0,"",JULIO!S148)</f>
        <v>2020101</v>
      </c>
      <c r="T148" s="681" t="str">
        <f>+IF(JULIO!T148=0,"",JULIO!T148)</f>
        <v>Mantenimiento Hospitalario</v>
      </c>
      <c r="U148" s="27">
        <f>+ENERO!U148</f>
        <v>780530606</v>
      </c>
      <c r="V148" s="15">
        <f>JULIO!V148+AGOSTO!AL148</f>
        <v>148700666</v>
      </c>
      <c r="W148" s="15">
        <f>JULIO!W148+AGOSTO!AM148</f>
        <v>0</v>
      </c>
      <c r="X148" s="18">
        <f>SUM(U148:W148)</f>
        <v>929231272</v>
      </c>
      <c r="Y148" s="19">
        <f>JULIO!AA148</f>
        <v>229100977</v>
      </c>
      <c r="Z148" s="374">
        <v>5879199</v>
      </c>
      <c r="AA148" s="18">
        <f>SUM(Y148:Z148)</f>
        <v>234980176</v>
      </c>
      <c r="AB148" s="19">
        <f>JULIO!AD148</f>
        <v>126500801</v>
      </c>
      <c r="AC148" s="374">
        <v>5750984</v>
      </c>
      <c r="AD148" s="18">
        <f>SUM(AB148:AC148)</f>
        <v>132251785</v>
      </c>
      <c r="AE148" s="19">
        <f>JULIO!AG148</f>
        <v>79358814</v>
      </c>
      <c r="AF148" s="374">
        <v>5298298</v>
      </c>
      <c r="AG148" s="18">
        <f>SUM(AE148:AF148)</f>
        <v>84657112</v>
      </c>
      <c r="AH148" s="19">
        <f>X148-AA148</f>
        <v>694251096</v>
      </c>
      <c r="AI148" s="15">
        <f>X148-AD148</f>
        <v>796979487</v>
      </c>
      <c r="AJ148" s="16">
        <f>X148-AG148</f>
        <v>844574160</v>
      </c>
      <c r="AK148" s="9"/>
      <c r="AL148" s="372">
        <v>0</v>
      </c>
      <c r="AM148" s="375">
        <v>0</v>
      </c>
      <c r="AN148" s="9"/>
    </row>
    <row r="149" spans="1:40" s="382" customFormat="1" ht="24.95" customHeight="1">
      <c r="A149" s="752"/>
      <c r="B149" s="660"/>
      <c r="N149" s="9"/>
      <c r="R149" s="9"/>
      <c r="S149" s="705">
        <f>+IF(JULIO!S149=0,"",JULIO!S149)</f>
        <v>2020102</v>
      </c>
      <c r="T149" s="681" t="str">
        <f>+IF(JULIO!T149=0,"",JULIO!T149)</f>
        <v>Otros</v>
      </c>
      <c r="U149" s="27">
        <f t="shared" ref="U149:AJ149" si="151">SUM(U150:U152)</f>
        <v>1098071450</v>
      </c>
      <c r="V149" s="15">
        <f t="shared" si="151"/>
        <v>-364912662</v>
      </c>
      <c r="W149" s="15">
        <f t="shared" si="151"/>
        <v>0</v>
      </c>
      <c r="X149" s="18">
        <f t="shared" si="151"/>
        <v>733158788</v>
      </c>
      <c r="Y149" s="19">
        <f t="shared" si="151"/>
        <v>532446721</v>
      </c>
      <c r="Z149" s="142">
        <f t="shared" si="151"/>
        <v>65949715</v>
      </c>
      <c r="AA149" s="18">
        <f t="shared" si="151"/>
        <v>598396436</v>
      </c>
      <c r="AB149" s="19">
        <f t="shared" si="151"/>
        <v>510945194</v>
      </c>
      <c r="AC149" s="142">
        <f t="shared" si="151"/>
        <v>39910843</v>
      </c>
      <c r="AD149" s="18">
        <f t="shared" si="151"/>
        <v>550856037</v>
      </c>
      <c r="AE149" s="19">
        <f t="shared" si="151"/>
        <v>148246597</v>
      </c>
      <c r="AF149" s="142">
        <f t="shared" si="151"/>
        <v>19056334</v>
      </c>
      <c r="AG149" s="18">
        <f t="shared" si="151"/>
        <v>167302931</v>
      </c>
      <c r="AH149" s="19">
        <f t="shared" si="151"/>
        <v>134762352</v>
      </c>
      <c r="AI149" s="15">
        <f t="shared" si="151"/>
        <v>182302751</v>
      </c>
      <c r="AJ149" s="16">
        <f t="shared" si="151"/>
        <v>565855857</v>
      </c>
      <c r="AK149" s="9"/>
      <c r="AL149" s="29">
        <f>SUM(AL150:AL152)</f>
        <v>-694186</v>
      </c>
      <c r="AM149" s="26">
        <f>SUM(AM150:AM152)</f>
        <v>0</v>
      </c>
      <c r="AN149" s="9"/>
    </row>
    <row r="150" spans="1:40" s="382" customFormat="1" ht="24.95" customHeight="1">
      <c r="A150" s="752"/>
      <c r="B150" s="660"/>
      <c r="N150" s="9"/>
      <c r="R150" s="9"/>
      <c r="S150" s="706" t="str">
        <f>+IF(JULIO!S150=0,"",JULIO!S150)</f>
        <v>2020102-1</v>
      </c>
      <c r="T150" s="681" t="str">
        <f>+IF(JULIO!T150=0,"",JULIO!T150)</f>
        <v>Compra de Equipo e Instr. Mco. y Laborat.</v>
      </c>
      <c r="U150" s="27">
        <f>+ENERO!U150</f>
        <v>514625084</v>
      </c>
      <c r="V150" s="15">
        <f>JULIO!V150+AGOSTO!AL150</f>
        <v>-339050000</v>
      </c>
      <c r="W150" s="15">
        <f>JULIO!W150+AGOSTO!AM150</f>
        <v>0</v>
      </c>
      <c r="X150" s="18">
        <f>SUM(U150:W150)</f>
        <v>175575084</v>
      </c>
      <c r="Y150" s="19">
        <f>JULIO!AA150</f>
        <v>61860321</v>
      </c>
      <c r="Z150" s="374">
        <v>33304714</v>
      </c>
      <c r="AA150" s="18">
        <f>SUM(Y150:Z150)</f>
        <v>95165035</v>
      </c>
      <c r="AB150" s="19">
        <f>JULIO!AD150</f>
        <v>55298300</v>
      </c>
      <c r="AC150" s="374">
        <v>0</v>
      </c>
      <c r="AD150" s="18">
        <f>SUM(AB150:AC150)</f>
        <v>55298300</v>
      </c>
      <c r="AE150" s="19">
        <f>JULIO!AG150</f>
        <v>28274411</v>
      </c>
      <c r="AF150" s="374">
        <v>0</v>
      </c>
      <c r="AG150" s="18">
        <f>SUM(AE150:AF150)</f>
        <v>28274411</v>
      </c>
      <c r="AH150" s="19">
        <f>X150-AA150</f>
        <v>80410049</v>
      </c>
      <c r="AI150" s="15">
        <f>X150-AD150</f>
        <v>120276784</v>
      </c>
      <c r="AJ150" s="16">
        <f>X150-AG150</f>
        <v>147300673</v>
      </c>
      <c r="AK150" s="9"/>
      <c r="AL150" s="372">
        <v>0</v>
      </c>
      <c r="AM150" s="375">
        <v>0</v>
      </c>
      <c r="AN150" s="9"/>
    </row>
    <row r="151" spans="1:40" s="382" customFormat="1" ht="24.95" customHeight="1">
      <c r="A151" s="752"/>
      <c r="B151" s="660"/>
      <c r="N151" s="9"/>
      <c r="R151" s="9"/>
      <c r="S151" s="706" t="str">
        <f>+IF(JULIO!S151=0,"",JULIO!S151)</f>
        <v>2020102-2</v>
      </c>
      <c r="T151" s="681" t="str">
        <f>+IF(JULIO!T151=0,"",JULIO!T151)</f>
        <v>Materiales</v>
      </c>
      <c r="U151" s="27">
        <f>+ENERO!U151</f>
        <v>583446366</v>
      </c>
      <c r="V151" s="15">
        <f>JULIO!V151+AGOSTO!AL151</f>
        <v>-25862662</v>
      </c>
      <c r="W151" s="15">
        <f>JULIO!W151+AGOSTO!AM151</f>
        <v>0</v>
      </c>
      <c r="X151" s="18">
        <f>SUM(U151:W151)</f>
        <v>557583704</v>
      </c>
      <c r="Y151" s="19">
        <f>JULIO!AA151</f>
        <v>470586400</v>
      </c>
      <c r="Z151" s="374">
        <v>32645001</v>
      </c>
      <c r="AA151" s="18">
        <f>SUM(Y151:Z151)</f>
        <v>503231401</v>
      </c>
      <c r="AB151" s="19">
        <f>JULIO!AD151</f>
        <v>455646894</v>
      </c>
      <c r="AC151" s="374">
        <v>39910843</v>
      </c>
      <c r="AD151" s="18">
        <f>SUM(AB151:AC151)</f>
        <v>495557737</v>
      </c>
      <c r="AE151" s="19">
        <f>JULIO!AG151</f>
        <v>119972186</v>
      </c>
      <c r="AF151" s="374">
        <v>19056334</v>
      </c>
      <c r="AG151" s="18">
        <f>SUM(AE151:AF151)</f>
        <v>139028520</v>
      </c>
      <c r="AH151" s="19">
        <f>X151-AA151</f>
        <v>54352303</v>
      </c>
      <c r="AI151" s="15">
        <f>X151-AD151</f>
        <v>62025967</v>
      </c>
      <c r="AJ151" s="16">
        <f>X151-AG151</f>
        <v>418555184</v>
      </c>
      <c r="AK151" s="9"/>
      <c r="AL151" s="372">
        <v>-694186</v>
      </c>
      <c r="AM151" s="375">
        <v>0</v>
      </c>
      <c r="AN151" s="9"/>
    </row>
    <row r="152" spans="1:40" s="382" customFormat="1" ht="24.95" customHeight="1">
      <c r="A152" s="752"/>
      <c r="B152" s="660"/>
      <c r="N152" s="9"/>
      <c r="R152" s="9"/>
      <c r="S152" s="706" t="str">
        <f>+IF(JULIO!S152=0,"",JULIO!S152)</f>
        <v>2020102-3</v>
      </c>
      <c r="T152" s="681" t="str">
        <f>+IF(JULIO!T152=0,"",JULIO!T152)</f>
        <v/>
      </c>
      <c r="U152" s="27">
        <f>+ENERO!U152</f>
        <v>0</v>
      </c>
      <c r="V152" s="15">
        <f>JULIO!V152+AGOSTO!AL152</f>
        <v>0</v>
      </c>
      <c r="W152" s="15">
        <f>JULIO!W152+AGOSTO!AM152</f>
        <v>0</v>
      </c>
      <c r="X152" s="18">
        <f>SUM(U152:W152)</f>
        <v>0</v>
      </c>
      <c r="Y152" s="19">
        <f>JULIO!AA152</f>
        <v>0</v>
      </c>
      <c r="Z152" s="374">
        <v>0</v>
      </c>
      <c r="AA152" s="18">
        <f>SUM(Y152:Z152)</f>
        <v>0</v>
      </c>
      <c r="AB152" s="19">
        <f>JULIO!AD152</f>
        <v>0</v>
      </c>
      <c r="AC152" s="374">
        <v>0</v>
      </c>
      <c r="AD152" s="18">
        <f>SUM(AB152:AC152)</f>
        <v>0</v>
      </c>
      <c r="AE152" s="19">
        <f>JULIO!AG152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2"/>
      <c r="B153" s="660"/>
      <c r="N153" s="9"/>
      <c r="R153" s="9"/>
      <c r="S153" s="705">
        <f>+IF(JULIO!S153=0,"",JULIO!S153)</f>
        <v>2020199</v>
      </c>
      <c r="T153" s="681" t="str">
        <f>+IF(JULIO!T153=0,"",JULIO!T153)</f>
        <v>Vigencias Anteriores</v>
      </c>
      <c r="U153" s="27">
        <f>+ENERO!U153</f>
        <v>0</v>
      </c>
      <c r="V153" s="15">
        <f>JULIO!V153+AGOSTO!AL153</f>
        <v>-268800081</v>
      </c>
      <c r="W153" s="15">
        <f>JULIO!W153+AGOSTO!AM153</f>
        <v>550000000</v>
      </c>
      <c r="X153" s="18">
        <f>SUM(U153:W153)</f>
        <v>281199919</v>
      </c>
      <c r="Y153" s="19">
        <f>JULIO!AA153</f>
        <v>275505733</v>
      </c>
      <c r="Z153" s="374">
        <v>5694186</v>
      </c>
      <c r="AA153" s="18">
        <f>SUM(Y153:Z153)</f>
        <v>281199919</v>
      </c>
      <c r="AB153" s="19">
        <f>JULIO!AD153</f>
        <v>275505733</v>
      </c>
      <c r="AC153" s="374">
        <v>5694186</v>
      </c>
      <c r="AD153" s="18">
        <f>SUM(AB153:AC153)</f>
        <v>281199919</v>
      </c>
      <c r="AE153" s="19">
        <f>JULIO!AG153</f>
        <v>275505733</v>
      </c>
      <c r="AF153" s="374">
        <v>5694186</v>
      </c>
      <c r="AG153" s="18">
        <f>SUM(AE153:AF153)</f>
        <v>281199919</v>
      </c>
      <c r="AH153" s="19">
        <f>X153-AA153</f>
        <v>0</v>
      </c>
      <c r="AI153" s="15">
        <f>X153-AD153</f>
        <v>0</v>
      </c>
      <c r="AJ153" s="16">
        <f>X153-AG153</f>
        <v>0</v>
      </c>
      <c r="AK153" s="9"/>
      <c r="AL153" s="372">
        <v>5694186</v>
      </c>
      <c r="AM153" s="375">
        <v>0</v>
      </c>
      <c r="AN153" s="9"/>
    </row>
    <row r="154" spans="1:40" s="382" customFormat="1" ht="24.95" customHeight="1">
      <c r="A154" s="752"/>
      <c r="B154" s="660"/>
      <c r="N154" s="9"/>
      <c r="R154" s="9"/>
      <c r="S154" s="366" t="str">
        <f>+IF(JULIO!S154=0,"",JULIO!S154)</f>
        <v/>
      </c>
      <c r="T154" s="695"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2"/>
      <c r="B155" s="660"/>
      <c r="N155" s="9"/>
      <c r="R155" s="9"/>
      <c r="S155" s="704">
        <f>+IF(JULIO!S155=0,"",JULIO!S155)</f>
        <v>2020200</v>
      </c>
      <c r="T155" s="680" t="str">
        <f>+IF(JULIO!T155=0,"",JULIO!T155)</f>
        <v>Adquisición de Servicios</v>
      </c>
      <c r="U155" s="132">
        <f t="shared" ref="U155:AJ155" si="152">SUM(U156:U157)+U168</f>
        <v>780530606</v>
      </c>
      <c r="V155" s="122">
        <f t="shared" si="152"/>
        <v>-614845317</v>
      </c>
      <c r="W155" s="122">
        <f t="shared" si="152"/>
        <v>1100000000</v>
      </c>
      <c r="X155" s="129">
        <f t="shared" si="152"/>
        <v>1265685289</v>
      </c>
      <c r="Y155" s="128">
        <f t="shared" si="152"/>
        <v>1027518993</v>
      </c>
      <c r="Z155" s="122">
        <f t="shared" si="152"/>
        <v>1504002</v>
      </c>
      <c r="AA155" s="129">
        <f t="shared" si="152"/>
        <v>1029022995</v>
      </c>
      <c r="AB155" s="128">
        <f t="shared" si="152"/>
        <v>623650571</v>
      </c>
      <c r="AC155" s="122">
        <f t="shared" si="152"/>
        <v>117584183</v>
      </c>
      <c r="AD155" s="129">
        <f t="shared" si="152"/>
        <v>741234754</v>
      </c>
      <c r="AE155" s="128">
        <f t="shared" si="152"/>
        <v>264331502</v>
      </c>
      <c r="AF155" s="122">
        <f t="shared" si="152"/>
        <v>3387600</v>
      </c>
      <c r="AG155" s="129">
        <f t="shared" si="152"/>
        <v>267719102</v>
      </c>
      <c r="AH155" s="128">
        <f t="shared" si="152"/>
        <v>236662294</v>
      </c>
      <c r="AI155" s="122">
        <f t="shared" si="152"/>
        <v>524450535</v>
      </c>
      <c r="AJ155" s="130">
        <f t="shared" si="152"/>
        <v>997966187</v>
      </c>
      <c r="AK155" s="9"/>
      <c r="AL155" s="128">
        <f>SUM(AL156:AL157)+AL168</f>
        <v>0</v>
      </c>
      <c r="AM155" s="130">
        <f>SUM(AM156:AM157)+AM168</f>
        <v>0</v>
      </c>
      <c r="AN155" s="9"/>
    </row>
    <row r="156" spans="1:40" s="382" customFormat="1" ht="24.95" customHeight="1">
      <c r="A156" s="752"/>
      <c r="B156" s="660"/>
      <c r="N156" s="9"/>
      <c r="P156" s="9"/>
      <c r="Q156" s="9"/>
      <c r="R156" s="9"/>
      <c r="S156" s="705">
        <f>+IF(JULIO!S156=0,"",JULIO!S156)</f>
        <v>2020201</v>
      </c>
      <c r="T156" s="681" t="str">
        <f>+IF(JULIO!T156=0,"",JULIO!T156)</f>
        <v>Mantenimiento Hospitalario</v>
      </c>
      <c r="U156" s="27">
        <f>+ENERO!U156</f>
        <v>780530606</v>
      </c>
      <c r="V156" s="15">
        <f>JULIO!V156+AGOSTO!AL156</f>
        <v>348700666</v>
      </c>
      <c r="W156" s="15">
        <f>JULIO!W156+AGOSTO!AM156</f>
        <v>0</v>
      </c>
      <c r="X156" s="18">
        <f>SUM(U156:W156)</f>
        <v>1129231272</v>
      </c>
      <c r="Y156" s="19">
        <f>JULIO!AA156</f>
        <v>891064976</v>
      </c>
      <c r="Z156" s="374">
        <v>1504002</v>
      </c>
      <c r="AA156" s="18">
        <f>SUM(Y156:Z156)</f>
        <v>892568978</v>
      </c>
      <c r="AB156" s="19">
        <f>JULIO!AD156</f>
        <v>487196554</v>
      </c>
      <c r="AC156" s="374">
        <v>117584183</v>
      </c>
      <c r="AD156" s="18">
        <f>SUM(AB156:AC156)</f>
        <v>604780737</v>
      </c>
      <c r="AE156" s="19">
        <f>JULIO!AG156</f>
        <v>127877485</v>
      </c>
      <c r="AF156" s="374">
        <v>3387600</v>
      </c>
      <c r="AG156" s="18">
        <f>SUM(AE156:AF156)</f>
        <v>131265085</v>
      </c>
      <c r="AH156" s="19">
        <f>X156-AA156</f>
        <v>236662294</v>
      </c>
      <c r="AI156" s="15">
        <f>X156-AD156</f>
        <v>524450535</v>
      </c>
      <c r="AJ156" s="16">
        <f>X156-AG156</f>
        <v>997966187</v>
      </c>
      <c r="AK156" s="9"/>
      <c r="AL156" s="372">
        <v>0</v>
      </c>
      <c r="AM156" s="375">
        <v>0</v>
      </c>
      <c r="AN156" s="9"/>
    </row>
    <row r="157" spans="1:40" s="382" customFormat="1" ht="24.95" customHeight="1">
      <c r="A157" s="752"/>
      <c r="B157" s="660"/>
      <c r="N157" s="9"/>
      <c r="P157" s="9"/>
      <c r="Q157" s="9"/>
      <c r="R157" s="9"/>
      <c r="S157" s="705">
        <f>+IF(JULIO!S157=0,"",JULIO!S157)</f>
        <v>2020202</v>
      </c>
      <c r="T157" s="681" t="str">
        <f>+IF(JULIO!T157=0,"",JULIO!T157)</f>
        <v>Otros</v>
      </c>
      <c r="U157" s="27">
        <f t="shared" ref="U157:AJ157" si="153">SUM(U158:U167)</f>
        <v>0</v>
      </c>
      <c r="V157" s="15">
        <f t="shared" si="153"/>
        <v>0</v>
      </c>
      <c r="W157" s="15">
        <f t="shared" si="153"/>
        <v>0</v>
      </c>
      <c r="X157" s="18">
        <f t="shared" si="153"/>
        <v>0</v>
      </c>
      <c r="Y157" s="19">
        <f t="shared" si="153"/>
        <v>0</v>
      </c>
      <c r="Z157" s="142">
        <f t="shared" si="153"/>
        <v>0</v>
      </c>
      <c r="AA157" s="18">
        <f t="shared" si="153"/>
        <v>0</v>
      </c>
      <c r="AB157" s="19">
        <f t="shared" si="153"/>
        <v>0</v>
      </c>
      <c r="AC157" s="142">
        <f t="shared" si="153"/>
        <v>0</v>
      </c>
      <c r="AD157" s="18">
        <f t="shared" si="153"/>
        <v>0</v>
      </c>
      <c r="AE157" s="19">
        <f t="shared" si="153"/>
        <v>0</v>
      </c>
      <c r="AF157" s="142">
        <f t="shared" si="153"/>
        <v>0</v>
      </c>
      <c r="AG157" s="18">
        <f t="shared" si="153"/>
        <v>0</v>
      </c>
      <c r="AH157" s="19">
        <f t="shared" si="153"/>
        <v>0</v>
      </c>
      <c r="AI157" s="15">
        <f t="shared" si="153"/>
        <v>0</v>
      </c>
      <c r="AJ157" s="16">
        <f t="shared" si="153"/>
        <v>0</v>
      </c>
      <c r="AK157" s="10"/>
      <c r="AL157" s="29">
        <f>SUM(AL158:AL167)</f>
        <v>0</v>
      </c>
      <c r="AM157" s="26">
        <f>SUM(AM158:AM167)</f>
        <v>0</v>
      </c>
      <c r="AN157" s="9"/>
    </row>
    <row r="158" spans="1:40" s="382" customFormat="1" ht="24.95" customHeight="1">
      <c r="A158" s="752"/>
      <c r="B158" s="660"/>
      <c r="N158" s="9"/>
      <c r="P158" s="9"/>
      <c r="Q158" s="9"/>
      <c r="R158" s="9"/>
      <c r="S158" s="706" t="str">
        <f>+IF(JULIO!S158=0,"",JULIO!S158)</f>
        <v>2020202-1</v>
      </c>
      <c r="T158" s="682" t="str">
        <f>+IF(JULIO!T158=0,"",JULIO!T158)</f>
        <v>Seguros</v>
      </c>
      <c r="U158" s="27">
        <f>+ENERO!U158</f>
        <v>0</v>
      </c>
      <c r="V158" s="15">
        <f>JULIO!V158+AGOSTO!AL158</f>
        <v>0</v>
      </c>
      <c r="W158" s="15">
        <f>JULIO!W158+AGOSTO!AM158</f>
        <v>0</v>
      </c>
      <c r="X158" s="18">
        <f t="shared" ref="X158:X168" si="154">SUM(U158:W158)</f>
        <v>0</v>
      </c>
      <c r="Y158" s="19">
        <f>JULIO!AA158</f>
        <v>0</v>
      </c>
      <c r="Z158" s="374">
        <v>0</v>
      </c>
      <c r="AA158" s="18">
        <f t="shared" ref="AA158:AA168" si="155">SUM(Y158:Z158)</f>
        <v>0</v>
      </c>
      <c r="AB158" s="19">
        <f>JULIO!AD158</f>
        <v>0</v>
      </c>
      <c r="AC158" s="374">
        <v>0</v>
      </c>
      <c r="AD158" s="18">
        <f t="shared" ref="AD158:AD168" si="156">SUM(AB158:AC158)</f>
        <v>0</v>
      </c>
      <c r="AE158" s="19">
        <f>JULIO!AG158</f>
        <v>0</v>
      </c>
      <c r="AF158" s="374">
        <v>0</v>
      </c>
      <c r="AG158" s="18">
        <f t="shared" ref="AG158:AG168" si="157">SUM(AE158:AF158)</f>
        <v>0</v>
      </c>
      <c r="AH158" s="19">
        <f t="shared" ref="AH158:AH168" si="158">X158-AA158</f>
        <v>0</v>
      </c>
      <c r="AI158" s="15">
        <f t="shared" ref="AI158:AI168" si="159">X158-AD158</f>
        <v>0</v>
      </c>
      <c r="AJ158" s="16">
        <f t="shared" ref="AJ158:AJ168" si="160">X158-AG158</f>
        <v>0</v>
      </c>
      <c r="AK158" s="9"/>
      <c r="AL158" s="372">
        <v>0</v>
      </c>
      <c r="AM158" s="375">
        <v>0</v>
      </c>
      <c r="AN158" s="9"/>
    </row>
    <row r="159" spans="1:40" s="382" customFormat="1" ht="24.95" customHeight="1">
      <c r="A159" s="752"/>
      <c r="B159" s="660"/>
      <c r="N159" s="9"/>
      <c r="P159" s="9"/>
      <c r="Q159" s="9"/>
      <c r="R159" s="9"/>
      <c r="S159" s="706" t="str">
        <f>+IF(JULIO!S159=0,"",JULIO!S159)</f>
        <v>2020202-2</v>
      </c>
      <c r="T159" s="682" t="str">
        <f>+IF(JULIO!T159=0,"",JULIO!T159)</f>
        <v>Impresos y Publicaciones</v>
      </c>
      <c r="U159" s="27">
        <f>+ENERO!U159</f>
        <v>0</v>
      </c>
      <c r="V159" s="15">
        <f>JULIO!V159+AGOSTO!AL159</f>
        <v>0</v>
      </c>
      <c r="W159" s="15">
        <f>JULIO!W159+AGOSTO!AM159</f>
        <v>0</v>
      </c>
      <c r="X159" s="18">
        <f t="shared" si="154"/>
        <v>0</v>
      </c>
      <c r="Y159" s="19">
        <f>JULIO!AA159</f>
        <v>0</v>
      </c>
      <c r="Z159" s="374">
        <v>0</v>
      </c>
      <c r="AA159" s="18">
        <f t="shared" si="155"/>
        <v>0</v>
      </c>
      <c r="AB159" s="19">
        <f>JULIO!AD159</f>
        <v>0</v>
      </c>
      <c r="AC159" s="374">
        <v>0</v>
      </c>
      <c r="AD159" s="18">
        <f t="shared" si="156"/>
        <v>0</v>
      </c>
      <c r="AE159" s="19">
        <f>JULIO!AG159</f>
        <v>0</v>
      </c>
      <c r="AF159" s="374">
        <v>0</v>
      </c>
      <c r="AG159" s="18">
        <f t="shared" si="157"/>
        <v>0</v>
      </c>
      <c r="AH159" s="19">
        <f t="shared" si="158"/>
        <v>0</v>
      </c>
      <c r="AI159" s="15">
        <f t="shared" si="159"/>
        <v>0</v>
      </c>
      <c r="AJ159" s="16">
        <f t="shared" si="160"/>
        <v>0</v>
      </c>
      <c r="AK159" s="9"/>
      <c r="AL159" s="372">
        <v>0</v>
      </c>
      <c r="AM159" s="375">
        <v>0</v>
      </c>
      <c r="AN159" s="9"/>
    </row>
    <row r="160" spans="1:40" s="382" customFormat="1" ht="24.95" customHeight="1">
      <c r="A160" s="752"/>
      <c r="B160" s="660"/>
      <c r="N160" s="9"/>
      <c r="P160" s="9"/>
      <c r="Q160" s="9"/>
      <c r="R160" s="9"/>
      <c r="S160" s="706" t="str">
        <f>+IF(JULIO!S160=0,"",JULIO!S160)</f>
        <v>2020202-3</v>
      </c>
      <c r="T160" s="682" t="str">
        <f>+IF(JULIO!T160=0,"",JULIO!T160)</f>
        <v>Pago a otras IPS</v>
      </c>
      <c r="U160" s="27">
        <f>+ENERO!U160</f>
        <v>0</v>
      </c>
      <c r="V160" s="15">
        <f>JULIO!V160+AGOSTO!AL160</f>
        <v>0</v>
      </c>
      <c r="W160" s="15">
        <f>JULIO!W160+AGOSTO!AM160</f>
        <v>0</v>
      </c>
      <c r="X160" s="18">
        <f t="shared" si="154"/>
        <v>0</v>
      </c>
      <c r="Y160" s="19">
        <f>JULIO!AA160</f>
        <v>0</v>
      </c>
      <c r="Z160" s="374">
        <v>0</v>
      </c>
      <c r="AA160" s="18">
        <f t="shared" si="155"/>
        <v>0</v>
      </c>
      <c r="AB160" s="19">
        <f>JULIO!AD160</f>
        <v>0</v>
      </c>
      <c r="AC160" s="374">
        <v>0</v>
      </c>
      <c r="AD160" s="18">
        <f t="shared" si="156"/>
        <v>0</v>
      </c>
      <c r="AE160" s="19">
        <f>JULIO!AG160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2"/>
      <c r="B161" s="660"/>
      <c r="N161" s="9"/>
      <c r="P161" s="9"/>
      <c r="Q161" s="9"/>
      <c r="R161" s="9"/>
      <c r="S161" s="706" t="str">
        <f>+IF(JULIO!S161=0,"",JULIO!S161)</f>
        <v>2020202-4</v>
      </c>
      <c r="T161" s="682" t="str">
        <f>+IF(JULIO!T161=0,"",JULIO!T161)</f>
        <v>Comunicaciones y Transportes</v>
      </c>
      <c r="U161" s="27">
        <f>+ENERO!U161</f>
        <v>0</v>
      </c>
      <c r="V161" s="15">
        <f>JULIO!V161+AGOSTO!AL161</f>
        <v>0</v>
      </c>
      <c r="W161" s="15">
        <f>JULIO!W161+AGOSTO!AM161</f>
        <v>0</v>
      </c>
      <c r="X161" s="18">
        <f t="shared" si="154"/>
        <v>0</v>
      </c>
      <c r="Y161" s="19">
        <f>JULIO!AA161</f>
        <v>0</v>
      </c>
      <c r="Z161" s="374">
        <v>0</v>
      </c>
      <c r="AA161" s="18">
        <f t="shared" si="155"/>
        <v>0</v>
      </c>
      <c r="AB161" s="19">
        <f>JULIO!AD161</f>
        <v>0</v>
      </c>
      <c r="AC161" s="374">
        <v>0</v>
      </c>
      <c r="AD161" s="18">
        <f t="shared" si="156"/>
        <v>0</v>
      </c>
      <c r="AE161" s="19">
        <f>JULIO!AG161</f>
        <v>0</v>
      </c>
      <c r="AF161" s="374">
        <v>0</v>
      </c>
      <c r="AG161" s="18">
        <f t="shared" si="157"/>
        <v>0</v>
      </c>
      <c r="AH161" s="19">
        <f t="shared" si="158"/>
        <v>0</v>
      </c>
      <c r="AI161" s="15">
        <f t="shared" si="159"/>
        <v>0</v>
      </c>
      <c r="AJ161" s="16">
        <f t="shared" si="160"/>
        <v>0</v>
      </c>
      <c r="AK161" s="9"/>
      <c r="AL161" s="372">
        <v>0</v>
      </c>
      <c r="AM161" s="375">
        <v>0</v>
      </c>
      <c r="AN161" s="9"/>
    </row>
    <row r="162" spans="1:40" s="382" customFormat="1" ht="24.95" customHeight="1">
      <c r="A162" s="752"/>
      <c r="B162" s="660"/>
      <c r="N162" s="9"/>
      <c r="P162" s="9"/>
      <c r="Q162" s="9"/>
      <c r="R162" s="9"/>
      <c r="S162" s="706" t="str">
        <f>+IF(JULIO!S162=0,"",JULIO!S162)</f>
        <v>2020202-5</v>
      </c>
      <c r="T162" s="682" t="str">
        <f>+IF(JULIO!T162=0,"",JULIO!T162)</f>
        <v>Viáticos y Gastos de Viaje</v>
      </c>
      <c r="U162" s="27">
        <f>+ENERO!U162</f>
        <v>0</v>
      </c>
      <c r="V162" s="15">
        <f>JULIO!V162+AGOSTO!AL162</f>
        <v>0</v>
      </c>
      <c r="W162" s="15">
        <f>JULIO!W162+AGOSTO!AM162</f>
        <v>0</v>
      </c>
      <c r="X162" s="18">
        <f t="shared" si="154"/>
        <v>0</v>
      </c>
      <c r="Y162" s="19">
        <f>JULIO!AA162</f>
        <v>0</v>
      </c>
      <c r="Z162" s="374">
        <v>0</v>
      </c>
      <c r="AA162" s="18">
        <f t="shared" si="155"/>
        <v>0</v>
      </c>
      <c r="AB162" s="19">
        <f>JULIO!AD162</f>
        <v>0</v>
      </c>
      <c r="AC162" s="374">
        <v>0</v>
      </c>
      <c r="AD162" s="18">
        <f t="shared" si="156"/>
        <v>0</v>
      </c>
      <c r="AE162" s="19">
        <f>JULIO!AG162</f>
        <v>0</v>
      </c>
      <c r="AF162" s="374">
        <v>0</v>
      </c>
      <c r="AG162" s="18">
        <f t="shared" si="157"/>
        <v>0</v>
      </c>
      <c r="AH162" s="19">
        <f t="shared" si="158"/>
        <v>0</v>
      </c>
      <c r="AI162" s="15">
        <f t="shared" si="159"/>
        <v>0</v>
      </c>
      <c r="AJ162" s="16">
        <f t="shared" si="160"/>
        <v>0</v>
      </c>
      <c r="AK162" s="9"/>
      <c r="AL162" s="372">
        <v>0</v>
      </c>
      <c r="AM162" s="375">
        <v>0</v>
      </c>
      <c r="AN162" s="9"/>
    </row>
    <row r="163" spans="1:40" s="382" customFormat="1" ht="24.95" customHeight="1">
      <c r="A163" s="752"/>
      <c r="B163" s="660"/>
      <c r="N163" s="9"/>
      <c r="P163" s="9"/>
      <c r="Q163" s="9"/>
      <c r="R163" s="9"/>
      <c r="S163" s="706" t="str">
        <f>+IF(JULIO!S163=0,"",JULIO!S163)</f>
        <v>2020202-6</v>
      </c>
      <c r="T163" s="682" t="str">
        <f>+IF(JULIO!T163=0,"",JULIO!T163)</f>
        <v>Plan Integral de Manejo de Residuos Sólidos Hospitalarios</v>
      </c>
      <c r="U163" s="27">
        <f>+ENERO!U163</f>
        <v>0</v>
      </c>
      <c r="V163" s="15">
        <f>JULIO!V163+AGOSTO!AL163</f>
        <v>0</v>
      </c>
      <c r="W163" s="15">
        <f>JULIO!W163+AGOSTO!AM163</f>
        <v>0</v>
      </c>
      <c r="X163" s="18">
        <f t="shared" si="154"/>
        <v>0</v>
      </c>
      <c r="Y163" s="19">
        <f>JULIO!AA163</f>
        <v>0</v>
      </c>
      <c r="Z163" s="374">
        <v>0</v>
      </c>
      <c r="AA163" s="18">
        <f t="shared" si="155"/>
        <v>0</v>
      </c>
      <c r="AB163" s="19">
        <f>JULIO!AD163</f>
        <v>0</v>
      </c>
      <c r="AC163" s="374">
        <v>0</v>
      </c>
      <c r="AD163" s="18">
        <f t="shared" si="156"/>
        <v>0</v>
      </c>
      <c r="AE163" s="19">
        <f>JULIO!AG163</f>
        <v>0</v>
      </c>
      <c r="AF163" s="374">
        <v>0</v>
      </c>
      <c r="AG163" s="18">
        <f t="shared" si="157"/>
        <v>0</v>
      </c>
      <c r="AH163" s="19">
        <f t="shared" si="158"/>
        <v>0</v>
      </c>
      <c r="AI163" s="15">
        <f t="shared" si="159"/>
        <v>0</v>
      </c>
      <c r="AJ163" s="16">
        <f t="shared" si="160"/>
        <v>0</v>
      </c>
      <c r="AK163" s="9"/>
      <c r="AL163" s="372">
        <v>0</v>
      </c>
      <c r="AM163" s="375">
        <v>0</v>
      </c>
      <c r="AN163" s="9"/>
    </row>
    <row r="164" spans="1:40" s="382" customFormat="1" ht="24.95" customHeight="1">
      <c r="A164" s="752"/>
      <c r="B164" s="660"/>
      <c r="N164" s="9"/>
      <c r="P164" s="9"/>
      <c r="Q164" s="9"/>
      <c r="R164" s="9"/>
      <c r="S164" s="706" t="str">
        <f>+IF(JULIO!S164=0,"",JULIO!S164)</f>
        <v>2020202-7</v>
      </c>
      <c r="T164" s="682" t="str">
        <f>+IF(JULIO!T164=0,"",JULIO!T164)</f>
        <v>Servicios de Laboratorio contratados con terceros</v>
      </c>
      <c r="U164" s="27">
        <f>+ENERO!U164</f>
        <v>0</v>
      </c>
      <c r="V164" s="15">
        <f>JULIO!V164+AGOSTO!AL164</f>
        <v>0</v>
      </c>
      <c r="W164" s="15">
        <f>JULIO!W164+AGOSTO!AM164</f>
        <v>0</v>
      </c>
      <c r="X164" s="18">
        <f t="shared" si="154"/>
        <v>0</v>
      </c>
      <c r="Y164" s="19">
        <f>JULIO!AA164</f>
        <v>0</v>
      </c>
      <c r="Z164" s="374">
        <v>0</v>
      </c>
      <c r="AA164" s="18">
        <f t="shared" si="155"/>
        <v>0</v>
      </c>
      <c r="AB164" s="19">
        <f>JULIO!AD164</f>
        <v>0</v>
      </c>
      <c r="AC164" s="374">
        <v>0</v>
      </c>
      <c r="AD164" s="18">
        <f t="shared" si="156"/>
        <v>0</v>
      </c>
      <c r="AE164" s="19">
        <f>JULIO!AG164</f>
        <v>0</v>
      </c>
      <c r="AF164" s="374">
        <v>0</v>
      </c>
      <c r="AG164" s="18">
        <f t="shared" si="157"/>
        <v>0</v>
      </c>
      <c r="AH164" s="19">
        <f t="shared" si="158"/>
        <v>0</v>
      </c>
      <c r="AI164" s="15">
        <f t="shared" si="159"/>
        <v>0</v>
      </c>
      <c r="AJ164" s="16">
        <f t="shared" si="160"/>
        <v>0</v>
      </c>
      <c r="AK164" s="9"/>
      <c r="AL164" s="372">
        <v>0</v>
      </c>
      <c r="AM164" s="375">
        <v>0</v>
      </c>
      <c r="AN164" s="9"/>
    </row>
    <row r="165" spans="1:40" s="382" customFormat="1" ht="24.95" customHeight="1">
      <c r="A165" s="752"/>
      <c r="B165" s="660"/>
      <c r="N165" s="9"/>
      <c r="P165" s="9"/>
      <c r="Q165" s="9"/>
      <c r="R165" s="9"/>
      <c r="S165" s="706" t="str">
        <f>+IF(JULIO!S165=0,"",JULIO!S165)</f>
        <v>2020202-8</v>
      </c>
      <c r="T165" s="682" t="str">
        <f>+IF(JULIO!T165=0,"",JULIO!T165)</f>
        <v>Servicios de Rayos X e Imaginología contratado con terceros</v>
      </c>
      <c r="U165" s="27">
        <f>+ENERO!U165</f>
        <v>0</v>
      </c>
      <c r="V165" s="15">
        <f>JULIO!V165+AGOSTO!AL165</f>
        <v>0</v>
      </c>
      <c r="W165" s="15">
        <f>JULIO!W165+AGOSTO!AM165</f>
        <v>0</v>
      </c>
      <c r="X165" s="18">
        <f t="shared" si="154"/>
        <v>0</v>
      </c>
      <c r="Y165" s="19">
        <f>JULIO!AA165</f>
        <v>0</v>
      </c>
      <c r="Z165" s="374">
        <v>0</v>
      </c>
      <c r="AA165" s="18">
        <f t="shared" si="155"/>
        <v>0</v>
      </c>
      <c r="AB165" s="19">
        <f>JULIO!AD165</f>
        <v>0</v>
      </c>
      <c r="AC165" s="374">
        <v>0</v>
      </c>
      <c r="AD165" s="18">
        <f t="shared" si="156"/>
        <v>0</v>
      </c>
      <c r="AE165" s="19">
        <f>JULIO!AG165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c r="A166" s="752"/>
      <c r="B166" s="660"/>
      <c r="N166" s="9"/>
      <c r="P166" s="9"/>
      <c r="Q166" s="9"/>
      <c r="R166" s="9"/>
      <c r="S166" s="706" t="str">
        <f>+IF(JULIO!S166=0,"",JULIO!S166)</f>
        <v>2020202-9</v>
      </c>
      <c r="T166" s="682" t="str">
        <f>+IF(JULIO!T166=0,"",JULIO!T166)</f>
        <v>Arrendamientos</v>
      </c>
      <c r="U166" s="27">
        <f>+ENERO!U166</f>
        <v>0</v>
      </c>
      <c r="V166" s="15">
        <f>JULIO!V166+AGOSTO!AL166</f>
        <v>0</v>
      </c>
      <c r="W166" s="15">
        <f>JULIO!W166+AGOSTO!AM166</f>
        <v>0</v>
      </c>
      <c r="X166" s="18">
        <f t="shared" si="154"/>
        <v>0</v>
      </c>
      <c r="Y166" s="19">
        <f>JULIO!AA166</f>
        <v>0</v>
      </c>
      <c r="Z166" s="374">
        <v>0</v>
      </c>
      <c r="AA166" s="18">
        <f t="shared" si="155"/>
        <v>0</v>
      </c>
      <c r="AB166" s="19">
        <f>JULIO!AD166</f>
        <v>0</v>
      </c>
      <c r="AC166" s="374">
        <v>0</v>
      </c>
      <c r="AD166" s="18">
        <f t="shared" si="156"/>
        <v>0</v>
      </c>
      <c r="AE166" s="19">
        <f>JULIO!AG166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c r="A167" s="752"/>
      <c r="B167" s="660"/>
      <c r="N167" s="9"/>
      <c r="P167" s="9"/>
      <c r="Q167" s="9"/>
      <c r="R167" s="9"/>
      <c r="S167" s="706" t="str">
        <f>+IF(JULIO!S167=0,"",JULIO!S167)</f>
        <v>2020202-10</v>
      </c>
      <c r="T167" s="682" t="str">
        <f>+IF(JULIO!T167=0,"",JULIO!T167)</f>
        <v>Servicios Públicos</v>
      </c>
      <c r="U167" s="27">
        <f>+ENERO!U167</f>
        <v>0</v>
      </c>
      <c r="V167" s="15">
        <f>JULIO!V167+AGOSTO!AL167</f>
        <v>0</v>
      </c>
      <c r="W167" s="15">
        <f>JULIO!W167+AGOSTO!AM167</f>
        <v>0</v>
      </c>
      <c r="X167" s="18">
        <f>SUM(U167:W167)</f>
        <v>0</v>
      </c>
      <c r="Y167" s="19">
        <f>JULIO!AA167</f>
        <v>0</v>
      </c>
      <c r="Z167" s="374">
        <v>0</v>
      </c>
      <c r="AA167" s="18">
        <f>SUM(Y167:Z167)</f>
        <v>0</v>
      </c>
      <c r="AB167" s="19">
        <f>JULIO!AD167</f>
        <v>0</v>
      </c>
      <c r="AC167" s="374">
        <v>0</v>
      </c>
      <c r="AD167" s="18">
        <f>SUM(AB167:AC167)</f>
        <v>0</v>
      </c>
      <c r="AE167" s="19">
        <f>JULIO!AG167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2"/>
      <c r="B168" s="660"/>
      <c r="N168" s="9"/>
      <c r="P168" s="9"/>
      <c r="Q168" s="9"/>
      <c r="R168" s="9"/>
      <c r="S168" s="705">
        <f>+IF(JULIO!S168=0,"",JULIO!S168)</f>
        <v>2020299</v>
      </c>
      <c r="T168" s="681" t="str">
        <f>+IF(JULIO!T168=0,"",JULIO!T168)</f>
        <v>Vigencias Anteriores</v>
      </c>
      <c r="U168" s="27">
        <f>+ENERO!U168</f>
        <v>0</v>
      </c>
      <c r="V168" s="15">
        <f>JULIO!V168+AGOSTO!AL168</f>
        <v>-963545983</v>
      </c>
      <c r="W168" s="15">
        <f>JULIO!W168+AGOSTO!AM168</f>
        <v>1100000000</v>
      </c>
      <c r="X168" s="18">
        <f t="shared" si="154"/>
        <v>136454017</v>
      </c>
      <c r="Y168" s="19">
        <f>JULIO!AA168</f>
        <v>136454017</v>
      </c>
      <c r="Z168" s="374">
        <v>0</v>
      </c>
      <c r="AA168" s="18">
        <f t="shared" si="155"/>
        <v>136454017</v>
      </c>
      <c r="AB168" s="19">
        <f>JULIO!AD168</f>
        <v>136454017</v>
      </c>
      <c r="AC168" s="374">
        <v>0</v>
      </c>
      <c r="AD168" s="18">
        <f t="shared" si="156"/>
        <v>136454017</v>
      </c>
      <c r="AE168" s="19">
        <f>JULIO!AG168</f>
        <v>136454017</v>
      </c>
      <c r="AF168" s="374">
        <v>0</v>
      </c>
      <c r="AG168" s="18">
        <f t="shared" si="157"/>
        <v>136454017</v>
      </c>
      <c r="AH168" s="19">
        <f t="shared" si="158"/>
        <v>0</v>
      </c>
      <c r="AI168" s="15">
        <f t="shared" si="159"/>
        <v>0</v>
      </c>
      <c r="AJ168" s="16">
        <f t="shared" si="160"/>
        <v>0</v>
      </c>
      <c r="AK168" s="9"/>
      <c r="AL168" s="372">
        <v>0</v>
      </c>
      <c r="AM168" s="375">
        <v>0</v>
      </c>
      <c r="AN168" s="9"/>
    </row>
    <row r="169" spans="1:40" s="382" customFormat="1" ht="24.95" customHeight="1">
      <c r="A169" s="752"/>
      <c r="B169" s="660"/>
      <c r="N169" s="9"/>
      <c r="P169" s="9"/>
      <c r="Q169" s="9"/>
      <c r="R169" s="9"/>
      <c r="S169" s="366" t="str">
        <f>+IF(JULIO!S169=0,"",JULIO!S169)</f>
        <v/>
      </c>
      <c r="T169" s="695"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2"/>
      <c r="B170" s="660"/>
      <c r="N170" s="9"/>
      <c r="P170" s="9"/>
      <c r="Q170" s="9"/>
      <c r="R170" s="9"/>
      <c r="S170" s="703">
        <f>+IF(JULIO!S170=0,"",JULIO!S170)</f>
        <v>3000000</v>
      </c>
      <c r="T170" s="685" t="str">
        <f>+IF(JULIO!T170=0,"",JULIO!T170)</f>
        <v>TRANSFERENCIAS CORRIENTES</v>
      </c>
      <c r="U170" s="470">
        <f t="shared" ref="U170:AJ170" si="161">U172+U176+U185</f>
        <v>139736565</v>
      </c>
      <c r="V170" s="471">
        <f t="shared" si="161"/>
        <v>-657430</v>
      </c>
      <c r="W170" s="471">
        <f t="shared" si="161"/>
        <v>24450868</v>
      </c>
      <c r="X170" s="472">
        <f t="shared" si="161"/>
        <v>163530003</v>
      </c>
      <c r="Y170" s="379">
        <f t="shared" si="161"/>
        <v>93317553</v>
      </c>
      <c r="Z170" s="471">
        <f t="shared" si="161"/>
        <v>2087995</v>
      </c>
      <c r="AA170" s="472">
        <f t="shared" si="161"/>
        <v>95405548</v>
      </c>
      <c r="AB170" s="379">
        <f t="shared" si="161"/>
        <v>82442424</v>
      </c>
      <c r="AC170" s="471">
        <f t="shared" si="161"/>
        <v>1709407</v>
      </c>
      <c r="AD170" s="472">
        <f t="shared" si="161"/>
        <v>84151831</v>
      </c>
      <c r="AE170" s="379">
        <f t="shared" si="161"/>
        <v>57554956</v>
      </c>
      <c r="AF170" s="471">
        <f t="shared" si="161"/>
        <v>5072793</v>
      </c>
      <c r="AG170" s="472">
        <f t="shared" si="161"/>
        <v>62627749</v>
      </c>
      <c r="AH170" s="379">
        <f t="shared" si="161"/>
        <v>68124455</v>
      </c>
      <c r="AI170" s="471">
        <f t="shared" si="161"/>
        <v>79378172</v>
      </c>
      <c r="AJ170" s="380">
        <f t="shared" si="161"/>
        <v>100902254</v>
      </c>
      <c r="AK170" s="9"/>
      <c r="AL170" s="128">
        <f>AL172+AL176+AL185</f>
        <v>0</v>
      </c>
      <c r="AM170" s="130">
        <f>AM172+AM176+AM185</f>
        <v>0</v>
      </c>
      <c r="AN170" s="9"/>
    </row>
    <row r="171" spans="1:40" s="382" customFormat="1" ht="24.95" customHeight="1">
      <c r="A171" s="752"/>
      <c r="B171" s="660"/>
      <c r="N171" s="9"/>
      <c r="P171" s="9"/>
      <c r="Q171" s="9"/>
      <c r="R171" s="9"/>
      <c r="S171" s="366" t="str">
        <f>+IF(JULIO!S171=0,"",JULIO!S171)</f>
        <v/>
      </c>
      <c r="T171" s="695"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2"/>
      <c r="B172" s="660"/>
      <c r="N172" s="9"/>
      <c r="P172" s="9"/>
      <c r="Q172" s="9"/>
      <c r="R172" s="9"/>
      <c r="S172" s="704">
        <f>+IF(JULIO!S172=0,"",JULIO!S172)</f>
        <v>3100000</v>
      </c>
      <c r="T172" s="680" t="str">
        <f>+IF(JULIO!T172=0,"",JULIO!T172)</f>
        <v>Transferencias al Sector Público</v>
      </c>
      <c r="U172" s="132">
        <f t="shared" ref="U172:AJ172" si="162">SUM(U173:U174)</f>
        <v>39651901</v>
      </c>
      <c r="V172" s="122">
        <f t="shared" si="162"/>
        <v>-357430</v>
      </c>
      <c r="W172" s="122">
        <f t="shared" si="162"/>
        <v>21500000</v>
      </c>
      <c r="X172" s="129">
        <f t="shared" si="162"/>
        <v>60794471</v>
      </c>
      <c r="Y172" s="128">
        <f t="shared" si="162"/>
        <v>59610790</v>
      </c>
      <c r="Z172" s="122">
        <f t="shared" si="162"/>
        <v>399998</v>
      </c>
      <c r="AA172" s="129">
        <f t="shared" si="162"/>
        <v>60010788</v>
      </c>
      <c r="AB172" s="128">
        <f t="shared" si="162"/>
        <v>49030748</v>
      </c>
      <c r="AC172" s="122">
        <f t="shared" si="162"/>
        <v>201998</v>
      </c>
      <c r="AD172" s="129">
        <f t="shared" si="162"/>
        <v>49232746</v>
      </c>
      <c r="AE172" s="128">
        <f t="shared" si="162"/>
        <v>27766897</v>
      </c>
      <c r="AF172" s="122">
        <f t="shared" si="162"/>
        <v>3745972</v>
      </c>
      <c r="AG172" s="129">
        <f t="shared" si="162"/>
        <v>31512869</v>
      </c>
      <c r="AH172" s="128">
        <f t="shared" si="162"/>
        <v>783683</v>
      </c>
      <c r="AI172" s="122">
        <f t="shared" si="162"/>
        <v>11561725</v>
      </c>
      <c r="AJ172" s="130">
        <f t="shared" si="162"/>
        <v>29281602</v>
      </c>
      <c r="AK172" s="9"/>
      <c r="AL172" s="128">
        <f>SUM(AL173:AL174)</f>
        <v>0</v>
      </c>
      <c r="AM172" s="130">
        <f>SUM(AM173:AM174)</f>
        <v>0</v>
      </c>
      <c r="AN172" s="9"/>
    </row>
    <row r="173" spans="1:40" s="382" customFormat="1" ht="24.95" customHeight="1">
      <c r="A173" s="752"/>
      <c r="B173" s="660"/>
      <c r="N173" s="9"/>
      <c r="P173" s="9"/>
      <c r="Q173" s="9"/>
      <c r="R173" s="9"/>
      <c r="S173" s="705">
        <f>+IF(JULIO!S173=0,"",JULIO!S173)</f>
        <v>3100003</v>
      </c>
      <c r="T173" s="681" t="str">
        <f>+IF(JULIO!T173=0,"",JULIO!T173)</f>
        <v>Entidades Públicas (Contraloria, Supersalud,…)</v>
      </c>
      <c r="U173" s="27">
        <f>+ENERO!U173</f>
        <v>39651901</v>
      </c>
      <c r="V173" s="15">
        <f>JULIO!V173+AGOSTO!AL173</f>
        <v>-357430</v>
      </c>
      <c r="W173" s="15">
        <f>JULIO!W173+AGOSTO!AM173</f>
        <v>21500000</v>
      </c>
      <c r="X173" s="18">
        <f>SUM(U173:W173)</f>
        <v>60794471</v>
      </c>
      <c r="Y173" s="19">
        <f>JULIO!AA173</f>
        <v>59610790</v>
      </c>
      <c r="Z173" s="374">
        <v>399998</v>
      </c>
      <c r="AA173" s="18">
        <f>SUM(Y173:Z173)</f>
        <v>60010788</v>
      </c>
      <c r="AB173" s="19">
        <f>JULIO!AD173</f>
        <v>49030748</v>
      </c>
      <c r="AC173" s="374">
        <v>201998</v>
      </c>
      <c r="AD173" s="18">
        <f>SUM(AB173:AC173)</f>
        <v>49232746</v>
      </c>
      <c r="AE173" s="19">
        <f>JULIO!AG173</f>
        <v>27766897</v>
      </c>
      <c r="AF173" s="374">
        <v>3745972</v>
      </c>
      <c r="AG173" s="18">
        <f>SUM(AE173:AF173)</f>
        <v>31512869</v>
      </c>
      <c r="AH173" s="19">
        <f>X173-AA173</f>
        <v>783683</v>
      </c>
      <c r="AI173" s="15">
        <f>X173-AD173</f>
        <v>11561725</v>
      </c>
      <c r="AJ173" s="16">
        <f>X173-AG173</f>
        <v>29281602</v>
      </c>
      <c r="AK173" s="9"/>
      <c r="AL173" s="372">
        <v>0</v>
      </c>
      <c r="AM173" s="375">
        <v>0</v>
      </c>
      <c r="AN173" s="9"/>
    </row>
    <row r="174" spans="1:40" s="382" customFormat="1" ht="24.95" customHeight="1">
      <c r="A174" s="752"/>
      <c r="B174" s="660"/>
      <c r="N174" s="9"/>
      <c r="P174" s="9"/>
      <c r="Q174" s="9"/>
      <c r="R174" s="9"/>
      <c r="S174" s="705">
        <f>+IF(JULIO!S174=0,"",JULIO!S174)</f>
        <v>3199999</v>
      </c>
      <c r="T174" s="681" t="str">
        <f>+IF(JULIO!T174=0,"",JULIO!T174)</f>
        <v>Vigencias Anteriores</v>
      </c>
      <c r="U174" s="27">
        <f>+ENERO!U174</f>
        <v>0</v>
      </c>
      <c r="V174" s="15">
        <f>JULIO!V174+AGOSTO!AL174</f>
        <v>0</v>
      </c>
      <c r="W174" s="15">
        <f>JULIO!W174+AGOSTO!AM174</f>
        <v>0</v>
      </c>
      <c r="X174" s="18">
        <f>SUM(U174:W174)</f>
        <v>0</v>
      </c>
      <c r="Y174" s="19">
        <f>JULIO!AA174</f>
        <v>0</v>
      </c>
      <c r="Z174" s="374">
        <v>0</v>
      </c>
      <c r="AA174" s="18">
        <f>SUM(Y174:Z174)</f>
        <v>0</v>
      </c>
      <c r="AB174" s="19">
        <f>JULIO!AD174</f>
        <v>0</v>
      </c>
      <c r="AC174" s="374">
        <v>0</v>
      </c>
      <c r="AD174" s="18">
        <f>SUM(AB174:AC174)</f>
        <v>0</v>
      </c>
      <c r="AE174" s="19">
        <f>JULIO!AG174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2"/>
      <c r="B175" s="660"/>
      <c r="N175" s="9"/>
      <c r="P175" s="9"/>
      <c r="Q175" s="9"/>
      <c r="R175" s="9"/>
      <c r="S175" s="366" t="str">
        <f>+IF(JULIO!S175=0,"",JULIO!S175)</f>
        <v/>
      </c>
      <c r="T175" s="695"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2"/>
      <c r="B176" s="660"/>
      <c r="N176" s="9"/>
      <c r="P176" s="9"/>
      <c r="Q176" s="9"/>
      <c r="R176" s="9"/>
      <c r="S176" s="704">
        <f>+IF(JULIO!S176=0,"",JULIO!S176)</f>
        <v>320000</v>
      </c>
      <c r="T176" s="680" t="str">
        <f>+IF(JULIO!T176=0,"",JULIO!T176)</f>
        <v>Transf. Previsión y Seguridad Social</v>
      </c>
      <c r="U176" s="132">
        <f t="shared" ref="U176:AJ176" si="163">SUM(U177:U183)</f>
        <v>50084664</v>
      </c>
      <c r="V176" s="122">
        <f t="shared" si="163"/>
        <v>0</v>
      </c>
      <c r="W176" s="122">
        <f t="shared" si="163"/>
        <v>0</v>
      </c>
      <c r="X176" s="129">
        <f t="shared" si="163"/>
        <v>50084664</v>
      </c>
      <c r="Y176" s="128">
        <f t="shared" si="163"/>
        <v>21457141</v>
      </c>
      <c r="Z176" s="122">
        <f t="shared" si="163"/>
        <v>1687997</v>
      </c>
      <c r="AA176" s="129">
        <f t="shared" si="163"/>
        <v>23145138</v>
      </c>
      <c r="AB176" s="128">
        <f t="shared" si="163"/>
        <v>21457141</v>
      </c>
      <c r="AC176" s="122">
        <f t="shared" si="163"/>
        <v>1507409</v>
      </c>
      <c r="AD176" s="129">
        <f t="shared" si="163"/>
        <v>22964550</v>
      </c>
      <c r="AE176" s="128">
        <f t="shared" si="163"/>
        <v>20927192</v>
      </c>
      <c r="AF176" s="122">
        <f t="shared" si="163"/>
        <v>1326821</v>
      </c>
      <c r="AG176" s="129">
        <f t="shared" si="163"/>
        <v>22254013</v>
      </c>
      <c r="AH176" s="128">
        <f t="shared" si="163"/>
        <v>26939526</v>
      </c>
      <c r="AI176" s="122">
        <f t="shared" si="163"/>
        <v>27120114</v>
      </c>
      <c r="AJ176" s="130">
        <f t="shared" si="163"/>
        <v>27830651</v>
      </c>
      <c r="AK176" s="9"/>
      <c r="AL176" s="128">
        <f>SUM(AL177:AL183)</f>
        <v>0</v>
      </c>
      <c r="AM176" s="130">
        <f>SUM(AM177:AM183)</f>
        <v>0</v>
      </c>
      <c r="AN176" s="9"/>
    </row>
    <row r="177" spans="1:40" s="382" customFormat="1" ht="24.95" customHeight="1">
      <c r="A177" s="752"/>
      <c r="B177" s="660"/>
      <c r="N177" s="9"/>
      <c r="P177" s="9"/>
      <c r="Q177" s="9"/>
      <c r="R177" s="9"/>
      <c r="S177" s="705">
        <f>+IF(JULIO!S177=0,"",JULIO!S177)</f>
        <v>3200100</v>
      </c>
      <c r="T177" s="681" t="str">
        <f>+IF(JULIO!T177=0,"",JULIO!T177)</f>
        <v>Pensiones y Jubilaciones (Pago Directo)</v>
      </c>
      <c r="U177" s="27">
        <f>+ENERO!U177</f>
        <v>18619412</v>
      </c>
      <c r="V177" s="15">
        <f>JULIO!V177+AGOSTO!AL177</f>
        <v>0</v>
      </c>
      <c r="W177" s="15">
        <f>JULIO!W177+AGOSTO!AM177</f>
        <v>0</v>
      </c>
      <c r="X177" s="18">
        <f t="shared" ref="X177:X183" si="164">SUM(U177:W177)</f>
        <v>18619412</v>
      </c>
      <c r="Y177" s="19">
        <f>JULIO!AA177</f>
        <v>7960926</v>
      </c>
      <c r="Z177" s="374">
        <v>1326821</v>
      </c>
      <c r="AA177" s="18">
        <f t="shared" ref="AA177:AA183" si="165">SUM(Y177:Z177)</f>
        <v>9287747</v>
      </c>
      <c r="AB177" s="19">
        <f>JULIO!AD177</f>
        <v>7960926</v>
      </c>
      <c r="AC177" s="374">
        <v>1326821</v>
      </c>
      <c r="AD177" s="18">
        <f t="shared" ref="AD177:AD183" si="166">SUM(AB177:AC177)</f>
        <v>9287747</v>
      </c>
      <c r="AE177" s="19">
        <f>JULIO!AG177</f>
        <v>7960926</v>
      </c>
      <c r="AF177" s="374">
        <v>1326821</v>
      </c>
      <c r="AG177" s="18">
        <f t="shared" ref="AG177:AG183" si="167">SUM(AE177:AF177)</f>
        <v>9287747</v>
      </c>
      <c r="AH177" s="19">
        <f t="shared" ref="AH177:AH183" si="168">X177-AA177</f>
        <v>9331665</v>
      </c>
      <c r="AI177" s="15">
        <f t="shared" ref="AI177:AI183" si="169">X177-AD177</f>
        <v>9331665</v>
      </c>
      <c r="AJ177" s="16">
        <f t="shared" ref="AJ177:AJ183" si="170">X177-AG177</f>
        <v>9331665</v>
      </c>
      <c r="AK177" s="9"/>
      <c r="AL177" s="372">
        <v>0</v>
      </c>
      <c r="AM177" s="375">
        <v>0</v>
      </c>
      <c r="AN177" s="9"/>
    </row>
    <row r="178" spans="1:40" s="382" customFormat="1" ht="24.95" customHeight="1">
      <c r="A178" s="752"/>
      <c r="B178" s="660"/>
      <c r="N178" s="9"/>
      <c r="P178" s="9"/>
      <c r="Q178" s="9"/>
      <c r="R178" s="9"/>
      <c r="S178" s="705">
        <f>+IF(JULIO!S178=0,"",JULIO!S178)</f>
        <v>3200200</v>
      </c>
      <c r="T178" s="681" t="str">
        <f>+IF(JULIO!T178=0,"",JULIO!T178)</f>
        <v>Cesantías Pago Directo (Pago Directo)</v>
      </c>
      <c r="U178" s="27">
        <f>+ENERO!U178</f>
        <v>14936566</v>
      </c>
      <c r="V178" s="15">
        <f>JULIO!V178+AGOSTO!AL178</f>
        <v>0</v>
      </c>
      <c r="W178" s="15">
        <f>JULIO!W178+AGOSTO!AM178</f>
        <v>0</v>
      </c>
      <c r="X178" s="18">
        <f t="shared" si="164"/>
        <v>14936566</v>
      </c>
      <c r="Y178" s="19">
        <f>JULIO!AA178</f>
        <v>331170</v>
      </c>
      <c r="Z178" s="374">
        <v>0</v>
      </c>
      <c r="AA178" s="18">
        <f t="shared" si="165"/>
        <v>331170</v>
      </c>
      <c r="AB178" s="19">
        <f>JULIO!AD178</f>
        <v>331170</v>
      </c>
      <c r="AC178" s="374">
        <v>0</v>
      </c>
      <c r="AD178" s="18">
        <f t="shared" si="166"/>
        <v>331170</v>
      </c>
      <c r="AE178" s="19">
        <f>JULIO!AG178</f>
        <v>331170</v>
      </c>
      <c r="AF178" s="374">
        <v>0</v>
      </c>
      <c r="AG178" s="18">
        <f t="shared" si="167"/>
        <v>331170</v>
      </c>
      <c r="AH178" s="19">
        <f t="shared" si="168"/>
        <v>14605396</v>
      </c>
      <c r="AI178" s="15">
        <f t="shared" si="169"/>
        <v>14605396</v>
      </c>
      <c r="AJ178" s="16">
        <f t="shared" si="170"/>
        <v>14605396</v>
      </c>
      <c r="AK178" s="9"/>
      <c r="AL178" s="372">
        <v>0</v>
      </c>
      <c r="AM178" s="375">
        <v>0</v>
      </c>
      <c r="AN178" s="9"/>
    </row>
    <row r="179" spans="1:40" s="382" customFormat="1" ht="24.95" customHeight="1">
      <c r="A179" s="752"/>
      <c r="B179" s="660"/>
      <c r="N179" s="9"/>
      <c r="P179" s="9"/>
      <c r="Q179" s="9"/>
      <c r="R179" s="9"/>
      <c r="S179" s="705">
        <f>+IF(JULIO!S179=0,"",JULIO!S179)</f>
        <v>3200300</v>
      </c>
      <c r="T179" s="681" t="str">
        <f>+IF(JULIO!T179=0,"",JULIO!T179)</f>
        <v>Bonos, Cuotas de Bonos y cuotas partes jubilatorias</v>
      </c>
      <c r="U179" s="27">
        <f>+ENERO!U179</f>
        <v>0</v>
      </c>
      <c r="V179" s="15">
        <f>JULIO!V179+AGOSTO!AL179</f>
        <v>4000000</v>
      </c>
      <c r="W179" s="15">
        <f>JULIO!W179+AGOSTO!AM179</f>
        <v>0</v>
      </c>
      <c r="X179" s="18">
        <f t="shared" si="164"/>
        <v>4000000</v>
      </c>
      <c r="Y179" s="19">
        <f>JULIO!AA179</f>
        <v>1599084</v>
      </c>
      <c r="Z179" s="374">
        <v>361176</v>
      </c>
      <c r="AA179" s="18">
        <f t="shared" si="165"/>
        <v>1960260</v>
      </c>
      <c r="AB179" s="19">
        <f>JULIO!AD179</f>
        <v>1599084</v>
      </c>
      <c r="AC179" s="374">
        <v>180588</v>
      </c>
      <c r="AD179" s="18">
        <f t="shared" si="166"/>
        <v>1779672</v>
      </c>
      <c r="AE179" s="19">
        <f>JULIO!AG179</f>
        <v>1069135</v>
      </c>
      <c r="AF179" s="374">
        <v>0</v>
      </c>
      <c r="AG179" s="18">
        <f t="shared" si="167"/>
        <v>1069135</v>
      </c>
      <c r="AH179" s="19">
        <f t="shared" si="168"/>
        <v>2039740</v>
      </c>
      <c r="AI179" s="15">
        <f t="shared" si="169"/>
        <v>2220328</v>
      </c>
      <c r="AJ179" s="16">
        <f t="shared" si="170"/>
        <v>2930865</v>
      </c>
      <c r="AK179" s="9"/>
      <c r="AL179" s="372">
        <v>0</v>
      </c>
      <c r="AM179" s="375">
        <v>0</v>
      </c>
      <c r="AN179" s="9"/>
    </row>
    <row r="180" spans="1:40" s="382" customFormat="1" ht="24.95" customHeight="1">
      <c r="A180" s="752"/>
      <c r="B180" s="660"/>
      <c r="N180" s="9"/>
      <c r="P180" s="9"/>
      <c r="Q180" s="9"/>
      <c r="R180" s="9"/>
      <c r="S180" s="705">
        <f>+IF(JULIO!S180=0,"",JULIO!S180)</f>
        <v>3200400</v>
      </c>
      <c r="T180" s="681" t="str">
        <f>+IF(JULIO!T180=0,"",JULIO!T180)</f>
        <v>Intereses a las cesantias</v>
      </c>
      <c r="U180" s="27">
        <f>+ENERO!U180</f>
        <v>16528686</v>
      </c>
      <c r="V180" s="15">
        <f>JULIO!V180+AGOSTO!AL180</f>
        <v>-4000000</v>
      </c>
      <c r="W180" s="15">
        <f>JULIO!W180+AGOSTO!AM180</f>
        <v>0</v>
      </c>
      <c r="X180" s="18">
        <f t="shared" si="164"/>
        <v>12528686</v>
      </c>
      <c r="Y180" s="19">
        <f>JULIO!AA180</f>
        <v>11565961</v>
      </c>
      <c r="Z180" s="374">
        <v>0</v>
      </c>
      <c r="AA180" s="18">
        <f t="shared" si="165"/>
        <v>11565961</v>
      </c>
      <c r="AB180" s="19">
        <f>JULIO!AD180</f>
        <v>11565961</v>
      </c>
      <c r="AC180" s="374">
        <v>0</v>
      </c>
      <c r="AD180" s="18">
        <f t="shared" si="166"/>
        <v>11565961</v>
      </c>
      <c r="AE180" s="19">
        <f>JULIO!AG180</f>
        <v>11565961</v>
      </c>
      <c r="AF180" s="374">
        <v>0</v>
      </c>
      <c r="AG180" s="18">
        <f t="shared" si="167"/>
        <v>11565961</v>
      </c>
      <c r="AH180" s="19">
        <f t="shared" si="168"/>
        <v>962725</v>
      </c>
      <c r="AI180" s="15">
        <f t="shared" si="169"/>
        <v>962725</v>
      </c>
      <c r="AJ180" s="16">
        <f t="shared" si="170"/>
        <v>962725</v>
      </c>
      <c r="AK180" s="9"/>
      <c r="AL180" s="372">
        <v>0</v>
      </c>
      <c r="AM180" s="375">
        <v>0</v>
      </c>
      <c r="AN180" s="9"/>
    </row>
    <row r="181" spans="1:40" s="382" customFormat="1" ht="24.95" customHeight="1">
      <c r="A181" s="752"/>
      <c r="B181" s="660"/>
      <c r="N181" s="9"/>
      <c r="P181" s="9"/>
      <c r="Q181" s="9"/>
      <c r="R181" s="9"/>
      <c r="S181" s="705" t="str">
        <f>+IF(JULIO!S181=0,"",JULIO!S181)</f>
        <v/>
      </c>
      <c r="T181" s="681" t="str">
        <f>+IF(JULIO!T181=0,"",JULIO!T181)</f>
        <v/>
      </c>
      <c r="U181" s="27">
        <f>+ENERO!U181</f>
        <v>0</v>
      </c>
      <c r="V181" s="15">
        <f>JULIO!V181+AGOSTO!AL181</f>
        <v>0</v>
      </c>
      <c r="W181" s="15">
        <f>JULIO!W181+AGOSTO!AM181</f>
        <v>0</v>
      </c>
      <c r="X181" s="18">
        <f t="shared" si="164"/>
        <v>0</v>
      </c>
      <c r="Y181" s="19">
        <f>JULIO!AA181</f>
        <v>0</v>
      </c>
      <c r="Z181" s="374">
        <v>0</v>
      </c>
      <c r="AA181" s="18">
        <f t="shared" si="165"/>
        <v>0</v>
      </c>
      <c r="AB181" s="19">
        <f>JULIO!AD181</f>
        <v>0</v>
      </c>
      <c r="AC181" s="374">
        <v>0</v>
      </c>
      <c r="AD181" s="18">
        <f t="shared" si="166"/>
        <v>0</v>
      </c>
      <c r="AE181" s="19">
        <f>JULIO!AG181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2"/>
      <c r="B182" s="660"/>
      <c r="N182" s="9"/>
      <c r="P182" s="9"/>
      <c r="Q182" s="9"/>
      <c r="R182" s="9"/>
      <c r="S182" s="705" t="str">
        <f>+IF(JULIO!S182=0,"",JULIO!S182)</f>
        <v/>
      </c>
      <c r="T182" s="681" t="str">
        <f>+IF(JULIO!T182=0,"",JULIO!T182)</f>
        <v/>
      </c>
      <c r="U182" s="27">
        <f>+ENERO!U182</f>
        <v>0</v>
      </c>
      <c r="V182" s="15">
        <f>JULIO!V182+AGOSTO!AL182</f>
        <v>0</v>
      </c>
      <c r="W182" s="15">
        <f>JULIO!W182+AGOSTO!AM182</f>
        <v>0</v>
      </c>
      <c r="X182" s="18">
        <f t="shared" si="164"/>
        <v>0</v>
      </c>
      <c r="Y182" s="19">
        <f>JULIO!AA182</f>
        <v>0</v>
      </c>
      <c r="Z182" s="374">
        <v>0</v>
      </c>
      <c r="AA182" s="18">
        <f t="shared" si="165"/>
        <v>0</v>
      </c>
      <c r="AB182" s="19">
        <f>JULIO!AD182</f>
        <v>0</v>
      </c>
      <c r="AC182" s="374">
        <v>0</v>
      </c>
      <c r="AD182" s="18">
        <f t="shared" si="166"/>
        <v>0</v>
      </c>
      <c r="AE182" s="19">
        <f>JULIO!AG182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2"/>
      <c r="B183" s="660"/>
      <c r="N183" s="9"/>
      <c r="P183" s="9"/>
      <c r="Q183" s="9"/>
      <c r="R183" s="9"/>
      <c r="S183" s="705">
        <f>+IF(JULIO!S183=0,"",JULIO!S183)</f>
        <v>3299999</v>
      </c>
      <c r="T183" s="681" t="str">
        <f>+IF(JULIO!T183=0,"",JULIO!T183)</f>
        <v>Vigencias Anteriores</v>
      </c>
      <c r="U183" s="27">
        <f>+ENERO!U183</f>
        <v>0</v>
      </c>
      <c r="V183" s="15">
        <f>JULIO!V183+AGOSTO!AL183</f>
        <v>0</v>
      </c>
      <c r="W183" s="15">
        <f>JULIO!W183+AGOSTO!AM183</f>
        <v>0</v>
      </c>
      <c r="X183" s="18">
        <f t="shared" si="164"/>
        <v>0</v>
      </c>
      <c r="Y183" s="19">
        <f>JULIO!AA183</f>
        <v>0</v>
      </c>
      <c r="Z183" s="374">
        <v>0</v>
      </c>
      <c r="AA183" s="18">
        <f t="shared" si="165"/>
        <v>0</v>
      </c>
      <c r="AB183" s="19">
        <f>JULIO!AD183</f>
        <v>0</v>
      </c>
      <c r="AC183" s="374">
        <v>0</v>
      </c>
      <c r="AD183" s="18">
        <f t="shared" si="166"/>
        <v>0</v>
      </c>
      <c r="AE183" s="19">
        <f>JULIO!AG183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2"/>
      <c r="B184" s="660"/>
      <c r="N184" s="9"/>
      <c r="P184" s="9"/>
      <c r="Q184" s="9"/>
      <c r="R184" s="9"/>
      <c r="S184" s="366" t="str">
        <f>+IF(JULIO!S184=0,"",JULIO!S184)</f>
        <v/>
      </c>
      <c r="T184" s="695"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2"/>
      <c r="B185" s="660"/>
      <c r="N185" s="9"/>
      <c r="P185" s="9"/>
      <c r="Q185" s="9"/>
      <c r="R185" s="9"/>
      <c r="S185" s="704">
        <f>+IF(JULIO!S185=0,"",JULIO!S185)</f>
        <v>3300000</v>
      </c>
      <c r="T185" s="680" t="str">
        <f>+IF(JULIO!T185=0,"",JULIO!T185)</f>
        <v>Otras Transferencias</v>
      </c>
      <c r="U185" s="132">
        <f t="shared" ref="U185:AJ185" si="171">U186+U187+U191</f>
        <v>50000000</v>
      </c>
      <c r="V185" s="122">
        <f t="shared" si="171"/>
        <v>-300000</v>
      </c>
      <c r="W185" s="122">
        <f t="shared" si="171"/>
        <v>2950868</v>
      </c>
      <c r="X185" s="129">
        <f t="shared" si="171"/>
        <v>52650868</v>
      </c>
      <c r="Y185" s="128">
        <f t="shared" si="171"/>
        <v>12249622</v>
      </c>
      <c r="Z185" s="122">
        <f t="shared" si="171"/>
        <v>0</v>
      </c>
      <c r="AA185" s="129">
        <f t="shared" si="171"/>
        <v>12249622</v>
      </c>
      <c r="AB185" s="128">
        <f t="shared" si="171"/>
        <v>11954535</v>
      </c>
      <c r="AC185" s="122">
        <f t="shared" si="171"/>
        <v>0</v>
      </c>
      <c r="AD185" s="129">
        <f t="shared" si="171"/>
        <v>11954535</v>
      </c>
      <c r="AE185" s="128">
        <f t="shared" si="171"/>
        <v>8860867</v>
      </c>
      <c r="AF185" s="122">
        <f t="shared" si="171"/>
        <v>0</v>
      </c>
      <c r="AG185" s="129">
        <f t="shared" si="171"/>
        <v>8860867</v>
      </c>
      <c r="AH185" s="128">
        <f t="shared" si="171"/>
        <v>40401246</v>
      </c>
      <c r="AI185" s="122">
        <f t="shared" si="171"/>
        <v>40696333</v>
      </c>
      <c r="AJ185" s="130">
        <f t="shared" si="171"/>
        <v>43790001</v>
      </c>
      <c r="AK185" s="9"/>
      <c r="AL185" s="128">
        <f>AL186+AL187+AL191</f>
        <v>0</v>
      </c>
      <c r="AM185" s="130">
        <f>AM186+AM187+AM191</f>
        <v>0</v>
      </c>
      <c r="AN185" s="9"/>
    </row>
    <row r="186" spans="1:40" s="382" customFormat="1" ht="24.95" customHeight="1">
      <c r="A186" s="752"/>
      <c r="B186" s="660"/>
      <c r="N186" s="9"/>
      <c r="P186" s="9"/>
      <c r="Q186" s="9"/>
      <c r="R186" s="9"/>
      <c r="S186" s="705">
        <f>+IF(JULIO!S186=0,"",JULIO!S186)</f>
        <v>3300100</v>
      </c>
      <c r="T186" s="681" t="str">
        <f>+IF(JULIO!T186=0,"",JULIO!T186)</f>
        <v>Sentencias y Conciliaciones</v>
      </c>
      <c r="U186" s="27">
        <f>+ENERO!U186</f>
        <v>50000000</v>
      </c>
      <c r="V186" s="15">
        <f>JULIO!V186+AGOSTO!AL186</f>
        <v>-3393668</v>
      </c>
      <c r="W186" s="15">
        <f>JULIO!W186+AGOSTO!AM186</f>
        <v>0</v>
      </c>
      <c r="X186" s="18">
        <f>SUM(U186:W186)</f>
        <v>46606332</v>
      </c>
      <c r="Y186" s="19">
        <f>JULIO!AA186</f>
        <v>6205086</v>
      </c>
      <c r="Z186" s="374">
        <v>0</v>
      </c>
      <c r="AA186" s="18">
        <f>SUM(Y186:Z186)</f>
        <v>6205086</v>
      </c>
      <c r="AB186" s="19">
        <f>JULIO!AD186</f>
        <v>6205086</v>
      </c>
      <c r="AC186" s="374">
        <v>0</v>
      </c>
      <c r="AD186" s="18">
        <f>SUM(AB186:AC186)</f>
        <v>6205086</v>
      </c>
      <c r="AE186" s="19">
        <f>JULIO!AG186</f>
        <v>6205086</v>
      </c>
      <c r="AF186" s="374">
        <v>0</v>
      </c>
      <c r="AG186" s="18">
        <f>SUM(AE186:AF186)</f>
        <v>6205086</v>
      </c>
      <c r="AH186" s="19">
        <f>X186-AA186</f>
        <v>40401246</v>
      </c>
      <c r="AI186" s="15">
        <f>X186-AD186</f>
        <v>40401246</v>
      </c>
      <c r="AJ186" s="16">
        <f>X186-AG186</f>
        <v>40401246</v>
      </c>
      <c r="AK186" s="9"/>
      <c r="AL186" s="372">
        <v>0</v>
      </c>
      <c r="AM186" s="375">
        <v>0</v>
      </c>
      <c r="AN186" s="9"/>
    </row>
    <row r="187" spans="1:40" s="382" customFormat="1" ht="24.95" customHeight="1">
      <c r="A187" s="752"/>
      <c r="B187" s="660"/>
      <c r="N187" s="9"/>
      <c r="P187" s="9"/>
      <c r="Q187" s="9"/>
      <c r="R187" s="9"/>
      <c r="S187" s="705">
        <f>+IF(JULIO!S187=0,"",JULIO!S187)</f>
        <v>3300200</v>
      </c>
      <c r="T187" s="681" t="str">
        <f>+IF(JULIO!T187=0,"",JULIO!T187)</f>
        <v>Destinatarios de otras transferencias</v>
      </c>
      <c r="U187" s="27">
        <f t="shared" ref="U187:AM187" si="172">SUM(U188:U190)</f>
        <v>0</v>
      </c>
      <c r="V187" s="15">
        <f t="shared" si="172"/>
        <v>3093668</v>
      </c>
      <c r="W187" s="15">
        <f t="shared" si="172"/>
        <v>2950868</v>
      </c>
      <c r="X187" s="18">
        <f t="shared" si="172"/>
        <v>6044536</v>
      </c>
      <c r="Y187" s="19">
        <f t="shared" si="172"/>
        <v>6044536</v>
      </c>
      <c r="Z187" s="142">
        <f t="shared" si="172"/>
        <v>0</v>
      </c>
      <c r="AA187" s="18">
        <f t="shared" si="172"/>
        <v>6044536</v>
      </c>
      <c r="AB187" s="19">
        <f t="shared" si="172"/>
        <v>5749449</v>
      </c>
      <c r="AC187" s="142">
        <f t="shared" si="172"/>
        <v>0</v>
      </c>
      <c r="AD187" s="18">
        <f t="shared" si="172"/>
        <v>5749449</v>
      </c>
      <c r="AE187" s="19">
        <f t="shared" si="172"/>
        <v>2655781</v>
      </c>
      <c r="AF187" s="142">
        <f t="shared" si="172"/>
        <v>0</v>
      </c>
      <c r="AG187" s="18">
        <f t="shared" si="172"/>
        <v>2655781</v>
      </c>
      <c r="AH187" s="19">
        <f t="shared" si="172"/>
        <v>0</v>
      </c>
      <c r="AI187" s="15">
        <f t="shared" si="172"/>
        <v>295087</v>
      </c>
      <c r="AJ187" s="16">
        <f t="shared" si="172"/>
        <v>3388755</v>
      </c>
      <c r="AK187" s="9"/>
      <c r="AL187" s="29">
        <f t="shared" si="172"/>
        <v>0</v>
      </c>
      <c r="AM187" s="26">
        <f t="shared" si="172"/>
        <v>0</v>
      </c>
      <c r="AN187" s="9"/>
    </row>
    <row r="188" spans="1:40" s="382" customFormat="1" ht="24.95" customHeight="1">
      <c r="A188" s="752"/>
      <c r="B188" s="661"/>
      <c r="N188" s="9"/>
      <c r="P188" s="9"/>
      <c r="Q188" s="9"/>
      <c r="R188" s="9"/>
      <c r="S188" s="706" t="str">
        <f>+IF(JULIO!S188=0,"",JULIO!S188)</f>
        <v>3300200-1</v>
      </c>
      <c r="T188" s="681" t="str">
        <f>+IF(JULIO!T188=0,"",JULIO!T188)</f>
        <v>COHAN</v>
      </c>
      <c r="U188" s="27">
        <f>+ENERO!U188</f>
        <v>0</v>
      </c>
      <c r="V188" s="15">
        <f>JULIO!V188+AGOSTO!AL188</f>
        <v>3093668</v>
      </c>
      <c r="W188" s="15">
        <f>JULIO!W188+AGOSTO!AM188</f>
        <v>0</v>
      </c>
      <c r="X188" s="18">
        <f>SUM(U188:W188)</f>
        <v>3093668</v>
      </c>
      <c r="Y188" s="19">
        <f>JULIO!AA188</f>
        <v>3093668</v>
      </c>
      <c r="Z188" s="374">
        <v>0</v>
      </c>
      <c r="AA188" s="18">
        <f>SUM(Y188:Z188)</f>
        <v>3093668</v>
      </c>
      <c r="AB188" s="19">
        <f>JULIO!AD188</f>
        <v>3093668</v>
      </c>
      <c r="AC188" s="374">
        <v>0</v>
      </c>
      <c r="AD188" s="18">
        <f>SUM(AB188:AC188)</f>
        <v>3093668</v>
      </c>
      <c r="AE188" s="19">
        <f>JULIO!AG188</f>
        <v>0</v>
      </c>
      <c r="AF188" s="374">
        <v>0</v>
      </c>
      <c r="AG188" s="18">
        <f>SUM(AE188:AF188)</f>
        <v>0</v>
      </c>
      <c r="AH188" s="19">
        <f>X188-AA188</f>
        <v>0</v>
      </c>
      <c r="AI188" s="15">
        <f>X188-AD188</f>
        <v>0</v>
      </c>
      <c r="AJ188" s="16">
        <f>X188-AG188</f>
        <v>3093668</v>
      </c>
      <c r="AK188" s="9"/>
      <c r="AL188" s="372">
        <v>0</v>
      </c>
      <c r="AM188" s="375">
        <v>0</v>
      </c>
      <c r="AN188" s="9"/>
    </row>
    <row r="189" spans="1:40" s="382" customFormat="1" ht="24.95" customHeight="1">
      <c r="A189" s="752"/>
      <c r="B189" s="661"/>
      <c r="N189" s="9"/>
      <c r="P189" s="9"/>
      <c r="Q189" s="9"/>
      <c r="R189" s="9"/>
      <c r="S189" s="706" t="str">
        <f>+IF(JULIO!S189=0,"",JULIO!S189)</f>
        <v>3300200-2</v>
      </c>
      <c r="T189" s="681" t="str">
        <f>+IF(JULIO!T189=0,"",JULIO!T189)</f>
        <v>AESA</v>
      </c>
      <c r="U189" s="27">
        <f>+ENERO!U189</f>
        <v>0</v>
      </c>
      <c r="V189" s="15">
        <f>JULIO!V189+AGOSTO!AL189</f>
        <v>0</v>
      </c>
      <c r="W189" s="15">
        <f>JULIO!W189+AGOSTO!AM189</f>
        <v>2950868</v>
      </c>
      <c r="X189" s="18">
        <f>SUM(U189:W189)</f>
        <v>2950868</v>
      </c>
      <c r="Y189" s="19">
        <f>JULIO!AA189</f>
        <v>2950868</v>
      </c>
      <c r="Z189" s="374">
        <v>0</v>
      </c>
      <c r="AA189" s="18">
        <f>SUM(Y189:Z189)</f>
        <v>2950868</v>
      </c>
      <c r="AB189" s="19">
        <f>JULIO!AD189</f>
        <v>2655781</v>
      </c>
      <c r="AC189" s="374">
        <v>0</v>
      </c>
      <c r="AD189" s="18">
        <f>SUM(AB189:AC189)</f>
        <v>2655781</v>
      </c>
      <c r="AE189" s="19">
        <f>JULIO!AG189</f>
        <v>2655781</v>
      </c>
      <c r="AF189" s="374">
        <v>0</v>
      </c>
      <c r="AG189" s="18">
        <f>SUM(AE189:AF189)</f>
        <v>2655781</v>
      </c>
      <c r="AH189" s="19">
        <f>X189-AA189</f>
        <v>0</v>
      </c>
      <c r="AI189" s="15">
        <f>X189-AD189</f>
        <v>295087</v>
      </c>
      <c r="AJ189" s="16">
        <f>X189-AG189</f>
        <v>295087</v>
      </c>
      <c r="AK189" s="9"/>
      <c r="AL189" s="372">
        <v>0</v>
      </c>
      <c r="AM189" s="375">
        <v>0</v>
      </c>
      <c r="AN189" s="9"/>
    </row>
    <row r="190" spans="1:40" s="382" customFormat="1" ht="24.95" customHeight="1">
      <c r="A190" s="752"/>
      <c r="B190" s="661"/>
      <c r="N190" s="9"/>
      <c r="P190" s="9"/>
      <c r="Q190" s="9"/>
      <c r="R190" s="9"/>
      <c r="S190" s="706" t="str">
        <f>+IF(JULIO!S190=0,"",JULIO!S190)</f>
        <v>3300200-3</v>
      </c>
      <c r="T190" s="681" t="str">
        <f>+IF(JULIO!T190=0,"",JULIO!T190)</f>
        <v xml:space="preserve">OTRAS </v>
      </c>
      <c r="U190" s="27">
        <f>+ENERO!U190</f>
        <v>0</v>
      </c>
      <c r="V190" s="15">
        <f>JULIO!V190+AGOSTO!AL190</f>
        <v>0</v>
      </c>
      <c r="W190" s="15">
        <f>JULIO!W190+AGOSTO!AM190</f>
        <v>0</v>
      </c>
      <c r="X190" s="18">
        <f>SUM(U190:W190)</f>
        <v>0</v>
      </c>
      <c r="Y190" s="19">
        <f>JULIO!AA190</f>
        <v>0</v>
      </c>
      <c r="Z190" s="374">
        <v>0</v>
      </c>
      <c r="AA190" s="18">
        <f>SUM(Y190:Z190)</f>
        <v>0</v>
      </c>
      <c r="AB190" s="19">
        <f>JULIO!AD190</f>
        <v>0</v>
      </c>
      <c r="AC190" s="374">
        <v>0</v>
      </c>
      <c r="AD190" s="18">
        <f>SUM(AB190:AC190)</f>
        <v>0</v>
      </c>
      <c r="AE190" s="19">
        <f>JULIO!AG190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2"/>
      <c r="B191" s="661"/>
      <c r="N191" s="9"/>
      <c r="P191" s="9"/>
      <c r="Q191" s="9"/>
      <c r="R191" s="9"/>
      <c r="S191" s="705">
        <f>+IF(JULIO!S191=0,"",JULIO!S191)</f>
        <v>3399999</v>
      </c>
      <c r="T191" s="681" t="str">
        <f>+IF(JULIO!T191=0,"",JULIO!T191)</f>
        <v>Vigencias Anteriores</v>
      </c>
      <c r="U191" s="27">
        <f>+ENERO!U191</f>
        <v>0</v>
      </c>
      <c r="V191" s="15">
        <f>JULIO!V191+AGOSTO!AL191</f>
        <v>0</v>
      </c>
      <c r="W191" s="15">
        <f>JULIO!W191+AGOSTO!AM191</f>
        <v>0</v>
      </c>
      <c r="X191" s="18">
        <f>SUM(U191:W191)</f>
        <v>0</v>
      </c>
      <c r="Y191" s="19">
        <f>JULIO!AA191</f>
        <v>0</v>
      </c>
      <c r="Z191" s="374">
        <v>0</v>
      </c>
      <c r="AA191" s="18">
        <f>SUM(Y191:Z191)</f>
        <v>0</v>
      </c>
      <c r="AB191" s="19">
        <f>JULIO!AD191</f>
        <v>0</v>
      </c>
      <c r="AC191" s="374">
        <v>0</v>
      </c>
      <c r="AD191" s="18">
        <f>SUM(AB191:AC191)</f>
        <v>0</v>
      </c>
      <c r="AE191" s="19">
        <f>JULIO!AG191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2"/>
      <c r="B192" s="661"/>
      <c r="N192" s="9"/>
      <c r="P192" s="9"/>
      <c r="Q192" s="9"/>
      <c r="R192" s="9"/>
      <c r="S192" s="805"/>
      <c r="T192" s="806"/>
      <c r="U192" s="188"/>
      <c r="V192" s="807"/>
      <c r="W192" s="807"/>
      <c r="X192" s="807"/>
      <c r="Y192" s="807"/>
      <c r="Z192" s="808"/>
      <c r="AA192" s="807"/>
      <c r="AB192" s="807"/>
      <c r="AC192" s="808"/>
      <c r="AD192" s="807"/>
      <c r="AE192" s="807"/>
      <c r="AF192" s="808"/>
      <c r="AG192" s="807"/>
      <c r="AH192" s="807"/>
      <c r="AI192" s="807"/>
      <c r="AJ192" s="173"/>
      <c r="AK192" s="9"/>
      <c r="AL192" s="809"/>
      <c r="AM192" s="810"/>
      <c r="AN192" s="9"/>
    </row>
    <row r="193" spans="1:40" s="382" customFormat="1" ht="40.5" customHeight="1">
      <c r="A193" s="752"/>
      <c r="B193" s="661"/>
      <c r="N193" s="9"/>
      <c r="P193" s="9"/>
      <c r="Q193" s="9"/>
      <c r="R193" s="9"/>
      <c r="S193" s="493" t="s">
        <v>325</v>
      </c>
      <c r="T193" s="689" t="s">
        <v>581</v>
      </c>
      <c r="U193" s="470">
        <f>U195+U209</f>
        <v>14750406346</v>
      </c>
      <c r="V193" s="471">
        <f t="shared" ref="V193:AJ193" si="173">V195+V209</f>
        <v>320612226</v>
      </c>
      <c r="W193" s="471">
        <f t="shared" si="173"/>
        <v>3133980076</v>
      </c>
      <c r="X193" s="380">
        <f t="shared" si="173"/>
        <v>18204998648</v>
      </c>
      <c r="Y193" s="379">
        <f t="shared" si="173"/>
        <v>11470378259</v>
      </c>
      <c r="Z193" s="494">
        <f t="shared" si="173"/>
        <v>827786008</v>
      </c>
      <c r="AA193" s="380">
        <f t="shared" si="173"/>
        <v>12298164267</v>
      </c>
      <c r="AB193" s="470">
        <f t="shared" si="173"/>
        <v>9888469201</v>
      </c>
      <c r="AC193" s="494">
        <f t="shared" si="173"/>
        <v>1106572836</v>
      </c>
      <c r="AD193" s="472">
        <f t="shared" si="173"/>
        <v>10995042037</v>
      </c>
      <c r="AE193" s="379">
        <f t="shared" si="173"/>
        <v>4832500791</v>
      </c>
      <c r="AF193" s="494">
        <f t="shared" si="173"/>
        <v>512250017</v>
      </c>
      <c r="AG193" s="380">
        <f t="shared" si="173"/>
        <v>5344750808</v>
      </c>
      <c r="AH193" s="379">
        <f t="shared" si="173"/>
        <v>5906834381</v>
      </c>
      <c r="AI193" s="471">
        <f t="shared" si="173"/>
        <v>7209956611</v>
      </c>
      <c r="AJ193" s="380">
        <f t="shared" si="173"/>
        <v>12860247840</v>
      </c>
      <c r="AK193" s="9"/>
      <c r="AL193" s="379">
        <f t="shared" ref="AL193:AM193" si="174">AL195+AL209</f>
        <v>-11900000</v>
      </c>
      <c r="AM193" s="380">
        <f t="shared" si="174"/>
        <v>350000000</v>
      </c>
      <c r="AN193" s="9"/>
    </row>
    <row r="194" spans="1:40" s="382" customFormat="1" ht="24.95" customHeight="1">
      <c r="A194" s="752"/>
      <c r="B194" s="661"/>
      <c r="N194" s="9"/>
      <c r="P194" s="9"/>
      <c r="Q194" s="9"/>
      <c r="R194" s="9"/>
      <c r="S194" s="366" t="str">
        <f>+IF(JULIO!S194=0,"",JULIO!S194)</f>
        <v/>
      </c>
      <c r="T194" s="695"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2"/>
      <c r="B195" s="661"/>
      <c r="N195" s="9"/>
      <c r="P195" s="9"/>
      <c r="Q195" s="9"/>
      <c r="R195" s="9"/>
      <c r="S195" s="703">
        <f>+IF(JULIO!S195=0,"",JULIO!S195)</f>
        <v>4000000</v>
      </c>
      <c r="T195" s="685" t="str">
        <f>+IF(JULIO!T195=0,"",JULIO!T195)</f>
        <v>GASTOS  DE PRESTACION DE SERVICIOS</v>
      </c>
      <c r="U195" s="470">
        <f t="shared" ref="U195:AJ195" si="175">U196</f>
        <v>14750406346</v>
      </c>
      <c r="V195" s="471">
        <f t="shared" si="175"/>
        <v>320612226</v>
      </c>
      <c r="W195" s="471">
        <f t="shared" si="175"/>
        <v>3133980076</v>
      </c>
      <c r="X195" s="472">
        <f t="shared" si="175"/>
        <v>18204998648</v>
      </c>
      <c r="Y195" s="379">
        <f t="shared" si="175"/>
        <v>11470378259</v>
      </c>
      <c r="Z195" s="471">
        <f t="shared" si="175"/>
        <v>827786008</v>
      </c>
      <c r="AA195" s="472">
        <f t="shared" si="175"/>
        <v>12298164267</v>
      </c>
      <c r="AB195" s="379">
        <f t="shared" si="175"/>
        <v>9888469201</v>
      </c>
      <c r="AC195" s="471">
        <f t="shared" si="175"/>
        <v>1106572836</v>
      </c>
      <c r="AD195" s="472">
        <f t="shared" si="175"/>
        <v>10995042037</v>
      </c>
      <c r="AE195" s="379">
        <f t="shared" si="175"/>
        <v>4832500791</v>
      </c>
      <c r="AF195" s="471">
        <f t="shared" si="175"/>
        <v>512250017</v>
      </c>
      <c r="AG195" s="472">
        <f t="shared" si="175"/>
        <v>5344750808</v>
      </c>
      <c r="AH195" s="379">
        <f t="shared" si="175"/>
        <v>5906834381</v>
      </c>
      <c r="AI195" s="471">
        <f t="shared" si="175"/>
        <v>7209956611</v>
      </c>
      <c r="AJ195" s="380">
        <f t="shared" si="175"/>
        <v>12860247840</v>
      </c>
      <c r="AK195" s="9"/>
      <c r="AL195" s="128">
        <f>AL196</f>
        <v>-11900000</v>
      </c>
      <c r="AM195" s="130">
        <f>AM196</f>
        <v>350000000</v>
      </c>
      <c r="AN195" s="9"/>
    </row>
    <row r="196" spans="1:40" s="382" customFormat="1" ht="24.95" customHeight="1">
      <c r="A196" s="752"/>
      <c r="B196" s="661"/>
      <c r="N196" s="9"/>
      <c r="P196" s="9"/>
      <c r="Q196" s="9"/>
      <c r="R196" s="9"/>
      <c r="S196" s="704">
        <f>+IF(JULIO!S196=0,"",JULIO!S196)</f>
        <v>4100000</v>
      </c>
      <c r="T196" s="680" t="str">
        <f>+IF(JULIO!T196=0,"",JULIO!T196)</f>
        <v>Insumos y Suministros Hospitalarios</v>
      </c>
      <c r="U196" s="132">
        <f t="shared" ref="U196:AJ196" si="176">U197+U205+U207</f>
        <v>14750406346</v>
      </c>
      <c r="V196" s="122">
        <f t="shared" si="176"/>
        <v>320612226</v>
      </c>
      <c r="W196" s="122">
        <f t="shared" si="176"/>
        <v>3133980076</v>
      </c>
      <c r="X196" s="129">
        <f t="shared" si="176"/>
        <v>18204998648</v>
      </c>
      <c r="Y196" s="128">
        <f t="shared" si="176"/>
        <v>11470378259</v>
      </c>
      <c r="Z196" s="122">
        <f t="shared" si="176"/>
        <v>827786008</v>
      </c>
      <c r="AA196" s="129">
        <f t="shared" si="176"/>
        <v>12298164267</v>
      </c>
      <c r="AB196" s="128">
        <f t="shared" si="176"/>
        <v>9888469201</v>
      </c>
      <c r="AC196" s="122">
        <f t="shared" si="176"/>
        <v>1106572836</v>
      </c>
      <c r="AD196" s="129">
        <f t="shared" si="176"/>
        <v>10995042037</v>
      </c>
      <c r="AE196" s="128">
        <f t="shared" si="176"/>
        <v>4832500791</v>
      </c>
      <c r="AF196" s="122">
        <f t="shared" si="176"/>
        <v>512250017</v>
      </c>
      <c r="AG196" s="129">
        <f t="shared" si="176"/>
        <v>5344750808</v>
      </c>
      <c r="AH196" s="128">
        <f t="shared" si="176"/>
        <v>5906834381</v>
      </c>
      <c r="AI196" s="122">
        <f t="shared" si="176"/>
        <v>7209956611</v>
      </c>
      <c r="AJ196" s="130">
        <f t="shared" si="176"/>
        <v>12860247840</v>
      </c>
      <c r="AK196" s="10"/>
      <c r="AL196" s="128">
        <f>AL197+AL205+AL207</f>
        <v>-11900000</v>
      </c>
      <c r="AM196" s="130">
        <f>AM197+AM205+AM207</f>
        <v>350000000</v>
      </c>
      <c r="AN196" s="9"/>
    </row>
    <row r="197" spans="1:40" s="382" customFormat="1" ht="24.95" customHeight="1">
      <c r="A197" s="752"/>
      <c r="B197" s="661"/>
      <c r="N197" s="9"/>
      <c r="P197" s="9"/>
      <c r="Q197" s="9"/>
      <c r="R197" s="9"/>
      <c r="S197" s="705">
        <f>+IF(JULIO!S197=0,"",JULIO!S197)</f>
        <v>4100100</v>
      </c>
      <c r="T197" s="681" t="str">
        <f>+IF(JULIO!T197=0,"",JULIO!T197)</f>
        <v>Compra de Bienes para la Prestacion de servicios</v>
      </c>
      <c r="U197" s="27">
        <f t="shared" ref="U197:AJ197" si="177">SUM(U198:U204)</f>
        <v>13250406346</v>
      </c>
      <c r="V197" s="15">
        <f t="shared" si="177"/>
        <v>-27000000</v>
      </c>
      <c r="W197" s="15">
        <f t="shared" si="177"/>
        <v>125236928</v>
      </c>
      <c r="X197" s="18">
        <f t="shared" si="177"/>
        <v>13348643274</v>
      </c>
      <c r="Y197" s="19">
        <f t="shared" si="177"/>
        <v>7574995847</v>
      </c>
      <c r="Z197" s="142">
        <f t="shared" si="177"/>
        <v>791201133</v>
      </c>
      <c r="AA197" s="18">
        <f t="shared" si="177"/>
        <v>8366196980</v>
      </c>
      <c r="AB197" s="19">
        <f t="shared" si="177"/>
        <v>6247767217</v>
      </c>
      <c r="AC197" s="142">
        <f t="shared" si="177"/>
        <v>941106134</v>
      </c>
      <c r="AD197" s="18">
        <f t="shared" si="177"/>
        <v>7188873351</v>
      </c>
      <c r="AE197" s="19">
        <f t="shared" si="177"/>
        <v>2050913776</v>
      </c>
      <c r="AF197" s="142">
        <f t="shared" si="177"/>
        <v>475665142</v>
      </c>
      <c r="AG197" s="18">
        <f t="shared" si="177"/>
        <v>2526578918</v>
      </c>
      <c r="AH197" s="19">
        <f t="shared" si="177"/>
        <v>4982446294</v>
      </c>
      <c r="AI197" s="15">
        <f t="shared" si="177"/>
        <v>6159769923</v>
      </c>
      <c r="AJ197" s="16">
        <f t="shared" si="177"/>
        <v>10822064356</v>
      </c>
      <c r="AK197" s="9"/>
      <c r="AL197" s="29">
        <f>SUM(AL198:AL204)</f>
        <v>0</v>
      </c>
      <c r="AM197" s="26">
        <f>SUM(AM198:AM204)</f>
        <v>0</v>
      </c>
      <c r="AN197" s="9"/>
    </row>
    <row r="198" spans="1:40" s="382" customFormat="1" ht="24.95" customHeight="1">
      <c r="A198" s="752"/>
      <c r="B198" s="661"/>
      <c r="N198" s="9"/>
      <c r="P198" s="9"/>
      <c r="Q198" s="9"/>
      <c r="R198" s="9"/>
      <c r="S198" s="706" t="str">
        <f>+IF(JULIO!S198=0,"",JULIO!S198)</f>
        <v>4100100-1</v>
      </c>
      <c r="T198" s="682" t="str">
        <f>+IF(JULIO!T198=0,"",JULIO!T198)</f>
        <v>Productos Farmaceuticos</v>
      </c>
      <c r="U198" s="27">
        <f>+ENERO!U198</f>
        <v>6473158346</v>
      </c>
      <c r="V198" s="15">
        <f>JULIO!V198+AGOSTO!AL198</f>
        <v>-27000000</v>
      </c>
      <c r="W198" s="15">
        <f>JULIO!W198+AGOSTO!AM198</f>
        <v>0</v>
      </c>
      <c r="X198" s="18">
        <f t="shared" ref="X198:X204" si="178">SUM(U198:W198)</f>
        <v>6446158346</v>
      </c>
      <c r="Y198" s="19">
        <f>JULIO!AA198</f>
        <v>2667554517</v>
      </c>
      <c r="Z198" s="374">
        <v>244508581</v>
      </c>
      <c r="AA198" s="18">
        <f t="shared" ref="AA198:AA204" si="179">SUM(Y198:Z198)</f>
        <v>2912063098</v>
      </c>
      <c r="AB198" s="19">
        <f>JULIO!AD198</f>
        <v>2245757202</v>
      </c>
      <c r="AC198" s="374">
        <v>254672196</v>
      </c>
      <c r="AD198" s="18">
        <f t="shared" ref="AD198:AD204" si="180">SUM(AB198:AC198)</f>
        <v>2500429398</v>
      </c>
      <c r="AE198" s="19">
        <f>JULIO!AG198</f>
        <v>802177745</v>
      </c>
      <c r="AF198" s="374">
        <v>242817900</v>
      </c>
      <c r="AG198" s="18">
        <f t="shared" ref="AG198:AG204" si="181">SUM(AE198:AF198)</f>
        <v>1044995645</v>
      </c>
      <c r="AH198" s="19">
        <f t="shared" ref="AH198:AH204" si="182">X198-AA198</f>
        <v>3534095248</v>
      </c>
      <c r="AI198" s="15">
        <f t="shared" ref="AI198:AI204" si="183">X198-AD198</f>
        <v>3945728948</v>
      </c>
      <c r="AJ198" s="16">
        <f t="shared" ref="AJ198:AJ204" si="184">X198-AG198</f>
        <v>5401162701</v>
      </c>
      <c r="AK198" s="9"/>
      <c r="AL198" s="372">
        <v>0</v>
      </c>
      <c r="AM198" s="375">
        <v>0</v>
      </c>
      <c r="AN198" s="9"/>
    </row>
    <row r="199" spans="1:40" s="382" customFormat="1" ht="24.95" customHeight="1">
      <c r="A199" s="752"/>
      <c r="B199" s="661"/>
      <c r="N199" s="9"/>
      <c r="P199" s="9"/>
      <c r="Q199" s="9"/>
      <c r="R199" s="9"/>
      <c r="S199" s="706" t="str">
        <f>+IF(JULIO!S199=0,"",JULIO!S199)</f>
        <v>4100100-2</v>
      </c>
      <c r="T199" s="682" t="str">
        <f>+IF(JULIO!T199=0,"",JULIO!T199)</f>
        <v>Material Médico Quirúrgico</v>
      </c>
      <c r="U199" s="27">
        <f>+ENERO!U199</f>
        <v>4177248000</v>
      </c>
      <c r="V199" s="15">
        <f>JULIO!V199+AGOSTO!AL199</f>
        <v>0</v>
      </c>
      <c r="W199" s="15">
        <f>JULIO!W199+AGOSTO!AM199</f>
        <v>125236928</v>
      </c>
      <c r="X199" s="18">
        <f t="shared" si="178"/>
        <v>4302484928</v>
      </c>
      <c r="Y199" s="19">
        <f>JULIO!AA199</f>
        <v>3051411480</v>
      </c>
      <c r="Z199" s="374">
        <v>364666943</v>
      </c>
      <c r="AA199" s="18">
        <f t="shared" si="179"/>
        <v>3416078423</v>
      </c>
      <c r="AB199" s="19">
        <f>JULIO!AD199</f>
        <v>2850166400</v>
      </c>
      <c r="AC199" s="374">
        <v>357802711</v>
      </c>
      <c r="AD199" s="18">
        <f t="shared" si="180"/>
        <v>3207969111</v>
      </c>
      <c r="AE199" s="19">
        <f>JULIO!AG199</f>
        <v>845289638</v>
      </c>
      <c r="AF199" s="374">
        <v>166596510</v>
      </c>
      <c r="AG199" s="18">
        <f t="shared" si="181"/>
        <v>1011886148</v>
      </c>
      <c r="AH199" s="19">
        <f t="shared" si="182"/>
        <v>886406505</v>
      </c>
      <c r="AI199" s="15">
        <f t="shared" si="183"/>
        <v>1094515817</v>
      </c>
      <c r="AJ199" s="16">
        <f t="shared" si="184"/>
        <v>3290598780</v>
      </c>
      <c r="AK199" s="9"/>
      <c r="AL199" s="372">
        <v>0</v>
      </c>
      <c r="AM199" s="375">
        <v>0</v>
      </c>
      <c r="AN199" s="9"/>
    </row>
    <row r="200" spans="1:40" s="382" customFormat="1" ht="24.95" customHeight="1">
      <c r="A200" s="752"/>
      <c r="B200" s="661"/>
      <c r="N200" s="9"/>
      <c r="P200" s="9"/>
      <c r="Q200" s="9"/>
      <c r="R200" s="9"/>
      <c r="S200" s="706" t="str">
        <f>+IF(JULIO!S200=0,"",JULIO!S200)</f>
        <v>4100100-3</v>
      </c>
      <c r="T200" s="682" t="str">
        <f>+IF(JULIO!T200=0,"",JULIO!T200)</f>
        <v>Material de Laboratorio</v>
      </c>
      <c r="U200" s="27">
        <f>+ENERO!U200</f>
        <v>1300000000</v>
      </c>
      <c r="V200" s="15">
        <f>JULIO!V200+AGOSTO!AL200</f>
        <v>300000000</v>
      </c>
      <c r="W200" s="15">
        <f>JULIO!W200+AGOSTO!AM200</f>
        <v>0</v>
      </c>
      <c r="X200" s="18">
        <f t="shared" si="178"/>
        <v>1600000000</v>
      </c>
      <c r="Y200" s="19">
        <f>JULIO!AA200</f>
        <v>1272566934</v>
      </c>
      <c r="Z200" s="374">
        <v>182025609</v>
      </c>
      <c r="AA200" s="18">
        <f t="shared" si="179"/>
        <v>1454592543</v>
      </c>
      <c r="AB200" s="19">
        <f>JULIO!AD200</f>
        <v>810384970</v>
      </c>
      <c r="AC200" s="374">
        <v>264339888</v>
      </c>
      <c r="AD200" s="18">
        <f t="shared" si="180"/>
        <v>1074724858</v>
      </c>
      <c r="AE200" s="19">
        <f>JULIO!AG200</f>
        <v>282837001</v>
      </c>
      <c r="AF200" s="374">
        <v>66250732</v>
      </c>
      <c r="AG200" s="18">
        <f t="shared" si="181"/>
        <v>349087733</v>
      </c>
      <c r="AH200" s="19">
        <f t="shared" si="182"/>
        <v>145407457</v>
      </c>
      <c r="AI200" s="15">
        <f t="shared" si="183"/>
        <v>525275142</v>
      </c>
      <c r="AJ200" s="16">
        <f t="shared" si="184"/>
        <v>1250912267</v>
      </c>
      <c r="AK200" s="9"/>
      <c r="AL200" s="372">
        <v>200000000</v>
      </c>
      <c r="AM200" s="375">
        <v>0</v>
      </c>
      <c r="AN200" s="9"/>
    </row>
    <row r="201" spans="1:40" s="382" customFormat="1" ht="24.95" customHeight="1">
      <c r="A201" s="752"/>
      <c r="B201" s="661"/>
      <c r="N201" s="9"/>
      <c r="P201" s="9"/>
      <c r="Q201" s="9"/>
      <c r="R201" s="9"/>
      <c r="S201" s="706" t="str">
        <f>+IF(JULIO!S201=0,"",JULIO!S201)</f>
        <v>4100100-4</v>
      </c>
      <c r="T201" s="682" t="str">
        <f>+IF(JULIO!T201=0,"",JULIO!T201)</f>
        <v>Material para Odontologia</v>
      </c>
      <c r="U201" s="27">
        <f>+ENERO!U201</f>
        <v>0</v>
      </c>
      <c r="V201" s="15">
        <f>JULIO!V201+AGOSTO!AL201</f>
        <v>0</v>
      </c>
      <c r="W201" s="15">
        <f>JULIO!W201+AGOSTO!AM201</f>
        <v>0</v>
      </c>
      <c r="X201" s="18">
        <f t="shared" si="178"/>
        <v>0</v>
      </c>
      <c r="Y201" s="19">
        <f>JULIO!AA201</f>
        <v>0</v>
      </c>
      <c r="Z201" s="374">
        <v>0</v>
      </c>
      <c r="AA201" s="18">
        <f t="shared" si="179"/>
        <v>0</v>
      </c>
      <c r="AB201" s="19">
        <f>JULIO!AD201</f>
        <v>0</v>
      </c>
      <c r="AC201" s="374">
        <v>0</v>
      </c>
      <c r="AD201" s="18">
        <f t="shared" si="180"/>
        <v>0</v>
      </c>
      <c r="AE201" s="19">
        <f>JULIO!AG201</f>
        <v>0</v>
      </c>
      <c r="AF201" s="374">
        <v>0</v>
      </c>
      <c r="AG201" s="18">
        <f t="shared" si="181"/>
        <v>0</v>
      </c>
      <c r="AH201" s="19">
        <f t="shared" si="182"/>
        <v>0</v>
      </c>
      <c r="AI201" s="15">
        <f t="shared" si="183"/>
        <v>0</v>
      </c>
      <c r="AJ201" s="16">
        <f t="shared" si="184"/>
        <v>0</v>
      </c>
      <c r="AK201" s="9"/>
      <c r="AL201" s="372">
        <v>0</v>
      </c>
      <c r="AM201" s="375">
        <v>0</v>
      </c>
      <c r="AN201" s="9"/>
    </row>
    <row r="202" spans="1:40" s="382" customFormat="1" ht="24.95" customHeight="1">
      <c r="A202" s="752"/>
      <c r="B202" s="661"/>
      <c r="N202" s="9"/>
      <c r="P202" s="9"/>
      <c r="Q202" s="9"/>
      <c r="R202" s="9"/>
      <c r="S202" s="706" t="str">
        <f>+IF(JULIO!S202=0,"",JULIO!S202)</f>
        <v>4100100-5</v>
      </c>
      <c r="T202" s="682" t="str">
        <f>+IF(JULIO!T202=0,"",JULIO!T202)</f>
        <v>Material para Rayos X</v>
      </c>
      <c r="U202" s="27">
        <f>+ENERO!U202</f>
        <v>1300000000</v>
      </c>
      <c r="V202" s="15">
        <f>JULIO!V202+AGOSTO!AL202</f>
        <v>-300000000</v>
      </c>
      <c r="W202" s="15">
        <f>JULIO!W202+AGOSTO!AM202</f>
        <v>0</v>
      </c>
      <c r="X202" s="18">
        <f t="shared" si="178"/>
        <v>1000000000</v>
      </c>
      <c r="Y202" s="19">
        <f>JULIO!AA202</f>
        <v>583462916</v>
      </c>
      <c r="Z202" s="374">
        <v>0</v>
      </c>
      <c r="AA202" s="18">
        <f t="shared" si="179"/>
        <v>583462916</v>
      </c>
      <c r="AB202" s="19">
        <f>JULIO!AD202</f>
        <v>341458645</v>
      </c>
      <c r="AC202" s="374">
        <v>64291339</v>
      </c>
      <c r="AD202" s="18">
        <f t="shared" si="180"/>
        <v>405749984</v>
      </c>
      <c r="AE202" s="19">
        <f>JULIO!AG202</f>
        <v>120609392</v>
      </c>
      <c r="AF202" s="374">
        <v>0</v>
      </c>
      <c r="AG202" s="18">
        <f t="shared" si="181"/>
        <v>120609392</v>
      </c>
      <c r="AH202" s="19">
        <f t="shared" si="182"/>
        <v>416537084</v>
      </c>
      <c r="AI202" s="15">
        <f t="shared" si="183"/>
        <v>594250016</v>
      </c>
      <c r="AJ202" s="16">
        <f t="shared" si="184"/>
        <v>879390608</v>
      </c>
      <c r="AK202" s="9"/>
      <c r="AL202" s="372">
        <v>-200000000</v>
      </c>
      <c r="AM202" s="375">
        <v>0</v>
      </c>
      <c r="AN202" s="9"/>
    </row>
    <row r="203" spans="1:40" s="382" customFormat="1" ht="24.95" customHeight="1">
      <c r="A203" s="752"/>
      <c r="B203" s="661"/>
      <c r="N203" s="9"/>
      <c r="P203" s="9"/>
      <c r="Q203" s="9"/>
      <c r="R203" s="9"/>
      <c r="S203" s="706" t="str">
        <f>+IF(JULIO!S203=0,"",JULIO!S203)</f>
        <v/>
      </c>
      <c r="T203" s="682" t="str">
        <f>+IF(JULIO!T203=0,"",JULIO!T203)</f>
        <v/>
      </c>
      <c r="U203" s="27">
        <f>+ENERO!U203</f>
        <v>0</v>
      </c>
      <c r="V203" s="15">
        <f>JULIO!V203+AGOSTO!AL203</f>
        <v>0</v>
      </c>
      <c r="W203" s="15">
        <f>JULIO!W203+AGOSTO!AM203</f>
        <v>0</v>
      </c>
      <c r="X203" s="18">
        <f t="shared" si="178"/>
        <v>0</v>
      </c>
      <c r="Y203" s="19">
        <f>JULIO!AA203</f>
        <v>0</v>
      </c>
      <c r="Z203" s="374">
        <v>0</v>
      </c>
      <c r="AA203" s="18">
        <f t="shared" si="179"/>
        <v>0</v>
      </c>
      <c r="AB203" s="19">
        <f>JULIO!AD203</f>
        <v>0</v>
      </c>
      <c r="AC203" s="374">
        <v>0</v>
      </c>
      <c r="AD203" s="18">
        <f t="shared" si="180"/>
        <v>0</v>
      </c>
      <c r="AE203" s="19">
        <f>JULIO!AG203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2"/>
      <c r="B204" s="661"/>
      <c r="N204" s="9"/>
      <c r="P204" s="9"/>
      <c r="Q204" s="9"/>
      <c r="R204" s="9"/>
      <c r="S204" s="706" t="str">
        <f>+IF(JULIO!S204=0,"",JULIO!S204)</f>
        <v/>
      </c>
      <c r="T204" s="682" t="str">
        <f>+IF(JULIO!T204=0,"",JULIO!T204)</f>
        <v/>
      </c>
      <c r="U204" s="27">
        <f>+ENERO!U204</f>
        <v>0</v>
      </c>
      <c r="V204" s="15">
        <f>JULIO!V204+AGOSTO!AL204</f>
        <v>0</v>
      </c>
      <c r="W204" s="15">
        <f>JULIO!W204+AGOSTO!AM204</f>
        <v>0</v>
      </c>
      <c r="X204" s="18">
        <f t="shared" si="178"/>
        <v>0</v>
      </c>
      <c r="Y204" s="19">
        <f>JULIO!AA204</f>
        <v>0</v>
      </c>
      <c r="Z204" s="374">
        <v>0</v>
      </c>
      <c r="AA204" s="18">
        <f t="shared" si="179"/>
        <v>0</v>
      </c>
      <c r="AB204" s="19">
        <f>JULIO!AD204</f>
        <v>0</v>
      </c>
      <c r="AC204" s="374">
        <v>0</v>
      </c>
      <c r="AD204" s="18">
        <f t="shared" si="180"/>
        <v>0</v>
      </c>
      <c r="AE204" s="19">
        <f>JULIO!AG204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2"/>
      <c r="B205" s="661"/>
      <c r="N205" s="9"/>
      <c r="P205" s="9"/>
      <c r="Q205" s="9"/>
      <c r="R205" s="9"/>
      <c r="S205" s="705">
        <f>+IF(JULIO!S205=0,"",JULIO!S205)</f>
        <v>4100200</v>
      </c>
      <c r="T205" s="681" t="str">
        <f>+IF(JULIO!T205=0,"",JULIO!T205)</f>
        <v>Gastos Complementarios e Intermedios</v>
      </c>
      <c r="U205" s="27">
        <f t="shared" ref="U205:AJ205" si="185">U206</f>
        <v>1500000000</v>
      </c>
      <c r="V205" s="15">
        <f t="shared" si="185"/>
        <v>0</v>
      </c>
      <c r="W205" s="15">
        <f t="shared" si="185"/>
        <v>343424341</v>
      </c>
      <c r="X205" s="18">
        <f t="shared" si="185"/>
        <v>1843424341</v>
      </c>
      <c r="Y205" s="19">
        <f t="shared" si="185"/>
        <v>1220551379</v>
      </c>
      <c r="Z205" s="142">
        <f t="shared" si="185"/>
        <v>0</v>
      </c>
      <c r="AA205" s="18">
        <f t="shared" si="185"/>
        <v>1220551379</v>
      </c>
      <c r="AB205" s="19">
        <f t="shared" si="185"/>
        <v>965870951</v>
      </c>
      <c r="AC205" s="142">
        <f t="shared" si="185"/>
        <v>128881827</v>
      </c>
      <c r="AD205" s="18">
        <f t="shared" si="185"/>
        <v>1094752778</v>
      </c>
      <c r="AE205" s="19">
        <f t="shared" si="185"/>
        <v>124669982</v>
      </c>
      <c r="AF205" s="142">
        <f t="shared" si="185"/>
        <v>0</v>
      </c>
      <c r="AG205" s="18">
        <f t="shared" si="185"/>
        <v>124669982</v>
      </c>
      <c r="AH205" s="19">
        <f t="shared" si="185"/>
        <v>622872962</v>
      </c>
      <c r="AI205" s="15">
        <f t="shared" si="185"/>
        <v>748671563</v>
      </c>
      <c r="AJ205" s="16">
        <f t="shared" si="185"/>
        <v>1718754359</v>
      </c>
      <c r="AK205" s="9"/>
      <c r="AL205" s="29">
        <f>AL206</f>
        <v>0</v>
      </c>
      <c r="AM205" s="26">
        <f>AM206</f>
        <v>0</v>
      </c>
      <c r="AN205" s="9"/>
    </row>
    <row r="206" spans="1:40" s="382" customFormat="1" ht="24.95" customHeight="1">
      <c r="A206" s="752"/>
      <c r="B206" s="661"/>
      <c r="N206" s="9"/>
      <c r="P206" s="9"/>
      <c r="Q206" s="9"/>
      <c r="R206" s="9"/>
      <c r="S206" s="706" t="str">
        <f>+IF(JULIO!S206=0,"",JULIO!S206)</f>
        <v>4100200-1</v>
      </c>
      <c r="T206" s="682" t="str">
        <f>+IF(JULIO!T206=0,"",JULIO!T206)</f>
        <v>Alimentación</v>
      </c>
      <c r="U206" s="27">
        <f>+ENERO!U206</f>
        <v>1500000000</v>
      </c>
      <c r="V206" s="15">
        <f>JULIO!V206+AGOSTO!AL206</f>
        <v>0</v>
      </c>
      <c r="W206" s="15">
        <f>JULIO!W206+AGOSTO!AM206</f>
        <v>343424341</v>
      </c>
      <c r="X206" s="18">
        <f>SUM(U206:W206)</f>
        <v>1843424341</v>
      </c>
      <c r="Y206" s="19">
        <f>JULIO!AA206</f>
        <v>1220551379</v>
      </c>
      <c r="Z206" s="374">
        <v>0</v>
      </c>
      <c r="AA206" s="18">
        <f>SUM(Y206:Z206)</f>
        <v>1220551379</v>
      </c>
      <c r="AB206" s="19">
        <f>JULIO!AD206</f>
        <v>965870951</v>
      </c>
      <c r="AC206" s="374">
        <v>128881827</v>
      </c>
      <c r="AD206" s="18">
        <f>SUM(AB206:AC206)</f>
        <v>1094752778</v>
      </c>
      <c r="AE206" s="19">
        <f>JULIO!AG206</f>
        <v>124669982</v>
      </c>
      <c r="AF206" s="374">
        <v>0</v>
      </c>
      <c r="AG206" s="18">
        <f>SUM(AE206:AF206)</f>
        <v>124669982</v>
      </c>
      <c r="AH206" s="19">
        <f>X206-AA206</f>
        <v>622872962</v>
      </c>
      <c r="AI206" s="15">
        <f>X206-AD206</f>
        <v>748671563</v>
      </c>
      <c r="AJ206" s="16">
        <f>X206-AG206</f>
        <v>1718754359</v>
      </c>
      <c r="AK206" s="9"/>
      <c r="AL206" s="372">
        <v>0</v>
      </c>
      <c r="AM206" s="375">
        <v>0</v>
      </c>
      <c r="AN206" s="9"/>
    </row>
    <row r="207" spans="1:40" s="382" customFormat="1" ht="24.95" customHeight="1" thickBot="1">
      <c r="A207" s="752"/>
      <c r="B207" s="661"/>
      <c r="N207" s="9"/>
      <c r="P207" s="9"/>
      <c r="Q207" s="9"/>
      <c r="R207" s="9"/>
      <c r="S207" s="710">
        <f>+IF(JULIO!S207=0,"",JULIO!S207)</f>
        <v>4199999</v>
      </c>
      <c r="T207" s="687" t="str">
        <f>+IF(JULIO!T207=0,"",JULIO!T207)</f>
        <v>Vigencias Anteriores</v>
      </c>
      <c r="U207" s="133">
        <f>+ENERO!U207</f>
        <v>0</v>
      </c>
      <c r="V207" s="121">
        <f>JULIO!V207+AGOSTO!AL207</f>
        <v>347612226</v>
      </c>
      <c r="W207" s="121">
        <f>JULIO!W207+AGOSTO!AM207</f>
        <v>2665318807</v>
      </c>
      <c r="X207" s="126">
        <f>SUM(U207:W207)</f>
        <v>3012931033</v>
      </c>
      <c r="Y207" s="124">
        <f>JULIO!AA207</f>
        <v>2674831033</v>
      </c>
      <c r="Z207" s="388">
        <v>36584875</v>
      </c>
      <c r="AA207" s="126">
        <f>SUM(Y207:Z207)</f>
        <v>2711415908</v>
      </c>
      <c r="AB207" s="124">
        <f>JULIO!AD207</f>
        <v>2674831033</v>
      </c>
      <c r="AC207" s="388">
        <v>36584875</v>
      </c>
      <c r="AD207" s="126">
        <f>SUM(AB207:AC207)</f>
        <v>2711415908</v>
      </c>
      <c r="AE207" s="124">
        <f>JULIO!AG207</f>
        <v>2656917033</v>
      </c>
      <c r="AF207" s="388">
        <v>36584875</v>
      </c>
      <c r="AG207" s="126">
        <f>SUM(AE207:AF207)</f>
        <v>2693501908</v>
      </c>
      <c r="AH207" s="124">
        <f>X207-AA207</f>
        <v>301515125</v>
      </c>
      <c r="AI207" s="121">
        <f>X207-AD207</f>
        <v>301515125</v>
      </c>
      <c r="AJ207" s="125">
        <f>X207-AG207</f>
        <v>319429125</v>
      </c>
      <c r="AK207" s="9"/>
      <c r="AL207" s="384">
        <v>-11900000</v>
      </c>
      <c r="AM207" s="389">
        <v>350000000</v>
      </c>
      <c r="AN207" s="9"/>
    </row>
    <row r="208" spans="1:40" s="382" customFormat="1" ht="24.95" customHeight="1">
      <c r="A208" s="752"/>
      <c r="B208" s="661"/>
      <c r="N208" s="9"/>
      <c r="P208" s="9"/>
      <c r="Q208" s="9"/>
      <c r="R208" s="9"/>
      <c r="S208" s="489" t="str">
        <f>+IF(JULIO!S208=0,"",JULIO!S208)</f>
        <v/>
      </c>
      <c r="T208" s="688" t="str">
        <f>+IF(JULIO!T208=0,"",JULIO!T208)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2"/>
      <c r="B209" s="661"/>
      <c r="N209" s="9"/>
      <c r="P209" s="9"/>
      <c r="Q209" s="9"/>
      <c r="R209" s="9"/>
      <c r="S209" s="703">
        <f>+IF(JULIO!S209=0,"",JULIO!S209)</f>
        <v>5000000</v>
      </c>
      <c r="T209" s="727" t="str">
        <f>+IF(JULIO!T209=0,"",JULIO!T209)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2"/>
      <c r="B210" s="661"/>
      <c r="N210" s="9"/>
      <c r="P210" s="9"/>
      <c r="Q210" s="9"/>
      <c r="R210" s="9"/>
      <c r="S210" s="704">
        <f>+IF(JULIO!S210=0,"",JULIO!S210)</f>
        <v>5100000</v>
      </c>
      <c r="T210" s="680" t="str">
        <f>+IF(JULIO!T210=0,"",JULIO!T210)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2"/>
      <c r="B211" s="661"/>
      <c r="N211" s="9"/>
      <c r="P211" s="9"/>
      <c r="Q211" s="9"/>
      <c r="R211" s="9"/>
      <c r="S211" s="705">
        <f>+IF(JULIO!S211=0,"",JULIO!S211)</f>
        <v>5100100</v>
      </c>
      <c r="T211" s="681" t="str">
        <f>+IF(JULIO!T211=0,"",JULIO!T211)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2"/>
      <c r="B212" s="661"/>
      <c r="N212" s="9"/>
      <c r="P212" s="9"/>
      <c r="Q212" s="9"/>
      <c r="R212" s="9"/>
      <c r="S212" s="706" t="str">
        <f>+IF(JULIO!S212=0,"",JULIO!S212)</f>
        <v>5100100-1</v>
      </c>
      <c r="T212" s="682" t="str">
        <f>+IF(JULIO!T212=0,"",JULIO!T212)</f>
        <v>Productos Farmaceuticos</v>
      </c>
      <c r="U212" s="27">
        <f>+ENERO!U212</f>
        <v>0</v>
      </c>
      <c r="V212" s="15">
        <f>JULIO!V212+AGOSTO!AL212</f>
        <v>0</v>
      </c>
      <c r="W212" s="15">
        <f>JULIO!W212+AGOSTO!AM212</f>
        <v>0</v>
      </c>
      <c r="X212" s="18">
        <f t="shared" ref="X212:X218" si="189">SUM(U212:W212)</f>
        <v>0</v>
      </c>
      <c r="Y212" s="19">
        <f>JULIO!AA212</f>
        <v>0</v>
      </c>
      <c r="Z212" s="374">
        <v>0</v>
      </c>
      <c r="AA212" s="18">
        <f t="shared" ref="AA212:AA218" si="190">SUM(Y212:Z212)</f>
        <v>0</v>
      </c>
      <c r="AB212" s="19">
        <f>JULIO!AD212</f>
        <v>0</v>
      </c>
      <c r="AC212" s="374">
        <v>0</v>
      </c>
      <c r="AD212" s="18">
        <f t="shared" ref="AD212:AD218" si="191">SUM(AB212:AC212)</f>
        <v>0</v>
      </c>
      <c r="AE212" s="19">
        <f>JULIO!AG212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2"/>
      <c r="B213" s="661"/>
      <c r="N213" s="9"/>
      <c r="P213" s="9"/>
      <c r="Q213" s="9"/>
      <c r="R213" s="9"/>
      <c r="S213" s="706" t="str">
        <f>+IF(JULIO!S213=0,"",JULIO!S213)</f>
        <v>5100100-2</v>
      </c>
      <c r="T213" s="682" t="str">
        <f>+IF(JULIO!T213=0,"",JULIO!T213)</f>
        <v>Material Médico Quirúrgico</v>
      </c>
      <c r="U213" s="27">
        <f>+ENERO!U213</f>
        <v>0</v>
      </c>
      <c r="V213" s="15">
        <f>JULIO!V213+AGOSTO!AL213</f>
        <v>0</v>
      </c>
      <c r="W213" s="15">
        <f>JULIO!W213+AGOSTO!AM213</f>
        <v>0</v>
      </c>
      <c r="X213" s="18">
        <f t="shared" si="189"/>
        <v>0</v>
      </c>
      <c r="Y213" s="19">
        <f>JULIO!AA213</f>
        <v>0</v>
      </c>
      <c r="Z213" s="374">
        <v>0</v>
      </c>
      <c r="AA213" s="18">
        <f t="shared" si="190"/>
        <v>0</v>
      </c>
      <c r="AB213" s="19">
        <f>JULIO!AD213</f>
        <v>0</v>
      </c>
      <c r="AC213" s="374">
        <v>0</v>
      </c>
      <c r="AD213" s="18">
        <f t="shared" si="191"/>
        <v>0</v>
      </c>
      <c r="AE213" s="19">
        <f>JULIO!AG213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2"/>
      <c r="B214" s="661"/>
      <c r="N214" s="9"/>
      <c r="P214" s="9"/>
      <c r="Q214" s="9"/>
      <c r="R214" s="9"/>
      <c r="S214" s="706" t="str">
        <f>+IF(JULIO!S214=0,"",JULIO!S214)</f>
        <v>5100100-3</v>
      </c>
      <c r="T214" s="682" t="str">
        <f>+IF(JULIO!T214=0,"",JULIO!T214)</f>
        <v>Material de Laboratorio</v>
      </c>
      <c r="U214" s="27">
        <f>+ENERO!U214</f>
        <v>0</v>
      </c>
      <c r="V214" s="15">
        <f>JULIO!V214+AGOSTO!AL214</f>
        <v>0</v>
      </c>
      <c r="W214" s="15">
        <f>JULIO!W214+AGOSTO!AM214</f>
        <v>0</v>
      </c>
      <c r="X214" s="18">
        <f t="shared" si="189"/>
        <v>0</v>
      </c>
      <c r="Y214" s="19">
        <f>JULIO!AA214</f>
        <v>0</v>
      </c>
      <c r="Z214" s="374">
        <v>0</v>
      </c>
      <c r="AA214" s="18">
        <f t="shared" si="190"/>
        <v>0</v>
      </c>
      <c r="AB214" s="19">
        <f>JULIO!AD214</f>
        <v>0</v>
      </c>
      <c r="AC214" s="374">
        <v>0</v>
      </c>
      <c r="AD214" s="18">
        <f t="shared" si="191"/>
        <v>0</v>
      </c>
      <c r="AE214" s="19">
        <f>JULIO!AG214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2"/>
      <c r="B215" s="661"/>
      <c r="N215" s="9"/>
      <c r="P215" s="9"/>
      <c r="Q215" s="9"/>
      <c r="R215" s="9"/>
      <c r="S215" s="706" t="str">
        <f>+IF(JULIO!S215=0,"",JULIO!S215)</f>
        <v>5100100-4</v>
      </c>
      <c r="T215" s="682" t="str">
        <f>+IF(JULIO!T215=0,"",JULIO!T215)</f>
        <v>Material para Odontologia</v>
      </c>
      <c r="U215" s="27">
        <f>+ENERO!U215</f>
        <v>0</v>
      </c>
      <c r="V215" s="15">
        <f>JULIO!V215+AGOSTO!AL215</f>
        <v>0</v>
      </c>
      <c r="W215" s="15">
        <f>JULIO!W215+AGOSTO!AM215</f>
        <v>0</v>
      </c>
      <c r="X215" s="18">
        <f t="shared" si="189"/>
        <v>0</v>
      </c>
      <c r="Y215" s="19">
        <f>JULIO!AA215</f>
        <v>0</v>
      </c>
      <c r="Z215" s="374">
        <v>0</v>
      </c>
      <c r="AA215" s="18">
        <f t="shared" si="190"/>
        <v>0</v>
      </c>
      <c r="AB215" s="19">
        <f>JULIO!AD215</f>
        <v>0</v>
      </c>
      <c r="AC215" s="374">
        <v>0</v>
      </c>
      <c r="AD215" s="18">
        <f t="shared" si="191"/>
        <v>0</v>
      </c>
      <c r="AE215" s="19">
        <f>JULIO!AG215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2"/>
      <c r="B216" s="661"/>
      <c r="N216" s="9"/>
      <c r="P216" s="9"/>
      <c r="Q216" s="9"/>
      <c r="R216" s="9"/>
      <c r="S216" s="706" t="str">
        <f>+IF(JULIO!S216=0,"",JULIO!S216)</f>
        <v>5100100-5</v>
      </c>
      <c r="T216" s="682" t="str">
        <f>+IF(JULIO!T216=0,"",JULIO!T216)</f>
        <v>Material para Rayos X</v>
      </c>
      <c r="U216" s="27">
        <f>+ENERO!U216</f>
        <v>0</v>
      </c>
      <c r="V216" s="15">
        <f>JULIO!V216+AGOSTO!AL216</f>
        <v>0</v>
      </c>
      <c r="W216" s="15">
        <f>JULIO!W216+AGOSTO!AM216</f>
        <v>0</v>
      </c>
      <c r="X216" s="18">
        <f t="shared" si="189"/>
        <v>0</v>
      </c>
      <c r="Y216" s="19">
        <f>JULIO!AA216</f>
        <v>0</v>
      </c>
      <c r="Z216" s="374">
        <v>0</v>
      </c>
      <c r="AA216" s="18">
        <f t="shared" si="190"/>
        <v>0</v>
      </c>
      <c r="AB216" s="19">
        <f>JULIO!AD216</f>
        <v>0</v>
      </c>
      <c r="AC216" s="374">
        <v>0</v>
      </c>
      <c r="AD216" s="18">
        <f t="shared" si="191"/>
        <v>0</v>
      </c>
      <c r="AE216" s="19">
        <f>JULIO!AG216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2"/>
      <c r="B217" s="661"/>
      <c r="N217" s="9"/>
      <c r="P217" s="9"/>
      <c r="Q217" s="9"/>
      <c r="R217" s="9"/>
      <c r="S217" s="706" t="str">
        <f>+IF(JULIO!S217=0,"",JULIO!S217)</f>
        <v>5100100-6</v>
      </c>
      <c r="T217" s="682" t="str">
        <f>+IF(JULIO!T217=0,"",JULIO!T217)</f>
        <v>Material aseo personal, etc.</v>
      </c>
      <c r="U217" s="27">
        <f>+ENERO!U217</f>
        <v>0</v>
      </c>
      <c r="V217" s="15">
        <f>JULIO!V217+AGOSTO!AL217</f>
        <v>0</v>
      </c>
      <c r="W217" s="15">
        <f>JULIO!W217+AGOSTO!AM217</f>
        <v>0</v>
      </c>
      <c r="X217" s="18">
        <f t="shared" si="189"/>
        <v>0</v>
      </c>
      <c r="Y217" s="19">
        <f>JULIO!AA217</f>
        <v>0</v>
      </c>
      <c r="Z217" s="374">
        <v>0</v>
      </c>
      <c r="AA217" s="18">
        <f t="shared" si="190"/>
        <v>0</v>
      </c>
      <c r="AB217" s="19">
        <f>JULIO!AD217</f>
        <v>0</v>
      </c>
      <c r="AC217" s="374">
        <v>0</v>
      </c>
      <c r="AD217" s="18">
        <f t="shared" si="191"/>
        <v>0</v>
      </c>
      <c r="AE217" s="19">
        <f>JULIO!AG217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2"/>
      <c r="B218" s="661"/>
      <c r="N218" s="9"/>
      <c r="P218" s="9"/>
      <c r="Q218" s="9"/>
      <c r="R218" s="9"/>
      <c r="S218" s="717">
        <f>+IF(JULIO!S218=0,"",JULIO!S218)</f>
        <v>5199999</v>
      </c>
      <c r="T218" s="697" t="str">
        <f>+IF(JULIO!T218=0,"",JULIO!T218)</f>
        <v>Vigencias Anteriores</v>
      </c>
      <c r="U218" s="133">
        <f>+ENERO!U218</f>
        <v>0</v>
      </c>
      <c r="V218" s="121">
        <f>JULIO!V218+AGOSTO!AL218</f>
        <v>0</v>
      </c>
      <c r="W218" s="121">
        <f>JULIO!W218+AGOSTO!AM218</f>
        <v>0</v>
      </c>
      <c r="X218" s="126">
        <f t="shared" si="189"/>
        <v>0</v>
      </c>
      <c r="Y218" s="124">
        <f>JULIO!AA218</f>
        <v>0</v>
      </c>
      <c r="Z218" s="388">
        <v>0</v>
      </c>
      <c r="AA218" s="126">
        <f t="shared" si="190"/>
        <v>0</v>
      </c>
      <c r="AB218" s="124">
        <f>JULIO!AD218</f>
        <v>0</v>
      </c>
      <c r="AC218" s="388">
        <v>0</v>
      </c>
      <c r="AD218" s="126">
        <f t="shared" si="191"/>
        <v>0</v>
      </c>
      <c r="AE218" s="124">
        <f>JULIO!AG218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2"/>
      <c r="B219" s="661"/>
      <c r="N219" s="9"/>
      <c r="P219" s="9"/>
      <c r="Q219" s="9"/>
      <c r="R219" s="9"/>
      <c r="S219" s="495" t="str">
        <f>+IF(JULIO!S219=0,"",JULIO!S219)</f>
        <v/>
      </c>
      <c r="T219" s="694" t="str">
        <f>+IF(JULIO!T219=0,"",JULIO!T219)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2"/>
      <c r="B220" s="661"/>
      <c r="N220" s="9"/>
      <c r="P220" s="9"/>
      <c r="Q220" s="9"/>
      <c r="R220" s="9"/>
      <c r="S220" s="357" t="str">
        <f>+IF(JULIO!S220=0,"",JULIO!S220)</f>
        <v>C</v>
      </c>
      <c r="T220" s="676" t="str">
        <f>+IF(JULIO!T220=0,"",JULIO!T220)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2"/>
      <c r="B221" s="661"/>
      <c r="N221" s="9"/>
      <c r="P221" s="9"/>
      <c r="Q221" s="9"/>
      <c r="R221" s="9"/>
      <c r="S221" s="366" t="str">
        <f>+IF(JULIO!S221=0,"",JULIO!S221)</f>
        <v/>
      </c>
      <c r="T221" s="695"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2"/>
      <c r="B222" s="661"/>
      <c r="N222" s="9"/>
      <c r="P222" s="9"/>
      <c r="Q222" s="9"/>
      <c r="R222" s="9"/>
      <c r="S222" s="704">
        <f>+IF(JULIO!S222=0,"",JULIO!S222)</f>
        <v>7001000</v>
      </c>
      <c r="T222" s="680" t="str">
        <f>+IF(JULIO!T222=0,"",JULIO!T222)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2"/>
      <c r="B223" s="661"/>
      <c r="N223" s="9"/>
      <c r="P223" s="9"/>
      <c r="Q223" s="9"/>
      <c r="R223" s="9"/>
      <c r="S223" s="705">
        <f>+IF(JULIO!S223=0,"",JULIO!S223)</f>
        <v>7001100</v>
      </c>
      <c r="T223" s="681" t="str">
        <f>+IF(JULIO!T223=0,"",JULIO!T223)</f>
        <v>Amortización deuda Pública Interna</v>
      </c>
      <c r="U223" s="27">
        <f>+ENERO!U223</f>
        <v>0</v>
      </c>
      <c r="V223" s="15">
        <f>JULIO!V223+AGOSTO!AL223</f>
        <v>0</v>
      </c>
      <c r="W223" s="15">
        <f>JULIO!W223+AGOSTO!AM223</f>
        <v>0</v>
      </c>
      <c r="X223" s="18">
        <f>SUM(U223:W223)</f>
        <v>0</v>
      </c>
      <c r="Y223" s="19">
        <f>JULIO!AA223</f>
        <v>0</v>
      </c>
      <c r="Z223" s="374">
        <v>0</v>
      </c>
      <c r="AA223" s="18">
        <f>SUM(Y223:Z223)</f>
        <v>0</v>
      </c>
      <c r="AB223" s="19">
        <f>JULIO!AD223</f>
        <v>0</v>
      </c>
      <c r="AC223" s="374">
        <v>0</v>
      </c>
      <c r="AD223" s="18">
        <f>SUM(AB223:AC223)</f>
        <v>0</v>
      </c>
      <c r="AE223" s="19">
        <f>JULIO!AG223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2"/>
      <c r="B224" s="661"/>
      <c r="N224" s="9"/>
      <c r="P224" s="9"/>
      <c r="Q224" s="9"/>
      <c r="R224" s="9"/>
      <c r="S224" s="705">
        <f>+IF(JULIO!S224=0,"",JULIO!S224)</f>
        <v>7001200</v>
      </c>
      <c r="T224" s="681" t="str">
        <f>+IF(JULIO!T224=0,"",JULIO!T224)</f>
        <v>Intereses Comisiones y gastos de la Deuda Pública</v>
      </c>
      <c r="U224" s="27">
        <f>+ENERO!U224</f>
        <v>0</v>
      </c>
      <c r="V224" s="15">
        <f>JULIO!V224+AGOSTO!AL224</f>
        <v>0</v>
      </c>
      <c r="W224" s="15">
        <f>JULIO!W224+AGOSTO!AM224</f>
        <v>0</v>
      </c>
      <c r="X224" s="18">
        <f>SUM(U224:W224)</f>
        <v>0</v>
      </c>
      <c r="Y224" s="19">
        <f>JULIO!AA224</f>
        <v>0</v>
      </c>
      <c r="Z224" s="374">
        <v>0</v>
      </c>
      <c r="AA224" s="18">
        <f>SUM(Y224:Z224)</f>
        <v>0</v>
      </c>
      <c r="AB224" s="19">
        <f>JULIO!AD224</f>
        <v>0</v>
      </c>
      <c r="AC224" s="374">
        <v>0</v>
      </c>
      <c r="AD224" s="18">
        <f>SUM(AB224:AC224)</f>
        <v>0</v>
      </c>
      <c r="AE224" s="19">
        <f>JULIO!AG224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2"/>
      <c r="B225" s="661"/>
      <c r="N225" s="9"/>
      <c r="P225" s="9"/>
      <c r="Q225" s="9"/>
      <c r="R225" s="9"/>
      <c r="S225" s="705">
        <f>+IF(JULIO!S225=0,"",JULIO!S225)</f>
        <v>7001999</v>
      </c>
      <c r="T225" s="681" t="str">
        <f>+IF(JULIO!T225=0,"",JULIO!T225)</f>
        <v>Vigencias Anteriores</v>
      </c>
      <c r="U225" s="27">
        <f>+ENERO!U225</f>
        <v>0</v>
      </c>
      <c r="V225" s="15">
        <f>JULIO!V225+AGOSTO!AL225</f>
        <v>0</v>
      </c>
      <c r="W225" s="15">
        <f>JULIO!W225+AGOSTO!AM225</f>
        <v>0</v>
      </c>
      <c r="X225" s="18">
        <f>SUM(U225:W225)</f>
        <v>0</v>
      </c>
      <c r="Y225" s="19">
        <f>JULIO!AA225</f>
        <v>0</v>
      </c>
      <c r="Z225" s="374">
        <v>0</v>
      </c>
      <c r="AA225" s="18">
        <f>SUM(Y225:Z225)</f>
        <v>0</v>
      </c>
      <c r="AB225" s="19">
        <f>JULIO!AD225</f>
        <v>0</v>
      </c>
      <c r="AC225" s="374">
        <v>0</v>
      </c>
      <c r="AD225" s="18">
        <f>SUM(AB225:AC225)</f>
        <v>0</v>
      </c>
      <c r="AE225" s="19">
        <f>JULIO!AG225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2"/>
      <c r="B226" s="661"/>
      <c r="N226" s="9"/>
      <c r="P226" s="9"/>
      <c r="Q226" s="9"/>
      <c r="R226" s="9"/>
      <c r="S226" s="366" t="str">
        <f>+IF(JULIO!S226=0,"",JULIO!S226)</f>
        <v/>
      </c>
      <c r="T226" s="695"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2"/>
      <c r="B227" s="661"/>
      <c r="N227" s="9"/>
      <c r="P227" s="9"/>
      <c r="Q227" s="9"/>
      <c r="R227" s="9"/>
      <c r="S227" s="704">
        <f>+IF(JULIO!S227=0,"",JULIO!S227)</f>
        <v>7002001</v>
      </c>
      <c r="T227" s="680" t="str">
        <f>+IF(JULIO!T227=0,"",JULIO!T227)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2"/>
      <c r="B228" s="661"/>
      <c r="N228" s="9"/>
      <c r="P228" s="9"/>
      <c r="Q228" s="9"/>
      <c r="R228" s="9"/>
      <c r="S228" s="705">
        <f>+IF(JULIO!S228=0,"",JULIO!S228)</f>
        <v>7002100</v>
      </c>
      <c r="T228" s="681" t="str">
        <f>+IF(JULIO!T228=0,"",JULIO!T228)</f>
        <v>Amortización deuda Pública Externa</v>
      </c>
      <c r="U228" s="27">
        <f>+ENERO!U228</f>
        <v>0</v>
      </c>
      <c r="V228" s="15">
        <f>JULIO!V228+AGOSTO!AL228</f>
        <v>0</v>
      </c>
      <c r="W228" s="15">
        <f>JULIO!W228+AGOSTO!AM228</f>
        <v>0</v>
      </c>
      <c r="X228" s="18">
        <f>SUM(U228:W228)</f>
        <v>0</v>
      </c>
      <c r="Y228" s="19">
        <f>JULIO!AA228</f>
        <v>0</v>
      </c>
      <c r="Z228" s="374">
        <v>0</v>
      </c>
      <c r="AA228" s="18">
        <f>SUM(Y228:Z228)</f>
        <v>0</v>
      </c>
      <c r="AB228" s="19">
        <f>JULIO!AD228</f>
        <v>0</v>
      </c>
      <c r="AC228" s="374">
        <v>0</v>
      </c>
      <c r="AD228" s="18">
        <f>SUM(AB228:AC228)</f>
        <v>0</v>
      </c>
      <c r="AE228" s="19">
        <f>JULIO!AG228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2"/>
      <c r="B229" s="661"/>
      <c r="N229" s="9"/>
      <c r="P229" s="9"/>
      <c r="Q229" s="9"/>
      <c r="R229" s="9"/>
      <c r="S229" s="705">
        <f>+IF(JULIO!S229=0,"",JULIO!S229)</f>
        <v>7002200</v>
      </c>
      <c r="T229" s="681" t="str">
        <f>+IF(JULIO!T229=0,"",JULIO!T229)</f>
        <v>Intereses Comisiones y gastos de la Deuda Pública</v>
      </c>
      <c r="U229" s="27">
        <f>+ENERO!U229</f>
        <v>0</v>
      </c>
      <c r="V229" s="15">
        <f>JULIO!V229+AGOSTO!AL229</f>
        <v>0</v>
      </c>
      <c r="W229" s="15">
        <f>JULIO!W229+AGOSTO!AM229</f>
        <v>0</v>
      </c>
      <c r="X229" s="18">
        <f>SUM(U229:W229)</f>
        <v>0</v>
      </c>
      <c r="Y229" s="19">
        <f>JULIO!AA229</f>
        <v>0</v>
      </c>
      <c r="Z229" s="374">
        <v>0</v>
      </c>
      <c r="AA229" s="18">
        <f>SUM(Y229:Z229)</f>
        <v>0</v>
      </c>
      <c r="AB229" s="19">
        <f>JULIO!AD229</f>
        <v>0</v>
      </c>
      <c r="AC229" s="374">
        <v>0</v>
      </c>
      <c r="AD229" s="18">
        <f>SUM(AB229:AC229)</f>
        <v>0</v>
      </c>
      <c r="AE229" s="19">
        <f>JULIO!AG229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2"/>
      <c r="B230" s="661"/>
      <c r="N230" s="9"/>
      <c r="P230" s="9"/>
      <c r="Q230" s="9"/>
      <c r="R230" s="9"/>
      <c r="S230" s="710">
        <f>+IF(JULIO!S230=0,"",JULIO!S230)</f>
        <v>7002999</v>
      </c>
      <c r="T230" s="687" t="str">
        <f>+IF(JULIO!T230=0,"",JULIO!T230)</f>
        <v>Vigencias Anteriores</v>
      </c>
      <c r="U230" s="133">
        <f>+ENERO!U230</f>
        <v>0</v>
      </c>
      <c r="V230" s="121">
        <f>JULIO!V230+AGOSTO!AL230</f>
        <v>0</v>
      </c>
      <c r="W230" s="121">
        <f>JULIO!W230+AGOSTO!AM230</f>
        <v>0</v>
      </c>
      <c r="X230" s="126">
        <f>SUM(U230:W230)</f>
        <v>0</v>
      </c>
      <c r="Y230" s="124">
        <f>JULIO!AA230</f>
        <v>0</v>
      </c>
      <c r="Z230" s="388">
        <v>0</v>
      </c>
      <c r="AA230" s="126">
        <f>SUM(Y230:Z230)</f>
        <v>0</v>
      </c>
      <c r="AB230" s="124">
        <f>JULIO!AD230</f>
        <v>0</v>
      </c>
      <c r="AC230" s="388">
        <v>0</v>
      </c>
      <c r="AD230" s="126">
        <f>SUM(AB230:AC230)</f>
        <v>0</v>
      </c>
      <c r="AE230" s="124">
        <f>JULIO!AG230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2"/>
      <c r="B231" s="661"/>
      <c r="N231" s="9"/>
      <c r="P231" s="9"/>
      <c r="Q231" s="9"/>
      <c r="R231" s="9"/>
      <c r="S231" s="489" t="str">
        <f>+IF(JULIO!S231=0,"",JULIO!S231)</f>
        <v/>
      </c>
      <c r="T231" s="688" t="str">
        <f>+IF(JULIO!T231=0,"",JULIO!T231)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2"/>
      <c r="B232" s="661"/>
      <c r="N232" s="9"/>
      <c r="P232" s="9"/>
      <c r="Q232" s="9"/>
      <c r="R232" s="9"/>
      <c r="S232" s="505" t="str">
        <f>+IF(JULIO!S232=0,"",JULIO!S232)</f>
        <v>D</v>
      </c>
      <c r="T232" s="696" t="str">
        <f>+IF(JULIO!T232=0,"",JULIO!T232)</f>
        <v>INVERSION</v>
      </c>
      <c r="U232" s="470">
        <f>U234+U243</f>
        <v>0</v>
      </c>
      <c r="V232" s="471">
        <f t="shared" ref="V232:AJ232" si="199">V234+V243</f>
        <v>0</v>
      </c>
      <c r="W232" s="471">
        <f t="shared" si="199"/>
        <v>433878092</v>
      </c>
      <c r="X232" s="472">
        <f t="shared" si="199"/>
        <v>433878092</v>
      </c>
      <c r="Y232" s="379">
        <f t="shared" si="199"/>
        <v>352813794</v>
      </c>
      <c r="Z232" s="471">
        <f t="shared" si="199"/>
        <v>0</v>
      </c>
      <c r="AA232" s="472">
        <f t="shared" si="199"/>
        <v>352813794</v>
      </c>
      <c r="AB232" s="379">
        <f t="shared" si="199"/>
        <v>187405895</v>
      </c>
      <c r="AC232" s="471">
        <f t="shared" si="199"/>
        <v>148867107</v>
      </c>
      <c r="AD232" s="472">
        <f t="shared" si="199"/>
        <v>336273002</v>
      </c>
      <c r="AE232" s="379">
        <f t="shared" si="199"/>
        <v>172740563</v>
      </c>
      <c r="AF232" s="471">
        <f t="shared" si="199"/>
        <v>0</v>
      </c>
      <c r="AG232" s="472">
        <f t="shared" si="199"/>
        <v>172740563</v>
      </c>
      <c r="AH232" s="379">
        <f t="shared" si="199"/>
        <v>81064298</v>
      </c>
      <c r="AI232" s="471">
        <f t="shared" si="199"/>
        <v>97605090</v>
      </c>
      <c r="AJ232" s="380">
        <f t="shared" si="199"/>
        <v>261137529</v>
      </c>
      <c r="AK232" s="500"/>
      <c r="AL232" s="379">
        <f t="shared" ref="AL232:AM232" si="200">AL234+AL243</f>
        <v>0</v>
      </c>
      <c r="AM232" s="380">
        <f t="shared" si="200"/>
        <v>0</v>
      </c>
      <c r="AN232" s="9"/>
    </row>
    <row r="233" spans="1:64" s="382" customFormat="1" ht="24.95" customHeight="1">
      <c r="A233" s="752"/>
      <c r="B233" s="661"/>
      <c r="N233" s="9"/>
      <c r="P233" s="9"/>
      <c r="Q233" s="9"/>
      <c r="R233" s="9"/>
      <c r="S233" s="366" t="str">
        <f>+IF(JULIO!S233=0,"",JULIO!S233)</f>
        <v/>
      </c>
      <c r="T233" s="695"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2"/>
      <c r="B234" s="661"/>
      <c r="N234" s="9"/>
      <c r="P234" s="9"/>
      <c r="Q234" s="9"/>
      <c r="R234" s="9"/>
      <c r="S234" s="704">
        <f>+IF(JULIO!S234=0,"",JULIO!S234)</f>
        <v>8000000</v>
      </c>
      <c r="T234" s="680" t="str">
        <f>+IF(JULIO!T234=0,"",JULIO!T234)</f>
        <v>Programas de Inversión</v>
      </c>
      <c r="U234" s="132">
        <f>U235</f>
        <v>0</v>
      </c>
      <c r="V234" s="122">
        <f t="shared" ref="V234:AJ234" si="201">V235</f>
        <v>0</v>
      </c>
      <c r="W234" s="122">
        <f t="shared" si="201"/>
        <v>380000000</v>
      </c>
      <c r="X234" s="129">
        <f t="shared" si="201"/>
        <v>380000000</v>
      </c>
      <c r="Y234" s="128">
        <f t="shared" si="201"/>
        <v>352813794</v>
      </c>
      <c r="Z234" s="122">
        <f t="shared" si="201"/>
        <v>0</v>
      </c>
      <c r="AA234" s="129">
        <f t="shared" si="201"/>
        <v>352813794</v>
      </c>
      <c r="AB234" s="128">
        <f t="shared" si="201"/>
        <v>187405895</v>
      </c>
      <c r="AC234" s="122">
        <f t="shared" si="201"/>
        <v>148867107</v>
      </c>
      <c r="AD234" s="129">
        <f t="shared" si="201"/>
        <v>336273002</v>
      </c>
      <c r="AE234" s="128">
        <f t="shared" si="201"/>
        <v>172740563</v>
      </c>
      <c r="AF234" s="122">
        <f t="shared" si="201"/>
        <v>0</v>
      </c>
      <c r="AG234" s="129">
        <f t="shared" si="201"/>
        <v>172740563</v>
      </c>
      <c r="AH234" s="128">
        <f t="shared" si="201"/>
        <v>27186206</v>
      </c>
      <c r="AI234" s="122">
        <f t="shared" si="201"/>
        <v>43726998</v>
      </c>
      <c r="AJ234" s="130">
        <f t="shared" si="201"/>
        <v>207259437</v>
      </c>
      <c r="AK234" s="9"/>
      <c r="AL234" s="128">
        <f t="shared" ref="AL234:AM234" si="202">AL235</f>
        <v>0</v>
      </c>
      <c r="AM234" s="130">
        <f t="shared" si="202"/>
        <v>0</v>
      </c>
      <c r="AN234" s="9"/>
    </row>
    <row r="235" spans="1:64" s="382" customFormat="1" ht="24.95" customHeight="1">
      <c r="A235" s="752"/>
      <c r="B235" s="661"/>
      <c r="N235" s="9"/>
      <c r="P235" s="9"/>
      <c r="Q235" s="9"/>
      <c r="R235" s="9"/>
      <c r="S235" s="705">
        <f>+IF(JULIO!S235=0,"",JULIO!S235)</f>
        <v>8001000</v>
      </c>
      <c r="T235" s="681" t="str">
        <f>+IF(JULIO!T235=0,"",JULIO!T235)</f>
        <v>Formación Bruta del Capital</v>
      </c>
      <c r="U235" s="27">
        <f t="shared" ref="U235:AJ235" si="203">SUM(U236:U241)</f>
        <v>0</v>
      </c>
      <c r="V235" s="15">
        <f t="shared" si="203"/>
        <v>0</v>
      </c>
      <c r="W235" s="15">
        <f t="shared" si="203"/>
        <v>380000000</v>
      </c>
      <c r="X235" s="18">
        <f t="shared" si="203"/>
        <v>380000000</v>
      </c>
      <c r="Y235" s="19">
        <f t="shared" si="203"/>
        <v>352813794</v>
      </c>
      <c r="Z235" s="142">
        <f t="shared" si="203"/>
        <v>0</v>
      </c>
      <c r="AA235" s="18">
        <f t="shared" si="203"/>
        <v>352813794</v>
      </c>
      <c r="AB235" s="19">
        <f t="shared" si="203"/>
        <v>187405895</v>
      </c>
      <c r="AC235" s="142">
        <f t="shared" si="203"/>
        <v>148867107</v>
      </c>
      <c r="AD235" s="18">
        <f t="shared" si="203"/>
        <v>336273002</v>
      </c>
      <c r="AE235" s="19">
        <f t="shared" si="203"/>
        <v>172740563</v>
      </c>
      <c r="AF235" s="142">
        <f t="shared" si="203"/>
        <v>0</v>
      </c>
      <c r="AG235" s="18">
        <f t="shared" si="203"/>
        <v>172740563</v>
      </c>
      <c r="AH235" s="19">
        <f t="shared" si="203"/>
        <v>27186206</v>
      </c>
      <c r="AI235" s="15">
        <f t="shared" si="203"/>
        <v>43726998</v>
      </c>
      <c r="AJ235" s="16">
        <f t="shared" si="203"/>
        <v>207259437</v>
      </c>
      <c r="AK235" s="9"/>
      <c r="AL235" s="29">
        <f>SUM(AL236:AL241)</f>
        <v>0</v>
      </c>
      <c r="AM235" s="26">
        <f>SUM(AM236:AM241)</f>
        <v>0</v>
      </c>
      <c r="AN235" s="9"/>
    </row>
    <row r="236" spans="1:64" s="382" customFormat="1" ht="24.95" customHeight="1">
      <c r="A236" s="752"/>
      <c r="B236" s="661"/>
      <c r="N236" s="9"/>
      <c r="P236" s="9"/>
      <c r="Q236" s="9"/>
      <c r="R236" s="9"/>
      <c r="S236" s="706" t="str">
        <f>+IF(JULIO!S236=0,"",JULIO!S236)</f>
        <v>8001000-1</v>
      </c>
      <c r="T236" s="682" t="str">
        <f>+IF(JULIO!T236=0,"",JULIO!T236)</f>
        <v>Subprogr.Construc. Remodelac. Adecuación y Apliac.1</v>
      </c>
      <c r="U236" s="27">
        <f>+ENERO!U236</f>
        <v>0</v>
      </c>
      <c r="V236" s="15">
        <f>JULIO!V236+AGOSTO!AL236</f>
        <v>0</v>
      </c>
      <c r="W236" s="15">
        <f>JULIO!W236+AGOSTO!AM236</f>
        <v>380000000</v>
      </c>
      <c r="X236" s="18">
        <f t="shared" ref="X236:X241" si="204">SUM(U236:W236)</f>
        <v>380000000</v>
      </c>
      <c r="Y236" s="19">
        <f>JULIO!AA236</f>
        <v>352813794</v>
      </c>
      <c r="Z236" s="374">
        <v>0</v>
      </c>
      <c r="AA236" s="18">
        <f t="shared" ref="AA236:AA241" si="205">SUM(Y236:Z236)</f>
        <v>352813794</v>
      </c>
      <c r="AB236" s="19">
        <f>JULIO!AD236</f>
        <v>187405895</v>
      </c>
      <c r="AC236" s="374">
        <v>148867107</v>
      </c>
      <c r="AD236" s="18">
        <f t="shared" ref="AD236:AD241" si="206">SUM(AB236:AC236)</f>
        <v>336273002</v>
      </c>
      <c r="AE236" s="19">
        <f>JULIO!AG236</f>
        <v>172740563</v>
      </c>
      <c r="AF236" s="374">
        <v>0</v>
      </c>
      <c r="AG236" s="18">
        <f t="shared" ref="AG236:AG241" si="207">SUM(AE236:AF236)</f>
        <v>172740563</v>
      </c>
      <c r="AH236" s="19">
        <f t="shared" ref="AH236:AH241" si="208">X236-AA236</f>
        <v>27186206</v>
      </c>
      <c r="AI236" s="15">
        <f t="shared" ref="AI236:AI241" si="209">X236-AD236</f>
        <v>43726998</v>
      </c>
      <c r="AJ236" s="16">
        <f t="shared" ref="AJ236:AJ241" si="210">X236-AG236</f>
        <v>207259437</v>
      </c>
      <c r="AK236" s="9"/>
      <c r="AL236" s="372">
        <v>0</v>
      </c>
      <c r="AM236" s="375">
        <v>0</v>
      </c>
      <c r="AN236" s="9"/>
    </row>
    <row r="237" spans="1:64" s="382" customFormat="1" ht="24.95" customHeight="1">
      <c r="A237" s="752"/>
      <c r="B237" s="661"/>
      <c r="N237" s="9"/>
      <c r="P237" s="9"/>
      <c r="Q237" s="9"/>
      <c r="R237" s="9"/>
      <c r="S237" s="706" t="str">
        <f>+IF(JULIO!S237=0,"",JULIO!S237)</f>
        <v>8001000-2</v>
      </c>
      <c r="T237" s="682" t="str">
        <f>+IF(JULIO!T237=0,"",JULIO!T237)</f>
        <v>Subprogr.Construc. Remodelac. Adecuación y Apliac.2</v>
      </c>
      <c r="U237" s="27">
        <f>+ENERO!U237</f>
        <v>0</v>
      </c>
      <c r="V237" s="15">
        <f>JULIO!V237+AGOSTO!AL237</f>
        <v>0</v>
      </c>
      <c r="W237" s="15">
        <f>JULIO!W237+AGOSTO!AM237</f>
        <v>0</v>
      </c>
      <c r="X237" s="18">
        <f t="shared" si="204"/>
        <v>0</v>
      </c>
      <c r="Y237" s="19">
        <f>JULIO!AA237</f>
        <v>0</v>
      </c>
      <c r="Z237" s="374">
        <v>0</v>
      </c>
      <c r="AA237" s="18">
        <f t="shared" si="205"/>
        <v>0</v>
      </c>
      <c r="AB237" s="19">
        <f>JULIO!AD237</f>
        <v>0</v>
      </c>
      <c r="AC237" s="374">
        <v>0</v>
      </c>
      <c r="AD237" s="18">
        <f t="shared" si="206"/>
        <v>0</v>
      </c>
      <c r="AE237" s="19">
        <f>JULIO!AG237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2"/>
      <c r="B238" s="661"/>
      <c r="N238" s="9"/>
      <c r="P238" s="9"/>
      <c r="Q238" s="9"/>
      <c r="R238" s="9"/>
      <c r="S238" s="706" t="str">
        <f>+IF(JULIO!S238=0,"",JULIO!S238)</f>
        <v>8001000-3</v>
      </c>
      <c r="T238" s="682" t="str">
        <f>+IF(JULIO!T238=0,"",JULIO!T238)</f>
        <v>Subprogr.Construc. Remodelac. Adecuación y Apliac.3</v>
      </c>
      <c r="U238" s="27">
        <f>+ENERO!U238</f>
        <v>0</v>
      </c>
      <c r="V238" s="15">
        <f>JULIO!V238+AGOSTO!AL238</f>
        <v>0</v>
      </c>
      <c r="W238" s="15">
        <f>JULIO!W238+AGOSTO!AM238</f>
        <v>0</v>
      </c>
      <c r="X238" s="18">
        <f t="shared" si="204"/>
        <v>0</v>
      </c>
      <c r="Y238" s="19">
        <f>JULIO!AA238</f>
        <v>0</v>
      </c>
      <c r="Z238" s="374">
        <v>0</v>
      </c>
      <c r="AA238" s="18">
        <f t="shared" si="205"/>
        <v>0</v>
      </c>
      <c r="AB238" s="19">
        <f>JULIO!AD238</f>
        <v>0</v>
      </c>
      <c r="AC238" s="374">
        <v>0</v>
      </c>
      <c r="AD238" s="18">
        <f t="shared" si="206"/>
        <v>0</v>
      </c>
      <c r="AE238" s="19">
        <f>JULIO!AG238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2"/>
      <c r="B239" s="661"/>
      <c r="N239" s="9"/>
      <c r="P239" s="9"/>
      <c r="Q239" s="9"/>
      <c r="S239" s="706" t="str">
        <f>+IF(JULIO!S239=0,"",JULIO!S239)</f>
        <v>8001000-4</v>
      </c>
      <c r="T239" s="682" t="str">
        <f>+IF(JULIO!T239=0,"",JULIO!T239)</f>
        <v>Subprogr.Construc. Remodelac. Adecuación y Apliac.4</v>
      </c>
      <c r="U239" s="27">
        <f>+ENERO!U239</f>
        <v>0</v>
      </c>
      <c r="V239" s="15">
        <f>JULIO!V239+AGOSTO!AL239</f>
        <v>0</v>
      </c>
      <c r="W239" s="15">
        <f>JULIO!W239+AGOSTO!AM239</f>
        <v>0</v>
      </c>
      <c r="X239" s="18">
        <f t="shared" si="204"/>
        <v>0</v>
      </c>
      <c r="Y239" s="19">
        <f>JULIO!AA239</f>
        <v>0</v>
      </c>
      <c r="Z239" s="374">
        <v>0</v>
      </c>
      <c r="AA239" s="18">
        <f t="shared" si="205"/>
        <v>0</v>
      </c>
      <c r="AB239" s="19">
        <f>JULIO!AD239</f>
        <v>0</v>
      </c>
      <c r="AC239" s="374">
        <v>0</v>
      </c>
      <c r="AD239" s="18">
        <f t="shared" si="206"/>
        <v>0</v>
      </c>
      <c r="AE239" s="19">
        <f>JULIO!AG239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2"/>
      <c r="B240" s="661"/>
      <c r="N240" s="9"/>
      <c r="P240" s="9"/>
      <c r="Q240" s="9"/>
      <c r="S240" s="706" t="str">
        <f>+IF(JULIO!S240=0,"",JULIO!S240)</f>
        <v>8001000-7</v>
      </c>
      <c r="T240" s="682" t="str">
        <f>+IF(JULIO!T240=0,"",JULIO!T240)</f>
        <v>Subprogr.Construc. Remodelac. Adecuación y Apliac.5</v>
      </c>
      <c r="U240" s="27">
        <f>+ENERO!U240</f>
        <v>0</v>
      </c>
      <c r="V240" s="15">
        <f>JULIO!V240+AGOSTO!AL240</f>
        <v>0</v>
      </c>
      <c r="W240" s="15">
        <f>JULIO!W240+AGOSTO!AM240</f>
        <v>0</v>
      </c>
      <c r="X240" s="18">
        <f t="shared" si="204"/>
        <v>0</v>
      </c>
      <c r="Y240" s="19">
        <f>JULIO!AA240</f>
        <v>0</v>
      </c>
      <c r="Z240" s="374">
        <v>0</v>
      </c>
      <c r="AA240" s="18">
        <f t="shared" si="205"/>
        <v>0</v>
      </c>
      <c r="AB240" s="19">
        <f>JULIO!AD240</f>
        <v>0</v>
      </c>
      <c r="AC240" s="374">
        <v>0</v>
      </c>
      <c r="AD240" s="18">
        <f t="shared" si="206"/>
        <v>0</v>
      </c>
      <c r="AE240" s="19">
        <f>JULIO!AG240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2"/>
      <c r="B241" s="661"/>
      <c r="C241" s="382"/>
      <c r="D241" s="382"/>
      <c r="E241" s="382"/>
      <c r="F241" s="382"/>
      <c r="G241" s="382"/>
      <c r="H241" s="382"/>
      <c r="I241" s="382"/>
      <c r="J241" s="382"/>
      <c r="K241" s="382"/>
      <c r="L241" s="382"/>
      <c r="M241" s="382"/>
      <c r="N241" s="9"/>
      <c r="O241" s="382"/>
      <c r="P241" s="9"/>
      <c r="Q241" s="9"/>
      <c r="S241" s="716">
        <f>+IF(JULIO!S241=0,"",JULIO!S241)</f>
        <v>8001999</v>
      </c>
      <c r="T241" s="682" t="str">
        <f>+IF(JULIO!T241=0,"",JULIO!T241)</f>
        <v>Vigencias Anteriores</v>
      </c>
      <c r="U241" s="27">
        <f>+ENERO!U241</f>
        <v>0</v>
      </c>
      <c r="V241" s="15">
        <f>JULIO!V241+AGOSTO!AL241</f>
        <v>0</v>
      </c>
      <c r="W241" s="15">
        <f>JULIO!W241+AGOSTO!AM241</f>
        <v>0</v>
      </c>
      <c r="X241" s="18">
        <f t="shared" si="204"/>
        <v>0</v>
      </c>
      <c r="Y241" s="19">
        <f>JULIO!AA241</f>
        <v>0</v>
      </c>
      <c r="Z241" s="374">
        <v>0</v>
      </c>
      <c r="AA241" s="18">
        <f t="shared" si="205"/>
        <v>0</v>
      </c>
      <c r="AB241" s="19">
        <f>JULIO!AD241</f>
        <v>0</v>
      </c>
      <c r="AC241" s="374">
        <v>0</v>
      </c>
      <c r="AD241" s="18">
        <f t="shared" si="206"/>
        <v>0</v>
      </c>
      <c r="AE241" s="19">
        <f>JULIO!AG241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2"/>
      <c r="B242" s="661"/>
      <c r="C242" s="382"/>
      <c r="D242" s="382"/>
      <c r="E242" s="382"/>
      <c r="F242" s="382"/>
      <c r="G242" s="382"/>
      <c r="H242" s="382"/>
      <c r="I242" s="382"/>
      <c r="J242" s="382"/>
      <c r="K242" s="382"/>
      <c r="L242" s="382"/>
      <c r="M242" s="382"/>
      <c r="N242" s="9"/>
      <c r="O242" s="382"/>
      <c r="P242" s="9"/>
      <c r="Q242" s="9"/>
      <c r="S242" s="366" t="str">
        <f>+IF(JULIO!S242=0,"",JULIO!S242)</f>
        <v/>
      </c>
      <c r="T242" s="695"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2"/>
      <c r="B243" s="661"/>
      <c r="C243" s="382"/>
      <c r="D243" s="382"/>
      <c r="E243" s="382"/>
      <c r="F243" s="382"/>
      <c r="G243" s="382"/>
      <c r="H243" s="382"/>
      <c r="I243" s="382"/>
      <c r="J243" s="382"/>
      <c r="K243" s="382"/>
      <c r="L243" s="382"/>
      <c r="M243" s="382"/>
      <c r="N243" s="9"/>
      <c r="O243" s="382"/>
      <c r="P243" s="9"/>
      <c r="Q243" s="9"/>
      <c r="S243" s="704">
        <f>+IF(JULIO!S243=0,"",JULIO!S243)</f>
        <v>8002001</v>
      </c>
      <c r="T243" s="680" t="str">
        <f>+IF(JULIO!T243=0,"",JULIO!T243)</f>
        <v>Gastos Operativos de Inversion   (Programas Especiales)</v>
      </c>
      <c r="U243" s="132">
        <f t="shared" ref="U243:AJ243" si="211">SUM(U244:U256)</f>
        <v>0</v>
      </c>
      <c r="V243" s="122">
        <f t="shared" si="211"/>
        <v>0</v>
      </c>
      <c r="W243" s="122">
        <f t="shared" si="211"/>
        <v>53878092</v>
      </c>
      <c r="X243" s="129">
        <f t="shared" si="211"/>
        <v>53878092</v>
      </c>
      <c r="Y243" s="128">
        <f t="shared" si="211"/>
        <v>0</v>
      </c>
      <c r="Z243" s="122">
        <f t="shared" si="211"/>
        <v>0</v>
      </c>
      <c r="AA243" s="129">
        <f t="shared" si="211"/>
        <v>0</v>
      </c>
      <c r="AB243" s="128">
        <f t="shared" si="211"/>
        <v>0</v>
      </c>
      <c r="AC243" s="122">
        <f t="shared" si="211"/>
        <v>0</v>
      </c>
      <c r="AD243" s="129">
        <f t="shared" si="211"/>
        <v>0</v>
      </c>
      <c r="AE243" s="128">
        <f t="shared" si="211"/>
        <v>0</v>
      </c>
      <c r="AF243" s="122">
        <f t="shared" si="211"/>
        <v>0</v>
      </c>
      <c r="AG243" s="129">
        <f t="shared" si="211"/>
        <v>0</v>
      </c>
      <c r="AH243" s="128">
        <f t="shared" si="211"/>
        <v>53878092</v>
      </c>
      <c r="AI243" s="122">
        <f t="shared" si="211"/>
        <v>53878092</v>
      </c>
      <c r="AJ243" s="130">
        <f t="shared" si="211"/>
        <v>53878092</v>
      </c>
      <c r="AK243" s="9"/>
      <c r="AL243" s="128">
        <f>SUM(AL244:AL256)</f>
        <v>0</v>
      </c>
      <c r="AM243" s="130">
        <f>SUM(AM244:AM256)</f>
        <v>0</v>
      </c>
    </row>
    <row r="244" spans="1:70" ht="24.95" customHeight="1">
      <c r="A244" s="752"/>
      <c r="B244" s="661"/>
      <c r="C244" s="382"/>
      <c r="D244" s="382"/>
      <c r="E244" s="382"/>
      <c r="F244" s="382"/>
      <c r="G244" s="382"/>
      <c r="H244" s="382"/>
      <c r="I244" s="382"/>
      <c r="J244" s="382"/>
      <c r="K244" s="382"/>
      <c r="L244" s="382"/>
      <c r="M244" s="382"/>
      <c r="N244" s="9"/>
      <c r="O244" s="382"/>
      <c r="P244" s="9"/>
      <c r="Q244" s="9"/>
      <c r="S244" s="706" t="str">
        <f>+IF(JULIO!S244=0,"",JULIO!S244)</f>
        <v>8002100-1</v>
      </c>
      <c r="T244" s="682" t="str">
        <f>+IF(JULIO!T244=0,"",JULIO!T244)</f>
        <v>Fondo de la Vivienda</v>
      </c>
      <c r="U244" s="27">
        <f>+ENERO!U244</f>
        <v>0</v>
      </c>
      <c r="V244" s="15">
        <f>JULIO!V244+AGOSTO!AL244</f>
        <v>0</v>
      </c>
      <c r="W244" s="15">
        <f>JULIO!W244+AGOSTO!AM244</f>
        <v>53878092</v>
      </c>
      <c r="X244" s="18">
        <f t="shared" ref="X244:X256" si="212">SUM(U244:W244)</f>
        <v>53878092</v>
      </c>
      <c r="Y244" s="19">
        <f>JULIO!AA244</f>
        <v>0</v>
      </c>
      <c r="Z244" s="374">
        <v>0</v>
      </c>
      <c r="AA244" s="18">
        <f t="shared" ref="AA244:AA256" si="213">SUM(Y244:Z244)</f>
        <v>0</v>
      </c>
      <c r="AB244" s="19">
        <f>JULIO!AD244</f>
        <v>0</v>
      </c>
      <c r="AC244" s="374">
        <v>0</v>
      </c>
      <c r="AD244" s="18">
        <f t="shared" ref="AD244:AD256" si="214">SUM(AB244:AC244)</f>
        <v>0</v>
      </c>
      <c r="AE244" s="19">
        <f>JULIO!AG244</f>
        <v>0</v>
      </c>
      <c r="AF244" s="374">
        <v>0</v>
      </c>
      <c r="AG244" s="18">
        <f t="shared" ref="AG244:AG256" si="215">SUM(AE244:AF244)</f>
        <v>0</v>
      </c>
      <c r="AH244" s="19">
        <f t="shared" ref="AH244:AH256" si="216">X244-AA244</f>
        <v>53878092</v>
      </c>
      <c r="AI244" s="15">
        <f t="shared" ref="AI244:AI256" si="217">X244-AD244</f>
        <v>53878092</v>
      </c>
      <c r="AJ244" s="16">
        <f t="shared" ref="AJ244:AJ256" si="218">X244-AG244</f>
        <v>53878092</v>
      </c>
      <c r="AK244" s="9"/>
      <c r="AL244" s="372">
        <v>0</v>
      </c>
      <c r="AM244" s="375">
        <v>0</v>
      </c>
    </row>
    <row r="245" spans="1:70" ht="24.95" customHeight="1">
      <c r="A245" s="752"/>
      <c r="B245" s="661"/>
      <c r="C245" s="382"/>
      <c r="D245" s="382"/>
      <c r="E245" s="382"/>
      <c r="F245" s="382"/>
      <c r="G245" s="382"/>
      <c r="H245" s="382"/>
      <c r="I245" s="382"/>
      <c r="J245" s="382"/>
      <c r="K245" s="382"/>
      <c r="L245" s="382"/>
      <c r="M245" s="382"/>
      <c r="N245" s="9"/>
      <c r="O245" s="382"/>
      <c r="P245" s="9"/>
      <c r="Q245" s="9"/>
      <c r="S245" s="706" t="str">
        <f>+IF(JULIO!S245=0,"",JULIO!S245)</f>
        <v>8002100-2</v>
      </c>
      <c r="T245" s="682" t="str">
        <f>+IF(JULIO!T245=0,"",JULIO!T245)</f>
        <v>Programas Especial 01</v>
      </c>
      <c r="U245" s="27">
        <f>+ENERO!U245</f>
        <v>0</v>
      </c>
      <c r="V245" s="15">
        <f>JULIO!V245+AGOSTO!AL245</f>
        <v>0</v>
      </c>
      <c r="W245" s="15">
        <f>JULIO!W245+AGOSTO!AM245</f>
        <v>0</v>
      </c>
      <c r="X245" s="18">
        <f t="shared" si="212"/>
        <v>0</v>
      </c>
      <c r="Y245" s="19">
        <f>JULIO!AA245</f>
        <v>0</v>
      </c>
      <c r="Z245" s="374">
        <v>0</v>
      </c>
      <c r="AA245" s="18">
        <f t="shared" si="213"/>
        <v>0</v>
      </c>
      <c r="AB245" s="19">
        <f>JULIO!AD245</f>
        <v>0</v>
      </c>
      <c r="AC245" s="374">
        <v>0</v>
      </c>
      <c r="AD245" s="18">
        <f t="shared" si="214"/>
        <v>0</v>
      </c>
      <c r="AE245" s="19">
        <f>JULIO!AG245</f>
        <v>0</v>
      </c>
      <c r="AF245" s="374">
        <v>0</v>
      </c>
      <c r="AG245" s="18">
        <f t="shared" si="215"/>
        <v>0</v>
      </c>
      <c r="AH245" s="19">
        <f t="shared" si="216"/>
        <v>0</v>
      </c>
      <c r="AI245" s="15">
        <f t="shared" si="217"/>
        <v>0</v>
      </c>
      <c r="AJ245" s="16">
        <f t="shared" si="218"/>
        <v>0</v>
      </c>
      <c r="AK245" s="9"/>
      <c r="AL245" s="372">
        <v>0</v>
      </c>
      <c r="AM245" s="375">
        <v>0</v>
      </c>
    </row>
    <row r="246" spans="1:70" ht="24.95" customHeight="1">
      <c r="A246" s="752"/>
      <c r="B246" s="661"/>
      <c r="C246" s="382"/>
      <c r="D246" s="382"/>
      <c r="E246" s="382"/>
      <c r="F246" s="382"/>
      <c r="G246" s="382"/>
      <c r="H246" s="382"/>
      <c r="I246" s="382"/>
      <c r="J246" s="382"/>
      <c r="K246" s="382"/>
      <c r="L246" s="382"/>
      <c r="M246" s="382"/>
      <c r="N246" s="9"/>
      <c r="O246" s="382"/>
      <c r="P246" s="9"/>
      <c r="Q246" s="9"/>
      <c r="S246" s="706" t="str">
        <f>+IF(JULIO!S246=0,"",JULIO!S246)</f>
        <v>8002100-3</v>
      </c>
      <c r="T246" s="682" t="str">
        <f>+IF(JULIO!T246=0,"",JULIO!T246)</f>
        <v>Programas Especial 02</v>
      </c>
      <c r="U246" s="27">
        <f>+ENERO!U246</f>
        <v>0</v>
      </c>
      <c r="V246" s="15">
        <f>JULIO!V246+AGOSTO!AL246</f>
        <v>0</v>
      </c>
      <c r="W246" s="15">
        <f>JULIO!W246+AGOSTO!AM246</f>
        <v>0</v>
      </c>
      <c r="X246" s="18">
        <f t="shared" si="212"/>
        <v>0</v>
      </c>
      <c r="Y246" s="19">
        <f>JULIO!AA246</f>
        <v>0</v>
      </c>
      <c r="Z246" s="374">
        <v>0</v>
      </c>
      <c r="AA246" s="18">
        <f t="shared" si="213"/>
        <v>0</v>
      </c>
      <c r="AB246" s="19">
        <f>JULIO!AD246</f>
        <v>0</v>
      </c>
      <c r="AC246" s="374">
        <v>0</v>
      </c>
      <c r="AD246" s="18">
        <f t="shared" si="214"/>
        <v>0</v>
      </c>
      <c r="AE246" s="19">
        <f>JULIO!AG246</f>
        <v>0</v>
      </c>
      <c r="AF246" s="374">
        <v>0</v>
      </c>
      <c r="AG246" s="18">
        <f t="shared" si="215"/>
        <v>0</v>
      </c>
      <c r="AH246" s="19">
        <f t="shared" si="216"/>
        <v>0</v>
      </c>
      <c r="AI246" s="15">
        <f t="shared" si="217"/>
        <v>0</v>
      </c>
      <c r="AJ246" s="16">
        <f t="shared" si="218"/>
        <v>0</v>
      </c>
      <c r="AK246" s="9"/>
      <c r="AL246" s="372">
        <v>0</v>
      </c>
      <c r="AM246" s="375">
        <v>0</v>
      </c>
    </row>
    <row r="247" spans="1:70" ht="24.95" customHeight="1">
      <c r="A247" s="752"/>
      <c r="B247" s="661"/>
      <c r="C247" s="382"/>
      <c r="D247" s="382"/>
      <c r="E247" s="382"/>
      <c r="F247" s="382"/>
      <c r="G247" s="382"/>
      <c r="H247" s="382"/>
      <c r="I247" s="382"/>
      <c r="J247" s="382"/>
      <c r="K247" s="382"/>
      <c r="L247" s="382"/>
      <c r="M247" s="382"/>
      <c r="N247" s="9"/>
      <c r="O247" s="382"/>
      <c r="P247" s="9"/>
      <c r="Q247" s="9"/>
      <c r="S247" s="706" t="str">
        <f>+IF(JULIO!S247=0,"",JULIO!S247)</f>
        <v>8002100-4</v>
      </c>
      <c r="T247" s="682" t="str">
        <f>+IF(JULIO!T247=0,"",JULIO!T247)</f>
        <v>Programas Especial 03</v>
      </c>
      <c r="U247" s="27">
        <f>+ENERO!U247</f>
        <v>0</v>
      </c>
      <c r="V247" s="15">
        <f>JULIO!V247+AGOSTO!AL247</f>
        <v>0</v>
      </c>
      <c r="W247" s="15">
        <f>JULIO!W247+AGOSTO!AM247</f>
        <v>0</v>
      </c>
      <c r="X247" s="18">
        <f t="shared" si="212"/>
        <v>0</v>
      </c>
      <c r="Y247" s="19">
        <f>JULIO!AA247</f>
        <v>0</v>
      </c>
      <c r="Z247" s="374">
        <v>0</v>
      </c>
      <c r="AA247" s="18">
        <f t="shared" si="213"/>
        <v>0</v>
      </c>
      <c r="AB247" s="19">
        <f>JULIO!AD247</f>
        <v>0</v>
      </c>
      <c r="AC247" s="374">
        <v>0</v>
      </c>
      <c r="AD247" s="18">
        <f t="shared" si="214"/>
        <v>0</v>
      </c>
      <c r="AE247" s="19">
        <f>JULIO!AG247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2"/>
      <c r="B248" s="661"/>
      <c r="C248" s="382"/>
      <c r="D248" s="382"/>
      <c r="E248" s="382"/>
      <c r="F248" s="382"/>
      <c r="G248" s="382"/>
      <c r="H248" s="382"/>
      <c r="I248" s="382"/>
      <c r="J248" s="382"/>
      <c r="K248" s="382"/>
      <c r="L248" s="382"/>
      <c r="M248" s="382"/>
      <c r="N248" s="9"/>
      <c r="O248" s="382"/>
      <c r="P248" s="9"/>
      <c r="Q248" s="9"/>
      <c r="S248" s="706" t="str">
        <f>+IF(JULIO!S248=0,"",JULIO!S248)</f>
        <v>8002100-5</v>
      </c>
      <c r="T248" s="682" t="str">
        <f>+IF(JULIO!T248=0,"",JULIO!T248)</f>
        <v>Programas Especial 04</v>
      </c>
      <c r="U248" s="27">
        <f>+ENERO!U248</f>
        <v>0</v>
      </c>
      <c r="V248" s="15">
        <f>JULIO!V248+AGOSTO!AL248</f>
        <v>0</v>
      </c>
      <c r="W248" s="15">
        <f>JULIO!W248+AGOSTO!AM248</f>
        <v>0</v>
      </c>
      <c r="X248" s="18">
        <f t="shared" si="212"/>
        <v>0</v>
      </c>
      <c r="Y248" s="19">
        <f>JULIO!AA248</f>
        <v>0</v>
      </c>
      <c r="Z248" s="374">
        <v>0</v>
      </c>
      <c r="AA248" s="18">
        <f t="shared" si="213"/>
        <v>0</v>
      </c>
      <c r="AB248" s="19">
        <f>JULIO!AD248</f>
        <v>0</v>
      </c>
      <c r="AC248" s="374">
        <v>0</v>
      </c>
      <c r="AD248" s="18">
        <f t="shared" si="214"/>
        <v>0</v>
      </c>
      <c r="AE248" s="19">
        <f>JULIO!AG248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2"/>
      <c r="B249" s="661"/>
      <c r="C249" s="382"/>
      <c r="D249" s="382"/>
      <c r="E249" s="382"/>
      <c r="F249" s="382"/>
      <c r="G249" s="382"/>
      <c r="H249" s="382"/>
      <c r="I249" s="382"/>
      <c r="J249" s="382"/>
      <c r="K249" s="382"/>
      <c r="L249" s="382"/>
      <c r="M249" s="382"/>
      <c r="N249" s="9"/>
      <c r="O249" s="382"/>
      <c r="P249" s="9"/>
      <c r="Q249" s="9"/>
      <c r="S249" s="706" t="str">
        <f>+IF(JULIO!S249=0,"",JULIO!S249)</f>
        <v>8002100-6</v>
      </c>
      <c r="T249" s="682" t="str">
        <f>+IF(JULIO!T249=0,"",JULIO!T249)</f>
        <v>Programas Especial 05</v>
      </c>
      <c r="U249" s="27">
        <f>+ENERO!U249</f>
        <v>0</v>
      </c>
      <c r="V249" s="15">
        <f>JULIO!V249+AGOSTO!AL249</f>
        <v>0</v>
      </c>
      <c r="W249" s="15">
        <f>JULIO!W249+AGOSTO!AM249</f>
        <v>0</v>
      </c>
      <c r="X249" s="18">
        <f t="shared" si="212"/>
        <v>0</v>
      </c>
      <c r="Y249" s="19">
        <f>JULIO!AA249</f>
        <v>0</v>
      </c>
      <c r="Z249" s="374">
        <v>0</v>
      </c>
      <c r="AA249" s="18">
        <f t="shared" si="213"/>
        <v>0</v>
      </c>
      <c r="AB249" s="19">
        <f>JULIO!AD249</f>
        <v>0</v>
      </c>
      <c r="AC249" s="374">
        <v>0</v>
      </c>
      <c r="AD249" s="18">
        <f t="shared" si="214"/>
        <v>0</v>
      </c>
      <c r="AE249" s="19">
        <f>JULIO!AG249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2"/>
      <c r="B250" s="661"/>
      <c r="C250" s="382"/>
      <c r="D250" s="382"/>
      <c r="E250" s="382"/>
      <c r="F250" s="382"/>
      <c r="G250" s="382"/>
      <c r="H250" s="382"/>
      <c r="I250" s="382"/>
      <c r="J250" s="382"/>
      <c r="K250" s="382"/>
      <c r="L250" s="382"/>
      <c r="M250" s="382"/>
      <c r="N250" s="9"/>
      <c r="O250" s="382"/>
      <c r="P250" s="9"/>
      <c r="Q250" s="9"/>
      <c r="S250" s="706" t="str">
        <f>+IF(JULIO!S250=0,"",JULIO!S250)</f>
        <v>8002100-7</v>
      </c>
      <c r="T250" s="682" t="str">
        <f>+IF(JULIO!T250=0,"",JULIO!T250)</f>
        <v>Programas Especial 06</v>
      </c>
      <c r="U250" s="27">
        <f>+ENERO!U250</f>
        <v>0</v>
      </c>
      <c r="V250" s="15">
        <f>JULIO!V250+AGOSTO!AL250</f>
        <v>0</v>
      </c>
      <c r="W250" s="15">
        <f>JULIO!W250+AGOSTO!AM250</f>
        <v>0</v>
      </c>
      <c r="X250" s="18">
        <f>SUM(U250:W250)</f>
        <v>0</v>
      </c>
      <c r="Y250" s="19">
        <f>JULIO!AA250</f>
        <v>0</v>
      </c>
      <c r="Z250" s="374">
        <v>0</v>
      </c>
      <c r="AA250" s="18">
        <f>SUM(Y250:Z250)</f>
        <v>0</v>
      </c>
      <c r="AB250" s="19">
        <f>JULIO!AD250</f>
        <v>0</v>
      </c>
      <c r="AC250" s="374">
        <v>0</v>
      </c>
      <c r="AD250" s="18">
        <f>SUM(AB250:AC250)</f>
        <v>0</v>
      </c>
      <c r="AE250" s="19">
        <f>JULIO!AG250</f>
        <v>0</v>
      </c>
      <c r="AF250" s="374">
        <v>0</v>
      </c>
      <c r="AG250" s="18">
        <f>SUM(AE250:AF250)</f>
        <v>0</v>
      </c>
      <c r="AH250" s="19">
        <f>X250-AA250</f>
        <v>0</v>
      </c>
      <c r="AI250" s="15">
        <f>X250-AD250</f>
        <v>0</v>
      </c>
      <c r="AJ250" s="16">
        <f>X250-AG250</f>
        <v>0</v>
      </c>
      <c r="AK250" s="9"/>
      <c r="AL250" s="372">
        <v>0</v>
      </c>
      <c r="AM250" s="375">
        <v>0</v>
      </c>
    </row>
    <row r="251" spans="1:70" ht="24.95" customHeight="1">
      <c r="A251" s="752"/>
      <c r="B251" s="661"/>
      <c r="C251" s="382"/>
      <c r="D251" s="382"/>
      <c r="E251" s="382"/>
      <c r="F251" s="382"/>
      <c r="G251" s="382"/>
      <c r="H251" s="382"/>
      <c r="I251" s="382"/>
      <c r="J251" s="382"/>
      <c r="K251" s="382"/>
      <c r="L251" s="382"/>
      <c r="M251" s="382"/>
      <c r="N251" s="9"/>
      <c r="O251" s="382"/>
      <c r="P251" s="9"/>
      <c r="Q251" s="9"/>
      <c r="S251" s="706" t="str">
        <f>+IF(JULIO!S251=0,"",JULIO!S251)</f>
        <v>8002100-8</v>
      </c>
      <c r="T251" s="682" t="str">
        <f>+IF(JULIO!T251=0,"",JULIO!T251)</f>
        <v>Programas Especial 07</v>
      </c>
      <c r="U251" s="27">
        <f>+ENERO!U251</f>
        <v>0</v>
      </c>
      <c r="V251" s="15">
        <f>JULIO!V251+AGOSTO!AL251</f>
        <v>0</v>
      </c>
      <c r="W251" s="15">
        <f>JULIO!W251+AGOSTO!AM251</f>
        <v>0</v>
      </c>
      <c r="X251" s="18">
        <f>SUM(U251:W251)</f>
        <v>0</v>
      </c>
      <c r="Y251" s="19">
        <f>JULIO!AA251</f>
        <v>0</v>
      </c>
      <c r="Z251" s="374">
        <v>0</v>
      </c>
      <c r="AA251" s="18">
        <f>SUM(Y251:Z251)</f>
        <v>0</v>
      </c>
      <c r="AB251" s="19">
        <f>JULIO!AD251</f>
        <v>0</v>
      </c>
      <c r="AC251" s="374">
        <v>0</v>
      </c>
      <c r="AD251" s="18">
        <f>SUM(AB251:AC251)</f>
        <v>0</v>
      </c>
      <c r="AE251" s="19">
        <f>JULIO!AG251</f>
        <v>0</v>
      </c>
      <c r="AF251" s="374">
        <v>0</v>
      </c>
      <c r="AG251" s="18">
        <f>SUM(AE251:AF251)</f>
        <v>0</v>
      </c>
      <c r="AH251" s="19">
        <f>X251-AA251</f>
        <v>0</v>
      </c>
      <c r="AI251" s="15">
        <f>X251-AD251</f>
        <v>0</v>
      </c>
      <c r="AJ251" s="16">
        <f>X251-AG251</f>
        <v>0</v>
      </c>
      <c r="AK251" s="9"/>
      <c r="AL251" s="372">
        <v>0</v>
      </c>
      <c r="AM251" s="375">
        <v>0</v>
      </c>
    </row>
    <row r="252" spans="1:70" ht="24.95" customHeight="1">
      <c r="A252" s="752"/>
      <c r="B252" s="661"/>
      <c r="C252" s="382"/>
      <c r="D252" s="382"/>
      <c r="E252" s="382"/>
      <c r="F252" s="382"/>
      <c r="G252" s="382"/>
      <c r="H252" s="382"/>
      <c r="I252" s="382"/>
      <c r="J252" s="382"/>
      <c r="K252" s="382"/>
      <c r="L252" s="382"/>
      <c r="M252" s="382"/>
      <c r="N252" s="9"/>
      <c r="O252" s="382"/>
      <c r="P252" s="9"/>
      <c r="Q252" s="9"/>
      <c r="S252" s="706" t="str">
        <f>+IF(JULIO!S252=0,"",JULIO!S252)</f>
        <v>8002100-9</v>
      </c>
      <c r="T252" s="682" t="str">
        <f>+IF(JULIO!T252=0,"",JULIO!T252)</f>
        <v>Programas Especial 08</v>
      </c>
      <c r="U252" s="27">
        <f>+ENERO!U252</f>
        <v>0</v>
      </c>
      <c r="V252" s="15">
        <f>JULIO!V252+AGOSTO!AL252</f>
        <v>0</v>
      </c>
      <c r="W252" s="15">
        <f>JULIO!W252+AGOSTO!AM252</f>
        <v>0</v>
      </c>
      <c r="X252" s="18">
        <f>SUM(U252:W252)</f>
        <v>0</v>
      </c>
      <c r="Y252" s="19">
        <f>JULIO!AA252</f>
        <v>0</v>
      </c>
      <c r="Z252" s="374">
        <v>0</v>
      </c>
      <c r="AA252" s="18">
        <f>SUM(Y252:Z252)</f>
        <v>0</v>
      </c>
      <c r="AB252" s="19">
        <f>JULIO!AD252</f>
        <v>0</v>
      </c>
      <c r="AC252" s="374">
        <v>0</v>
      </c>
      <c r="AD252" s="18">
        <f>SUM(AB252:AC252)</f>
        <v>0</v>
      </c>
      <c r="AE252" s="19">
        <f>JULIO!AG252</f>
        <v>0</v>
      </c>
      <c r="AF252" s="374">
        <v>0</v>
      </c>
      <c r="AG252" s="18">
        <f>SUM(AE252:AF252)</f>
        <v>0</v>
      </c>
      <c r="AH252" s="19">
        <f>X252-AA252</f>
        <v>0</v>
      </c>
      <c r="AI252" s="15">
        <f>X252-AD252</f>
        <v>0</v>
      </c>
      <c r="AJ252" s="16">
        <f>X252-AG252</f>
        <v>0</v>
      </c>
      <c r="AK252" s="9"/>
      <c r="AL252" s="372">
        <v>0</v>
      </c>
      <c r="AM252" s="375">
        <v>0</v>
      </c>
    </row>
    <row r="253" spans="1:70" ht="24.95" customHeight="1">
      <c r="A253" s="752"/>
      <c r="B253" s="661"/>
      <c r="C253" s="382"/>
      <c r="D253" s="382"/>
      <c r="E253" s="382"/>
      <c r="F253" s="382"/>
      <c r="G253" s="382"/>
      <c r="H253" s="382"/>
      <c r="I253" s="382"/>
      <c r="J253" s="382"/>
      <c r="K253" s="382"/>
      <c r="L253" s="382"/>
      <c r="M253" s="382"/>
      <c r="N253" s="9"/>
      <c r="O253" s="382"/>
      <c r="P253" s="9"/>
      <c r="Q253" s="9"/>
      <c r="S253" s="706" t="str">
        <f>+IF(JULIO!S253=0,"",JULIO!S253)</f>
        <v>8002100-10</v>
      </c>
      <c r="T253" s="682" t="str">
        <f>+IF(JULIO!T253=0,"",JULIO!T253)</f>
        <v>Programas Especial 09</v>
      </c>
      <c r="U253" s="27">
        <f>+ENERO!U253</f>
        <v>0</v>
      </c>
      <c r="V253" s="15">
        <f>JULIO!V253+AGOSTO!AL253</f>
        <v>0</v>
      </c>
      <c r="W253" s="15">
        <f>JULIO!W253+AGOSTO!AM253</f>
        <v>0</v>
      </c>
      <c r="X253" s="18">
        <f>SUM(U253:W253)</f>
        <v>0</v>
      </c>
      <c r="Y253" s="19">
        <f>JULIO!AA253</f>
        <v>0</v>
      </c>
      <c r="Z253" s="374">
        <v>0</v>
      </c>
      <c r="AA253" s="18">
        <f>SUM(Y253:Z253)</f>
        <v>0</v>
      </c>
      <c r="AB253" s="19">
        <f>JULIO!AD253</f>
        <v>0</v>
      </c>
      <c r="AC253" s="374">
        <v>0</v>
      </c>
      <c r="AD253" s="18">
        <f>SUM(AB253:AC253)</f>
        <v>0</v>
      </c>
      <c r="AE253" s="19">
        <f>JULIO!AG253</f>
        <v>0</v>
      </c>
      <c r="AF253" s="374">
        <v>0</v>
      </c>
      <c r="AG253" s="18">
        <f>SUM(AE253:AF253)</f>
        <v>0</v>
      </c>
      <c r="AH253" s="19">
        <f>X253-AA253</f>
        <v>0</v>
      </c>
      <c r="AI253" s="15">
        <f>X253-AD253</f>
        <v>0</v>
      </c>
      <c r="AJ253" s="16">
        <f>X253-AG253</f>
        <v>0</v>
      </c>
      <c r="AK253" s="9"/>
      <c r="AL253" s="372">
        <v>0</v>
      </c>
      <c r="AM253" s="375">
        <v>0</v>
      </c>
    </row>
    <row r="254" spans="1:70" ht="24.95" customHeight="1">
      <c r="A254" s="752"/>
      <c r="B254" s="661"/>
      <c r="C254" s="382"/>
      <c r="D254" s="382"/>
      <c r="E254" s="382"/>
      <c r="F254" s="382"/>
      <c r="G254" s="382"/>
      <c r="H254" s="382"/>
      <c r="I254" s="382"/>
      <c r="J254" s="382"/>
      <c r="K254" s="382"/>
      <c r="L254" s="382"/>
      <c r="M254" s="382"/>
      <c r="N254" s="9"/>
      <c r="O254" s="382"/>
      <c r="P254" s="9"/>
      <c r="Q254" s="9"/>
      <c r="S254" s="706" t="str">
        <f>+IF(JULIO!S254=0,"",JULIO!S254)</f>
        <v>8002100-11</v>
      </c>
      <c r="T254" s="682" t="str">
        <f>+IF(JULIO!T254=0,"",JULIO!T254)</f>
        <v>Programas Especial 10</v>
      </c>
      <c r="U254" s="27">
        <f>+ENERO!U254</f>
        <v>0</v>
      </c>
      <c r="V254" s="15">
        <f>JULIO!V254+AGOSTO!AL254</f>
        <v>0</v>
      </c>
      <c r="W254" s="15">
        <f>JULIO!W254+AGOSTO!AM254</f>
        <v>0</v>
      </c>
      <c r="X254" s="18">
        <f>SUM(U254:W254)</f>
        <v>0</v>
      </c>
      <c r="Y254" s="19">
        <f>JULIO!AA254</f>
        <v>0</v>
      </c>
      <c r="Z254" s="374">
        <v>0</v>
      </c>
      <c r="AA254" s="18">
        <f>SUM(Y254:Z254)</f>
        <v>0</v>
      </c>
      <c r="AB254" s="19">
        <f>JULIO!AD254</f>
        <v>0</v>
      </c>
      <c r="AC254" s="374">
        <v>0</v>
      </c>
      <c r="AD254" s="18">
        <f>SUM(AB254:AC254)</f>
        <v>0</v>
      </c>
      <c r="AE254" s="19">
        <f>JULIO!AG254</f>
        <v>0</v>
      </c>
      <c r="AF254" s="374">
        <v>0</v>
      </c>
      <c r="AG254" s="18">
        <f>SUM(AE254:AF254)</f>
        <v>0</v>
      </c>
      <c r="AH254" s="19">
        <f>X254-AA254</f>
        <v>0</v>
      </c>
      <c r="AI254" s="15">
        <f>X254-AD254</f>
        <v>0</v>
      </c>
      <c r="AJ254" s="16">
        <f>X254-AG254</f>
        <v>0</v>
      </c>
      <c r="AK254" s="9"/>
      <c r="AL254" s="372">
        <v>0</v>
      </c>
      <c r="AM254" s="375">
        <v>0</v>
      </c>
    </row>
    <row r="255" spans="1:70" ht="24.95" customHeight="1">
      <c r="A255" s="752"/>
      <c r="B255" s="661"/>
      <c r="C255" s="382"/>
      <c r="D255" s="382"/>
      <c r="E255" s="382"/>
      <c r="F255" s="382"/>
      <c r="G255" s="382"/>
      <c r="H255" s="382"/>
      <c r="I255" s="382"/>
      <c r="J255" s="382"/>
      <c r="K255" s="382"/>
      <c r="L255" s="382"/>
      <c r="M255" s="382"/>
      <c r="N255" s="9"/>
      <c r="O255" s="382"/>
      <c r="P255" s="9"/>
      <c r="Q255" s="9"/>
      <c r="S255" s="706" t="str">
        <f>+IF(JULIO!S255=0,"",JULIO!S255)</f>
        <v>8002100-12</v>
      </c>
      <c r="T255" s="682" t="str">
        <f>+IF(JULIO!T255=0,"",JULIO!T255)</f>
        <v>Programas Especial 11</v>
      </c>
      <c r="U255" s="27">
        <f>+ENERO!U255</f>
        <v>0</v>
      </c>
      <c r="V255" s="15">
        <f>JULIO!V255+AGOSTO!AL255</f>
        <v>0</v>
      </c>
      <c r="W255" s="15">
        <f>JULIO!W255+AGOSTO!AM255</f>
        <v>0</v>
      </c>
      <c r="X255" s="18">
        <f t="shared" si="212"/>
        <v>0</v>
      </c>
      <c r="Y255" s="19">
        <f>JULIO!AA255</f>
        <v>0</v>
      </c>
      <c r="Z255" s="374">
        <v>0</v>
      </c>
      <c r="AA255" s="18">
        <f t="shared" si="213"/>
        <v>0</v>
      </c>
      <c r="AB255" s="19">
        <f>JULIO!AD255</f>
        <v>0</v>
      </c>
      <c r="AC255" s="374">
        <v>0</v>
      </c>
      <c r="AD255" s="18">
        <f t="shared" si="214"/>
        <v>0</v>
      </c>
      <c r="AE255" s="19">
        <f>JULIO!AG255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2"/>
      <c r="B256" s="661"/>
      <c r="C256" s="382"/>
      <c r="D256" s="382"/>
      <c r="E256" s="382"/>
      <c r="F256" s="382"/>
      <c r="G256" s="382"/>
      <c r="H256" s="382"/>
      <c r="I256" s="382"/>
      <c r="J256" s="382"/>
      <c r="K256" s="382"/>
      <c r="L256" s="382"/>
      <c r="M256" s="382"/>
      <c r="N256" s="9"/>
      <c r="O256" s="382"/>
      <c r="P256" s="9"/>
      <c r="Q256" s="9"/>
      <c r="S256" s="717">
        <f>+IF(JULIO!S256=0,"",JULIO!S256)</f>
        <v>8002999</v>
      </c>
      <c r="T256" s="697" t="str">
        <f>+IF(JULIO!T256=0,"",JULIO!T256)</f>
        <v>Vigencias Anteriores</v>
      </c>
      <c r="U256" s="133">
        <f>+ENERO!U256</f>
        <v>0</v>
      </c>
      <c r="V256" s="121">
        <f>JULIO!V256+AGOSTO!AL256</f>
        <v>0</v>
      </c>
      <c r="W256" s="121">
        <f>JULIO!W256+AGOSTO!AM256</f>
        <v>0</v>
      </c>
      <c r="X256" s="126">
        <f t="shared" si="212"/>
        <v>0</v>
      </c>
      <c r="Y256" s="124">
        <f>JULIO!AA256</f>
        <v>0</v>
      </c>
      <c r="Z256" s="388">
        <v>0</v>
      </c>
      <c r="AA256" s="126">
        <f t="shared" si="213"/>
        <v>0</v>
      </c>
      <c r="AB256" s="124">
        <f>JULIO!AD256</f>
        <v>0</v>
      </c>
      <c r="AC256" s="388">
        <v>0</v>
      </c>
      <c r="AD256" s="126">
        <f t="shared" si="214"/>
        <v>0</v>
      </c>
      <c r="AE256" s="124">
        <f>JULIO!AG256</f>
        <v>0</v>
      </c>
      <c r="AF256" s="388">
        <v>0</v>
      </c>
      <c r="AG256" s="126">
        <f t="shared" si="215"/>
        <v>0</v>
      </c>
      <c r="AH256" s="124">
        <f t="shared" si="216"/>
        <v>0</v>
      </c>
      <c r="AI256" s="121">
        <f t="shared" si="217"/>
        <v>0</v>
      </c>
      <c r="AJ256" s="125">
        <f t="shared" si="218"/>
        <v>0</v>
      </c>
      <c r="AK256" s="9"/>
      <c r="AL256" s="384">
        <v>0</v>
      </c>
      <c r="AM256" s="389">
        <v>0</v>
      </c>
    </row>
    <row r="257" spans="1:39" ht="24.95" customHeight="1" thickBot="1">
      <c r="A257" s="752"/>
      <c r="B257" s="661"/>
      <c r="C257" s="382"/>
      <c r="D257" s="382"/>
      <c r="E257" s="382"/>
      <c r="F257" s="382"/>
      <c r="G257" s="382"/>
      <c r="H257" s="382"/>
      <c r="I257" s="382"/>
      <c r="J257" s="382"/>
      <c r="K257" s="382"/>
      <c r="L257" s="382"/>
      <c r="M257" s="382"/>
      <c r="N257" s="9"/>
      <c r="O257" s="382"/>
      <c r="P257" s="9"/>
      <c r="Q257" s="9"/>
      <c r="S257" s="495" t="str">
        <f>+IF(JULIO!S257=0,"",JULIO!S257)</f>
        <v/>
      </c>
      <c r="T257" s="694" t="str">
        <f>+IF(JULIO!T257=0,"",JULIO!T257)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76" t="s">
        <v>363</v>
      </c>
      <c r="T258" s="777" t="s">
        <v>133</v>
      </c>
      <c r="U258" s="340">
        <f>+(C10+C17+C113)-(U10+U193+U220+U232)</f>
        <v>0</v>
      </c>
      <c r="V258" s="340">
        <f t="shared" ref="V258:AJ258" si="219">+(D10+D17+D113)-(V10+V193+V220+V232)</f>
        <v>0</v>
      </c>
      <c r="W258" s="340">
        <f t="shared" si="219"/>
        <v>0</v>
      </c>
      <c r="X258" s="340">
        <f t="shared" si="219"/>
        <v>0</v>
      </c>
      <c r="Y258" s="340">
        <f t="shared" si="219"/>
        <v>-2903518225</v>
      </c>
      <c r="Z258" s="340">
        <f t="shared" si="219"/>
        <v>-2267383823</v>
      </c>
      <c r="AA258" s="340">
        <f t="shared" si="219"/>
        <v>-5170902048</v>
      </c>
      <c r="AB258" s="340">
        <f t="shared" si="219"/>
        <v>-16542779818</v>
      </c>
      <c r="AC258" s="340">
        <f t="shared" si="219"/>
        <v>-883849070</v>
      </c>
      <c r="AD258" s="340">
        <f t="shared" si="219"/>
        <v>-17426628888</v>
      </c>
      <c r="AE258" s="340">
        <f t="shared" si="219"/>
        <v>-6301357408</v>
      </c>
      <c r="AF258" s="340">
        <f t="shared" si="219"/>
        <v>37310214577</v>
      </c>
      <c r="AG258" s="340">
        <f t="shared" si="219"/>
        <v>-26379997747</v>
      </c>
      <c r="AH258" s="340">
        <f t="shared" si="219"/>
        <v>-12081528629</v>
      </c>
      <c r="AI258" s="340">
        <f t="shared" si="219"/>
        <v>-19006190188</v>
      </c>
      <c r="AJ258" s="778">
        <f t="shared" si="219"/>
        <v>-40498336367</v>
      </c>
      <c r="AK258" s="9"/>
      <c r="AL258" s="338">
        <v>0</v>
      </c>
      <c r="AM258" s="339">
        <v>0</v>
      </c>
    </row>
    <row r="259" spans="1:39" ht="24.95" customHeight="1" thickBot="1">
      <c r="S259" s="3023"/>
      <c r="T259" s="3024"/>
      <c r="U259" s="791"/>
      <c r="V259" s="791"/>
      <c r="W259" s="791"/>
      <c r="X259" s="791"/>
      <c r="Y259" s="791"/>
      <c r="Z259" s="791"/>
      <c r="AA259" s="791"/>
      <c r="AB259" s="791"/>
      <c r="AC259" s="791"/>
      <c r="AD259" s="791"/>
      <c r="AE259" s="791"/>
      <c r="AF259" s="791"/>
      <c r="AG259" s="791"/>
      <c r="AH259" s="791"/>
      <c r="AI259" s="791"/>
      <c r="AJ259" s="792"/>
      <c r="AK259" s="10"/>
      <c r="AL259" s="123">
        <f>+SUMIF(AK8:AK256,AK33,AL8:AL256)</f>
        <v>0</v>
      </c>
      <c r="AM259" s="115">
        <f>+SUMIF(AL8:AL256,AL33,AM8:AM256)</f>
        <v>4557210326</v>
      </c>
    </row>
    <row r="260" spans="1:39" ht="24.95" customHeight="1" thickBot="1">
      <c r="S260" s="795" t="s">
        <v>582</v>
      </c>
      <c r="T260" s="796"/>
      <c r="U260" s="771">
        <f>+U8-U262</f>
        <v>47989706380</v>
      </c>
      <c r="V260" s="771">
        <f t="shared" ref="V260:AJ260" si="220">+V8-V262</f>
        <v>-109662433</v>
      </c>
      <c r="W260" s="771">
        <f t="shared" si="220"/>
        <v>7833890063</v>
      </c>
      <c r="X260" s="771">
        <f t="shared" si="220"/>
        <v>55713934010</v>
      </c>
      <c r="Y260" s="771">
        <f t="shared" si="220"/>
        <v>38236695085</v>
      </c>
      <c r="Z260" s="771">
        <f t="shared" si="220"/>
        <v>5870513992</v>
      </c>
      <c r="AA260" s="771">
        <f t="shared" si="220"/>
        <v>44107209077</v>
      </c>
      <c r="AB260" s="771">
        <f t="shared" si="220"/>
        <v>29343606643</v>
      </c>
      <c r="AC260" s="771">
        <f t="shared" si="220"/>
        <v>4135335712</v>
      </c>
      <c r="AD260" s="771">
        <f t="shared" si="220"/>
        <v>33478942355</v>
      </c>
      <c r="AE260" s="771">
        <f t="shared" si="220"/>
        <v>13148501330</v>
      </c>
      <c r="AF260" s="771">
        <f t="shared" si="220"/>
        <v>2559814009</v>
      </c>
      <c r="AG260" s="771">
        <f t="shared" si="220"/>
        <v>15708315339</v>
      </c>
      <c r="AH260" s="771">
        <f t="shared" si="220"/>
        <v>11606724933</v>
      </c>
      <c r="AI260" s="771">
        <f t="shared" si="220"/>
        <v>22234991655</v>
      </c>
      <c r="AJ260" s="772">
        <f t="shared" si="220"/>
        <v>40005618671</v>
      </c>
      <c r="AK260" s="10"/>
      <c r="AL260" s="382"/>
      <c r="AM260" s="382"/>
    </row>
    <row r="261" spans="1:39" ht="24.95" customHeight="1" thickBot="1">
      <c r="S261" s="800"/>
      <c r="T261" s="801"/>
      <c r="U261" s="779"/>
      <c r="V261" s="779"/>
      <c r="W261" s="779"/>
      <c r="X261" s="779"/>
      <c r="Y261" s="779"/>
      <c r="Z261" s="779"/>
      <c r="AA261" s="779"/>
      <c r="AB261" s="779"/>
      <c r="AC261" s="779"/>
      <c r="AD261" s="779"/>
      <c r="AE261" s="779"/>
      <c r="AF261" s="779"/>
      <c r="AG261" s="779"/>
      <c r="AH261" s="779"/>
      <c r="AI261" s="779"/>
      <c r="AJ261" s="780"/>
    </row>
    <row r="262" spans="1:39" ht="24.95" customHeight="1" thickBot="1">
      <c r="S262" s="797" t="s">
        <v>583</v>
      </c>
      <c r="T262" s="798"/>
      <c r="U262" s="775">
        <f>+SUMIF($T$8:$T$256,$T$33,U8:U256)</f>
        <v>2232471701</v>
      </c>
      <c r="V262" s="775">
        <f t="shared" ref="V262:AJ262" si="221">+SUMIF($T$8:$T$256,$T$33,V8:V256)</f>
        <v>109662433</v>
      </c>
      <c r="W262" s="775">
        <f t="shared" si="221"/>
        <v>8822265970</v>
      </c>
      <c r="X262" s="775">
        <f t="shared" si="221"/>
        <v>11164400104</v>
      </c>
      <c r="Y262" s="775">
        <f t="shared" si="221"/>
        <v>10423200755</v>
      </c>
      <c r="Z262" s="775">
        <f t="shared" si="221"/>
        <v>266395653</v>
      </c>
      <c r="AA262" s="775">
        <f t="shared" si="221"/>
        <v>10689596408</v>
      </c>
      <c r="AB262" s="775">
        <f t="shared" si="221"/>
        <v>10423200755</v>
      </c>
      <c r="AC262" s="775">
        <f t="shared" si="221"/>
        <v>266395653</v>
      </c>
      <c r="AD262" s="775">
        <f t="shared" si="221"/>
        <v>10689596408</v>
      </c>
      <c r="AE262" s="775">
        <f t="shared" si="221"/>
        <v>10405286755</v>
      </c>
      <c r="AF262" s="775">
        <f t="shared" si="221"/>
        <v>266395653</v>
      </c>
      <c r="AG262" s="775">
        <f t="shared" si="221"/>
        <v>10671682408</v>
      </c>
      <c r="AH262" s="775">
        <f t="shared" si="221"/>
        <v>474803696</v>
      </c>
      <c r="AI262" s="775">
        <f t="shared" si="221"/>
        <v>474803696</v>
      </c>
      <c r="AJ262" s="799">
        <f t="shared" si="221"/>
        <v>492717696</v>
      </c>
    </row>
    <row r="263" spans="1:39" ht="24.95" customHeight="1" thickBot="1">
      <c r="S263" s="800"/>
      <c r="T263" s="801"/>
      <c r="U263" s="801"/>
      <c r="V263" s="779"/>
      <c r="W263" s="779"/>
      <c r="X263" s="779"/>
      <c r="Y263" s="779"/>
      <c r="Z263" s="779"/>
      <c r="AA263" s="779"/>
      <c r="AB263" s="779"/>
      <c r="AC263" s="779"/>
      <c r="AD263" s="779"/>
      <c r="AE263" s="779"/>
      <c r="AF263" s="779"/>
      <c r="AG263" s="779"/>
      <c r="AH263" s="779"/>
      <c r="AI263" s="779"/>
      <c r="AJ263" s="779"/>
    </row>
    <row r="264" spans="1:39" ht="24.95" customHeight="1" thickBot="1">
      <c r="S264" s="773" t="s">
        <v>584</v>
      </c>
      <c r="T264" s="774"/>
      <c r="U264" s="793">
        <f>+U260+U262</f>
        <v>50222178081</v>
      </c>
      <c r="V264" s="793">
        <f t="shared" ref="V264:AJ264" si="222">+V260+V262</f>
        <v>0</v>
      </c>
      <c r="W264" s="793">
        <f t="shared" si="222"/>
        <v>16656156033</v>
      </c>
      <c r="X264" s="793">
        <f t="shared" si="222"/>
        <v>66878334114</v>
      </c>
      <c r="Y264" s="793">
        <f t="shared" si="222"/>
        <v>48659895840</v>
      </c>
      <c r="Z264" s="793">
        <f t="shared" si="222"/>
        <v>6136909645</v>
      </c>
      <c r="AA264" s="793">
        <f t="shared" si="222"/>
        <v>54796805485</v>
      </c>
      <c r="AB264" s="793">
        <f t="shared" si="222"/>
        <v>39766807398</v>
      </c>
      <c r="AC264" s="793">
        <f t="shared" si="222"/>
        <v>4401731365</v>
      </c>
      <c r="AD264" s="793">
        <f t="shared" si="222"/>
        <v>44168538763</v>
      </c>
      <c r="AE264" s="793">
        <f t="shared" si="222"/>
        <v>23553788085</v>
      </c>
      <c r="AF264" s="793">
        <f t="shared" si="222"/>
        <v>2826209662</v>
      </c>
      <c r="AG264" s="793">
        <f t="shared" si="222"/>
        <v>26379997747</v>
      </c>
      <c r="AH264" s="793">
        <f t="shared" si="222"/>
        <v>12081528629</v>
      </c>
      <c r="AI264" s="793">
        <f t="shared" si="222"/>
        <v>22709795351</v>
      </c>
      <c r="AJ264" s="794">
        <f t="shared" si="222"/>
        <v>40498336367</v>
      </c>
    </row>
  </sheetData>
  <sheetProtection password="E6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800-000000000000}"/>
    <dataValidation allowBlank="1" showInputMessage="1" showErrorMessage="1" promptTitle="ATENCION..." prompt="Las actividades de Promoción y Prevención se manejaran en cada régimen." sqref="A23:C24 P23:Q24 K23:K24 H23:H24" xr:uid="{00000000-0002-0000-08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8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usuario</cp:lastModifiedBy>
  <cp:lastPrinted>2018-01-30T18:32:06Z</cp:lastPrinted>
  <dcterms:created xsi:type="dcterms:W3CDTF">2009-01-29T18:34:20Z</dcterms:created>
  <dcterms:modified xsi:type="dcterms:W3CDTF">2018-01-31T14:54:26Z</dcterms:modified>
</cp:coreProperties>
</file>